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030\Z00F5HNP\"/>
    </mc:Choice>
  </mc:AlternateContent>
  <xr:revisionPtr revIDLastSave="0" documentId="13_ncr:1_{AC487A06-D3AB-4B8F-BBDE-85DEC0B5475F}" xr6:coauthVersionLast="47" xr6:coauthVersionMax="47" xr10:uidLastSave="{00000000-0000-0000-0000-000000000000}"/>
  <bookViews>
    <workbookView xWindow="2868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23" i="6"/>
  <c r="I22" i="6"/>
  <c r="I21" i="6"/>
  <c r="E110" i="6"/>
  <c r="E79" i="6"/>
  <c r="E48" i="6"/>
  <c r="E17" i="6"/>
  <c r="B124" i="1" l="1"/>
  <c r="B123" i="1"/>
  <c r="B122" i="1"/>
  <c r="B121" i="1"/>
  <c r="B120" i="1"/>
  <c r="B119" i="1"/>
  <c r="B118" i="1"/>
  <c r="B117" i="1"/>
  <c r="B116" i="1"/>
  <c r="B115" i="1"/>
  <c r="B114" i="1"/>
  <c r="B94" i="1"/>
  <c r="B93" i="1"/>
  <c r="B92" i="1"/>
  <c r="B91" i="1"/>
  <c r="B90" i="1"/>
  <c r="B89" i="1"/>
  <c r="B88" i="1"/>
  <c r="B68" i="1"/>
  <c r="B67" i="1"/>
  <c r="B66" i="1"/>
  <c r="B65" i="1"/>
  <c r="B64" i="1"/>
  <c r="B63" i="1"/>
  <c r="B6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HI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C157" i="2"/>
  <c r="EB157" i="2"/>
  <c r="CN156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HG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V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FQ178" i="2"/>
  <c r="HH178" i="2"/>
  <c r="EB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EB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A185" i="2"/>
  <c r="EV185" i="2"/>
  <c r="EB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B192" i="2"/>
  <c r="EC192" i="2"/>
  <c r="EW192" i="2"/>
  <c r="HG192" i="2"/>
  <c r="EA192" i="2"/>
  <c r="ED192" i="2" s="1"/>
  <c r="EV192" i="2"/>
  <c r="EY192" i="2" s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B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HI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FS201" i="2" l="1"/>
  <c r="HH201" i="2"/>
  <c r="EA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5" i="2" a="1"/>
  <c r="EI145" i="2" s="1"/>
  <c r="DN43" i="2" a="1"/>
  <c r="DN43" i="2" s="1"/>
  <c r="DN192" i="2" a="1"/>
  <c r="DN192" i="2" s="1"/>
  <c r="DN150" i="2" a="1"/>
  <c r="DN150" i="2" s="1"/>
  <c r="DN123" i="2" a="1"/>
  <c r="DN12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CS185" i="2" a="1"/>
  <c r="CS185" i="2" s="1"/>
  <c r="DN162" i="2" a="1"/>
  <c r="DN162" i="2" s="1"/>
  <c r="DN16" i="2" a="1"/>
  <c r="DN16" i="2" s="1"/>
  <c r="DN167" i="2" a="1"/>
  <c r="DN167" i="2" s="1"/>
  <c r="DN6" i="2" a="1"/>
  <c r="DN6" i="2" s="1"/>
  <c r="DO6" i="2" s="1"/>
  <c r="CS134" i="2" a="1"/>
  <c r="CS134" i="2" s="1"/>
  <c r="DN45" i="2" a="1"/>
  <c r="DN45" i="2" s="1"/>
  <c r="FD82" i="2" a="1"/>
  <c r="FD82" i="2" s="1"/>
  <c r="DN187" i="2" a="1"/>
  <c r="DN187" i="2" s="1"/>
  <c r="HJ202" i="2"/>
  <c r="AX200" i="2"/>
  <c r="DN153" i="2" l="1" a="1"/>
  <c r="DN153" i="2" s="1"/>
  <c r="DN168" i="2" a="1"/>
  <c r="DN168" i="2" s="1"/>
  <c r="DN170" i="2" a="1"/>
  <c r="DN170" i="2" s="1"/>
  <c r="EI153" i="2" a="1"/>
  <c r="EI153" i="2" s="1"/>
  <c r="DN176" i="2" a="1"/>
  <c r="DN176" i="2" s="1"/>
  <c r="EI38" i="2" a="1"/>
  <c r="EI38" i="2" s="1"/>
  <c r="DN129" i="2" a="1"/>
  <c r="DN129" i="2" s="1"/>
  <c r="DN190" i="2" a="1"/>
  <c r="DN190" i="2" s="1"/>
  <c r="DN29" i="2" a="1"/>
  <c r="DN29" i="2" s="1"/>
  <c r="DN133" i="2" a="1"/>
  <c r="DN133" i="2" s="1"/>
  <c r="CS105" i="2" a="1"/>
  <c r="CS105" i="2" s="1"/>
  <c r="DN41" i="2" a="1"/>
  <c r="DN41" i="2" s="1"/>
  <c r="DN49" i="2" a="1"/>
  <c r="DN49" i="2" s="1"/>
  <c r="FR203" i="2"/>
  <c r="DN132" i="2" a="1"/>
  <c r="DN132" i="2" s="1"/>
  <c r="DN70" i="2" a="1"/>
  <c r="DN70" i="2" s="1"/>
  <c r="DN164" i="2" a="1"/>
  <c r="DN164" i="2" s="1"/>
  <c r="EI113" i="2" a="1"/>
  <c r="EI113" i="2" s="1"/>
  <c r="CS161" i="2" a="1"/>
  <c r="CS161" i="2" s="1"/>
  <c r="DN188" i="2" a="1"/>
  <c r="DN188" i="2" s="1"/>
  <c r="DN113" i="2" a="1"/>
  <c r="DN113" i="2" s="1"/>
  <c r="DN137" i="2" a="1"/>
  <c r="DN137" i="2" s="1"/>
  <c r="DN66" i="2" a="1"/>
  <c r="DN66" i="2" s="1"/>
  <c r="DN30" i="2" a="1"/>
  <c r="DN30" i="2" s="1"/>
  <c r="DN55" i="2" a="1"/>
  <c r="DN55" i="2" s="1"/>
  <c r="DN135" i="2" a="1"/>
  <c r="DN135" i="2" s="1"/>
  <c r="EI20" i="2" a="1"/>
  <c r="EI20" i="2" s="1"/>
  <c r="CS77" i="2" a="1"/>
  <c r="CS77" i="2" s="1"/>
  <c r="DN86" i="2" a="1"/>
  <c r="DN86" i="2" s="1"/>
  <c r="DN25" i="2" a="1"/>
  <c r="DN25" i="2" s="1"/>
  <c r="DN124" i="2" a="1"/>
  <c r="DN124" i="2" s="1"/>
  <c r="DN65" i="2" a="1"/>
  <c r="DN65" i="2" s="1"/>
  <c r="DN50" i="2" a="1"/>
  <c r="DN50" i="2" s="1"/>
  <c r="DN46" i="2" a="1"/>
  <c r="DN46" i="2" s="1"/>
  <c r="DN110" i="2" a="1"/>
  <c r="DN110" i="2" s="1"/>
  <c r="DN38" i="2" a="1"/>
  <c r="DN38" i="2" s="1"/>
  <c r="EI36" i="2" a="1"/>
  <c r="EI36" i="2" s="1"/>
  <c r="DN114" i="2" a="1"/>
  <c r="DN114" i="2" s="1"/>
  <c r="DN177" i="2" a="1"/>
  <c r="DN177" i="2" s="1"/>
  <c r="DN184" i="2" a="1"/>
  <c r="DN184" i="2" s="1"/>
  <c r="DN155" i="2" a="1"/>
  <c r="DN155" i="2" s="1"/>
  <c r="EI37" i="2" a="1"/>
  <c r="EI37" i="2" s="1"/>
  <c r="EI166" i="2" a="1"/>
  <c r="EI166" i="2" s="1"/>
  <c r="EI16" i="2" a="1"/>
  <c r="EI16" i="2" s="1"/>
  <c r="DN186" i="2" a="1"/>
  <c r="DN186" i="2" s="1"/>
  <c r="DN31" i="2" a="1"/>
  <c r="DN31" i="2" s="1"/>
  <c r="DN80" i="2" a="1"/>
  <c r="DN80" i="2" s="1"/>
  <c r="EI87" i="2" a="1"/>
  <c r="EI87" i="2" s="1"/>
  <c r="DN63" i="2" a="1"/>
  <c r="DN63" i="2" s="1"/>
  <c r="DN103" i="2" a="1"/>
  <c r="DN103" i="2" s="1"/>
  <c r="DN115" i="2" a="1"/>
  <c r="DN115" i="2" s="1"/>
  <c r="DN152" i="2" a="1"/>
  <c r="DN152" i="2" s="1"/>
  <c r="EI142" i="2" a="1"/>
  <c r="EI142" i="2" s="1"/>
  <c r="AH62" i="2" a="1"/>
  <c r="AH62" i="2" s="1"/>
  <c r="AH151" i="2" a="1"/>
  <c r="AH151" i="2" s="1"/>
  <c r="CS24" i="2" a="1"/>
  <c r="CS24" i="2" s="1"/>
  <c r="EI128" i="2" a="1"/>
  <c r="EI128" i="2" s="1"/>
  <c r="EI109" i="2" a="1"/>
  <c r="EI109" i="2" s="1"/>
  <c r="CS120" i="2" a="1"/>
  <c r="CS120" i="2" s="1"/>
  <c r="AH163" i="2" a="1"/>
  <c r="AH163" i="2" s="1"/>
  <c r="EI178" i="2" a="1"/>
  <c r="EI178" i="2" s="1"/>
  <c r="EI198" i="2" a="1"/>
  <c r="EI198" i="2" s="1"/>
  <c r="EI35" i="2" a="1"/>
  <c r="EI35" i="2" s="1"/>
  <c r="EI34" i="2" a="1"/>
  <c r="EI34" i="2" s="1"/>
  <c r="AH199" i="2" a="1"/>
  <c r="AH199" i="2" s="1"/>
  <c r="CS137" i="2" a="1"/>
  <c r="CS137" i="2" s="1"/>
  <c r="CS129" i="2" a="1"/>
  <c r="CS129" i="2" s="1"/>
  <c r="EI162" i="2" a="1"/>
  <c r="EI162" i="2" s="1"/>
  <c r="EI139" i="2" a="1"/>
  <c r="EI139" i="2" s="1"/>
  <c r="EI165" i="2" a="1"/>
  <c r="EI165" i="2" s="1"/>
  <c r="AH166" i="2" a="1"/>
  <c r="AH166" i="2" s="1"/>
  <c r="CS52" i="2" a="1"/>
  <c r="CS52" i="2" s="1"/>
  <c r="EI150" i="2" a="1"/>
  <c r="EI150" i="2" s="1"/>
  <c r="BX107" i="2" a="1"/>
  <c r="BX107" i="2" s="1"/>
  <c r="CS114" i="2" a="1"/>
  <c r="CS114" i="2" s="1"/>
  <c r="EI67" i="2" a="1"/>
  <c r="EI67" i="2" s="1"/>
  <c r="EI71" i="2" a="1"/>
  <c r="EI71" i="2" s="1"/>
  <c r="AH19" i="2" a="1"/>
  <c r="AH19" i="2" s="1"/>
  <c r="EI195" i="2" a="1"/>
  <c r="EI195" i="2" s="1"/>
  <c r="EI29" i="2" a="1"/>
  <c r="EI29" i="2" s="1"/>
  <c r="BP203" i="2"/>
  <c r="HH203" i="2"/>
  <c r="CS72" i="2" a="1"/>
  <c r="CS72" i="2" s="1"/>
  <c r="CS56" i="2" a="1"/>
  <c r="CS56" i="2" s="1"/>
  <c r="EI170" i="2" a="1"/>
  <c r="EI170" i="2" s="1"/>
  <c r="EI57" i="2" a="1"/>
  <c r="EI57" i="2" s="1"/>
  <c r="CS38" i="2" a="1"/>
  <c r="CS38" i="2" s="1"/>
  <c r="AH90" i="2" a="1"/>
  <c r="AH90" i="2" s="1"/>
  <c r="CS116" i="2" a="1"/>
  <c r="CS116" i="2" s="1"/>
  <c r="CS66" i="2" a="1"/>
  <c r="CS66" i="2" s="1"/>
  <c r="EI106" i="2" a="1"/>
  <c r="EI10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<sst xmlns="http://schemas.openxmlformats.org/spreadsheetml/2006/main" count="1173" uniqueCount="324">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</sst>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177.6047193610066</c:v>
                </c:pt>
                <c:pt idx="22">
                  <c:v>194.38574894735427</c:v>
                </c:pt>
                <c:pt idx="23">
                  <c:v>211.13310471280226</c:v>
                </c:pt>
                <c:pt idx="24">
                  <c:v>227.84983423962137</c:v>
                </c:pt>
                <c:pt idx="25">
                  <c:v>244.53850101874704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246.39116311423746</c:v>
                </c:pt>
                <c:pt idx="32">
                  <c:v>271.37218356115193</c:v>
                </c:pt>
                <c:pt idx="33">
                  <c:v>296.30147749206873</c:v>
                </c:pt>
                <c:pt idx="34">
                  <c:v>321.18400634011869</c:v>
                </c:pt>
                <c:pt idx="35">
                  <c:v>346.02389994775189</c:v>
                </c:pt>
                <c:pt idx="36">
                  <c:v>307.36589042386964</c:v>
                </c:pt>
                <c:pt idx="37">
                  <c:v>333.14904895004429</c:v>
                </c:pt>
                <c:pt idx="38">
                  <c:v>358.88823411477216</c:v>
                </c:pt>
                <c:pt idx="39">
                  <c:v>384.58704033593932</c:v>
                </c:pt>
                <c:pt idx="40">
                  <c:v>410.24854266397227</c:v>
                </c:pt>
                <c:pt idx="41">
                  <c:v>372.20138039050318</c:v>
                </c:pt>
                <c:pt idx="42">
                  <c:v>398.33873496539172</c:v>
                </c:pt>
                <c:pt idx="43">
                  <c:v>424.43896415017304</c:v>
                </c:pt>
                <c:pt idx="44">
                  <c:v>450.50466953855158</c:v>
                </c:pt>
                <c:pt idx="45">
                  <c:v>476.53812734890562</c:v>
                </c:pt>
                <c:pt idx="46">
                  <c:v>437.70462758915511</c:v>
                </c:pt>
                <c:pt idx="47">
                  <c:v>462.8401985900677</c:v>
                </c:pt>
                <c:pt idx="48">
                  <c:v>487.94666038986719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497.52544854631657</c:v>
                </c:pt>
                <c:pt idx="52">
                  <c:v>520.77212718922112</c:v>
                </c:pt>
                <c:pt idx="53">
                  <c:v>543.99693627336694</c:v>
                </c:pt>
                <c:pt idx="54">
                  <c:v>567.20093985804488</c:v>
                </c:pt>
                <c:pt idx="55">
                  <c:v>590.38510793020873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589.93070129681701</c:v>
                </c:pt>
                <c:pt idx="62">
                  <c:v>609.91778720325738</c:v>
                </c:pt>
                <c:pt idx="63">
                  <c:v>629.89128564201053</c:v>
                </c:pt>
                <c:pt idx="64">
                  <c:v>649.85168770908911</c:v>
                </c:pt>
                <c:pt idx="65">
                  <c:v>669.79945190168928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653.02602957952047</c:v>
                </c:pt>
                <c:pt idx="72">
                  <c:v>670.25266671743498</c:v>
                </c:pt>
                <c:pt idx="73">
                  <c:v>687.47020509498805</c:v>
                </c:pt>
                <c:pt idx="74">
                  <c:v>704.67890448920218</c:v>
                </c:pt>
                <c:pt idx="75">
                  <c:v>721.87901096599273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691.99965688460588</c:v>
                </c:pt>
                <c:pt idx="82">
                  <c:v>707.39527591573994</c:v>
                </c:pt>
                <c:pt idx="83">
                  <c:v>722.78404617477554</c:v>
                </c:pt>
                <c:pt idx="84">
                  <c:v>738.1661339071153</c:v>
                </c:pt>
                <c:pt idx="85">
                  <c:v>753.54169787037063</c:v>
                </c:pt>
                <c:pt idx="86">
                  <c:v>704.67890448920218</c:v>
                </c:pt>
                <c:pt idx="87">
                  <c:v>719.16376628356682</c:v>
                </c:pt>
                <c:pt idx="88">
                  <c:v>733.64267463552369</c:v>
                </c:pt>
                <c:pt idx="89">
                  <c:v>748.11576350792348</c:v>
                </c:pt>
                <c:pt idx="90">
                  <c:v>762.58316126167256</c:v>
                </c:pt>
                <c:pt idx="91">
                  <c:v>713.28001696958756</c:v>
                </c:pt>
                <c:pt idx="92">
                  <c:v>727.30887606576107</c:v>
                </c:pt>
                <c:pt idx="93">
                  <c:v>741.33221940809119</c:v>
                </c:pt>
                <c:pt idx="94">
                  <c:v>755.35016596146124</c:v>
                </c:pt>
                <c:pt idx="95">
                  <c:v>769.36282991848657</c:v>
                </c:pt>
                <c:pt idx="96">
                  <c:v>718.71120518049202</c:v>
                </c:pt>
                <c:pt idx="97">
                  <c:v>731.38073214986196</c:v>
                </c:pt>
                <c:pt idx="98">
                  <c:v>744.04578792851362</c:v>
                </c:pt>
                <c:pt idx="99">
                  <c:v>756.70645930239664</c:v>
                </c:pt>
                <c:pt idx="100">
                  <c:v>769.36282991848668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8" zoomScale="80" zoomScaleNormal="80" workbookViewId="0">
      <selection activeCell="M119" sqref="M11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2.87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0.63</v>
      </c>
      <c r="D9" s="33">
        <f t="shared" ref="D9:D18" si="0">C9*$C$5</f>
        <v>1.8081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52</v>
      </c>
      <c r="C10" s="32">
        <v>0.13</v>
      </c>
      <c r="D10" s="33">
        <f t="shared" si="0"/>
        <v>0.37310000000000004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12</v>
      </c>
      <c r="C11" s="32">
        <v>0.12</v>
      </c>
      <c r="D11" s="33">
        <f t="shared" si="0"/>
        <v>0.34439999999999998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35</v>
      </c>
      <c r="C12" s="32">
        <v>0.12</v>
      </c>
      <c r="D12" s="33">
        <f t="shared" si="0"/>
        <v>0.34439999999999998</v>
      </c>
      <c r="E12" s="34">
        <v>82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2.8699999999999997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675.5</v>
      </c>
      <c r="C44" s="60">
        <v>9</v>
      </c>
      <c r="D44" s="60">
        <v>675.5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Cormier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f>67+D62</f>
        <v>73</v>
      </c>
      <c r="C62" s="60">
        <v>1</v>
      </c>
      <c r="D62" s="60">
        <v>6</v>
      </c>
      <c r="E62" s="51">
        <v>0.2</v>
      </c>
      <c r="F62" s="51">
        <v>0.2</v>
      </c>
      <c r="G62" s="51">
        <v>0.6</v>
      </c>
      <c r="H62" s="51"/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f>75+D63</f>
        <v>103</v>
      </c>
      <c r="C63" s="60">
        <v>2</v>
      </c>
      <c r="D63" s="60">
        <v>28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f>93+D64</f>
        <v>121</v>
      </c>
      <c r="C64" s="60">
        <v>3</v>
      </c>
      <c r="D64" s="60">
        <v>28</v>
      </c>
      <c r="E64" s="51">
        <v>0.3</v>
      </c>
      <c r="F64" s="51">
        <v>0.4</v>
      </c>
      <c r="G64" s="51">
        <v>0.3</v>
      </c>
      <c r="H64" s="51"/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f>119+D65</f>
        <v>147</v>
      </c>
      <c r="C65" s="60">
        <v>4</v>
      </c>
      <c r="D65" s="60">
        <v>28</v>
      </c>
      <c r="E65" s="51"/>
      <c r="F65" s="51"/>
      <c r="G65" s="51"/>
      <c r="H65" s="51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f>147+D66</f>
        <v>175</v>
      </c>
      <c r="C66" s="60">
        <v>5</v>
      </c>
      <c r="D66" s="60">
        <v>28</v>
      </c>
      <c r="E66" s="51"/>
      <c r="F66" s="51"/>
      <c r="G66" s="51"/>
      <c r="H66" s="51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f>176+D67</f>
        <v>204</v>
      </c>
      <c r="C67" s="60">
        <v>6</v>
      </c>
      <c r="D67" s="60">
        <v>28</v>
      </c>
      <c r="E67" s="51"/>
      <c r="F67" s="51"/>
      <c r="G67" s="51"/>
      <c r="H67" s="51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f>203+D68</f>
        <v>231</v>
      </c>
      <c r="C68" s="60">
        <v>7</v>
      </c>
      <c r="D68" s="60">
        <v>28</v>
      </c>
      <c r="E68" s="51"/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254</v>
      </c>
      <c r="C69" s="50">
        <v>8</v>
      </c>
      <c r="D69" s="50">
        <v>28</v>
      </c>
      <c r="E69" s="51"/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273</v>
      </c>
      <c r="C70" s="50">
        <v>9</v>
      </c>
      <c r="D70" s="50">
        <v>28</v>
      </c>
      <c r="E70" s="51"/>
      <c r="F70" s="51"/>
      <c r="G70" s="51"/>
      <c r="H70" s="51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50">
        <v>289</v>
      </c>
      <c r="C71" s="50">
        <v>10</v>
      </c>
      <c r="D71" s="50">
        <v>28</v>
      </c>
      <c r="E71" s="51"/>
      <c r="F71" s="51"/>
      <c r="G71" s="51"/>
      <c r="H71" s="51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50">
        <v>302</v>
      </c>
      <c r="C72" s="50">
        <v>11</v>
      </c>
      <c r="D72" s="50">
        <v>28</v>
      </c>
      <c r="E72" s="51"/>
      <c r="F72" s="51"/>
      <c r="G72" s="51"/>
      <c r="H72" s="51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50">
        <v>312</v>
      </c>
      <c r="C73" s="50">
        <v>12</v>
      </c>
      <c r="D73" s="50">
        <v>28</v>
      </c>
      <c r="E73" s="51"/>
      <c r="F73" s="51"/>
      <c r="G73" s="51"/>
      <c r="H73" s="51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50">
        <v>320</v>
      </c>
      <c r="C74" s="50">
        <v>13</v>
      </c>
      <c r="D74" s="50">
        <v>28</v>
      </c>
      <c r="E74" s="51"/>
      <c r="F74" s="51"/>
      <c r="G74" s="51"/>
      <c r="H74" s="51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85</v>
      </c>
      <c r="B75" s="50">
        <v>326</v>
      </c>
      <c r="C75" s="50">
        <v>14</v>
      </c>
      <c r="D75" s="50">
        <v>28</v>
      </c>
      <c r="E75" s="51"/>
      <c r="F75" s="51"/>
      <c r="G75" s="51"/>
      <c r="H75" s="51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90</v>
      </c>
      <c r="B76" s="50">
        <v>330</v>
      </c>
      <c r="C76" s="50">
        <v>15</v>
      </c>
      <c r="D76" s="50">
        <v>28</v>
      </c>
      <c r="E76" s="51"/>
      <c r="F76" s="51"/>
      <c r="G76" s="51"/>
      <c r="H76" s="51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95</v>
      </c>
      <c r="B77" s="50">
        <v>333</v>
      </c>
      <c r="C77" s="50">
        <v>16</v>
      </c>
      <c r="D77" s="50">
        <v>28</v>
      </c>
      <c r="E77" s="51"/>
      <c r="F77" s="51"/>
      <c r="G77" s="51"/>
      <c r="H77" s="51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333</v>
      </c>
      <c r="C78" s="50">
        <v>17</v>
      </c>
      <c r="D78" s="50">
        <v>333</v>
      </c>
      <c r="E78" s="51"/>
      <c r="F78" s="51"/>
      <c r="G78" s="51"/>
      <c r="H78" s="51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f>67+D88</f>
        <v>73</v>
      </c>
      <c r="C88" s="60">
        <v>1</v>
      </c>
      <c r="D88" s="60">
        <v>6</v>
      </c>
      <c r="E88" s="51">
        <v>0.2</v>
      </c>
      <c r="F88" s="51">
        <v>0.2</v>
      </c>
      <c r="G88" s="51">
        <v>0.6</v>
      </c>
      <c r="H88" s="87"/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f>75+D89</f>
        <v>103</v>
      </c>
      <c r="C89" s="60">
        <v>2</v>
      </c>
      <c r="D89" s="60">
        <v>28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f>93+D90</f>
        <v>121</v>
      </c>
      <c r="C90" s="60">
        <v>3</v>
      </c>
      <c r="D90" s="60">
        <v>28</v>
      </c>
      <c r="E90" s="87">
        <v>0.3</v>
      </c>
      <c r="F90" s="87">
        <v>0.4</v>
      </c>
      <c r="G90" s="87">
        <v>0.3</v>
      </c>
      <c r="H90" s="87"/>
      <c r="I90" s="53">
        <f t="shared" si="3"/>
        <v>9.1999999999999993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f>119+D91</f>
        <v>147</v>
      </c>
      <c r="C91" s="60">
        <v>4</v>
      </c>
      <c r="D91" s="60">
        <v>28</v>
      </c>
      <c r="E91" s="87"/>
      <c r="F91" s="87"/>
      <c r="G91" s="87"/>
      <c r="H91" s="87"/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f>147+D92</f>
        <v>175</v>
      </c>
      <c r="C92" s="60">
        <v>5</v>
      </c>
      <c r="D92" s="60">
        <v>28</v>
      </c>
      <c r="E92" s="87"/>
      <c r="F92" s="87"/>
      <c r="G92" s="87"/>
      <c r="H92" s="87"/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f>176+D93</f>
        <v>204</v>
      </c>
      <c r="C93" s="60">
        <v>6</v>
      </c>
      <c r="D93" s="60">
        <v>28</v>
      </c>
      <c r="E93" s="87"/>
      <c r="F93" s="87"/>
      <c r="G93" s="87"/>
      <c r="H93" s="87"/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f>203+D94</f>
        <v>231</v>
      </c>
      <c r="C94" s="60">
        <v>7</v>
      </c>
      <c r="D94" s="60">
        <v>28</v>
      </c>
      <c r="E94" s="87"/>
      <c r="F94" s="87"/>
      <c r="G94" s="87"/>
      <c r="H94" s="87"/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254</v>
      </c>
      <c r="C95" s="60">
        <v>8</v>
      </c>
      <c r="D95" s="60">
        <v>28</v>
      </c>
      <c r="E95" s="87"/>
      <c r="F95" s="87"/>
      <c r="G95" s="87"/>
      <c r="H95" s="87"/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273</v>
      </c>
      <c r="C96" s="60">
        <v>9</v>
      </c>
      <c r="D96" s="60">
        <v>28</v>
      </c>
      <c r="E96" s="87"/>
      <c r="F96" s="87"/>
      <c r="G96" s="87"/>
      <c r="H96" s="87"/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289</v>
      </c>
      <c r="C97" s="60">
        <v>10</v>
      </c>
      <c r="D97" s="60">
        <v>28</v>
      </c>
      <c r="E97" s="87"/>
      <c r="F97" s="87"/>
      <c r="G97" s="87"/>
      <c r="H97" s="87"/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302</v>
      </c>
      <c r="C98" s="60">
        <v>11</v>
      </c>
      <c r="D98" s="60">
        <v>28</v>
      </c>
      <c r="E98" s="87"/>
      <c r="F98" s="87"/>
      <c r="G98" s="87"/>
      <c r="H98" s="87"/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312</v>
      </c>
      <c r="C99" s="60">
        <v>12</v>
      </c>
      <c r="D99" s="60">
        <v>28</v>
      </c>
      <c r="E99" s="87"/>
      <c r="F99" s="87"/>
      <c r="G99" s="87"/>
      <c r="H99" s="87"/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320</v>
      </c>
      <c r="C100" s="60">
        <v>13</v>
      </c>
      <c r="D100" s="60">
        <v>28</v>
      </c>
      <c r="E100" s="65"/>
      <c r="F100" s="65"/>
      <c r="G100" s="65"/>
      <c r="H100" s="65"/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v>326</v>
      </c>
      <c r="C101" s="60">
        <v>14</v>
      </c>
      <c r="D101" s="60">
        <v>28</v>
      </c>
      <c r="E101" s="65"/>
      <c r="F101" s="65"/>
      <c r="G101" s="65"/>
      <c r="H101" s="65"/>
      <c r="I101" s="53">
        <f t="shared" si="3"/>
        <v>6.8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90</v>
      </c>
      <c r="B102" s="50">
        <v>330</v>
      </c>
      <c r="C102" s="60">
        <v>15</v>
      </c>
      <c r="D102" s="50">
        <v>28</v>
      </c>
      <c r="E102" s="54"/>
      <c r="F102" s="54"/>
      <c r="G102" s="54"/>
      <c r="H102" s="54"/>
      <c r="I102" s="53">
        <f t="shared" si="3"/>
        <v>6.4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95</v>
      </c>
      <c r="B103" s="50">
        <v>333</v>
      </c>
      <c r="C103" s="60">
        <v>16</v>
      </c>
      <c r="D103" s="50">
        <v>28</v>
      </c>
      <c r="E103" s="54"/>
      <c r="F103" s="54"/>
      <c r="G103" s="54"/>
      <c r="H103" s="54"/>
      <c r="I103" s="53">
        <f t="shared" si="3"/>
        <v>6.2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100</v>
      </c>
      <c r="B104" s="50">
        <v>333</v>
      </c>
      <c r="C104" s="60">
        <v>17</v>
      </c>
      <c r="D104" s="50">
        <v>333</v>
      </c>
      <c r="E104" s="54"/>
      <c r="F104" s="54"/>
      <c r="G104" s="54"/>
      <c r="H104" s="54"/>
      <c r="I104" s="53">
        <f t="shared" si="3"/>
        <v>5.6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22</v>
      </c>
      <c r="B114" s="60">
        <f>107+D114</f>
        <v>123</v>
      </c>
      <c r="C114" s="50">
        <v>1</v>
      </c>
      <c r="D114" s="60">
        <v>16</v>
      </c>
      <c r="E114" s="51">
        <v>0.2</v>
      </c>
      <c r="F114" s="51">
        <v>0.2</v>
      </c>
      <c r="G114" s="51">
        <v>0.6</v>
      </c>
      <c r="H114" s="51"/>
      <c r="I114" s="53">
        <f>IFERROR(B114/A114,"")</f>
        <v>5.5909090909090908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f>127+D115</f>
        <v>144</v>
      </c>
      <c r="C115" s="50">
        <v>2</v>
      </c>
      <c r="D115" s="60">
        <v>17</v>
      </c>
      <c r="E115" s="51">
        <v>0.3</v>
      </c>
      <c r="F115" s="51">
        <v>0.4</v>
      </c>
      <c r="G115" s="51">
        <v>0.3</v>
      </c>
      <c r="H115" s="51"/>
      <c r="I115" s="53">
        <f t="shared" ref="I115:I133" si="4">IF(A115&lt;&gt;0,(B115-(B114-D114))/(A115-A114),"")</f>
        <v>12.333333333333334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f>160+D116</f>
        <v>194</v>
      </c>
      <c r="C116" s="50">
        <v>3</v>
      </c>
      <c r="D116" s="60">
        <v>34</v>
      </c>
      <c r="E116" s="51">
        <v>0.4</v>
      </c>
      <c r="F116" s="51">
        <v>0.3</v>
      </c>
      <c r="G116" s="51">
        <v>0.3</v>
      </c>
      <c r="H116" s="51"/>
      <c r="I116" s="53">
        <f t="shared" si="4"/>
        <v>13.4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f>192+D117</f>
        <v>233</v>
      </c>
      <c r="C117" s="50">
        <v>4</v>
      </c>
      <c r="D117" s="60">
        <v>41</v>
      </c>
      <c r="E117" s="51"/>
      <c r="F117" s="51"/>
      <c r="G117" s="51"/>
      <c r="H117" s="51"/>
      <c r="I117" s="53">
        <f t="shared" si="4"/>
        <v>14.6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f>223+D118</f>
        <v>264</v>
      </c>
      <c r="C118" s="50">
        <v>5</v>
      </c>
      <c r="D118" s="60">
        <v>41</v>
      </c>
      <c r="E118" s="51"/>
      <c r="F118" s="51"/>
      <c r="G118" s="51"/>
      <c r="H118" s="51"/>
      <c r="I118" s="53">
        <f t="shared" si="4"/>
        <v>14.4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f>265+D119</f>
        <v>318</v>
      </c>
      <c r="C119" s="50">
        <v>6</v>
      </c>
      <c r="D119" s="60">
        <v>53</v>
      </c>
      <c r="E119" s="51"/>
      <c r="F119" s="51"/>
      <c r="G119" s="51"/>
      <c r="H119" s="51"/>
      <c r="I119" s="53">
        <f t="shared" si="4"/>
        <v>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f>299+D120</f>
        <v>352</v>
      </c>
      <c r="C120" s="60">
        <v>7</v>
      </c>
      <c r="D120" s="60">
        <v>53</v>
      </c>
      <c r="E120" s="87"/>
      <c r="F120" s="87"/>
      <c r="G120" s="87"/>
      <c r="H120" s="87"/>
      <c r="I120" s="53">
        <f t="shared" si="4"/>
        <v>17.399999999999999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58</v>
      </c>
      <c r="B121" s="60">
        <f>362+D121</f>
        <v>440</v>
      </c>
      <c r="C121" s="60">
        <v>8</v>
      </c>
      <c r="D121" s="60">
        <v>78</v>
      </c>
      <c r="E121" s="87"/>
      <c r="F121" s="87"/>
      <c r="G121" s="87"/>
      <c r="H121" s="87"/>
      <c r="I121" s="53">
        <f t="shared" si="4"/>
        <v>17.625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66</v>
      </c>
      <c r="B122" s="60">
        <f>430+D122</f>
        <v>495</v>
      </c>
      <c r="C122" s="60">
        <v>9</v>
      </c>
      <c r="D122" s="60">
        <v>65</v>
      </c>
      <c r="E122" s="87"/>
      <c r="F122" s="87"/>
      <c r="G122" s="87"/>
      <c r="H122" s="87"/>
      <c r="I122" s="53">
        <f t="shared" si="4"/>
        <v>16.625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74</v>
      </c>
      <c r="B123" s="60">
        <f>496+D123</f>
        <v>533</v>
      </c>
      <c r="C123" s="60">
        <v>10</v>
      </c>
      <c r="D123" s="60">
        <v>37</v>
      </c>
      <c r="E123" s="87"/>
      <c r="F123" s="87"/>
      <c r="G123" s="87"/>
      <c r="H123" s="87"/>
      <c r="I123" s="53">
        <f t="shared" si="4"/>
        <v>12.875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82</v>
      </c>
      <c r="B124" s="60">
        <f>541+26</f>
        <v>567</v>
      </c>
      <c r="C124" s="60">
        <v>11</v>
      </c>
      <c r="D124" s="60">
        <v>567</v>
      </c>
      <c r="E124" s="87"/>
      <c r="F124" s="87"/>
      <c r="G124" s="87"/>
      <c r="H124" s="87"/>
      <c r="I124" s="53">
        <f t="shared" si="4"/>
        <v>8.875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4" sqref="C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Cormier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319.22903094674564</v>
      </c>
      <c r="T3" s="59">
        <f>IF('Données projet'!E9&gt;30,$R$33-$H$33,LOOKUP('Données projet'!$E$9,$A$3:$A$203,R3:R203)-LOOKUP('Données projet'!$E$9,$A$3:$A$203,$H$3:$H$203))</f>
        <v>254.58690973142848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475.01366239340246</v>
      </c>
      <c r="AO3" s="59">
        <f>IF('Données projet'!E10&gt;30,$AM$33-$H$33,LOOKUP('Données projet'!$E$10,$A$3:$A$203,AM3:AM203)-LOOKUP('Données projet'!$E$10,$A$3:$A$203,$H$3:$H$203))</f>
        <v>322.81767004794284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449.84356201138451</v>
      </c>
      <c r="BJ3" s="59">
        <f>IF('Données projet'!E11&gt;30,$BH$33-$H$33,LOOKUP('Données projet'!$E$11,$A$3:$A$203,BH3:BH203)-LOOKUP('Données projet'!$E$11,$A$3:$A$203,$H$3:$H$203))</f>
        <v>306.61893266146666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370.12772664814923</v>
      </c>
      <c r="CE3" s="59">
        <f>IF('Données projet'!E12&gt;30,$CC$33-$H$33,LOOKUP('Données projet'!$E$12,$A$3:$A$203,CC3:CC203)-LOOKUP('Données projet'!$E$12,$A$3:$A$203,$H$3:$H$203))</f>
        <v>292.26503163353146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259.45197446629572</v>
      </c>
      <c r="S4" s="59">
        <f ca="1">AVERAGE(OFFSET($R$3,0,0,'Données projet'!$E$9+1,1))-AVERAGE(OFFSET($H$3,0,0,'Données projet'!$E$9+1,1))</f>
        <v>319.22903094674564</v>
      </c>
      <c r="T4" s="59">
        <f>$T$3</f>
        <v>254.58690973142848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1.3339508622607719</v>
      </c>
      <c r="AK4" s="13">
        <f>EXP(-1.0587+0.8836*LN(AJ4)+0.284)</f>
        <v>0.59446408362489378</v>
      </c>
      <c r="AL4" s="20">
        <f t="shared" ref="AL4:AL67" si="4">(AJ4+AK4)*0.475*44/12</f>
        <v>3.3586560307508679</v>
      </c>
      <c r="AM4" s="59">
        <f t="shared" ref="AM4:AM67" si="5">AL4+(AD4+AE4)*44/12</f>
        <v>261.24754491963972</v>
      </c>
      <c r="AN4" s="59">
        <f ca="1">AVERAGE(OFFSET($AM$3,0,0,'Données projet'!$E$10+1,1))-AVERAGE(OFFSET($H$3,0,0,'Données projet'!$E$10+1,1))</f>
        <v>475.01366239340246</v>
      </c>
      <c r="AO4" s="59">
        <f>$AO$3</f>
        <v>322.81767004794284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1.2566203774920315</v>
      </c>
      <c r="BF4" s="13">
        <f>EXP(-1.0587+0.8836*LN(BE4)+0.284)</f>
        <v>0.56390871417545174</v>
      </c>
      <c r="BG4" s="20">
        <f t="shared" ref="BG4:BG67" si="7">(BE4+BF4)*0.475*44/12</f>
        <v>3.1707548346542</v>
      </c>
      <c r="BH4" s="59">
        <f t="shared" ref="BH4:BH67" si="8">BG4+(AY4+AZ4)*44/12</f>
        <v>261.05964372354305</v>
      </c>
      <c r="BI4" s="59">
        <f ca="1">AVERAGE(OFFSET($BH$3,0,0,'Données projet'!$E$11+1,1))-AVERAGE(OFFSET($H$3,0,0,'Données projet'!$E$11+1,1))</f>
        <v>449.84356201138451</v>
      </c>
      <c r="BJ4" s="59">
        <f>$BJ$3</f>
        <v>306.61893266146666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5.5909090909090908</v>
      </c>
      <c r="BY4" s="12">
        <f>IF('Données projet'!$A$114&gt;35,BY3+BX4-CG3,IF(A4&lt;'Données projet'!$A$114,$BV$205^A4,IF(A4='Données projet'!$A$114,'Données projet'!$B$114,BY3+BX4-CG3)))</f>
        <v>1.244502252163008</v>
      </c>
      <c r="BZ4" s="13">
        <f>BY4*VLOOKUP('Données projet'!$B$12,Paramètres!$A$1:$I$89,3,0)*VLOOKUP('Données projet'!$B$12,Paramètres!$A$1:$I$89,5,0)</f>
        <v>0.74421234679347892</v>
      </c>
      <c r="CA4" s="13">
        <f>EXP(-1.0587+0.8836*LN(BZ4)+0.284)</f>
        <v>0.3549632728022305</v>
      </c>
      <c r="CB4" s="20">
        <f t="shared" ref="CB4:CB67" si="10">(BZ4+CA4)*0.475*44/12</f>
        <v>1.9143975374625271</v>
      </c>
      <c r="CC4" s="59">
        <f t="shared" ref="CC4:CC67" si="11">CB4+(BT4+BU4)*44/12</f>
        <v>259.80328642635141</v>
      </c>
      <c r="CD4" s="59">
        <f ca="1">AVERAGE(OFFSET($CC$3,0,0,'Données projet'!$E$12+1,1))-AVERAGE(OFFSET($H$3,0,0,'Données projet'!$E$12+1,1))</f>
        <v>370.12772664814923</v>
      </c>
      <c r="CE4" s="59">
        <f>$CE$3</f>
        <v>292.26503163353146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261.10525168652157</v>
      </c>
      <c r="S5" s="59">
        <f ca="1">AVERAGE(OFFSET($R$3,0,0,'Données projet'!$E$9+1,1))-AVERAGE(OFFSET($H$3,0,0,'Données projet'!$E$9+1,1))</f>
        <v>319.22903094674564</v>
      </c>
      <c r="T5" s="59">
        <f t="shared" ref="T5:T68" si="34">$T$3</f>
        <v>254.58690973142848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1.6531260710946272</v>
      </c>
      <c r="AK5" s="13">
        <f t="shared" ref="AK5:AK68" si="35">EXP(-1.0587+0.8836*LN(AJ5)+0.284)</f>
        <v>0.7185338367382873</v>
      </c>
      <c r="AL5" s="20">
        <f t="shared" si="4"/>
        <v>4.1306410061423255</v>
      </c>
      <c r="AM5" s="59">
        <f t="shared" si="5"/>
        <v>263.24175211725344</v>
      </c>
      <c r="AN5" s="59">
        <f ca="1">AVERAGE(OFFSET($AM$3,0,0,'Données projet'!$E$10+1,1))-AVERAGE(OFFSET($H$3,0,0,'Données projet'!$E$10+1,1))</f>
        <v>475.01366239340246</v>
      </c>
      <c r="AO5" s="59">
        <f t="shared" ref="AO5:AO68" si="36">$AO$3</f>
        <v>322.81767004794284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1.5572926756688519</v>
      </c>
      <c r="BF5" s="13">
        <f t="shared" ref="BF5:BF68" si="37">EXP(-1.0587+0.8836*LN(BE5)+0.284)</f>
        <v>0.68160129960402205</v>
      </c>
      <c r="BG5" s="20">
        <f t="shared" si="7"/>
        <v>3.8994070069335893</v>
      </c>
      <c r="BH5" s="59">
        <f t="shared" si="8"/>
        <v>263.01051811804473</v>
      </c>
      <c r="BI5" s="59">
        <f ca="1">AVERAGE(OFFSET($BH$3,0,0,'Données projet'!$E$11+1,1))-AVERAGE(OFFSET($H$3,0,0,'Données projet'!$E$11+1,1))</f>
        <v>449.84356201138451</v>
      </c>
      <c r="BJ5" s="59">
        <f t="shared" ref="BJ5:BJ68" si="38">$BJ$3</f>
        <v>306.61893266146666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5.5909090909090908</v>
      </c>
      <c r="BY5" s="12">
        <f>IF('Données projet'!$A$114&gt;35,BY4+BX5-CG4,IF(A5&lt;'Données projet'!$A$114,$BV$205^A5,IF(A5='Données projet'!$A$114,'Données projet'!$B$114,BY4+BX5-CG4)))</f>
        <v>1.5487858556387992</v>
      </c>
      <c r="BZ5" s="13">
        <f>BY5*VLOOKUP('Données projet'!$B$12,Paramètres!$A$1:$I$89,3,0)*VLOOKUP('Données projet'!$B$12,Paramètres!$A$1:$I$89,5,0)</f>
        <v>0.92617394167200195</v>
      </c>
      <c r="CA5" s="13">
        <f t="shared" ref="CA5:CA68" si="39">EXP(-1.0587+0.8836*LN(BZ5)+0.284)</f>
        <v>0.43064718121421069</v>
      </c>
      <c r="CB5" s="20">
        <f t="shared" si="10"/>
        <v>2.3631301223601535</v>
      </c>
      <c r="CC5" s="59">
        <f t="shared" si="11"/>
        <v>261.47424123347128</v>
      </c>
      <c r="CD5" s="59">
        <f ca="1">AVERAGE(OFFSET($CC$3,0,0,'Données projet'!$E$12+1,1))-AVERAGE(OFFSET($H$3,0,0,'Données projet'!$E$12+1,1))</f>
        <v>370.12772664814923</v>
      </c>
      <c r="CE5" s="59">
        <f t="shared" ref="CE5:CE68" si="40">$CE$3</f>
        <v>292.26503163353146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262.8778838402435</v>
      </c>
      <c r="S6" s="59">
        <f ca="1">AVERAGE(OFFSET($R$3,0,0,'Données projet'!$E$9+1,1))-AVERAGE(OFFSET($H$3,0,0,'Données projet'!$E$9+1,1))</f>
        <v>319.22903094674564</v>
      </c>
      <c r="T6" s="59">
        <f t="shared" si="34"/>
        <v>254.58690973142848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2.0486705202177999</v>
      </c>
      <c r="AK6" s="13">
        <f t="shared" si="35"/>
        <v>0.86849801150244532</v>
      </c>
      <c r="AL6" s="20">
        <f t="shared" si="4"/>
        <v>5.0807351927460944</v>
      </c>
      <c r="AM6" s="59">
        <f t="shared" si="5"/>
        <v>265.4140685260794</v>
      </c>
      <c r="AN6" s="59">
        <f ca="1">AVERAGE(OFFSET($AM$3,0,0,'Données projet'!$E$10+1,1))-AVERAGE(OFFSET($H$3,0,0,'Données projet'!$E$10+1,1))</f>
        <v>475.01366239340246</v>
      </c>
      <c r="AO6" s="59">
        <f t="shared" si="36"/>
        <v>322.81767004794284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1.9299070117993768</v>
      </c>
      <c r="BF6" s="13">
        <f t="shared" si="37"/>
        <v>0.82385733708903885</v>
      </c>
      <c r="BG6" s="20">
        <f t="shared" si="7"/>
        <v>4.7961395743139903</v>
      </c>
      <c r="BH6" s="59">
        <f t="shared" si="8"/>
        <v>265.12947290764731</v>
      </c>
      <c r="BI6" s="59">
        <f ca="1">AVERAGE(OFFSET($BH$3,0,0,'Données projet'!$E$11+1,1))-AVERAGE(OFFSET($H$3,0,0,'Données projet'!$E$11+1,1))</f>
        <v>449.84356201138451</v>
      </c>
      <c r="BJ6" s="59">
        <f t="shared" si="38"/>
        <v>306.61893266146666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5.5909090909090908</v>
      </c>
      <c r="BY6" s="12">
        <f>IF('Données projet'!$A$114&gt;35,BY5+BX6-CG5,IF(A6&lt;'Données projet'!$A$114,$BV$205^A6,IF(A6='Données projet'!$A$114,'Données projet'!$B$114,BY5+BX6-CG5)))</f>
        <v>1.927467485460697</v>
      </c>
      <c r="BZ6" s="13">
        <f>BY6*VLOOKUP('Données projet'!$B$12,Paramètres!$A$1:$I$89,3,0)*VLOOKUP('Données projet'!$B$12,Paramètres!$A$1:$I$89,5,0)</f>
        <v>1.152625556305497</v>
      </c>
      <c r="CA6" s="13">
        <f t="shared" si="39"/>
        <v>0.52246812247269758</v>
      </c>
      <c r="CB6" s="20">
        <f t="shared" si="10"/>
        <v>2.9174548238720219</v>
      </c>
      <c r="CC6" s="59">
        <f t="shared" si="11"/>
        <v>263.25078815720536</v>
      </c>
      <c r="CD6" s="59">
        <f ca="1">AVERAGE(OFFSET($CC$3,0,0,'Données projet'!$E$12+1,1))-AVERAGE(OFFSET($H$3,0,0,'Données projet'!$E$12+1,1))</f>
        <v>370.12772664814923</v>
      </c>
      <c r="CE6" s="59">
        <f t="shared" si="40"/>
        <v>292.26503163353146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264.80304536680109</v>
      </c>
      <c r="S7" s="59">
        <f ca="1">AVERAGE(OFFSET($R$3,0,0,'Données projet'!$E$9+1,1))-AVERAGE(OFFSET($H$3,0,0,'Données projet'!$E$9+1,1))</f>
        <v>319.22903094674564</v>
      </c>
      <c r="T7" s="59">
        <f t="shared" si="34"/>
        <v>254.58690973142848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2.5388571227543277</v>
      </c>
      <c r="AK7" s="13">
        <f t="shared" si="35"/>
        <v>1.0497609958185417</v>
      </c>
      <c r="AL7" s="20">
        <f t="shared" si="4"/>
        <v>6.2501765565144138</v>
      </c>
      <c r="AM7" s="59">
        <f t="shared" si="5"/>
        <v>267.80573211206996</v>
      </c>
      <c r="AN7" s="59">
        <f ca="1">AVERAGE(OFFSET($AM$3,0,0,'Données projet'!$E$10+1,1))-AVERAGE(OFFSET($H$3,0,0,'Données projet'!$E$10+1,1))</f>
        <v>475.01366239340246</v>
      </c>
      <c r="AO7" s="59">
        <f t="shared" si="36"/>
        <v>322.81767004794284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2.3916769996961063</v>
      </c>
      <c r="BF7" s="13">
        <f t="shared" si="37"/>
        <v>0.9958034297612971</v>
      </c>
      <c r="BG7" s="20">
        <f t="shared" si="7"/>
        <v>5.8998617479716442</v>
      </c>
      <c r="BH7" s="59">
        <f t="shared" si="8"/>
        <v>267.45541730352721</v>
      </c>
      <c r="BI7" s="59">
        <f ca="1">AVERAGE(OFFSET($BH$3,0,0,'Données projet'!$E$11+1,1))-AVERAGE(OFFSET($H$3,0,0,'Données projet'!$E$11+1,1))</f>
        <v>449.84356201138451</v>
      </c>
      <c r="BJ7" s="59">
        <f t="shared" si="38"/>
        <v>306.61893266146666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5.5909090909090908</v>
      </c>
      <c r="BY7" s="12">
        <f>IF('Données projet'!$A$114&gt;35,BY6+BX7-CG6,IF(A7&lt;'Données projet'!$A$114,$BV$205^A7,IF(A7='Données projet'!$A$114,'Données projet'!$B$114,BY6+BX7-CG6)))</f>
        <v>2.3987376266268075</v>
      </c>
      <c r="BZ7" s="13">
        <f>BY7*VLOOKUP('Données projet'!$B$12,Paramètres!$A$1:$I$89,3,0)*VLOOKUP('Données projet'!$B$12,Paramètres!$A$1:$I$89,5,0)</f>
        <v>1.4344451007228309</v>
      </c>
      <c r="CA7" s="13">
        <f t="shared" si="39"/>
        <v>0.63386677286612625</v>
      </c>
      <c r="CB7" s="20">
        <f t="shared" si="10"/>
        <v>3.6023098465007668</v>
      </c>
      <c r="CC7" s="59">
        <f t="shared" si="11"/>
        <v>265.1578654020563</v>
      </c>
      <c r="CD7" s="59">
        <f ca="1">AVERAGE(OFFSET($CC$3,0,0,'Données projet'!$E$12+1,1))-AVERAGE(OFFSET($H$3,0,0,'Données projet'!$E$12+1,1))</f>
        <v>370.12772664814923</v>
      </c>
      <c r="CE7" s="59">
        <f t="shared" si="40"/>
        <v>292.26503163353146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266.92316437994907</v>
      </c>
      <c r="S8" s="59">
        <f ca="1">AVERAGE(OFFSET($R$3,0,0,'Données projet'!$E$9+1,1))-AVERAGE(OFFSET($H$3,0,0,'Données projet'!$E$9+1,1))</f>
        <v>319.22903094674564</v>
      </c>
      <c r="T8" s="59">
        <f t="shared" si="34"/>
        <v>254.58690973142848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3.1463309625186153</v>
      </c>
      <c r="AK8" s="13">
        <f t="shared" si="35"/>
        <v>1.2688551196974542</v>
      </c>
      <c r="AL8" s="20">
        <f t="shared" si="4"/>
        <v>7.6897824265263219</v>
      </c>
      <c r="AM8" s="59">
        <f t="shared" si="5"/>
        <v>270.46756020430411</v>
      </c>
      <c r="AN8" s="59">
        <f ca="1">AVERAGE(OFFSET($AM$3,0,0,'Données projet'!$E$10+1,1))-AVERAGE(OFFSET($H$3,0,0,'Données projet'!$E$10+1,1))</f>
        <v>475.01366239340246</v>
      </c>
      <c r="AO8" s="59">
        <f t="shared" si="36"/>
        <v>322.81767004794284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2.9639349646914495</v>
      </c>
      <c r="BF8" s="13">
        <f t="shared" si="37"/>
        <v>1.2036361467970902</v>
      </c>
      <c r="BG8" s="20">
        <f t="shared" si="7"/>
        <v>7.2585196858425398</v>
      </c>
      <c r="BH8" s="59">
        <f t="shared" si="8"/>
        <v>270.03629746362031</v>
      </c>
      <c r="BI8" s="59">
        <f ca="1">AVERAGE(OFFSET($BH$3,0,0,'Données projet'!$E$11+1,1))-AVERAGE(OFFSET($H$3,0,0,'Données projet'!$E$11+1,1))</f>
        <v>449.84356201138451</v>
      </c>
      <c r="BJ8" s="59">
        <f t="shared" si="38"/>
        <v>306.61893266146666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5.5909090909090908</v>
      </c>
      <c r="BY8" s="12">
        <f>IF('Données projet'!$A$114&gt;35,BY7+BX8-CG7,IF(A8&lt;'Données projet'!$A$114,$BV$205^A8,IF(A8='Données projet'!$A$114,'Données projet'!$B$114,BY7+BX8-CG7)))</f>
        <v>2.9852343786852105</v>
      </c>
      <c r="BZ8" s="13">
        <f>BY8*VLOOKUP('Données projet'!$B$12,Paramètres!$A$1:$I$89,3,0)*VLOOKUP('Données projet'!$B$12,Paramètres!$A$1:$I$89,5,0)</f>
        <v>1.785170158453756</v>
      </c>
      <c r="CA8" s="13">
        <f t="shared" si="39"/>
        <v>0.7690174164926461</v>
      </c>
      <c r="CB8" s="20">
        <f t="shared" si="10"/>
        <v>4.4485433596983173</v>
      </c>
      <c r="CC8" s="59">
        <f t="shared" si="11"/>
        <v>267.22632113747608</v>
      </c>
      <c r="CD8" s="59">
        <f ca="1">AVERAGE(OFFSET($CC$3,0,0,'Données projet'!$E$12+1,1))-AVERAGE(OFFSET($H$3,0,0,'Données projet'!$E$12+1,1))</f>
        <v>370.12772664814923</v>
      </c>
      <c r="CE8" s="59">
        <f t="shared" si="40"/>
        <v>292.26503163353146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269.29251243621979</v>
      </c>
      <c r="S9" s="59">
        <f ca="1">AVERAGE(OFFSET($R$3,0,0,'Données projet'!$E$9+1,1))-AVERAGE(OFFSET($H$3,0,0,'Données projet'!$E$9+1,1))</f>
        <v>319.22903094674564</v>
      </c>
      <c r="T9" s="59">
        <f t="shared" si="34"/>
        <v>254.58690973142848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3.8991554258727907</v>
      </c>
      <c r="AK9" s="13">
        <f t="shared" si="35"/>
        <v>1.5336760664526912</v>
      </c>
      <c r="AL9" s="20">
        <f t="shared" si="4"/>
        <v>9.4621815158002143</v>
      </c>
      <c r="AM9" s="59">
        <f t="shared" si="5"/>
        <v>273.46218151580024</v>
      </c>
      <c r="AN9" s="59">
        <f ca="1">AVERAGE(OFFSET($AM$3,0,0,'Données projet'!$E$10+1,1))-AVERAGE(OFFSET($H$3,0,0,'Données projet'!$E$10+1,1))</f>
        <v>475.01366239340246</v>
      </c>
      <c r="AO9" s="59">
        <f t="shared" si="36"/>
        <v>322.81767004794284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3.6731174301700205</v>
      </c>
      <c r="BF9" s="13">
        <f t="shared" si="37"/>
        <v>1.4548453345092642</v>
      </c>
      <c r="BG9" s="20">
        <f t="shared" si="7"/>
        <v>8.9312018151497536</v>
      </c>
      <c r="BH9" s="59">
        <f t="shared" si="8"/>
        <v>272.93120181514973</v>
      </c>
      <c r="BI9" s="59">
        <f ca="1">AVERAGE(OFFSET($BH$3,0,0,'Données projet'!$E$11+1,1))-AVERAGE(OFFSET($H$3,0,0,'Données projet'!$E$11+1,1))</f>
        <v>449.84356201138451</v>
      </c>
      <c r="BJ9" s="59">
        <f t="shared" si="38"/>
        <v>306.61893266146666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5.5909090909090908</v>
      </c>
      <c r="BY9" s="12">
        <f>IF('Données projet'!$A$114&gt;35,BY8+BX9-CG8,IF(A9&lt;'Données projet'!$A$114,$BV$205^A9,IF(A9='Données projet'!$A$114,'Données projet'!$B$114,BY8+BX9-CG8)))</f>
        <v>3.7151309075081826</v>
      </c>
      <c r="BZ9" s="13">
        <f>BY9*VLOOKUP('Données projet'!$B$12,Paramètres!$A$1:$I$89,3,0)*VLOOKUP('Données projet'!$B$12,Paramètres!$A$1:$I$89,5,0)</f>
        <v>2.2216482826898933</v>
      </c>
      <c r="CA9" s="13">
        <f t="shared" si="39"/>
        <v>0.93298436230530435</v>
      </c>
      <c r="CB9" s="20">
        <f t="shared" si="10"/>
        <v>5.4943185233666361</v>
      </c>
      <c r="CC9" s="59">
        <f t="shared" si="11"/>
        <v>269.49431852336664</v>
      </c>
      <c r="CD9" s="59">
        <f ca="1">AVERAGE(OFFSET($CC$3,0,0,'Données projet'!$E$12+1,1))-AVERAGE(OFFSET($H$3,0,0,'Données projet'!$E$12+1,1))</f>
        <v>370.12772664814923</v>
      </c>
      <c r="CE9" s="59">
        <f t="shared" si="40"/>
        <v>292.26503163353146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271.98052129859713</v>
      </c>
      <c r="S10" s="59">
        <f ca="1">AVERAGE(OFFSET($R$3,0,0,'Données projet'!$E$9+1,1))-AVERAGE(OFFSET($H$3,0,0,'Données projet'!$E$9+1,1))</f>
        <v>319.22903094674564</v>
      </c>
      <c r="T10" s="59">
        <f t="shared" si="34"/>
        <v>254.58690973142848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4.8321086421699899</v>
      </c>
      <c r="AK10" s="13">
        <f t="shared" si="35"/>
        <v>1.8537674162284574</v>
      </c>
      <c r="AL10" s="20">
        <f t="shared" si="4"/>
        <v>11.644567468377296</v>
      </c>
      <c r="AM10" s="59">
        <f t="shared" si="5"/>
        <v>276.86678969059955</v>
      </c>
      <c r="AN10" s="59">
        <f ca="1">AVERAGE(OFFSET($AM$3,0,0,'Données projet'!$E$10+1,1))-AVERAGE(OFFSET($H$3,0,0,'Données projet'!$E$10+1,1))</f>
        <v>475.01366239340246</v>
      </c>
      <c r="AO10" s="59">
        <f t="shared" si="36"/>
        <v>322.81767004794284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4.5519864020441929</v>
      </c>
      <c r="BF10" s="13">
        <f t="shared" si="37"/>
        <v>1.7584840343783612</v>
      </c>
      <c r="BG10" s="20">
        <f t="shared" si="7"/>
        <v>10.990736010102614</v>
      </c>
      <c r="BH10" s="59">
        <f t="shared" si="8"/>
        <v>276.21295823232487</v>
      </c>
      <c r="BI10" s="59">
        <f ca="1">AVERAGE(OFFSET($BH$3,0,0,'Données projet'!$E$11+1,1))-AVERAGE(OFFSET($H$3,0,0,'Données projet'!$E$11+1,1))</f>
        <v>449.84356201138451</v>
      </c>
      <c r="BJ10" s="59">
        <f t="shared" si="38"/>
        <v>306.61893266146666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5.5909090909090908</v>
      </c>
      <c r="BY10" s="12">
        <f>IF('Données projet'!$A$114&gt;35,BY9+BX10-CG9,IF(A10&lt;'Données projet'!$A$114,$BV$205^A10,IF(A10='Données projet'!$A$114,'Données projet'!$B$114,BY9+BX10-CG9)))</f>
        <v>4.6234887814743333</v>
      </c>
      <c r="BZ10" s="13">
        <f>BY10*VLOOKUP('Données projet'!$B$12,Paramètres!$A$1:$I$89,3,0)*VLOOKUP('Données projet'!$B$12,Paramètres!$A$1:$I$89,5,0)</f>
        <v>2.7648462913216516</v>
      </c>
      <c r="CA10" s="13">
        <f t="shared" si="39"/>
        <v>1.1319117118000401</v>
      </c>
      <c r="CB10" s="20">
        <f t="shared" si="10"/>
        <v>6.7868535221036126</v>
      </c>
      <c r="CC10" s="59">
        <f t="shared" si="11"/>
        <v>272.00907574432586</v>
      </c>
      <c r="CD10" s="59">
        <f ca="1">AVERAGE(OFFSET($CC$3,0,0,'Données projet'!$E$12+1,1))-AVERAGE(OFFSET($H$3,0,0,'Données projet'!$E$12+1,1))</f>
        <v>370.12772664814923</v>
      </c>
      <c r="CE10" s="59">
        <f t="shared" si="40"/>
        <v>292.26503163353146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275.07603134727827</v>
      </c>
      <c r="S11" s="59">
        <f ca="1">AVERAGE(OFFSET($R$3,0,0,'Données projet'!$E$9+1,1))-AVERAGE(OFFSET($H$3,0,0,'Données projet'!$E$9+1,1))</f>
        <v>319.22903094674564</v>
      </c>
      <c r="T11" s="59">
        <f t="shared" si="34"/>
        <v>254.58690973142848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5.9882901242664301</v>
      </c>
      <c r="AK11" s="13">
        <f t="shared" si="35"/>
        <v>2.2406645762026263</v>
      </c>
      <c r="AL11" s="20">
        <f t="shared" si="4"/>
        <v>14.332096103316941</v>
      </c>
      <c r="AM11" s="59">
        <f t="shared" si="5"/>
        <v>280.77654054776139</v>
      </c>
      <c r="AN11" s="59">
        <f ca="1">AVERAGE(OFFSET($AM$3,0,0,'Données projet'!$E$10+1,1))-AVERAGE(OFFSET($H$3,0,0,'Données projet'!$E$10+1,1))</f>
        <v>475.01366239340246</v>
      </c>
      <c r="AO11" s="59">
        <f t="shared" si="36"/>
        <v>322.81767004794284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5.6411428706857674</v>
      </c>
      <c r="BF11" s="13">
        <f t="shared" si="37"/>
        <v>2.125494735292019</v>
      </c>
      <c r="BG11" s="20">
        <f t="shared" si="7"/>
        <v>13.526893830411311</v>
      </c>
      <c r="BH11" s="59">
        <f t="shared" si="8"/>
        <v>279.97133827485578</v>
      </c>
      <c r="BI11" s="59">
        <f ca="1">AVERAGE(OFFSET($BH$3,0,0,'Données projet'!$E$11+1,1))-AVERAGE(OFFSET($H$3,0,0,'Données projet'!$E$11+1,1))</f>
        <v>449.84356201138451</v>
      </c>
      <c r="BJ11" s="59">
        <f t="shared" si="38"/>
        <v>306.61893266146666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5.5909090909090908</v>
      </c>
      <c r="BY11" s="12">
        <f>IF('Données projet'!$A$114&gt;35,BY10+BX11-CG10,IF(A11&lt;'Données projet'!$A$114,$BV$205^A11,IF(A11='Données projet'!$A$114,'Données projet'!$B$114,BY10+BX11-CG10)))</f>
        <v>5.7539422013952093</v>
      </c>
      <c r="BZ11" s="13">
        <f>BY11*VLOOKUP('Données projet'!$B$12,Paramètres!$A$1:$I$89,3,0)*VLOOKUP('Données projet'!$B$12,Paramètres!$A$1:$I$89,5,0)</f>
        <v>3.4408574364343356</v>
      </c>
      <c r="CA11" s="13">
        <f t="shared" si="39"/>
        <v>1.3732535882427113</v>
      </c>
      <c r="CB11" s="20">
        <f t="shared" si="10"/>
        <v>8.3845767013125236</v>
      </c>
      <c r="CC11" s="59">
        <f t="shared" si="11"/>
        <v>274.829021145757</v>
      </c>
      <c r="CD11" s="59">
        <f ca="1">AVERAGE(OFFSET($CC$3,0,0,'Données projet'!$E$12+1,1))-AVERAGE(OFFSET($H$3,0,0,'Données projet'!$E$12+1,1))</f>
        <v>370.12772664814923</v>
      </c>
      <c r="CE11" s="59">
        <f t="shared" si="40"/>
        <v>292.26503163353146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278.6927340463364</v>
      </c>
      <c r="S12" s="59">
        <f ca="1">AVERAGE(OFFSET($R$3,0,0,'Données projet'!$E$9+1,1))-AVERAGE(OFFSET($H$3,0,0,'Données projet'!$E$9+1,1))</f>
        <v>319.22903094674564</v>
      </c>
      <c r="T12" s="59">
        <f t="shared" si="34"/>
        <v>254.58690973142848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7.4211118308555069</v>
      </c>
      <c r="AK12" s="13">
        <f t="shared" si="35"/>
        <v>2.7083104919730441</v>
      </c>
      <c r="AL12" s="20">
        <f t="shared" si="4"/>
        <v>17.642077212259725</v>
      </c>
      <c r="AM12" s="59">
        <f t="shared" si="5"/>
        <v>285.30874387892641</v>
      </c>
      <c r="AN12" s="59">
        <f ca="1">AVERAGE(OFFSET($AM$3,0,0,'Données projet'!$E$10+1,1))-AVERAGE(OFFSET($H$3,0,0,'Données projet'!$E$10+1,1))</f>
        <v>475.01366239340246</v>
      </c>
      <c r="AO12" s="59">
        <f t="shared" si="36"/>
        <v>322.81767004794284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6.9909024493566383</v>
      </c>
      <c r="BF12" s="13">
        <f t="shared" si="37"/>
        <v>2.5691037174250742</v>
      </c>
      <c r="BG12" s="20">
        <f t="shared" si="7"/>
        <v>16.650344073811482</v>
      </c>
      <c r="BH12" s="59">
        <f t="shared" si="8"/>
        <v>284.31701074047817</v>
      </c>
      <c r="BI12" s="59">
        <f ca="1">AVERAGE(OFFSET($BH$3,0,0,'Données projet'!$E$11+1,1))-AVERAGE(OFFSET($H$3,0,0,'Données projet'!$E$11+1,1))</f>
        <v>449.84356201138451</v>
      </c>
      <c r="BJ12" s="59">
        <f t="shared" si="38"/>
        <v>306.61893266146666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5.5909090909090908</v>
      </c>
      <c r="BY12" s="12">
        <f>IF('Données projet'!$A$114&gt;35,BY11+BX12-CG11,IF(A12&lt;'Données projet'!$A$114,$BV$205^A12,IF(A12='Données projet'!$A$114,'Données projet'!$B$114,BY11+BX12-CG11)))</f>
        <v>7.1607940284521145</v>
      </c>
      <c r="BZ12" s="13">
        <f>BY12*VLOOKUP('Données projet'!$B$12,Paramètres!$A$1:$I$89,3,0)*VLOOKUP('Données projet'!$B$12,Paramètres!$A$1:$I$89,5,0)</f>
        <v>4.2821548290143649</v>
      </c>
      <c r="CA12" s="13">
        <f t="shared" si="39"/>
        <v>1.6660534544894132</v>
      </c>
      <c r="CB12" s="20">
        <f t="shared" si="10"/>
        <v>10.359796093769079</v>
      </c>
      <c r="CC12" s="59">
        <f t="shared" si="11"/>
        <v>278.02646276043578</v>
      </c>
      <c r="CD12" s="59">
        <f ca="1">AVERAGE(OFFSET($CC$3,0,0,'Données projet'!$E$12+1,1))-AVERAGE(OFFSET($H$3,0,0,'Données projet'!$E$12+1,1))</f>
        <v>370.12772664814923</v>
      </c>
      <c r="CE12" s="59">
        <f t="shared" si="40"/>
        <v>292.26503163353146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282.97614497005429</v>
      </c>
      <c r="S13" s="59">
        <f ca="1">AVERAGE(OFFSET($R$3,0,0,'Données projet'!$E$9+1,1))-AVERAGE(OFFSET($H$3,0,0,'Données projet'!$E$9+1,1))</f>
        <v>319.22903094674564</v>
      </c>
      <c r="T13" s="59">
        <f t="shared" si="34"/>
        <v>254.58690973142848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9.1967656314597903</v>
      </c>
      <c r="AK13" s="13">
        <f t="shared" si="35"/>
        <v>3.2735581214758165</v>
      </c>
      <c r="AL13" s="20">
        <f t="shared" si="4"/>
        <v>21.719147203029511</v>
      </c>
      <c r="AM13" s="59">
        <f t="shared" si="5"/>
        <v>290.60803609191839</v>
      </c>
      <c r="AN13" s="59">
        <f ca="1">AVERAGE(OFFSET($AM$3,0,0,'Données projet'!$E$10+1,1))-AVERAGE(OFFSET($H$3,0,0,'Données projet'!$E$10+1,1))</f>
        <v>475.01366239340246</v>
      </c>
      <c r="AO13" s="59">
        <f t="shared" si="36"/>
        <v>322.81767004794284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8.6636197977519771</v>
      </c>
      <c r="BF13" s="13">
        <f t="shared" si="37"/>
        <v>3.1052976990698267</v>
      </c>
      <c r="BG13" s="20">
        <f t="shared" si="7"/>
        <v>20.497531306964643</v>
      </c>
      <c r="BH13" s="59">
        <f t="shared" si="8"/>
        <v>289.38642019585347</v>
      </c>
      <c r="BI13" s="59">
        <f ca="1">AVERAGE(OFFSET($BH$3,0,0,'Données projet'!$E$11+1,1))-AVERAGE(OFFSET($H$3,0,0,'Données projet'!$E$11+1,1))</f>
        <v>449.84356201138451</v>
      </c>
      <c r="BJ13" s="59">
        <f t="shared" si="38"/>
        <v>306.61893266146666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5.5909090909090908</v>
      </c>
      <c r="BY13" s="12">
        <f>IF('Données projet'!$A$114&gt;35,BY12+BX13-CG12,IF(A13&lt;'Données projet'!$A$114,$BV$205^A13,IF(A13='Données projet'!$A$114,'Données projet'!$B$114,BY12+BX13-CG12)))</f>
        <v>8.9116242956840761</v>
      </c>
      <c r="BZ13" s="13">
        <f>BY13*VLOOKUP('Données projet'!$B$12,Paramètres!$A$1:$I$89,3,0)*VLOOKUP('Données projet'!$B$12,Paramètres!$A$1:$I$89,5,0)</f>
        <v>5.3291513288190782</v>
      </c>
      <c r="CA13" s="13">
        <f t="shared" si="39"/>
        <v>2.0212829858817885</v>
      </c>
      <c r="CB13" s="20">
        <f t="shared" si="10"/>
        <v>12.802006431437341</v>
      </c>
      <c r="CC13" s="59">
        <f t="shared" si="11"/>
        <v>281.69089532032621</v>
      </c>
      <c r="CD13" s="59">
        <f ca="1">AVERAGE(OFFSET($CC$3,0,0,'Données projet'!$E$12+1,1))-AVERAGE(OFFSET($H$3,0,0,'Données projet'!$E$12+1,1))</f>
        <v>370.12772664814923</v>
      </c>
      <c r="CE13" s="59">
        <f t="shared" si="40"/>
        <v>292.26503163353146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288.11253895675651</v>
      </c>
      <c r="S14" s="59">
        <f ca="1">AVERAGE(OFFSET($R$3,0,0,'Données projet'!$E$9+1,1))-AVERAGE(OFFSET($H$3,0,0,'Données projet'!$E$9+1,1))</f>
        <v>319.22903094674564</v>
      </c>
      <c r="T14" s="59">
        <f t="shared" si="34"/>
        <v>254.58690973142848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11.397281163225587</v>
      </c>
      <c r="AK14" s="13">
        <f t="shared" si="35"/>
        <v>3.9567777795201704</v>
      </c>
      <c r="AL14" s="20">
        <f t="shared" si="4"/>
        <v>26.741652658615525</v>
      </c>
      <c r="AM14" s="59">
        <f t="shared" si="5"/>
        <v>296.85276376972666</v>
      </c>
      <c r="AN14" s="59">
        <f ca="1">AVERAGE(OFFSET($AM$3,0,0,'Données projet'!$E$10+1,1))-AVERAGE(OFFSET($H$3,0,0,'Données projet'!$E$10+1,1))</f>
        <v>475.01366239340246</v>
      </c>
      <c r="AO14" s="59">
        <f t="shared" si="36"/>
        <v>322.81767004794284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10.736569211734251</v>
      </c>
      <c r="BF14" s="13">
        <f t="shared" si="37"/>
        <v>3.7533999637480915</v>
      </c>
      <c r="BG14" s="20">
        <f t="shared" si="7"/>
        <v>25.23669631396508</v>
      </c>
      <c r="BH14" s="59">
        <f t="shared" si="8"/>
        <v>295.34780742507621</v>
      </c>
      <c r="BI14" s="59">
        <f ca="1">AVERAGE(OFFSET($BH$3,0,0,'Données projet'!$E$11+1,1))-AVERAGE(OFFSET($H$3,0,0,'Données projet'!$E$11+1,1))</f>
        <v>449.84356201138451</v>
      </c>
      <c r="BJ14" s="59">
        <f t="shared" si="38"/>
        <v>306.61893266146666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5.5909090909090908</v>
      </c>
      <c r="BY14" s="12">
        <f>IF('Données projet'!$A$114&gt;35,BY13+BX14-CG13,IF(A14&lt;'Données projet'!$A$114,$BV$205^A14,IF(A14='Données projet'!$A$114,'Données projet'!$B$114,BY13+BX14-CG13)))</f>
        <v>11.090536506409412</v>
      </c>
      <c r="BZ14" s="13">
        <f>BY14*VLOOKUP('Données projet'!$B$12,Paramètres!$A$1:$I$89,3,0)*VLOOKUP('Données projet'!$B$12,Paramètres!$A$1:$I$89,5,0)</f>
        <v>6.6321408308328289</v>
      </c>
      <c r="CA14" s="13">
        <f t="shared" si="39"/>
        <v>2.4522531963221348</v>
      </c>
      <c r="CB14" s="20">
        <f t="shared" si="10"/>
        <v>15.821986263961561</v>
      </c>
      <c r="CC14" s="59">
        <f t="shared" si="11"/>
        <v>285.93309737507269</v>
      </c>
      <c r="CD14" s="59">
        <f ca="1">AVERAGE(OFFSET($CC$3,0,0,'Données projet'!$E$12+1,1))-AVERAGE(OFFSET($H$3,0,0,'Données projet'!$E$12+1,1))</f>
        <v>370.12772664814923</v>
      </c>
      <c r="CE14" s="59">
        <f t="shared" si="40"/>
        <v>292.26503163353146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294.3404009375538</v>
      </c>
      <c r="S15" s="59">
        <f ca="1">AVERAGE(OFFSET($R$3,0,0,'Données projet'!$E$9+1,1))-AVERAGE(OFFSET($H$3,0,0,'Données projet'!$E$9+1,1))</f>
        <v>319.22903094674564</v>
      </c>
      <c r="T15" s="59">
        <f t="shared" si="34"/>
        <v>254.58690973142848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14.124315342914553</v>
      </c>
      <c r="AK15" s="13">
        <f t="shared" si="35"/>
        <v>4.7825912403370845</v>
      </c>
      <c r="AL15" s="20">
        <f t="shared" si="4"/>
        <v>32.929528965829938</v>
      </c>
      <c r="AM15" s="59">
        <f t="shared" si="5"/>
        <v>304.26286229916326</v>
      </c>
      <c r="AN15" s="59">
        <f ca="1">AVERAGE(OFFSET($AM$3,0,0,'Données projet'!$E$10+1,1))-AVERAGE(OFFSET($H$3,0,0,'Données projet'!$E$10+1,1))</f>
        <v>475.01366239340246</v>
      </c>
      <c r="AO15" s="59">
        <f t="shared" si="36"/>
        <v>322.81767004794284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13.305514453470233</v>
      </c>
      <c r="BF15" s="13">
        <f t="shared" si="37"/>
        <v>4.5367667299931158</v>
      </c>
      <c r="BG15" s="20">
        <f t="shared" si="7"/>
        <v>31.075306394532003</v>
      </c>
      <c r="BH15" s="59">
        <f t="shared" si="8"/>
        <v>302.40863972786531</v>
      </c>
      <c r="BI15" s="59">
        <f ca="1">AVERAGE(OFFSET($BH$3,0,0,'Données projet'!$E$11+1,1))-AVERAGE(OFFSET($H$3,0,0,'Données projet'!$E$11+1,1))</f>
        <v>449.84356201138451</v>
      </c>
      <c r="BJ15" s="59">
        <f t="shared" si="38"/>
        <v>306.61893266146666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5.5909090909090908</v>
      </c>
      <c r="BY15" s="12">
        <f>IF('Données projet'!$A$114&gt;35,BY14+BX15-CG14,IF(A15&lt;'Données projet'!$A$114,$BV$205^A15,IF(A15='Données projet'!$A$114,'Données projet'!$B$114,BY14+BX15-CG14)))</f>
        <v>13.802197659922571</v>
      </c>
      <c r="BZ15" s="13">
        <f>BY15*VLOOKUP('Données projet'!$B$12,Paramètres!$A$1:$I$89,3,0)*VLOOKUP('Données projet'!$B$12,Paramètres!$A$1:$I$89,5,0)</f>
        <v>8.2537142006336985</v>
      </c>
      <c r="CA15" s="13">
        <f t="shared" si="39"/>
        <v>2.9751132230743558</v>
      </c>
      <c r="CB15" s="20">
        <f t="shared" si="10"/>
        <v>19.556874429624859</v>
      </c>
      <c r="CC15" s="59">
        <f t="shared" si="11"/>
        <v>290.8902077629582</v>
      </c>
      <c r="CD15" s="59">
        <f ca="1">AVERAGE(OFFSET($CC$3,0,0,'Données projet'!$E$12+1,1))-AVERAGE(OFFSET($H$3,0,0,'Données projet'!$E$12+1,1))</f>
        <v>370.12772664814923</v>
      </c>
      <c r="CE15" s="59">
        <f t="shared" si="40"/>
        <v>292.26503163353146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301.9651025183199</v>
      </c>
      <c r="S16" s="59">
        <f ca="1">AVERAGE(OFFSET($R$3,0,0,'Données projet'!$E$9+1,1))-AVERAGE(OFFSET($H$3,0,0,'Données projet'!$E$9+1,1))</f>
        <v>319.22903094674564</v>
      </c>
      <c r="T16" s="59">
        <f t="shared" si="34"/>
        <v>254.58690973142848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17.5038485976625</v>
      </c>
      <c r="AK16" s="13">
        <f t="shared" si="35"/>
        <v>5.7807590536264062</v>
      </c>
      <c r="AL16" s="20">
        <f t="shared" si="4"/>
        <v>40.55402499266151</v>
      </c>
      <c r="AM16" s="59">
        <f t="shared" si="5"/>
        <v>313.10958054821708</v>
      </c>
      <c r="AN16" s="59">
        <f ca="1">AVERAGE(OFFSET($AM$3,0,0,'Données projet'!$E$10+1,1))-AVERAGE(OFFSET($H$3,0,0,'Données projet'!$E$10+1,1))</f>
        <v>475.01366239340246</v>
      </c>
      <c r="AO16" s="59">
        <f t="shared" si="36"/>
        <v>322.81767004794284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16.489132736928447</v>
      </c>
      <c r="BF16" s="13">
        <f t="shared" si="37"/>
        <v>5.4836288594779292</v>
      </c>
      <c r="BG16" s="20">
        <f t="shared" si="7"/>
        <v>38.269226447074438</v>
      </c>
      <c r="BH16" s="59">
        <f t="shared" si="8"/>
        <v>310.82478200263</v>
      </c>
      <c r="BI16" s="59">
        <f ca="1">AVERAGE(OFFSET($BH$3,0,0,'Données projet'!$E$11+1,1))-AVERAGE(OFFSET($H$3,0,0,'Données projet'!$E$11+1,1))</f>
        <v>449.84356201138451</v>
      </c>
      <c r="BJ16" s="59">
        <f t="shared" si="38"/>
        <v>306.61893266146666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5.5909090909090908</v>
      </c>
      <c r="BY16" s="12">
        <f>IF('Données projet'!$A$114&gt;35,BY15+BX16-CG15,IF(A16&lt;'Données projet'!$A$114,$BV$205^A16,IF(A16='Données projet'!$A$114,'Données projet'!$B$114,BY15+BX16-CG15)))</f>
        <v>17.17686607257264</v>
      </c>
      <c r="BZ16" s="13">
        <f>BY16*VLOOKUP('Données projet'!$B$12,Paramètres!$A$1:$I$89,3,0)*VLOOKUP('Données projet'!$B$12,Paramètres!$A$1:$I$89,5,0)</f>
        <v>10.27176591139844</v>
      </c>
      <c r="CA16" s="13">
        <f t="shared" si="39"/>
        <v>3.609455460548272</v>
      </c>
      <c r="CB16" s="20">
        <f t="shared" si="10"/>
        <v>24.176460556140523</v>
      </c>
      <c r="CC16" s="59">
        <f t="shared" si="11"/>
        <v>296.73201611169605</v>
      </c>
      <c r="CD16" s="59">
        <f ca="1">AVERAGE(OFFSET($CC$3,0,0,'Données projet'!$E$12+1,1))-AVERAGE(OFFSET($H$3,0,0,'Données projet'!$E$12+1,1))</f>
        <v>370.12772664814923</v>
      </c>
      <c r="CE16" s="59">
        <f t="shared" si="40"/>
        <v>292.26503163353146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311.37771528134829</v>
      </c>
      <c r="S17" s="59">
        <f ca="1">AVERAGE(OFFSET($R$3,0,0,'Données projet'!$E$9+1,1))-AVERAGE(OFFSET($H$3,0,0,'Données projet'!$E$9+1,1))</f>
        <v>319.22903094674564</v>
      </c>
      <c r="T17" s="59">
        <f t="shared" si="34"/>
        <v>254.58690973142848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21.692004765639073</v>
      </c>
      <c r="AK17" s="13">
        <f t="shared" si="35"/>
        <v>6.9872530510737043</v>
      </c>
      <c r="AL17" s="20">
        <f t="shared" si="4"/>
        <v>49.949707364108086</v>
      </c>
      <c r="AM17" s="59">
        <f t="shared" si="5"/>
        <v>323.72748514188584</v>
      </c>
      <c r="AN17" s="59">
        <f ca="1">AVERAGE(OFFSET($AM$3,0,0,'Données projet'!$E$10+1,1))-AVERAGE(OFFSET($H$3,0,0,'Données projet'!$E$10+1,1))</f>
        <v>475.01366239340246</v>
      </c>
      <c r="AO17" s="59">
        <f t="shared" si="36"/>
        <v>322.81767004794284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20.434497242993334</v>
      </c>
      <c r="BF17" s="13">
        <f t="shared" si="37"/>
        <v>6.6281092368495731</v>
      </c>
      <c r="BG17" s="20">
        <f t="shared" si="7"/>
        <v>47.134039619059727</v>
      </c>
      <c r="BH17" s="59">
        <f t="shared" si="8"/>
        <v>320.91181739683748</v>
      </c>
      <c r="BI17" s="59">
        <f ca="1">AVERAGE(OFFSET($BH$3,0,0,'Données projet'!$E$11+1,1))-AVERAGE(OFFSET($H$3,0,0,'Données projet'!$E$11+1,1))</f>
        <v>449.84356201138451</v>
      </c>
      <c r="BJ17" s="59">
        <f t="shared" si="38"/>
        <v>306.61893266146666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5.5909090909090908</v>
      </c>
      <c r="BY17" s="12">
        <f>IF('Données projet'!$A$114&gt;35,BY16+BX17-CG16,IF(A17&lt;'Données projet'!$A$114,$BV$205^A17,IF(A17='Données projet'!$A$114,'Données projet'!$B$114,BY16+BX17-CG16)))</f>
        <v>21.376648512419013</v>
      </c>
      <c r="BZ17" s="13">
        <f>BY17*VLOOKUP('Données projet'!$B$12,Paramètres!$A$1:$I$89,3,0)*VLOOKUP('Données projet'!$B$12,Paramètres!$A$1:$I$89,5,0)</f>
        <v>12.783235810426572</v>
      </c>
      <c r="CA17" s="13">
        <f t="shared" si="39"/>
        <v>4.3790497183898731</v>
      </c>
      <c r="CB17" s="20">
        <f t="shared" si="10"/>
        <v>29.890980629355308</v>
      </c>
      <c r="CC17" s="59">
        <f t="shared" si="11"/>
        <v>303.66875840713305</v>
      </c>
      <c r="CD17" s="59">
        <f ca="1">AVERAGE(OFFSET($CC$3,0,0,'Données projet'!$E$12+1,1))-AVERAGE(OFFSET($H$3,0,0,'Données projet'!$E$12+1,1))</f>
        <v>370.12772664814923</v>
      </c>
      <c r="CE17" s="59">
        <f t="shared" si="40"/>
        <v>292.26503163353146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323.07912961223798</v>
      </c>
      <c r="S18" s="59">
        <f ca="1">AVERAGE(OFFSET($R$3,0,0,'Données projet'!$E$9+1,1))-AVERAGE(OFFSET($H$3,0,0,'Données projet'!$E$9+1,1))</f>
        <v>319.22903094674564</v>
      </c>
      <c r="T18" s="59">
        <f t="shared" si="34"/>
        <v>254.58690973142848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26.882263527767574</v>
      </c>
      <c r="AK18" s="13">
        <f t="shared" si="35"/>
        <v>8.4455526941763424</v>
      </c>
      <c r="AL18" s="20">
        <f t="shared" si="4"/>
        <v>61.52927991988566</v>
      </c>
      <c r="AM18" s="59">
        <f t="shared" si="5"/>
        <v>336.52927991988565</v>
      </c>
      <c r="AN18" s="59">
        <f ca="1">AVERAGE(OFFSET($AM$3,0,0,'Données projet'!$E$10+1,1))-AVERAGE(OFFSET($H$3,0,0,'Données projet'!$E$10+1,1))</f>
        <v>475.01366239340246</v>
      </c>
      <c r="AO18" s="59">
        <f t="shared" si="36"/>
        <v>322.81767004794284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25.323871439201337</v>
      </c>
      <c r="BF18" s="13">
        <f t="shared" si="37"/>
        <v>8.0114524854610902</v>
      </c>
      <c r="BG18" s="20">
        <f t="shared" si="7"/>
        <v>58.059022502120392</v>
      </c>
      <c r="BH18" s="59">
        <f t="shared" si="8"/>
        <v>333.0590225021204</v>
      </c>
      <c r="BI18" s="59">
        <f ca="1">AVERAGE(OFFSET($BH$3,0,0,'Données projet'!$E$11+1,1))-AVERAGE(OFFSET($H$3,0,0,'Données projet'!$E$11+1,1))</f>
        <v>449.84356201138451</v>
      </c>
      <c r="BJ18" s="59">
        <f t="shared" si="38"/>
        <v>306.61893266146666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5.5909090909090908</v>
      </c>
      <c r="BY18" s="12">
        <f>IF('Données projet'!$A$114&gt;35,BY17+BX18-CG17,IF(A18&lt;'Données projet'!$A$114,$BV$205^A18,IF(A18='Données projet'!$A$114,'Données projet'!$B$114,BY17+BX18-CG17)))</f>
        <v>26.603287217402478</v>
      </c>
      <c r="BZ18" s="13">
        <f>BY18*VLOOKUP('Données projet'!$B$12,Paramètres!$A$1:$I$89,3,0)*VLOOKUP('Données projet'!$B$12,Paramètres!$A$1:$I$89,5,0)</f>
        <v>15.908765756006684</v>
      </c>
      <c r="CA18" s="13">
        <f t="shared" si="39"/>
        <v>5.312733913945455</v>
      </c>
      <c r="CB18" s="20">
        <f t="shared" si="10"/>
        <v>36.960778591833304</v>
      </c>
      <c r="CC18" s="59">
        <f t="shared" si="11"/>
        <v>311.96077859183333</v>
      </c>
      <c r="CD18" s="59">
        <f ca="1">AVERAGE(OFFSET($CC$3,0,0,'Données projet'!$E$12+1,1))-AVERAGE(OFFSET($H$3,0,0,'Données projet'!$E$12+1,1))</f>
        <v>370.12772664814923</v>
      </c>
      <c r="CE18" s="59">
        <f t="shared" si="40"/>
        <v>292.26503163353146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337.71097882304434</v>
      </c>
      <c r="S19" s="59">
        <f ca="1">AVERAGE(OFFSET($R$3,0,0,'Données projet'!$E$9+1,1))-AVERAGE(OFFSET($H$3,0,0,'Données projet'!$E$9+1,1))</f>
        <v>319.22903094674564</v>
      </c>
      <c r="T19" s="59">
        <f t="shared" si="34"/>
        <v>254.58690973142848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33.314398562232306</v>
      </c>
      <c r="AK19" s="13">
        <f t="shared" si="35"/>
        <v>10.208211980979948</v>
      </c>
      <c r="AL19" s="20">
        <f t="shared" si="4"/>
        <v>75.801880029428006</v>
      </c>
      <c r="AM19" s="59">
        <f t="shared" si="5"/>
        <v>352.02410225165022</v>
      </c>
      <c r="AN19" s="59">
        <f ca="1">AVERAGE(OFFSET($AM$3,0,0,'Données projet'!$E$10+1,1))-AVERAGE(OFFSET($H$3,0,0,'Données projet'!$E$10+1,1))</f>
        <v>475.01366239340246</v>
      </c>
      <c r="AO19" s="59">
        <f t="shared" si="36"/>
        <v>322.81767004794284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31.383129080363769</v>
      </c>
      <c r="BF19" s="13">
        <f t="shared" si="37"/>
        <v>9.6835113353243223</v>
      </c>
      <c r="BG19" s="20">
        <f t="shared" si="7"/>
        <v>71.524398723990075</v>
      </c>
      <c r="BH19" s="59">
        <f t="shared" si="8"/>
        <v>347.74662094621232</v>
      </c>
      <c r="BI19" s="59">
        <f ca="1">AVERAGE(OFFSET($BH$3,0,0,'Données projet'!$E$11+1,1))-AVERAGE(OFFSET($H$3,0,0,'Données projet'!$E$11+1,1))</f>
        <v>449.84356201138451</v>
      </c>
      <c r="BJ19" s="59">
        <f t="shared" si="38"/>
        <v>306.61893266146666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5.5909090909090908</v>
      </c>
      <c r="BY19" s="12">
        <f>IF('Données projet'!$A$114&gt;35,BY18+BX19-CG18,IF(A19&lt;'Données projet'!$A$114,$BV$205^A19,IF(A19='Données projet'!$A$114,'Données projet'!$B$114,BY18+BX19-CG18)))</f>
        <v>33.107850856996748</v>
      </c>
      <c r="BZ19" s="13">
        <f>BY19*VLOOKUP('Données projet'!$B$12,Paramètres!$A$1:$I$89,3,0)*VLOOKUP('Données projet'!$B$12,Paramètres!$A$1:$I$89,5,0)</f>
        <v>19.798494812484059</v>
      </c>
      <c r="CA19" s="13">
        <f t="shared" si="39"/>
        <v>6.4454946747588586</v>
      </c>
      <c r="CB19" s="20">
        <f t="shared" si="10"/>
        <v>45.70828169028141</v>
      </c>
      <c r="CC19" s="59">
        <f t="shared" si="11"/>
        <v>321.93050391250364</v>
      </c>
      <c r="CD19" s="59">
        <f ca="1">AVERAGE(OFFSET($CC$3,0,0,'Données projet'!$E$12+1,1))-AVERAGE(OFFSET($H$3,0,0,'Données projet'!$E$12+1,1))</f>
        <v>370.12772664814923</v>
      </c>
      <c r="CE19" s="59">
        <f t="shared" si="40"/>
        <v>292.26503163353146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356.09529321188012</v>
      </c>
      <c r="S20" s="59">
        <f ca="1">AVERAGE(OFFSET($R$3,0,0,'Données projet'!$E$9+1,1))-AVERAGE(OFFSET($H$3,0,0,'Données projet'!$E$9+1,1))</f>
        <v>319.22903094674564</v>
      </c>
      <c r="T20" s="59">
        <f t="shared" si="34"/>
        <v>254.58690973142848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41.28555433648161</v>
      </c>
      <c r="AK20" s="13">
        <f t="shared" si="35"/>
        <v>12.338753379690502</v>
      </c>
      <c r="AL20" s="20">
        <f t="shared" si="4"/>
        <v>93.39566927233308</v>
      </c>
      <c r="AM20" s="59">
        <f t="shared" si="5"/>
        <v>370.84011371677752</v>
      </c>
      <c r="AN20" s="59">
        <f ca="1">AVERAGE(OFFSET($AM$3,0,0,'Données projet'!$E$10+1,1))-AVERAGE(OFFSET($H$3,0,0,'Données projet'!$E$10+1,1))</f>
        <v>475.01366239340246</v>
      </c>
      <c r="AO20" s="59">
        <f t="shared" si="36"/>
        <v>322.81767004794284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38.892188867700071</v>
      </c>
      <c r="BF20" s="13">
        <f t="shared" si="37"/>
        <v>11.704543208803392</v>
      </c>
      <c r="BG20" s="20">
        <f t="shared" si="7"/>
        <v>88.122641699910204</v>
      </c>
      <c r="BH20" s="59">
        <f t="shared" si="8"/>
        <v>365.56708614435468</v>
      </c>
      <c r="BI20" s="59">
        <f ca="1">AVERAGE(OFFSET($BH$3,0,0,'Données projet'!$E$11+1,1))-AVERAGE(OFFSET($H$3,0,0,'Données projet'!$E$11+1,1))</f>
        <v>449.84356201138451</v>
      </c>
      <c r="BJ20" s="59">
        <f t="shared" si="38"/>
        <v>306.61893266146666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5.5909090909090908</v>
      </c>
      <c r="BY20" s="12">
        <f>IF('Données projet'!$A$114&gt;35,BY19+BX20-CG19,IF(A20&lt;'Données projet'!$A$114,$BV$205^A20,IF(A20='Données projet'!$A$114,'Données projet'!$B$114,BY19+BX20-CG19)))</f>
        <v>41.202794955809431</v>
      </c>
      <c r="BZ20" s="13">
        <f>BY20*VLOOKUP('Données projet'!$B$12,Paramètres!$A$1:$I$89,3,0)*VLOOKUP('Données projet'!$B$12,Paramètres!$A$1:$I$89,5,0)</f>
        <v>24.639271383574041</v>
      </c>
      <c r="CA20" s="13">
        <f t="shared" si="39"/>
        <v>7.8197783429910519</v>
      </c>
      <c r="CB20" s="20">
        <f t="shared" si="10"/>
        <v>56.532844940434195</v>
      </c>
      <c r="CC20" s="59">
        <f t="shared" si="11"/>
        <v>333.97728938487865</v>
      </c>
      <c r="CD20" s="59">
        <f ca="1">AVERAGE(OFFSET($CC$3,0,0,'Données projet'!$E$12+1,1))-AVERAGE(OFFSET($H$3,0,0,'Données projet'!$E$12+1,1))</f>
        <v>370.12772664814923</v>
      </c>
      <c r="CE20" s="59">
        <f t="shared" si="40"/>
        <v>292.26503163353146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379.28535416224724</v>
      </c>
      <c r="S21" s="59">
        <f ca="1">AVERAGE(OFFSET($R$3,0,0,'Données projet'!$E$9+1,1))-AVERAGE(OFFSET($H$3,0,0,'Données projet'!$E$9+1,1))</f>
        <v>319.22903094674564</v>
      </c>
      <c r="T21" s="59">
        <f t="shared" si="34"/>
        <v>254.58690973142848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51.163973249780369</v>
      </c>
      <c r="AK21" s="13">
        <f t="shared" si="35"/>
        <v>14.913957042476</v>
      </c>
      <c r="AL21" s="20">
        <f t="shared" si="4"/>
        <v>115.08572859234651</v>
      </c>
      <c r="AM21" s="59">
        <f t="shared" si="5"/>
        <v>393.75239525901321</v>
      </c>
      <c r="AN21" s="59">
        <f ca="1">AVERAGE(OFFSET($AM$3,0,0,'Données projet'!$E$10+1,1))-AVERAGE(OFFSET($H$3,0,0,'Données projet'!$E$10+1,1))</f>
        <v>475.01366239340246</v>
      </c>
      <c r="AO21" s="59">
        <f t="shared" si="36"/>
        <v>322.81767004794284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48.197945815010499</v>
      </c>
      <c r="BF21" s="13">
        <f t="shared" si="37"/>
        <v>14.147381769152156</v>
      </c>
      <c r="BG21" s="20">
        <f t="shared" si="7"/>
        <v>108.58477887574996</v>
      </c>
      <c r="BH21" s="59">
        <f t="shared" si="8"/>
        <v>387.25144554241666</v>
      </c>
      <c r="BI21" s="59">
        <f ca="1">AVERAGE(OFFSET($BH$3,0,0,'Données projet'!$E$11+1,1))-AVERAGE(OFFSET($H$3,0,0,'Données projet'!$E$11+1,1))</f>
        <v>449.84356201138451</v>
      </c>
      <c r="BJ21" s="59">
        <f t="shared" si="38"/>
        <v>306.61893266146666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5.5909090909090908</v>
      </c>
      <c r="BY21" s="12">
        <f>IF('Données projet'!$A$114&gt;35,BY20+BX21-CG20,IF(A21&lt;'Données projet'!$A$114,$BV$205^A21,IF(A21='Données projet'!$A$114,'Données projet'!$B$114,BY20+BX21-CG20)))</f>
        <v>51.276971117915458</v>
      </c>
      <c r="BZ21" s="13">
        <f>BY21*VLOOKUP('Données projet'!$B$12,Paramètres!$A$1:$I$89,3,0)*VLOOKUP('Données projet'!$B$12,Paramètres!$A$1:$I$89,5,0)</f>
        <v>30.663628728513448</v>
      </c>
      <c r="CA21" s="13">
        <f t="shared" si="39"/>
        <v>9.4870815071768995</v>
      </c>
      <c r="CB21" s="20">
        <f t="shared" si="10"/>
        <v>69.929153660494023</v>
      </c>
      <c r="CC21" s="59">
        <f t="shared" si="11"/>
        <v>348.59582032716071</v>
      </c>
      <c r="CD21" s="59">
        <f ca="1">AVERAGE(OFFSET($CC$3,0,0,'Données projet'!$E$12+1,1))-AVERAGE(OFFSET($H$3,0,0,'Données projet'!$E$12+1,1))</f>
        <v>370.12772664814923</v>
      </c>
      <c r="CE21" s="59">
        <f t="shared" si="40"/>
        <v>292.26503163353146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408.63091873093396</v>
      </c>
      <c r="S22" s="59">
        <f ca="1">AVERAGE(OFFSET($R$3,0,0,'Données projet'!$E$9+1,1))-AVERAGE(OFFSET($H$3,0,0,'Données projet'!$E$9+1,1))</f>
        <v>319.22903094674564</v>
      </c>
      <c r="T22" s="59">
        <f t="shared" si="34"/>
        <v>254.58690973142848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63.406007277249707</v>
      </c>
      <c r="AK22" s="13">
        <f t="shared" si="35"/>
        <v>18.026627797823672</v>
      </c>
      <c r="AL22" s="20">
        <f t="shared" si="4"/>
        <v>141.82850608908612</v>
      </c>
      <c r="AM22" s="59">
        <f t="shared" si="5"/>
        <v>421.717394977975</v>
      </c>
      <c r="AN22" s="59">
        <f ca="1">AVERAGE(OFFSET($AM$3,0,0,'Données projet'!$E$10+1,1))-AVERAGE(OFFSET($H$3,0,0,'Données projet'!$E$10+1,1))</f>
        <v>475.01366239340246</v>
      </c>
      <c r="AO22" s="59">
        <f t="shared" si="36"/>
        <v>322.81767004794284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59.730296710452635</v>
      </c>
      <c r="BF22" s="13">
        <f t="shared" si="37"/>
        <v>17.100061689857345</v>
      </c>
      <c r="BG22" s="20">
        <f t="shared" si="7"/>
        <v>133.81287421387319</v>
      </c>
      <c r="BH22" s="59">
        <f t="shared" si="8"/>
        <v>413.70176310276202</v>
      </c>
      <c r="BI22" s="59">
        <f ca="1">AVERAGE(OFFSET($BH$3,0,0,'Données projet'!$E$11+1,1))-AVERAGE(OFFSET($H$3,0,0,'Données projet'!$E$11+1,1))</f>
        <v>449.84356201138451</v>
      </c>
      <c r="BJ22" s="59">
        <f t="shared" si="38"/>
        <v>306.61893266146666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5.5909090909090908</v>
      </c>
      <c r="BY22" s="12">
        <f>IF('Données projet'!$A$114&gt;35,BY21+BX22-CG21,IF(A22&lt;'Données projet'!$A$114,$BV$205^A22,IF(A22='Données projet'!$A$114,'Données projet'!$B$114,BY21+BX22-CG21)))</f>
        <v>63.814306040343304</v>
      </c>
      <c r="BZ22" s="13">
        <f>BY22*VLOOKUP('Données projet'!$B$12,Paramètres!$A$1:$I$89,3,0)*VLOOKUP('Données projet'!$B$12,Paramètres!$A$1:$I$89,5,0)</f>
        <v>38.160955012125299</v>
      </c>
      <c r="CA22" s="13">
        <f t="shared" si="39"/>
        <v>11.509880661066306</v>
      </c>
      <c r="CB22" s="20">
        <f t="shared" si="10"/>
        <v>86.510038797475374</v>
      </c>
      <c r="CC22" s="59">
        <f t="shared" si="11"/>
        <v>366.39892768636423</v>
      </c>
      <c r="CD22" s="59">
        <f ca="1">AVERAGE(OFFSET($CC$3,0,0,'Données projet'!$E$12+1,1))-AVERAGE(OFFSET($H$3,0,0,'Données projet'!$E$12+1,1))</f>
        <v>370.12772664814923</v>
      </c>
      <c r="CE22" s="59">
        <f t="shared" si="40"/>
        <v>292.26503163353146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445.86188445423306</v>
      </c>
      <c r="S23" s="59">
        <f ca="1">AVERAGE(OFFSET($R$3,0,0,'Données projet'!$E$9+1,1))-AVERAGE(OFFSET($H$3,0,0,'Données projet'!$E$9+1,1))</f>
        <v>319.22903094674564</v>
      </c>
      <c r="T23" s="59">
        <f t="shared" si="34"/>
        <v>254.58690973142848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78.577200000000005</v>
      </c>
      <c r="AK23" s="13">
        <f t="shared" si="35"/>
        <v>21.788939637935243</v>
      </c>
      <c r="AL23" s="20">
        <f t="shared" si="4"/>
        <v>174.8043598694039</v>
      </c>
      <c r="AM23" s="59">
        <f t="shared" si="5"/>
        <v>455.91547098051501</v>
      </c>
      <c r="AN23" s="59">
        <f ca="1">AVERAGE(OFFSET($AM$3,0,0,'Données projet'!$E$10+1,1))-AVERAGE(OFFSET($H$3,0,0,'Données projet'!$E$10+1,1))</f>
        <v>475.01366239340246</v>
      </c>
      <c r="AO23" s="59">
        <f t="shared" si="36"/>
        <v>322.81767004794284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8.6000000000000007E-2</v>
      </c>
      <c r="AS23" s="16">
        <f>IF(ISNA(VLOOKUP(A23,'Données projet'!$A$61:$I$81,6,0)),0%,VLOOKUP(A23,'Données projet'!$A$61:$I$81,6,0)*VLOOKUP('Données projet'!$B$10,Paramètres!$A$1:$I$89,7,0))</f>
        <v>8.6000000000000007E-2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0.61400301132910218</v>
      </c>
      <c r="AV23" s="21">
        <f>EXP(-LN(2)/25)*AV22+(1-EXP(-LN(2)/25))/(LN(2)/25)*Calculateur!AQ23*Calculateur!AS23*VLOOKUP('Données projet'!$B$10,Paramètres!$A$1:$I$89,3,0)*0.475*44/12</f>
        <v>0.61158544752001032</v>
      </c>
      <c r="AW23" s="21">
        <f>EXP(-LN(2)/2)*AW22+(1-EXP(-LN(2)/2))/(LN(2)/2)*AQ23*AT23*VLOOKUP('Données projet'!$B$10,Paramètres!$A$1:$I$89,3,0)*0.475*44/12</f>
        <v>3.656204535172463</v>
      </c>
      <c r="AX23" s="21">
        <f t="shared" si="6"/>
        <v>4.8817929940215752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74.022000000000006</v>
      </c>
      <c r="BF23" s="13">
        <f t="shared" si="37"/>
        <v>20.668991235856851</v>
      </c>
      <c r="BG23" s="20">
        <f t="shared" si="7"/>
        <v>164.92014306911736</v>
      </c>
      <c r="BH23" s="59">
        <f t="shared" si="8"/>
        <v>446.03125418022853</v>
      </c>
      <c r="BI23" s="59">
        <f ca="1">AVERAGE(OFFSET($BH$3,0,0,'Données projet'!$E$11+1,1))-AVERAGE(OFFSET($H$3,0,0,'Données projet'!$E$11+1,1))</f>
        <v>449.84356201138451</v>
      </c>
      <c r="BJ23" s="59">
        <f t="shared" si="38"/>
        <v>306.61893266146666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8.6000000000000007E-2</v>
      </c>
      <c r="BN23" s="16">
        <f>IF(ISNA(VLOOKUP(A23,'Données projet'!$A$87:$I$107,6,0)),0%,VLOOKUP(A23,'Données projet'!$A$87:$I$107,6,0)*VLOOKUP('Données projet'!$B$11,Paramètres!$A$1:$I$89,7,0))</f>
        <v>8.6000000000000007E-2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0.57840863386074848</v>
      </c>
      <c r="BQ23" s="21">
        <f>EXP(-LN(2)/25)*BQ22+(1-EXP(-LN(2)/25))/(LN(2)/25)*Calculateur!BL23*Calculateur!BN23*VLOOKUP('Données projet'!$B$11,Paramètres!$A$1:$I$89,3,0)*0.475*44/12</f>
        <v>0.57613121867827077</v>
      </c>
      <c r="BR23" s="21">
        <f>EXP(-LN(2)/2)*BR22+(1-EXP(-LN(2)/2))/(LN(2)/2)*BL23*BO23*VLOOKUP('Données projet'!$B$11,Paramètres!$A$1:$I$89,3,0)*0.475*44/12</f>
        <v>3.4442506490755087</v>
      </c>
      <c r="BS23" s="22">
        <f t="shared" si="9"/>
        <v>4.5987905016145278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5.5909090909090908</v>
      </c>
      <c r="BY23" s="12">
        <f>IF('Données projet'!$A$114&gt;35,BY22+BX23-CG22,IF(A23&lt;'Données projet'!$A$114,$BV$205^A23,IF(A23='Données projet'!$A$114,'Données projet'!$B$114,BY22+BX23-CG22)))</f>
        <v>79.417047587426694</v>
      </c>
      <c r="BZ23" s="13">
        <f>BY23*VLOOKUP('Données projet'!$B$12,Paramètres!$A$1:$I$89,3,0)*VLOOKUP('Données projet'!$B$12,Paramètres!$A$1:$I$89,5,0)</f>
        <v>47.49139445728116</v>
      </c>
      <c r="CA23" s="13">
        <f t="shared" si="39"/>
        <v>13.96397329692701</v>
      </c>
      <c r="CB23" s="20">
        <f t="shared" si="10"/>
        <v>107.03476550524589</v>
      </c>
      <c r="CC23" s="59">
        <f t="shared" si="11"/>
        <v>388.14587661635704</v>
      </c>
      <c r="CD23" s="59">
        <f ca="1">AVERAGE(OFFSET($CC$3,0,0,'Données projet'!$E$12+1,1))-AVERAGE(OFFSET($H$3,0,0,'Données projet'!$E$12+1,1))</f>
        <v>370.12772664814923</v>
      </c>
      <c r="CE23" s="59">
        <f t="shared" si="40"/>
        <v>292.26503163353146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416.21888302910463</v>
      </c>
      <c r="S24" s="59">
        <f ca="1">AVERAGE(OFFSET($R$3,0,0,'Données projet'!$E$9+1,1))-AVERAGE(OFFSET($H$3,0,0,'Données projet'!$E$9+1,1))</f>
        <v>319.22903094674564</v>
      </c>
      <c r="T24" s="59">
        <f t="shared" si="34"/>
        <v>254.58690973142848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79.868880000000004</v>
      </c>
      <c r="AK24" s="13">
        <f t="shared" si="35"/>
        <v>22.105121546989441</v>
      </c>
      <c r="AL24" s="20">
        <f t="shared" si="4"/>
        <v>177.6047193610066</v>
      </c>
      <c r="AM24" s="59">
        <f t="shared" si="5"/>
        <v>459.93805269433994</v>
      </c>
      <c r="AN24" s="59">
        <f ca="1">AVERAGE(OFFSET($AM$3,0,0,'Données projet'!$E$10+1,1))-AVERAGE(OFFSET($H$3,0,0,'Données projet'!$E$10+1,1))</f>
        <v>475.01366239340246</v>
      </c>
      <c r="AO24" s="59">
        <f t="shared" si="36"/>
        <v>322.81767004794284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0.60196278678179616</v>
      </c>
      <c r="AV24" s="21">
        <f>EXP(-LN(2)/25)*AV23+(1-EXP(-LN(2)/25))/(LN(2)/25)*Calculateur!AQ24*Calculateur!AS24*VLOOKUP('Données projet'!$B$10,Paramètres!$A$1:$I$89,3,0)*0.475*44/12</f>
        <v>0.5948616112956947</v>
      </c>
      <c r="AW24" s="21">
        <f>EXP(-LN(2)/2)*AW23+(1-EXP(-LN(2)/2))/(LN(2)/2)*AQ24*AT24*VLOOKUP('Données projet'!$B$10,Paramètres!$A$1:$I$89,3,0)*0.475*44/12</f>
        <v>2.5853270202254577</v>
      </c>
      <c r="AX24" s="21">
        <f t="shared" si="6"/>
        <v>3.7821514183029485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74.2</v>
      </c>
      <c r="BE24" s="13">
        <f>BD24*VLOOKUP('Données projet'!$B$11,Paramètres!$A$1:$I$89,3,0)*VLOOKUP('Données projet'!$B$11,Paramètres!$A$1:$I$89,5,0)</f>
        <v>75.238800000000012</v>
      </c>
      <c r="BF24" s="13">
        <f t="shared" si="37"/>
        <v>20.96892143970209</v>
      </c>
      <c r="BG24" s="20">
        <f t="shared" si="7"/>
        <v>167.56178150748116</v>
      </c>
      <c r="BH24" s="59">
        <f t="shared" si="8"/>
        <v>449.89511484081447</v>
      </c>
      <c r="BI24" s="59">
        <f ca="1">AVERAGE(OFFSET($BH$3,0,0,'Données projet'!$E$11+1,1))-AVERAGE(OFFSET($H$3,0,0,'Données projet'!$E$11+1,1))</f>
        <v>449.84356201138451</v>
      </c>
      <c r="BJ24" s="59">
        <f t="shared" si="38"/>
        <v>306.61893266146666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0.56706639334517028</v>
      </c>
      <c r="BQ24" s="21">
        <f>EXP(-LN(2)/25)*BQ23+(1-EXP(-LN(2)/25))/(LN(2)/25)*Calculateur!BL24*Calculateur!BN24*VLOOKUP('Données projet'!$B$11,Paramètres!$A$1:$I$89,3,0)*0.475*44/12</f>
        <v>0.56037688020608944</v>
      </c>
      <c r="BR24" s="21">
        <f>EXP(-LN(2)/2)*BR23+(1-EXP(-LN(2)/2))/(LN(2)/2)*BL24*BO24*VLOOKUP('Données projet'!$B$11,Paramètres!$A$1:$I$89,3,0)*0.475*44/12</f>
        <v>2.4354529900674602</v>
      </c>
      <c r="BS24" s="22">
        <f t="shared" si="9"/>
        <v>3.56289626361872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5.5909090909090908</v>
      </c>
      <c r="BY24" s="12">
        <f>IF('Données projet'!$A$114&gt;35,BY23+BX24-CG23,IF(A24&lt;'Données projet'!$A$114,$BV$205^A24,IF(A24='Données projet'!$A$114,'Données projet'!$B$114,BY23+BX24-CG23)))</f>
        <v>98.834694582689295</v>
      </c>
      <c r="BZ24" s="13">
        <f>BY24*VLOOKUP('Données projet'!$B$12,Paramètres!$A$1:$I$89,3,0)*VLOOKUP('Données projet'!$B$12,Paramètres!$A$1:$I$89,5,0)</f>
        <v>59.103147360448204</v>
      </c>
      <c r="CA24" s="13">
        <f t="shared" si="39"/>
        <v>16.94131815778756</v>
      </c>
      <c r="CB24" s="20">
        <f t="shared" si="10"/>
        <v>132.44411077759398</v>
      </c>
      <c r="CC24" s="59">
        <f t="shared" si="11"/>
        <v>414.77744411092726</v>
      </c>
      <c r="CD24" s="59">
        <f ca="1">AVERAGE(OFFSET($CC$3,0,0,'Données projet'!$E$12+1,1))-AVERAGE(OFFSET($H$3,0,0,'Données projet'!$E$12+1,1))</f>
        <v>370.12772664814923</v>
      </c>
      <c r="CE24" s="59">
        <f t="shared" si="40"/>
        <v>292.26503163353146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426.82911105724088</v>
      </c>
      <c r="S25" s="59">
        <f ca="1">AVERAGE(OFFSET($R$3,0,0,'Données projet'!$E$9+1,1))-AVERAGE(OFFSET($H$3,0,0,'Données projet'!$E$9+1,1))</f>
        <v>319.22903094674564</v>
      </c>
      <c r="T25" s="59">
        <f t="shared" si="34"/>
        <v>254.58690973142848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87.618960000000001</v>
      </c>
      <c r="AK25" s="13">
        <f t="shared" si="35"/>
        <v>23.990082457811074</v>
      </c>
      <c r="AL25" s="20">
        <f t="shared" si="4"/>
        <v>194.38574894735427</v>
      </c>
      <c r="AM25" s="59">
        <f t="shared" si="5"/>
        <v>477.94130450290982</v>
      </c>
      <c r="AN25" s="59">
        <f ca="1">AVERAGE(OFFSET($AM$3,0,0,'Données projet'!$E$10+1,1))-AVERAGE(OFFSET($H$3,0,0,'Données projet'!$E$10+1,1))</f>
        <v>475.01366239340246</v>
      </c>
      <c r="AO25" s="59">
        <f t="shared" si="36"/>
        <v>322.81767004794284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0.5901586636940509</v>
      </c>
      <c r="AV25" s="21">
        <f>EXP(-LN(2)/25)*AV24+(1-EXP(-LN(2)/25))/(LN(2)/25)*Calculateur!AQ25*Calculateur!AS25*VLOOKUP('Données projet'!$B$10,Paramètres!$A$1:$I$89,3,0)*0.475*44/12</f>
        <v>0.57859508925240133</v>
      </c>
      <c r="AW25" s="21">
        <f>EXP(-LN(2)/2)*AW24+(1-EXP(-LN(2)/2))/(LN(2)/2)*AQ25*AT25*VLOOKUP('Données projet'!$B$10,Paramètres!$A$1:$I$89,3,0)*0.475*44/12</f>
        <v>1.8281022675862317</v>
      </c>
      <c r="AX25" s="21">
        <f t="shared" si="6"/>
        <v>2.9968560205326842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81.400000000000006</v>
      </c>
      <c r="BE25" s="13">
        <f>BD25*VLOOKUP('Données projet'!$B$11,Paramètres!$A$1:$I$89,3,0)*VLOOKUP('Données projet'!$B$11,Paramètres!$A$1:$I$89,5,0)</f>
        <v>82.539600000000007</v>
      </c>
      <c r="BF25" s="13">
        <f t="shared" si="37"/>
        <v>22.756995627482848</v>
      </c>
      <c r="BG25" s="20">
        <f t="shared" si="7"/>
        <v>183.39157071786599</v>
      </c>
      <c r="BH25" s="59">
        <f t="shared" si="8"/>
        <v>466.94712627342153</v>
      </c>
      <c r="BI25" s="59">
        <f ca="1">AVERAGE(OFFSET($BH$3,0,0,'Données projet'!$E$11+1,1))-AVERAGE(OFFSET($H$3,0,0,'Données projet'!$E$11+1,1))</f>
        <v>449.84356201138451</v>
      </c>
      <c r="BJ25" s="59">
        <f t="shared" si="38"/>
        <v>306.61893266146666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0.55594656724801894</v>
      </c>
      <c r="BQ25" s="21">
        <f>EXP(-LN(2)/25)*BQ24+(1-EXP(-LN(2)/25))/(LN(2)/25)*Calculateur!BL25*Calculateur!BN25*VLOOKUP('Données projet'!$B$11,Paramètres!$A$1:$I$89,3,0)*0.475*44/12</f>
        <v>0.54505334494791458</v>
      </c>
      <c r="BR25" s="21">
        <f>EXP(-LN(2)/2)*BR24+(1-EXP(-LN(2)/2))/(LN(2)/2)*BL25*BO25*VLOOKUP('Données projet'!$B$11,Paramètres!$A$1:$I$89,3,0)*0.475*44/12</f>
        <v>1.7221253245377546</v>
      </c>
      <c r="BS25" s="22">
        <f t="shared" si="9"/>
        <v>2.8231252367336879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123</v>
      </c>
      <c r="BW25" s="12">
        <f>VLOOKUP(A25,'Données projet'!$A$113:$I$133,9,0)</f>
        <v>5.5909090909090908</v>
      </c>
      <c r="BX25" s="12">
        <f t="array" ref="BX25">INDEX(BW:BW,MIN(IF(ISNUMBER(BW25:BW221),ROW(BW25:BW221),"")))</f>
        <v>5.5909090909090908</v>
      </c>
      <c r="BY25" s="12">
        <f>IF('Données projet'!$A$114&gt;35,BY24+BX25-CG24,IF(A25&lt;'Données projet'!$A$114,$BV$205^A25,IF(A25='Données projet'!$A$114,'Données projet'!$B$114,BY24+BX25-CG24)))</f>
        <v>123</v>
      </c>
      <c r="BZ25" s="13">
        <f>BY25*VLOOKUP('Données projet'!$B$12,Paramètres!$A$1:$I$89,3,0)*VLOOKUP('Données projet'!$B$12,Paramètres!$A$1:$I$89,5,0)</f>
        <v>73.554000000000016</v>
      </c>
      <c r="CA25" s="13">
        <f t="shared" si="39"/>
        <v>20.553481077376691</v>
      </c>
      <c r="CB25" s="20">
        <f t="shared" si="10"/>
        <v>163.90386287643108</v>
      </c>
      <c r="CC25" s="59">
        <f t="shared" si="11"/>
        <v>447.45941843198659</v>
      </c>
      <c r="CD25" s="59">
        <f ca="1">AVERAGE(OFFSET($CC$3,0,0,'Données projet'!$E$12+1,1))-AVERAGE(OFFSET($H$3,0,0,'Données projet'!$E$12+1,1))</f>
        <v>370.12772664814923</v>
      </c>
      <c r="CE25" s="59">
        <f t="shared" si="40"/>
        <v>292.26503163353146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16</v>
      </c>
      <c r="CH25" s="16">
        <f>IF(ISNA(VLOOKUP(A25,'Données projet'!$A$113:$I$133,5,0)),0%,VLOOKUP(A25,'Données projet'!$A$113:$I$133,5,0)*VLOOKUP('Données projet'!$B$12,Paramètres!$A$1:$I$89,7,0))</f>
        <v>9.0000000000000011E-2</v>
      </c>
      <c r="CI25" s="16">
        <f>IF(ISNA(VLOOKUP(A25,'Données projet'!$A$113:$I$133,6,0)),0%,VLOOKUP(A25,'Données projet'!$A$113:$I$133,6,0)*VLOOKUP('Données projet'!$B$12,Paramètres!$A$1:$I$89,7,0))</f>
        <v>9.0000000000000011E-2</v>
      </c>
      <c r="CJ25" s="16">
        <f>IF(ISNA(VLOOKUP(A25,'Données projet'!$A$113:$I$133,7,0)),0%,VLOOKUP(A25,'Données projet'!$A$113:$I$133,7,0))</f>
        <v>0.6</v>
      </c>
      <c r="CK25" s="21">
        <f>EXP(-LN(2)/35)*CK24+(1-EXP(-LN(2)/35))/(LN(2)/35)*CG25*CH25*VLOOKUP('Données projet'!$B$12,Paramètres!$A$1:$I$89,3,0)*0.475*44/12</f>
        <v>1.142331183868097</v>
      </c>
      <c r="CL25" s="21">
        <f>EXP(-LN(2)/25)*CL24+(1-EXP(-LN(2)/25))/(LN(2)/25)*Calculateur!CG25*Calculateur!CI25*VLOOKUP('Données projet'!$B$12,Paramètres!$A$1:$I$89,3,0)*0.475*44/12</f>
        <v>1.1378333907349032</v>
      </c>
      <c r="CM25" s="21">
        <f>EXP(-LN(2)/2)*CM24+(1-EXP(-LN(2)/2))/(LN(2)/2)*CG25*CJ25*VLOOKUP('Données projet'!$B$12,Paramètres!$A$1:$I$89,3,0)*0.475*44/12</f>
        <v>6.4999191736399347</v>
      </c>
      <c r="CN25" s="22">
        <f t="shared" si="12"/>
        <v>8.7800837482429337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437.42460793616601</v>
      </c>
      <c r="S26" s="59">
        <f ca="1">AVERAGE(OFFSET($R$3,0,0,'Données projet'!$E$9+1,1))-AVERAGE(OFFSET($H$3,0,0,'Données projet'!$E$9+1,1))</f>
        <v>319.22903094674564</v>
      </c>
      <c r="T26" s="59">
        <f t="shared" si="34"/>
        <v>254.58690973142848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95.369039999999998</v>
      </c>
      <c r="AK26" s="13">
        <f t="shared" si="35"/>
        <v>25.855709117398451</v>
      </c>
      <c r="AL26" s="20">
        <f t="shared" si="4"/>
        <v>211.13310471280226</v>
      </c>
      <c r="AM26" s="59">
        <f t="shared" si="5"/>
        <v>495.91088249058004</v>
      </c>
      <c r="AN26" s="59">
        <f ca="1">AVERAGE(OFFSET($AM$3,0,0,'Données projet'!$E$10+1,1))-AVERAGE(OFFSET($H$3,0,0,'Données projet'!$E$10+1,1))</f>
        <v>475.01366239340246</v>
      </c>
      <c r="AO26" s="59">
        <f t="shared" si="36"/>
        <v>322.81767004794284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0.57858601226025219</v>
      </c>
      <c r="AV26" s="21">
        <f>EXP(-LN(2)/25)*AV25+(1-EXP(-LN(2)/25))/(LN(2)/25)*Calculateur!AQ26*Calculateur!AS26*VLOOKUP('Données projet'!$B$10,Paramètres!$A$1:$I$89,3,0)*0.475*44/12</f>
        <v>0.56277337610980105</v>
      </c>
      <c r="AW26" s="21">
        <f>EXP(-LN(2)/2)*AW25+(1-EXP(-LN(2)/2))/(LN(2)/2)*AQ26*AT26*VLOOKUP('Données projet'!$B$10,Paramètres!$A$1:$I$89,3,0)*0.475*44/12</f>
        <v>1.2926635101127291</v>
      </c>
      <c r="AX26" s="21">
        <f t="shared" si="6"/>
        <v>2.4340228984827821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89.840400000000017</v>
      </c>
      <c r="BF26" s="13">
        <f t="shared" si="37"/>
        <v>24.526729341796202</v>
      </c>
      <c r="BG26" s="20">
        <f t="shared" si="7"/>
        <v>199.18941693696172</v>
      </c>
      <c r="BH26" s="59">
        <f t="shared" si="8"/>
        <v>483.96719471473949</v>
      </c>
      <c r="BI26" s="59">
        <f ca="1">AVERAGE(OFFSET($BH$3,0,0,'Données projet'!$E$11+1,1))-AVERAGE(OFFSET($H$3,0,0,'Données projet'!$E$11+1,1))</f>
        <v>449.84356201138451</v>
      </c>
      <c r="BJ26" s="59">
        <f t="shared" si="38"/>
        <v>306.61893266146666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0.54504479415820861</v>
      </c>
      <c r="BQ26" s="21">
        <f>EXP(-LN(2)/25)*BQ25+(1-EXP(-LN(2)/25))/(LN(2)/25)*Calculateur!BL26*Calculateur!BN26*VLOOKUP('Données projet'!$B$11,Paramètres!$A$1:$I$89,3,0)*0.475*44/12</f>
        <v>0.53014883256720413</v>
      </c>
      <c r="BR26" s="21">
        <f>EXP(-LN(2)/2)*BR25+(1-EXP(-LN(2)/2))/(LN(2)/2)*BL26*BO26*VLOOKUP('Données projet'!$B$11,Paramètres!$A$1:$I$89,3,0)*0.475*44/12</f>
        <v>1.2177264950337303</v>
      </c>
      <c r="BS26" s="22">
        <f t="shared" si="9"/>
        <v>2.2929201217591428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12.333333333333334</v>
      </c>
      <c r="BY26" s="12">
        <f>IF('Données projet'!$A$114&gt;35,BY25+BX26-CG25,IF(A26&lt;'Données projet'!$A$114,$BV$205^A26,IF(A26='Données projet'!$A$114,'Données projet'!$B$114,BY25+BX26-CG25)))</f>
        <v>119.33333333333334</v>
      </c>
      <c r="BZ26" s="13">
        <f>BY26*VLOOKUP('Données projet'!$B$12,Paramètres!$A$1:$I$89,3,0)*VLOOKUP('Données projet'!$B$12,Paramètres!$A$1:$I$89,5,0)</f>
        <v>71.361333333333349</v>
      </c>
      <c r="CA26" s="13">
        <f t="shared" si="39"/>
        <v>20.011144716858571</v>
      </c>
      <c r="CB26" s="20">
        <f t="shared" si="10"/>
        <v>159.14039927075092</v>
      </c>
      <c r="CC26" s="59">
        <f t="shared" si="11"/>
        <v>443.91817704852872</v>
      </c>
      <c r="CD26" s="59">
        <f ca="1">AVERAGE(OFFSET($CC$3,0,0,'Données projet'!$E$12+1,1))-AVERAGE(OFFSET($H$3,0,0,'Données projet'!$E$12+1,1))</f>
        <v>370.12772664814923</v>
      </c>
      <c r="CE26" s="59">
        <f t="shared" si="40"/>
        <v>292.26503163353146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1.119930766105667</v>
      </c>
      <c r="CL26" s="21">
        <f>EXP(-LN(2)/25)*CL25+(1-EXP(-LN(2)/25))/(LN(2)/25)*Calculateur!CG26*Calculateur!CI26*VLOOKUP('Données projet'!$B$12,Paramètres!$A$1:$I$89,3,0)*0.475*44/12</f>
        <v>1.1067192768291998</v>
      </c>
      <c r="CM26" s="21">
        <f>EXP(-LN(2)/2)*CM25+(1-EXP(-LN(2)/2))/(LN(2)/2)*CG26*CJ26*VLOOKUP('Données projet'!$B$12,Paramètres!$A$1:$I$89,3,0)*0.475*44/12</f>
        <v>4.5961369248452586</v>
      </c>
      <c r="CN26" s="22">
        <f t="shared" si="12"/>
        <v>6.8227869677801252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448.00640689272802</v>
      </c>
      <c r="S27" s="59">
        <f ca="1">AVERAGE(OFFSET($R$3,0,0,'Données projet'!$E$9+1,1))-AVERAGE(OFFSET($H$3,0,0,'Données projet'!$E$9+1,1))</f>
        <v>319.22903094674564</v>
      </c>
      <c r="T27" s="59">
        <f t="shared" si="34"/>
        <v>254.58690973142848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103.11912000000001</v>
      </c>
      <c r="AK27" s="13">
        <f t="shared" si="35"/>
        <v>27.703751333753903</v>
      </c>
      <c r="AL27" s="20">
        <f t="shared" si="4"/>
        <v>227.84983423962137</v>
      </c>
      <c r="AM27" s="59">
        <f t="shared" si="5"/>
        <v>513.84983423962137</v>
      </c>
      <c r="AN27" s="59">
        <f ca="1">AVERAGE(OFFSET($AM$3,0,0,'Données projet'!$E$10+1,1))-AVERAGE(OFFSET($H$3,0,0,'Données projet'!$E$10+1,1))</f>
        <v>475.01366239340246</v>
      </c>
      <c r="AO27" s="59">
        <f t="shared" si="36"/>
        <v>322.81767004794284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0.56724029346244986</v>
      </c>
      <c r="AV27" s="21">
        <f>EXP(-LN(2)/25)*AV26+(1-EXP(-LN(2)/25))/(LN(2)/25)*Calculateur!AQ27*Calculateur!AS27*VLOOKUP('Données projet'!$B$10,Paramètres!$A$1:$I$89,3,0)*0.475*44/12</f>
        <v>0.54738430854511289</v>
      </c>
      <c r="AW27" s="21">
        <f>EXP(-LN(2)/2)*AW26+(1-EXP(-LN(2)/2))/(LN(2)/2)*AQ27*AT27*VLOOKUP('Données projet'!$B$10,Paramètres!$A$1:$I$89,3,0)*0.475*44/12</f>
        <v>0.91405113379311609</v>
      </c>
      <c r="AX27" s="21">
        <f t="shared" si="6"/>
        <v>2.0286757358006788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95.800000000000011</v>
      </c>
      <c r="BE27" s="13">
        <f>BD27*VLOOKUP('Données projet'!$B$11,Paramètres!$A$1:$I$89,3,0)*VLOOKUP('Données projet'!$B$11,Paramètres!$A$1:$I$89,5,0)</f>
        <v>97.141200000000026</v>
      </c>
      <c r="BF27" s="13">
        <f t="shared" si="37"/>
        <v>26.279782450761708</v>
      </c>
      <c r="BG27" s="20">
        <f t="shared" si="7"/>
        <v>214.95821110174333</v>
      </c>
      <c r="BH27" s="59">
        <f t="shared" si="8"/>
        <v>500.95821110174336</v>
      </c>
      <c r="BI27" s="59">
        <f ca="1">AVERAGE(OFFSET($BH$3,0,0,'Données projet'!$E$11+1,1))-AVERAGE(OFFSET($H$3,0,0,'Données projet'!$E$11+1,1))</f>
        <v>449.84356201138451</v>
      </c>
      <c r="BJ27" s="59">
        <f t="shared" si="38"/>
        <v>306.61893266146666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0.5343567981892644</v>
      </c>
      <c r="BQ27" s="21">
        <f>EXP(-LN(2)/25)*BQ26+(1-EXP(-LN(2)/25))/(LN(2)/25)*Calculateur!BL27*Calculateur!BN27*VLOOKUP('Données projet'!$B$11,Paramètres!$A$1:$I$89,3,0)*0.475*44/12</f>
        <v>0.51565188486133851</v>
      </c>
      <c r="BR27" s="21">
        <f>EXP(-LN(2)/2)*BR26+(1-EXP(-LN(2)/2))/(LN(2)/2)*BL27*BO27*VLOOKUP('Données projet'!$B$11,Paramètres!$A$1:$I$89,3,0)*0.475*44/12</f>
        <v>0.8610626622688774</v>
      </c>
      <c r="BS27" s="22">
        <f t="shared" si="9"/>
        <v>1.9110713453194803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12.333333333333334</v>
      </c>
      <c r="BY27" s="12">
        <f>IF('Données projet'!$A$114&gt;35,BY26+BX27-CG26,IF(A27&lt;'Données projet'!$A$114,$BV$205^A27,IF(A27='Données projet'!$A$114,'Données projet'!$B$114,BY26+BX27-CG26)))</f>
        <v>131.66666666666669</v>
      </c>
      <c r="BZ27" s="13">
        <f>BY27*VLOOKUP('Données projet'!$B$12,Paramètres!$A$1:$I$89,3,0)*VLOOKUP('Données projet'!$B$12,Paramètres!$A$1:$I$89,5,0)</f>
        <v>78.736666666666679</v>
      </c>
      <c r="CA27" s="13">
        <f t="shared" si="39"/>
        <v>21.828006984037064</v>
      </c>
      <c r="CB27" s="20">
        <f t="shared" si="10"/>
        <v>175.15013994164235</v>
      </c>
      <c r="CC27" s="59">
        <f t="shared" si="11"/>
        <v>461.15013994164235</v>
      </c>
      <c r="CD27" s="59">
        <f ca="1">AVERAGE(OFFSET($CC$3,0,0,'Données projet'!$E$12+1,1))-AVERAGE(OFFSET($H$3,0,0,'Données projet'!$E$12+1,1))</f>
        <v>370.12772664814923</v>
      </c>
      <c r="CE27" s="59">
        <f t="shared" si="40"/>
        <v>292.26503163353146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1.0979696068726525</v>
      </c>
      <c r="CL27" s="21">
        <f>EXP(-LN(2)/25)*CL26+(1-EXP(-LN(2)/25))/(LN(2)/25)*Calculateur!CG27*Calculateur!CI27*VLOOKUP('Données projet'!$B$12,Paramètres!$A$1:$I$89,3,0)*0.475*44/12</f>
        <v>1.076455980004468</v>
      </c>
      <c r="CM27" s="21">
        <f>EXP(-LN(2)/2)*CM26+(1-EXP(-LN(2)/2))/(LN(2)/2)*CG27*CJ27*VLOOKUP('Données projet'!$B$12,Paramètres!$A$1:$I$89,3,0)*0.475*44/12</f>
        <v>3.2499595868199678</v>
      </c>
      <c r="CN27" s="22">
        <f t="shared" si="12"/>
        <v>5.4243851736970878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458.57541182095264</v>
      </c>
      <c r="S28" s="59">
        <f ca="1">AVERAGE(OFFSET($R$3,0,0,'Données projet'!$E$9+1,1))-AVERAGE(OFFSET($H$3,0,0,'Données projet'!$E$9+1,1))</f>
        <v>319.22903094674564</v>
      </c>
      <c r="T28" s="59">
        <f t="shared" si="34"/>
        <v>254.58690973142848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110.86920000000002</v>
      </c>
      <c r="AK28" s="13">
        <f t="shared" si="35"/>
        <v>29.535680967701619</v>
      </c>
      <c r="AL28" s="20">
        <f t="shared" si="4"/>
        <v>244.53850101874704</v>
      </c>
      <c r="AM28" s="59">
        <f t="shared" si="5"/>
        <v>531.76072324096924</v>
      </c>
      <c r="AN28" s="59">
        <f ca="1">AVERAGE(OFFSET($AM$3,0,0,'Données projet'!$E$10+1,1))-AVERAGE(OFFSET($H$3,0,0,'Données projet'!$E$10+1,1))</f>
        <v>475.01366239340246</v>
      </c>
      <c r="AO28" s="59">
        <f t="shared" si="36"/>
        <v>322.81767004794284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0.129</v>
      </c>
      <c r="AS28" s="16">
        <f>IF(ISNA(VLOOKUP(A28,'Données projet'!$A$61:$I$81,6,0)),0%,VLOOKUP(A28,'Données projet'!$A$61:$I$81,6,0)*VLOOKUP('Données projet'!$B$10,Paramètres!$A$1:$I$89,7,0))</f>
        <v>0.17200000000000001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4.8541381365937806</v>
      </c>
      <c r="AV28" s="21">
        <f>EXP(-LN(2)/25)*AV27+(1-EXP(-LN(2)/25))/(LN(2)/25)*Calculateur!AQ28*Calculateur!AS28*VLOOKUP('Données projet'!$B$10,Paramètres!$A$1:$I$89,3,0)*0.475*44/12</f>
        <v>6.2405468993623554</v>
      </c>
      <c r="AW28" s="21">
        <f>EXP(-LN(2)/2)*AW27+(1-EXP(-LN(2)/2))/(LN(2)/2)*AQ28*AT28*VLOOKUP('Données projet'!$B$10,Paramètres!$A$1:$I$89,3,0)*0.475*44/12</f>
        <v>9.1774756704587794</v>
      </c>
      <c r="AX28" s="21">
        <f t="shared" si="6"/>
        <v>20.272160706414915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103.00000000000001</v>
      </c>
      <c r="BE28" s="13">
        <f>BD28*VLOOKUP('Données projet'!$B$11,Paramètres!$A$1:$I$89,3,0)*VLOOKUP('Données projet'!$B$11,Paramètres!$A$1:$I$89,5,0)</f>
        <v>104.44200000000004</v>
      </c>
      <c r="BF28" s="13">
        <f t="shared" si="37"/>
        <v>28.01755116176631</v>
      </c>
      <c r="BG28" s="20">
        <f t="shared" si="7"/>
        <v>230.70038494007636</v>
      </c>
      <c r="BH28" s="59">
        <f t="shared" si="8"/>
        <v>517.92260716229862</v>
      </c>
      <c r="BI28" s="59">
        <f ca="1">AVERAGE(OFFSET($BH$3,0,0,'Données projet'!$E$11+1,1))-AVERAGE(OFFSET($H$3,0,0,'Données projet'!$E$11+1,1))</f>
        <v>449.84356201138451</v>
      </c>
      <c r="BJ28" s="59">
        <f t="shared" si="38"/>
        <v>306.61893266146666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0.17200000000000001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4.5727388243274758</v>
      </c>
      <c r="BQ28" s="21">
        <f>EXP(-LN(2)/25)*BQ27+(1-EXP(-LN(2)/25))/(LN(2)/25)*Calculateur!BL28*Calculateur!BN28*VLOOKUP('Données projet'!$B$11,Paramètres!$A$1:$I$89,3,0)*0.475*44/12</f>
        <v>5.8787760646167122</v>
      </c>
      <c r="BR28" s="21">
        <f>EXP(-LN(2)/2)*BR27+(1-EXP(-LN(2)/2))/(LN(2)/2)*BL28*BO28*VLOOKUP('Données projet'!$B$11,Paramètres!$A$1:$I$89,3,0)*0.475*44/12</f>
        <v>8.6454480953597201</v>
      </c>
      <c r="BS28" s="22">
        <f t="shared" si="9"/>
        <v>19.096962984303907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144</v>
      </c>
      <c r="BW28" s="12">
        <f>VLOOKUP(A28,'Données projet'!$A$113:$I$133,9,0)</f>
        <v>12.333333333333334</v>
      </c>
      <c r="BX28" s="12">
        <f t="array" ref="BX28">INDEX(BW:BW,MIN(IF(ISNUMBER(BW28:BW224),ROW(BW28:BW224),"")))</f>
        <v>12.333333333333334</v>
      </c>
      <c r="BY28" s="12">
        <f>IF('Données projet'!$A$114&gt;35,BY27+BX28-CG27,IF(A28&lt;'Données projet'!$A$114,$BV$205^A28,IF(A28='Données projet'!$A$114,'Données projet'!$B$114,BY27+BX28-CG27)))</f>
        <v>144.00000000000003</v>
      </c>
      <c r="BZ28" s="13">
        <f>BY28*VLOOKUP('Données projet'!$B$12,Paramètres!$A$1:$I$89,3,0)*VLOOKUP('Données projet'!$B$12,Paramètres!$A$1:$I$89,5,0)</f>
        <v>86.112000000000009</v>
      </c>
      <c r="CA28" s="13">
        <f t="shared" si="39"/>
        <v>23.625136642852297</v>
      </c>
      <c r="CB28" s="20">
        <f t="shared" si="10"/>
        <v>191.12551298630106</v>
      </c>
      <c r="CC28" s="59">
        <f t="shared" si="11"/>
        <v>478.34773520852332</v>
      </c>
      <c r="CD28" s="59">
        <f ca="1">AVERAGE(OFFSET($CC$3,0,0,'Données projet'!$E$12+1,1))-AVERAGE(OFFSET($H$3,0,0,'Données projet'!$E$12+1,1))</f>
        <v>370.12772664814923</v>
      </c>
      <c r="CE28" s="59">
        <f t="shared" si="40"/>
        <v>292.26503163353146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17</v>
      </c>
      <c r="CH28" s="16">
        <f>IF(ISNA(VLOOKUP(A28,'Données projet'!$A$113:$I$133,5,0)),0%,VLOOKUP(A28,'Données projet'!$A$113:$I$133,5,0)*VLOOKUP('Données projet'!$B$12,Paramètres!$A$1:$I$89,7,0))</f>
        <v>0.13500000000000001</v>
      </c>
      <c r="CI28" s="16">
        <f>IF(ISNA(VLOOKUP(A28,'Données projet'!$A$113:$I$133,6,0)),0%,VLOOKUP(A28,'Données projet'!$A$113:$I$133,6,0)*VLOOKUP('Données projet'!$B$12,Paramètres!$A$1:$I$89,7,0))</f>
        <v>0.18000000000000002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2.8970294168669923</v>
      </c>
      <c r="CL28" s="21">
        <f>EXP(-LN(2)/25)*CL27+(1-EXP(-LN(2)/25))/(LN(2)/25)*Calculateur!CG28*Calculateur!CI28*VLOOKUP('Données projet'!$B$12,Paramètres!$A$1:$I$89,3,0)*0.475*44/12</f>
        <v>3.4649161899345557</v>
      </c>
      <c r="CM28" s="21">
        <f>EXP(-LN(2)/2)*CM27+(1-EXP(-LN(2)/2))/(LN(2)/2)*CG28*CJ28*VLOOKUP('Données projet'!$B$12,Paramètres!$A$1:$I$89,3,0)*0.475*44/12</f>
        <v>5.7511505234188451</v>
      </c>
      <c r="CN28" s="22">
        <f t="shared" si="12"/>
        <v>12.113096130220393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469.13241980028045</v>
      </c>
      <c r="S29" s="59">
        <f ca="1">AVERAGE(OFFSET($R$3,0,0,'Données projet'!$E$9+1,1))-AVERAGE(OFFSET($H$3,0,0,'Données projet'!$E$9+1,1))</f>
        <v>319.22903094674564</v>
      </c>
      <c r="T29" s="59">
        <f t="shared" si="34"/>
        <v>254.58690973142848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90.632880000000014</v>
      </c>
      <c r="AK29" s="13">
        <f t="shared" si="35"/>
        <v>24.717798105117861</v>
      </c>
      <c r="AL29" s="20">
        <f t="shared" si="4"/>
        <v>200.90243103308026</v>
      </c>
      <c r="AM29" s="59">
        <f t="shared" si="5"/>
        <v>489.34687547752469</v>
      </c>
      <c r="AN29" s="59">
        <f ca="1">AVERAGE(OFFSET($AM$3,0,0,'Données projet'!$E$10+1,1))-AVERAGE(OFFSET($H$3,0,0,'Données projet'!$E$10+1,1))</f>
        <v>475.01366239340246</v>
      </c>
      <c r="AO29" s="59">
        <f t="shared" si="36"/>
        <v>322.81767004794284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4.7589514484670916</v>
      </c>
      <c r="AV29" s="21">
        <f>EXP(-LN(2)/25)*AV28+(1-EXP(-LN(2)/25))/(LN(2)/25)*Calculateur!AQ29*Calculateur!AS29*VLOOKUP('Données projet'!$B$10,Paramètres!$A$1:$I$89,3,0)*0.475*44/12</f>
        <v>6.0698988162231933</v>
      </c>
      <c r="AW29" s="21">
        <f>EXP(-LN(2)/2)*AW28+(1-EXP(-LN(2)/2))/(LN(2)/2)*AQ29*AT29*VLOOKUP('Données projet'!$B$10,Paramètres!$A$1:$I$89,3,0)*0.475*44/12</f>
        <v>6.4894552807559602</v>
      </c>
      <c r="AX29" s="21">
        <f t="shared" si="6"/>
        <v>17.318305545446243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84.200000000000017</v>
      </c>
      <c r="BE29" s="13">
        <f>BD29*VLOOKUP('Données projet'!$B$11,Paramètres!$A$1:$I$89,3,0)*VLOOKUP('Données projet'!$B$11,Paramètres!$A$1:$I$89,5,0)</f>
        <v>85.378800000000027</v>
      </c>
      <c r="BF29" s="13">
        <f t="shared" si="37"/>
        <v>23.447306793896516</v>
      </c>
      <c r="BG29" s="20">
        <f t="shared" si="7"/>
        <v>189.53880266603645</v>
      </c>
      <c r="BH29" s="59">
        <f t="shared" si="8"/>
        <v>477.98324711048087</v>
      </c>
      <c r="BI29" s="59">
        <f ca="1">AVERAGE(OFFSET($BH$3,0,0,'Données projet'!$E$11+1,1))-AVERAGE(OFFSET($H$3,0,0,'Données projet'!$E$11+1,1))</f>
        <v>449.84356201138451</v>
      </c>
      <c r="BJ29" s="59">
        <f t="shared" si="38"/>
        <v>306.61893266146666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4.4830702050776967</v>
      </c>
      <c r="BQ29" s="21">
        <f>EXP(-LN(2)/25)*BQ28+(1-EXP(-LN(2)/25))/(LN(2)/25)*Calculateur!BL29*Calculateur!BN29*VLOOKUP('Données projet'!$B$11,Paramètres!$A$1:$I$89,3,0)*0.475*44/12</f>
        <v>5.7180206239783713</v>
      </c>
      <c r="BR29" s="21">
        <f>EXP(-LN(2)/2)*BR28+(1-EXP(-LN(2)/2))/(LN(2)/2)*BL29*BO29*VLOOKUP('Données projet'!$B$11,Paramètres!$A$1:$I$89,3,0)*0.475*44/12</f>
        <v>6.1132549746251801</v>
      </c>
      <c r="BS29" s="22">
        <f t="shared" si="9"/>
        <v>16.314345803681249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13.4</v>
      </c>
      <c r="BY29" s="12">
        <f>IF('Données projet'!$A$114&gt;35,BY28+BX29-CG28,IF(A29&lt;'Données projet'!$A$114,$BV$205^A29,IF(A29='Données projet'!$A$114,'Données projet'!$B$114,BY28+BX29-CG28)))</f>
        <v>140.40000000000003</v>
      </c>
      <c r="BZ29" s="13">
        <f>BY29*VLOOKUP('Données projet'!$B$12,Paramètres!$A$1:$I$89,3,0)*VLOOKUP('Données projet'!$B$12,Paramètres!$A$1:$I$89,5,0)</f>
        <v>83.959200000000024</v>
      </c>
      <c r="CA29" s="13">
        <f t="shared" si="39"/>
        <v>23.102490880810642</v>
      </c>
      <c r="CB29" s="20">
        <f t="shared" si="10"/>
        <v>186.46577828407854</v>
      </c>
      <c r="CC29" s="59">
        <f t="shared" si="11"/>
        <v>474.91022272852297</v>
      </c>
      <c r="CD29" s="59">
        <f ca="1">AVERAGE(OFFSET($CC$3,0,0,'Données projet'!$E$12+1,1))-AVERAGE(OFFSET($H$3,0,0,'Données projet'!$E$12+1,1))</f>
        <v>370.12772664814923</v>
      </c>
      <c r="CE29" s="59">
        <f t="shared" si="40"/>
        <v>292.26503163353146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2.8402204370156969</v>
      </c>
      <c r="CL29" s="21">
        <f>EXP(-LN(2)/25)*CL28+(1-EXP(-LN(2)/25))/(LN(2)/25)*Calculateur!CG29*Calculateur!CI29*VLOOKUP('Données projet'!$B$12,Paramètres!$A$1:$I$89,3,0)*0.475*44/12</f>
        <v>3.370167874508772</v>
      </c>
      <c r="CM29" s="21">
        <f>EXP(-LN(2)/2)*CM28+(1-EXP(-LN(2)/2))/(LN(2)/2)*CG29*CJ29*VLOOKUP('Données projet'!$B$12,Paramètres!$A$1:$I$89,3,0)*0.475*44/12</f>
        <v>4.066677534734028</v>
      </c>
      <c r="CN29" s="22">
        <f t="shared" si="12"/>
        <v>10.277065846258497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479.67813870693351</v>
      </c>
      <c r="S30" s="59">
        <f ca="1">AVERAGE(OFFSET($R$3,0,0,'Données projet'!$E$9+1,1))-AVERAGE(OFFSET($H$3,0,0,'Données projet'!$E$9+1,1))</f>
        <v>319.22903094674564</v>
      </c>
      <c r="T30" s="59">
        <f t="shared" si="34"/>
        <v>254.58690973142848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100.53576000000002</v>
      </c>
      <c r="AK30" s="13">
        <f t="shared" si="35"/>
        <v>27.08959526060206</v>
      </c>
      <c r="AL30" s="20">
        <f t="shared" si="4"/>
        <v>222.28082707888197</v>
      </c>
      <c r="AM30" s="59">
        <f t="shared" si="5"/>
        <v>511.94749374554863</v>
      </c>
      <c r="AN30" s="59">
        <f ca="1">AVERAGE(OFFSET($AM$3,0,0,'Données projet'!$E$10+1,1))-AVERAGE(OFFSET($H$3,0,0,'Données projet'!$E$10+1,1))</f>
        <v>475.01366239340246</v>
      </c>
      <c r="AO30" s="59">
        <f t="shared" si="36"/>
        <v>322.81767004794284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4.6656313132364202</v>
      </c>
      <c r="AV30" s="21">
        <f>EXP(-LN(2)/25)*AV29+(1-EXP(-LN(2)/25))/(LN(2)/25)*Calculateur!AQ30*Calculateur!AS30*VLOOKUP('Données projet'!$B$10,Paramètres!$A$1:$I$89,3,0)*0.475*44/12</f>
        <v>5.9039171138914641</v>
      </c>
      <c r="AW30" s="21">
        <f>EXP(-LN(2)/2)*AW29+(1-EXP(-LN(2)/2))/(LN(2)/2)*AQ30*AT30*VLOOKUP('Données projet'!$B$10,Paramètres!$A$1:$I$89,3,0)*0.475*44/12</f>
        <v>4.5887378352293906</v>
      </c>
      <c r="AX30" s="21">
        <f t="shared" si="6"/>
        <v>15.158286262357276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93.40000000000002</v>
      </c>
      <c r="BE30" s="13">
        <f>BD30*VLOOKUP('Données projet'!$B$11,Paramètres!$A$1:$I$89,3,0)*VLOOKUP('Données projet'!$B$11,Paramètres!$A$1:$I$89,5,0)</f>
        <v>94.707600000000028</v>
      </c>
      <c r="BF30" s="13">
        <f t="shared" si="37"/>
        <v>25.697193912523566</v>
      </c>
      <c r="BG30" s="20">
        <f t="shared" si="7"/>
        <v>209.70501606431188</v>
      </c>
      <c r="BH30" s="59">
        <f t="shared" si="8"/>
        <v>499.37168273097859</v>
      </c>
      <c r="BI30" s="59">
        <f ca="1">AVERAGE(OFFSET($BH$3,0,0,'Données projet'!$E$11+1,1))-AVERAGE(OFFSET($H$3,0,0,'Données projet'!$E$11+1,1))</f>
        <v>449.84356201138451</v>
      </c>
      <c r="BJ30" s="59">
        <f t="shared" si="38"/>
        <v>306.61893266146666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4.3951599327589479</v>
      </c>
      <c r="BQ30" s="21">
        <f>EXP(-LN(2)/25)*BQ29+(1-EXP(-LN(2)/25))/(LN(2)/25)*Calculateur!BL30*Calculateur!BN30*VLOOKUP('Données projet'!$B$11,Paramètres!$A$1:$I$89,3,0)*0.475*44/12</f>
        <v>5.5616610493180465</v>
      </c>
      <c r="BR30" s="21">
        <f>EXP(-LN(2)/2)*BR29+(1-EXP(-LN(2)/2))/(LN(2)/2)*BL30*BO30*VLOOKUP('Données projet'!$B$11,Paramètres!$A$1:$I$89,3,0)*0.475*44/12</f>
        <v>4.322724047679861</v>
      </c>
      <c r="BS30" s="22">
        <f t="shared" si="9"/>
        <v>14.279545029756855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13.4</v>
      </c>
      <c r="BY30" s="12">
        <f>IF('Données projet'!$A$114&gt;35,BY29+BX30-CG29,IF(A30&lt;'Données projet'!$A$114,$BV$205^A30,IF(A30='Données projet'!$A$114,'Données projet'!$B$114,BY29+BX30-CG29)))</f>
        <v>153.80000000000004</v>
      </c>
      <c r="BZ30" s="13">
        <f>BY30*VLOOKUP('Données projet'!$B$12,Paramètres!$A$1:$I$89,3,0)*VLOOKUP('Données projet'!$B$12,Paramètres!$A$1:$I$89,5,0)</f>
        <v>91.972400000000022</v>
      </c>
      <c r="CA30" s="13">
        <f t="shared" si="39"/>
        <v>25.040318527820091</v>
      </c>
      <c r="CB30" s="20">
        <f t="shared" si="10"/>
        <v>203.79715143595334</v>
      </c>
      <c r="CC30" s="59">
        <f t="shared" si="11"/>
        <v>493.46381810262005</v>
      </c>
      <c r="CD30" s="59">
        <f ca="1">AVERAGE(OFFSET($CC$3,0,0,'Données projet'!$E$12+1,1))-AVERAGE(OFFSET($H$3,0,0,'Données projet'!$E$12+1,1))</f>
        <v>370.12772664814923</v>
      </c>
      <c r="CE30" s="59">
        <f t="shared" si="40"/>
        <v>292.26503163353146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2.7845254466092291</v>
      </c>
      <c r="CL30" s="21">
        <f>EXP(-LN(2)/25)*CL29+(1-EXP(-LN(2)/25))/(LN(2)/25)*Calculateur!CG30*Calculateur!CI30*VLOOKUP('Données projet'!$B$12,Paramètres!$A$1:$I$89,3,0)*0.475*44/12</f>
        <v>3.2780104567509039</v>
      </c>
      <c r="CM30" s="21">
        <f>EXP(-LN(2)/2)*CM29+(1-EXP(-LN(2)/2))/(LN(2)/2)*CG30*CJ30*VLOOKUP('Données projet'!$B$12,Paramètres!$A$1:$I$89,3,0)*0.475*44/12</f>
        <v>2.875575261709423</v>
      </c>
      <c r="CN30" s="22">
        <f t="shared" si="12"/>
        <v>8.9381111650695555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490.21320118108321</v>
      </c>
      <c r="S31" s="59">
        <f ca="1">AVERAGE(OFFSET($R$3,0,0,'Données projet'!$E$9+1,1))-AVERAGE(OFFSET($H$3,0,0,'Données projet'!$E$9+1,1))</f>
        <v>319.22903094674564</v>
      </c>
      <c r="T31" s="59">
        <f t="shared" si="34"/>
        <v>254.58690973142848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110.43864000000002</v>
      </c>
      <c r="AK31" s="13">
        <f t="shared" si="35"/>
        <v>29.434307628523538</v>
      </c>
      <c r="AL31" s="20">
        <f t="shared" si="4"/>
        <v>243.61205045301185</v>
      </c>
      <c r="AM31" s="59">
        <f t="shared" si="5"/>
        <v>534.50093934190068</v>
      </c>
      <c r="AN31" s="59">
        <f ca="1">AVERAGE(OFFSET($AM$3,0,0,'Données projet'!$E$10+1,1))-AVERAGE(OFFSET($H$3,0,0,'Données projet'!$E$10+1,1))</f>
        <v>475.01366239340246</v>
      </c>
      <c r="AO31" s="59">
        <f t="shared" si="36"/>
        <v>322.81767004794284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4.5741411289379599</v>
      </c>
      <c r="AV31" s="21">
        <f>EXP(-LN(2)/25)*AV30+(1-EXP(-LN(2)/25))/(LN(2)/25)*Calculateur!AQ31*Calculateur!AS31*VLOOKUP('Données projet'!$B$10,Paramètres!$A$1:$I$89,3,0)*0.475*44/12</f>
        <v>5.7424741899385943</v>
      </c>
      <c r="AW31" s="21">
        <f>EXP(-LN(2)/2)*AW30+(1-EXP(-LN(2)/2))/(LN(2)/2)*AQ31*AT31*VLOOKUP('Données projet'!$B$10,Paramètres!$A$1:$I$89,3,0)*0.475*44/12</f>
        <v>3.2447276403779806</v>
      </c>
      <c r="AX31" s="21">
        <f t="shared" si="6"/>
        <v>13.561342959254535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102.60000000000002</v>
      </c>
      <c r="BE31" s="13">
        <f>BD31*VLOOKUP('Données projet'!$B$11,Paramètres!$A$1:$I$89,3,0)*VLOOKUP('Données projet'!$B$11,Paramètres!$A$1:$I$89,5,0)</f>
        <v>104.03640000000003</v>
      </c>
      <c r="BF31" s="13">
        <f t="shared" si="37"/>
        <v>27.921388397820998</v>
      </c>
      <c r="BG31" s="20">
        <f t="shared" si="7"/>
        <v>229.82648145953826</v>
      </c>
      <c r="BH31" s="59">
        <f t="shared" si="8"/>
        <v>520.71537034842709</v>
      </c>
      <c r="BI31" s="59">
        <f ca="1">AVERAGE(OFFSET($BH$3,0,0,'Données projet'!$E$11+1,1))-AVERAGE(OFFSET($H$3,0,0,'Données projet'!$E$11+1,1))</f>
        <v>449.84356201138451</v>
      </c>
      <c r="BJ31" s="59">
        <f t="shared" si="38"/>
        <v>306.61893266146666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4.3089735272603988</v>
      </c>
      <c r="BQ31" s="21">
        <f>EXP(-LN(2)/25)*BQ30+(1-EXP(-LN(2)/25))/(LN(2)/25)*Calculateur!BL31*Calculateur!BN31*VLOOKUP('Données projet'!$B$11,Paramètres!$A$1:$I$89,3,0)*0.475*44/12</f>
        <v>5.4095771354494016</v>
      </c>
      <c r="BR31" s="21">
        <f>EXP(-LN(2)/2)*BR30+(1-EXP(-LN(2)/2))/(LN(2)/2)*BL31*BO31*VLOOKUP('Données projet'!$B$11,Paramètres!$A$1:$I$89,3,0)*0.475*44/12</f>
        <v>3.0566274873125905</v>
      </c>
      <c r="BS31" s="22">
        <f t="shared" si="9"/>
        <v>12.775178150022391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13.4</v>
      </c>
      <c r="BY31" s="12">
        <f>IF('Données projet'!$A$114&gt;35,BY30+BX31-CG30,IF(A31&lt;'Données projet'!$A$114,$BV$205^A31,IF(A31='Données projet'!$A$114,'Données projet'!$B$114,BY30+BX31-CG30)))</f>
        <v>167.20000000000005</v>
      </c>
      <c r="BZ31" s="13">
        <f>BY31*VLOOKUP('Données projet'!$B$12,Paramètres!$A$1:$I$89,3,0)*VLOOKUP('Données projet'!$B$12,Paramètres!$A$1:$I$89,5,0)</f>
        <v>99.985600000000034</v>
      </c>
      <c r="CA31" s="13">
        <f t="shared" si="39"/>
        <v>26.958566918169435</v>
      </c>
      <c r="CB31" s="20">
        <f t="shared" si="10"/>
        <v>221.09442404914515</v>
      </c>
      <c r="CC31" s="59">
        <f t="shared" si="11"/>
        <v>511.98331293803403</v>
      </c>
      <c r="CD31" s="59">
        <f ca="1">AVERAGE(OFFSET($CC$3,0,0,'Données projet'!$E$12+1,1))-AVERAGE(OFFSET($H$3,0,0,'Données projet'!$E$12+1,1))</f>
        <v>370.12772664814923</v>
      </c>
      <c r="CE31" s="59">
        <f t="shared" si="40"/>
        <v>292.26503163353146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2.7299226009940423</v>
      </c>
      <c r="CL31" s="21">
        <f>EXP(-LN(2)/25)*CL30+(1-EXP(-LN(2)/25))/(LN(2)/25)*Calculateur!CG31*Calculateur!CI31*VLOOKUP('Données projet'!$B$12,Paramètres!$A$1:$I$89,3,0)*0.475*44/12</f>
        <v>3.1883730884279724</v>
      </c>
      <c r="CM31" s="21">
        <f>EXP(-LN(2)/2)*CM30+(1-EXP(-LN(2)/2))/(LN(2)/2)*CG31*CJ31*VLOOKUP('Données projet'!$B$12,Paramètres!$A$1:$I$89,3,0)*0.475*44/12</f>
        <v>2.0333387673670145</v>
      </c>
      <c r="CN31" s="22">
        <f t="shared" si="12"/>
        <v>7.95163445678903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500.73817584253754</v>
      </c>
      <c r="S32" s="59">
        <f ca="1">AVERAGE(OFFSET($R$3,0,0,'Données projet'!$E$9+1,1))-AVERAGE(OFFSET($H$3,0,0,'Données projet'!$E$9+1,1))</f>
        <v>319.22903094674564</v>
      </c>
      <c r="T32" s="59">
        <f t="shared" si="34"/>
        <v>254.58690973142848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120.34152000000002</v>
      </c>
      <c r="AK32" s="13">
        <f t="shared" si="35"/>
        <v>31.754640046026051</v>
      </c>
      <c r="AL32" s="20">
        <f t="shared" si="4"/>
        <v>264.90081208016204</v>
      </c>
      <c r="AM32" s="59">
        <f t="shared" si="5"/>
        <v>557.01192319127313</v>
      </c>
      <c r="AN32" s="59">
        <f ca="1">AVERAGE(OFFSET($AM$3,0,0,'Données projet'!$E$10+1,1))-AVERAGE(OFFSET($H$3,0,0,'Données projet'!$E$10+1,1))</f>
        <v>475.01366239340246</v>
      </c>
      <c r="AO32" s="59">
        <f t="shared" si="36"/>
        <v>322.81767004794284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4.4844450113500907</v>
      </c>
      <c r="AV32" s="21">
        <f>EXP(-LN(2)/25)*AV31+(1-EXP(-LN(2)/25))/(LN(2)/25)*Calculateur!AQ32*Calculateur!AS32*VLOOKUP('Données projet'!$B$10,Paramètres!$A$1:$I$89,3,0)*0.475*44/12</f>
        <v>5.5854459312311304</v>
      </c>
      <c r="AW32" s="21">
        <f>EXP(-LN(2)/2)*AW31+(1-EXP(-LN(2)/2))/(LN(2)/2)*AQ32*AT32*VLOOKUP('Données projet'!$B$10,Paramètres!$A$1:$I$89,3,0)*0.475*44/12</f>
        <v>2.2943689176146953</v>
      </c>
      <c r="AX32" s="21">
        <f t="shared" si="6"/>
        <v>12.364259860195917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111.80000000000003</v>
      </c>
      <c r="BE32" s="13">
        <f>BD32*VLOOKUP('Données projet'!$B$11,Paramètres!$A$1:$I$89,3,0)*VLOOKUP('Données projet'!$B$11,Paramètres!$A$1:$I$89,5,0)</f>
        <v>113.36520000000003</v>
      </c>
      <c r="BF32" s="13">
        <f t="shared" si="37"/>
        <v>30.122456058687614</v>
      </c>
      <c r="BG32" s="20">
        <f t="shared" si="7"/>
        <v>249.9076676355476</v>
      </c>
      <c r="BH32" s="59">
        <f t="shared" si="8"/>
        <v>542.01877874665877</v>
      </c>
      <c r="BI32" s="59">
        <f ca="1">AVERAGE(OFFSET($BH$3,0,0,'Données projet'!$E$11+1,1))-AVERAGE(OFFSET($H$3,0,0,'Données projet'!$E$11+1,1))</f>
        <v>449.84356201138451</v>
      </c>
      <c r="BJ32" s="59">
        <f t="shared" si="38"/>
        <v>306.61893266146666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4.2244771846051599</v>
      </c>
      <c r="BQ32" s="21">
        <f>EXP(-LN(2)/25)*BQ31+(1-EXP(-LN(2)/25))/(LN(2)/25)*Calculateur!BL32*Calculateur!BN32*VLOOKUP('Données projet'!$B$11,Paramètres!$A$1:$I$89,3,0)*0.475*44/12</f>
        <v>5.2616519642032396</v>
      </c>
      <c r="BR32" s="21">
        <f>EXP(-LN(2)/2)*BR31+(1-EXP(-LN(2)/2))/(LN(2)/2)*BL32*BO32*VLOOKUP('Données projet'!$B$11,Paramètres!$A$1:$I$89,3,0)*0.475*44/12</f>
        <v>2.1613620238399305</v>
      </c>
      <c r="BS32" s="22">
        <f t="shared" si="9"/>
        <v>11.64749117264833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13.4</v>
      </c>
      <c r="BY32" s="12">
        <f>IF('Données projet'!$A$114&gt;35,BY31+BX32-CG31,IF(A32&lt;'Données projet'!$A$114,$BV$205^A32,IF(A32='Données projet'!$A$114,'Données projet'!$B$114,BY31+BX32-CG31)))</f>
        <v>180.60000000000005</v>
      </c>
      <c r="BZ32" s="13">
        <f>BY32*VLOOKUP('Données projet'!$B$12,Paramètres!$A$1:$I$89,3,0)*VLOOKUP('Données projet'!$B$12,Paramètres!$A$1:$I$89,5,0)</f>
        <v>107.99880000000003</v>
      </c>
      <c r="CA32" s="13">
        <f t="shared" si="39"/>
        <v>28.85898360070161</v>
      </c>
      <c r="CB32" s="20">
        <f t="shared" si="10"/>
        <v>238.36063977122203</v>
      </c>
      <c r="CC32" s="59">
        <f t="shared" si="11"/>
        <v>530.47175088233314</v>
      </c>
      <c r="CD32" s="59">
        <f ca="1">AVERAGE(OFFSET($CC$3,0,0,'Données projet'!$E$12+1,1))-AVERAGE(OFFSET($H$3,0,0,'Données projet'!$E$12+1,1))</f>
        <v>370.12772664814923</v>
      </c>
      <c r="CE32" s="59">
        <f t="shared" si="40"/>
        <v>292.26503163353146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2.6763904838769217</v>
      </c>
      <c r="CL32" s="21">
        <f>EXP(-LN(2)/25)*CL31+(1-EXP(-LN(2)/25))/(LN(2)/25)*Calculateur!CG32*Calculateur!CI32*VLOOKUP('Données projet'!$B$12,Paramètres!$A$1:$I$89,3,0)*0.475*44/12</f>
        <v>3.1011868586556557</v>
      </c>
      <c r="CM32" s="21">
        <f>EXP(-LN(2)/2)*CM31+(1-EXP(-LN(2)/2))/(LN(2)/2)*CG32*CJ32*VLOOKUP('Données projet'!$B$12,Paramètres!$A$1:$I$89,3,0)*0.475*44/12</f>
        <v>1.437787630854712</v>
      </c>
      <c r="CN32" s="22">
        <f t="shared" si="12"/>
        <v>7.2153649733872891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319.22903094674564</v>
      </c>
      <c r="T33" s="59">
        <f t="shared" si="34"/>
        <v>254.58690973142848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130.24440000000001</v>
      </c>
      <c r="AK33" s="13">
        <f t="shared" si="35"/>
        <v>34.052826821785409</v>
      </c>
      <c r="AL33" s="20">
        <f t="shared" si="4"/>
        <v>286.15100338127621</v>
      </c>
      <c r="AM33" s="59">
        <f t="shared" si="5"/>
        <v>579.48433671460953</v>
      </c>
      <c r="AN33" s="59">
        <f ca="1">AVERAGE(OFFSET($AM$3,0,0,'Données projet'!$E$10+1,1))-AVERAGE(OFFSET($H$3,0,0,'Données projet'!$E$10+1,1))</f>
        <v>475.01366239340246</v>
      </c>
      <c r="AO33" s="59">
        <f t="shared" si="36"/>
        <v>322.81767004794284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0.129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8.6945288592226042</v>
      </c>
      <c r="AV33" s="21">
        <f>EXP(-LN(2)/25)*AV32+(1-EXP(-LN(2)/25))/(LN(2)/25)*Calculateur!AQ33*Calculateur!AS33*VLOOKUP('Données projet'!$B$10,Paramètres!$A$1:$I$89,3,0)*0.475*44/12</f>
        <v>11.140842462035877</v>
      </c>
      <c r="AW33" s="21">
        <f>EXP(-LN(2)/2)*AW32+(1-EXP(-LN(2)/2))/(LN(2)/2)*AQ33*AT33*VLOOKUP('Données projet'!$B$10,Paramètres!$A$1:$I$89,3,0)*0.475*44/12</f>
        <v>10.153507735591406</v>
      </c>
      <c r="AX33" s="21">
        <f t="shared" si="6"/>
        <v>29.988879056849889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121.00000000000003</v>
      </c>
      <c r="BE33" s="13">
        <f>BD33*VLOOKUP('Données projet'!$B$11,Paramètres!$A$1:$I$89,3,0)*VLOOKUP('Données projet'!$B$11,Paramètres!$A$1:$I$89,5,0)</f>
        <v>122.69400000000003</v>
      </c>
      <c r="BF33" s="13">
        <f t="shared" si="37"/>
        <v>32.302516360650685</v>
      </c>
      <c r="BG33" s="20">
        <f t="shared" si="7"/>
        <v>269.95226599480003</v>
      </c>
      <c r="BH33" s="59">
        <f t="shared" si="8"/>
        <v>563.28559932813334</v>
      </c>
      <c r="BI33" s="59">
        <f ca="1">AVERAGE(OFFSET($BH$3,0,0,'Données projet'!$E$11+1,1))-AVERAGE(OFFSET($H$3,0,0,'Données projet'!$E$11+1,1))</f>
        <v>449.84356201138451</v>
      </c>
      <c r="BJ33" s="59">
        <f t="shared" si="38"/>
        <v>306.61893266146666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0.129</v>
      </c>
      <c r="BN33" s="16">
        <f>IF(ISNA(VLOOKUP(A33,'Données projet'!$A$87:$I$107,6,0)),0%,VLOOKUP(A33,'Données projet'!$A$87:$I$107,6,0)*VLOOKUP('Données projet'!$B$11,Paramètres!$A$1:$I$89,7,0))</f>
        <v>0.17200000000000001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8.1904982007169487</v>
      </c>
      <c r="BQ33" s="21">
        <f>EXP(-LN(2)/25)*BQ32+(1-EXP(-LN(2)/25))/(LN(2)/25)*Calculateur!BL33*Calculateur!BN33*VLOOKUP('Données projet'!$B$11,Paramètres!$A$1:$I$89,3,0)*0.475*44/12</f>
        <v>10.49499652220771</v>
      </c>
      <c r="BR33" s="21">
        <f>EXP(-LN(2)/2)*BR32+(1-EXP(-LN(2)/2))/(LN(2)/2)*BL33*BO33*VLOOKUP('Données projet'!$B$11,Paramètres!$A$1:$I$89,3,0)*0.475*44/12</f>
        <v>9.5648985914991496</v>
      </c>
      <c r="BS33" s="22">
        <f t="shared" si="9"/>
        <v>28.25039331442381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194</v>
      </c>
      <c r="BW33" s="12">
        <f>VLOOKUP(A33,'Données projet'!$A$113:$I$133,9,0)</f>
        <v>13.4</v>
      </c>
      <c r="BX33" s="12">
        <f t="array" ref="BX33">INDEX(BW:BW,MIN(IF(ISNUMBER(BW33:BW229),ROW(BW33:BW229),"")))</f>
        <v>13.4</v>
      </c>
      <c r="BY33" s="12">
        <f>IF('Données projet'!$A$114&gt;35,BY32+BX33-CG32,IF(A33&lt;'Données projet'!$A$114,$BV$205^A33,IF(A33='Données projet'!$A$114,'Données projet'!$B$114,BY32+BX33-CG32)))</f>
        <v>194.00000000000006</v>
      </c>
      <c r="BZ33" s="13">
        <f>BY33*VLOOKUP('Données projet'!$B$12,Paramètres!$A$1:$I$89,3,0)*VLOOKUP('Données projet'!$B$12,Paramètres!$A$1:$I$89,5,0)</f>
        <v>116.01200000000003</v>
      </c>
      <c r="CA33" s="13">
        <f t="shared" si="39"/>
        <v>30.743042086238173</v>
      </c>
      <c r="CB33" s="20">
        <f t="shared" si="10"/>
        <v>255.59836496686489</v>
      </c>
      <c r="CC33" s="59">
        <f t="shared" si="11"/>
        <v>548.93169830019815</v>
      </c>
      <c r="CD33" s="59">
        <f ca="1">AVERAGE(OFFSET($CC$3,0,0,'Données projet'!$E$12+1,1))-AVERAGE(OFFSET($H$3,0,0,'Données projet'!$E$12+1,1))</f>
        <v>370.12772664814923</v>
      </c>
      <c r="CE33" s="59">
        <f t="shared" si="40"/>
        <v>292.26503163353146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34</v>
      </c>
      <c r="CH33" s="16">
        <f>IF(ISNA(VLOOKUP(A33,'Données projet'!$A$113:$I$133,5,0)),0%,VLOOKUP(A33,'Données projet'!$A$113:$I$133,5,0)*VLOOKUP('Données projet'!$B$12,Paramètres!$A$1:$I$89,7,0))</f>
        <v>0.18000000000000002</v>
      </c>
      <c r="CI33" s="16">
        <f>IF(ISNA(VLOOKUP(A33,'Données projet'!$A$113:$I$133,6,0)),0%,VLOOKUP(A33,'Données projet'!$A$113:$I$133,6,0)*VLOOKUP('Données projet'!$B$12,Paramètres!$A$1:$I$89,7,0))</f>
        <v>0.13500000000000001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7.4788156303645135</v>
      </c>
      <c r="CL33" s="21">
        <f>EXP(-LN(2)/25)*CL32+(1-EXP(-LN(2)/25))/(LN(2)/25)*Calculateur!CG33*Calculateur!CI33*VLOOKUP('Données projet'!$B$12,Paramètres!$A$1:$I$89,3,0)*0.475*44/12</f>
        <v>6.6432286738888919</v>
      </c>
      <c r="CM33" s="21">
        <f>EXP(-LN(2)/2)*CM32+(1-EXP(-LN(2)/2))/(LN(2)/2)*CG33*CJ33*VLOOKUP('Données projet'!$B$12,Paramètres!$A$1:$I$89,3,0)*0.475*44/12</f>
        <v>7.9228335056759391</v>
      </c>
      <c r="CN33" s="22">
        <f t="shared" si="12"/>
        <v>22.044877809929346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319.22903094674564</v>
      </c>
      <c r="T34" s="59">
        <f t="shared" si="34"/>
        <v>254.58690973142848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111.73032000000005</v>
      </c>
      <c r="AK34" s="13">
        <f t="shared" si="35"/>
        <v>29.738290400519091</v>
      </c>
      <c r="AL34" s="20">
        <f t="shared" si="4"/>
        <v>246.39116311423746</v>
      </c>
      <c r="AM34" s="59">
        <f t="shared" si="5"/>
        <v>539.7244964475708</v>
      </c>
      <c r="AN34" s="59">
        <f ca="1">AVERAGE(OFFSET($AM$3,0,0,'Données projet'!$E$10+1,1))-AVERAGE(OFFSET($H$3,0,0,'Données projet'!$E$10+1,1))</f>
        <v>475.01366239340246</v>
      </c>
      <c r="AO34" s="59">
        <f t="shared" si="36"/>
        <v>322.81767004794284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8.5240344514322111</v>
      </c>
      <c r="AV34" s="21">
        <f>EXP(-LN(2)/25)*AV33+(1-EXP(-LN(2)/25))/(LN(2)/25)*Calculateur!AQ34*Calculateur!AS34*VLOOKUP('Données projet'!$B$10,Paramètres!$A$1:$I$89,3,0)*0.475*44/12</f>
        <v>10.836195539040064</v>
      </c>
      <c r="AW34" s="21">
        <f>EXP(-LN(2)/2)*AW33+(1-EXP(-LN(2)/2))/(LN(2)/2)*AQ34*AT34*VLOOKUP('Données projet'!$B$10,Paramètres!$A$1:$I$89,3,0)*0.475*44/12</f>
        <v>7.1796141726667502</v>
      </c>
      <c r="AX34" s="21">
        <f t="shared" si="6"/>
        <v>26.539844163139026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103.80000000000004</v>
      </c>
      <c r="BE34" s="13">
        <f>BD34*VLOOKUP('Données projet'!$B$11,Paramètres!$A$1:$I$89,3,0)*VLOOKUP('Données projet'!$B$11,Paramètres!$A$1:$I$89,5,0)</f>
        <v>105.25320000000005</v>
      </c>
      <c r="BF34" s="13">
        <f t="shared" si="37"/>
        <v>28.209746498519422</v>
      </c>
      <c r="BG34" s="20">
        <f t="shared" si="7"/>
        <v>232.44796515158808</v>
      </c>
      <c r="BH34" s="59">
        <f t="shared" si="8"/>
        <v>525.78129848492142</v>
      </c>
      <c r="BI34" s="59">
        <f ca="1">AVERAGE(OFFSET($BH$3,0,0,'Données projet'!$E$11+1,1))-AVERAGE(OFFSET($H$3,0,0,'Données projet'!$E$11+1,1))</f>
        <v>449.84356201138451</v>
      </c>
      <c r="BJ34" s="59">
        <f t="shared" si="38"/>
        <v>306.61893266146666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8.0298875267115069</v>
      </c>
      <c r="BQ34" s="21">
        <f>EXP(-LN(2)/25)*BQ33+(1-EXP(-LN(2)/25))/(LN(2)/25)*Calculateur!BL34*Calculateur!BN34*VLOOKUP('Données projet'!$B$11,Paramètres!$A$1:$I$89,3,0)*0.475*44/12</f>
        <v>10.208010290400059</v>
      </c>
      <c r="BR34" s="21">
        <f>EXP(-LN(2)/2)*BR33+(1-EXP(-LN(2)/2))/(LN(2)/2)*BL34*BO34*VLOOKUP('Données projet'!$B$11,Paramètres!$A$1:$I$89,3,0)*0.475*44/12</f>
        <v>6.7634046554107066</v>
      </c>
      <c r="BS34" s="22">
        <f t="shared" si="9"/>
        <v>25.001302472522273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14.6</v>
      </c>
      <c r="BY34" s="12">
        <f>IF('Données projet'!$A$114&gt;35,BY33+BX34-CG33,IF(A34&lt;'Données projet'!$A$114,$BV$205^A34,IF(A34='Données projet'!$A$114,'Données projet'!$B$114,BY33+BX34-CG33)))</f>
        <v>174.60000000000005</v>
      </c>
      <c r="BZ34" s="13">
        <f>BY34*VLOOKUP('Données projet'!$B$12,Paramètres!$A$1:$I$89,3,0)*VLOOKUP('Données projet'!$B$12,Paramètres!$A$1:$I$89,5,0)</f>
        <v>104.41080000000004</v>
      </c>
      <c r="CA34" s="13">
        <f t="shared" si="39"/>
        <v>28.010155571424168</v>
      </c>
      <c r="CB34" s="20">
        <f t="shared" si="10"/>
        <v>230.63316428689714</v>
      </c>
      <c r="CC34" s="59">
        <f t="shared" si="11"/>
        <v>523.96649762023048</v>
      </c>
      <c r="CD34" s="59">
        <f ca="1">AVERAGE(OFFSET($CC$3,0,0,'Données projet'!$E$12+1,1))-AVERAGE(OFFSET($H$3,0,0,'Données projet'!$E$12+1,1))</f>
        <v>370.12772664814923</v>
      </c>
      <c r="CE34" s="59">
        <f t="shared" si="40"/>
        <v>292.26503163353146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7.3321606174801763</v>
      </c>
      <c r="CL34" s="21">
        <f>EXP(-LN(2)/25)*CL33+(1-EXP(-LN(2)/25))/(LN(2)/25)*Calculateur!CG34*Calculateur!CI34*VLOOKUP('Données projet'!$B$12,Paramètres!$A$1:$I$89,3,0)*0.475*44/12</f>
        <v>6.4615692364491872</v>
      </c>
      <c r="CM34" s="21">
        <f>EXP(-LN(2)/2)*CM33+(1-EXP(-LN(2)/2))/(LN(2)/2)*CG34*CJ34*VLOOKUP('Données projet'!$B$12,Paramètres!$A$1:$I$89,3,0)*0.475*44/12</f>
        <v>5.6022892980754442</v>
      </c>
      <c r="CN34" s="22">
        <f t="shared" si="12"/>
        <v>19.396019152004808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319.22903094674564</v>
      </c>
      <c r="T35" s="59">
        <f t="shared" si="34"/>
        <v>254.58690973142848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123.35544000000004</v>
      </c>
      <c r="AK35" s="13">
        <f t="shared" si="35"/>
        <v>32.456340035111126</v>
      </c>
      <c r="AL35" s="20">
        <f t="shared" si="4"/>
        <v>271.37218356115193</v>
      </c>
      <c r="AM35" s="59">
        <f t="shared" si="5"/>
        <v>564.7055168944853</v>
      </c>
      <c r="AN35" s="59">
        <f ca="1">AVERAGE(OFFSET($AM$3,0,0,'Données projet'!$E$10+1,1))-AVERAGE(OFFSET($H$3,0,0,'Données projet'!$E$10+1,1))</f>
        <v>475.01366239340246</v>
      </c>
      <c r="AO35" s="59">
        <f t="shared" si="36"/>
        <v>322.81767004794284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8.356883334987268</v>
      </c>
      <c r="AV35" s="21">
        <f>EXP(-LN(2)/25)*AV34+(1-EXP(-LN(2)/25))/(LN(2)/25)*Calculateur!AQ35*Calculateur!AS35*VLOOKUP('Données projet'!$B$10,Paramètres!$A$1:$I$89,3,0)*0.475*44/12</f>
        <v>10.539879202174257</v>
      </c>
      <c r="AW35" s="21">
        <f>EXP(-LN(2)/2)*AW34+(1-EXP(-LN(2)/2))/(LN(2)/2)*AQ35*AT35*VLOOKUP('Données projet'!$B$10,Paramètres!$A$1:$I$89,3,0)*0.475*44/12</f>
        <v>5.0767538677957038</v>
      </c>
      <c r="AX35" s="21">
        <f t="shared" si="6"/>
        <v>23.97351640495723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114.60000000000004</v>
      </c>
      <c r="BE35" s="13">
        <f>BD35*VLOOKUP('Données projet'!$B$11,Paramètres!$A$1:$I$89,3,0)*VLOOKUP('Données projet'!$B$11,Paramètres!$A$1:$I$89,5,0)</f>
        <v>116.20440000000004</v>
      </c>
      <c r="BF35" s="13">
        <f t="shared" si="37"/>
        <v>30.788088768016376</v>
      </c>
      <c r="BG35" s="20">
        <f t="shared" si="7"/>
        <v>256.01191793762854</v>
      </c>
      <c r="BH35" s="59">
        <f t="shared" si="8"/>
        <v>549.34525127096185</v>
      </c>
      <c r="BI35" s="59">
        <f ca="1">AVERAGE(OFFSET($BH$3,0,0,'Données projet'!$E$11+1,1))-AVERAGE(OFFSET($H$3,0,0,'Données projet'!$E$11+1,1))</f>
        <v>449.84356201138451</v>
      </c>
      <c r="BJ35" s="59">
        <f t="shared" si="38"/>
        <v>306.61893266146666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7.8724263300604731</v>
      </c>
      <c r="BQ35" s="21">
        <f>EXP(-LN(2)/25)*BQ34+(1-EXP(-LN(2)/25))/(LN(2)/25)*Calculateur!BL35*Calculateur!BN35*VLOOKUP('Données projet'!$B$11,Paramètres!$A$1:$I$89,3,0)*0.475*44/12</f>
        <v>9.9288717121931391</v>
      </c>
      <c r="BR35" s="21">
        <f>EXP(-LN(2)/2)*BR34+(1-EXP(-LN(2)/2))/(LN(2)/2)*BL35*BO35*VLOOKUP('Données projet'!$B$11,Paramètres!$A$1:$I$89,3,0)*0.475*44/12</f>
        <v>4.7824492957495757</v>
      </c>
      <c r="BS35" s="22">
        <f t="shared" si="9"/>
        <v>22.583747338003189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14.6</v>
      </c>
      <c r="BY35" s="12">
        <f>IF('Données projet'!$A$114&gt;35,BY34+BX35-CG34,IF(A35&lt;'Données projet'!$A$114,$BV$205^A35,IF(A35='Données projet'!$A$114,'Données projet'!$B$114,BY34+BX35-CG34)))</f>
        <v>189.20000000000005</v>
      </c>
      <c r="BZ35" s="13">
        <f>BY35*VLOOKUP('Données projet'!$B$12,Paramètres!$A$1:$I$89,3,0)*VLOOKUP('Données projet'!$B$12,Paramètres!$A$1:$I$89,5,0)</f>
        <v>113.14160000000004</v>
      </c>
      <c r="CA35" s="13">
        <f t="shared" si="39"/>
        <v>30.069952587742019</v>
      </c>
      <c r="CB35" s="20">
        <f t="shared" si="10"/>
        <v>249.42678742365072</v>
      </c>
      <c r="CC35" s="59">
        <f t="shared" si="11"/>
        <v>542.76012075698407</v>
      </c>
      <c r="CD35" s="59">
        <f ca="1">AVERAGE(OFFSET($CC$3,0,0,'Données projet'!$E$12+1,1))-AVERAGE(OFFSET($H$3,0,0,'Données projet'!$E$12+1,1))</f>
        <v>370.12772664814923</v>
      </c>
      <c r="CE35" s="59">
        <f t="shared" si="40"/>
        <v>292.26503163353146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7.1883814199477758</v>
      </c>
      <c r="CL35" s="21">
        <f>EXP(-LN(2)/25)*CL34+(1-EXP(-LN(2)/25))/(LN(2)/25)*Calculateur!CG35*Calculateur!CI35*VLOOKUP('Données projet'!$B$12,Paramètres!$A$1:$I$89,3,0)*0.475*44/12</f>
        <v>6.2848772858793263</v>
      </c>
      <c r="CM35" s="21">
        <f>EXP(-LN(2)/2)*CM34+(1-EXP(-LN(2)/2))/(LN(2)/2)*CG35*CJ35*VLOOKUP('Données projet'!$B$12,Paramètres!$A$1:$I$89,3,0)*0.475*44/12</f>
        <v>3.9614167528379705</v>
      </c>
      <c r="CN35" s="22">
        <f t="shared" si="12"/>
        <v>17.434675458665073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319.22903094674564</v>
      </c>
      <c r="T36" s="59">
        <f t="shared" si="34"/>
        <v>254.58690973142848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134.98056000000003</v>
      </c>
      <c r="AK36" s="13">
        <f t="shared" si="35"/>
        <v>35.144690234680603</v>
      </c>
      <c r="AL36" s="20">
        <f t="shared" si="4"/>
        <v>296.30147749206873</v>
      </c>
      <c r="AM36" s="59">
        <f t="shared" si="5"/>
        <v>589.63481082540204</v>
      </c>
      <c r="AN36" s="59">
        <f ca="1">AVERAGE(OFFSET($AM$3,0,0,'Données projet'!$E$10+1,1))-AVERAGE(OFFSET($H$3,0,0,'Données projet'!$E$10+1,1))</f>
        <v>475.01366239340246</v>
      </c>
      <c r="AO36" s="59">
        <f t="shared" si="36"/>
        <v>322.81767004794284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8.1930099499836953</v>
      </c>
      <c r="AV36" s="21">
        <f>EXP(-LN(2)/25)*AV35+(1-EXP(-LN(2)/25))/(LN(2)/25)*Calculateur!AQ36*Calculateur!AS36*VLOOKUP('Données projet'!$B$10,Paramètres!$A$1:$I$89,3,0)*0.475*44/12</f>
        <v>10.251665651122643</v>
      </c>
      <c r="AW36" s="21">
        <f>EXP(-LN(2)/2)*AW35+(1-EXP(-LN(2)/2))/(LN(2)/2)*AQ36*AT36*VLOOKUP('Données projet'!$B$10,Paramètres!$A$1:$I$89,3,0)*0.475*44/12</f>
        <v>3.589807086333376</v>
      </c>
      <c r="AX36" s="21">
        <f t="shared" si="6"/>
        <v>22.034482687439716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125.40000000000003</v>
      </c>
      <c r="BE36" s="13">
        <f>BD36*VLOOKUP('Données projet'!$B$11,Paramètres!$A$1:$I$89,3,0)*VLOOKUP('Données projet'!$B$11,Paramètres!$A$1:$I$89,5,0)</f>
        <v>127.15560000000004</v>
      </c>
      <c r="BF36" s="13">
        <f t="shared" si="37"/>
        <v>33.338258149231912</v>
      </c>
      <c r="BG36" s="20">
        <f t="shared" si="7"/>
        <v>279.52680294324563</v>
      </c>
      <c r="BH36" s="59">
        <f t="shared" si="8"/>
        <v>572.86013627657894</v>
      </c>
      <c r="BI36" s="59">
        <f ca="1">AVERAGE(OFFSET($BH$3,0,0,'Données projet'!$E$11+1,1))-AVERAGE(OFFSET($H$3,0,0,'Données projet'!$E$11+1,1))</f>
        <v>449.84356201138451</v>
      </c>
      <c r="BJ36" s="59">
        <f t="shared" si="38"/>
        <v>306.61893266146666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7.7180528514339191</v>
      </c>
      <c r="BQ36" s="21">
        <f>EXP(-LN(2)/25)*BQ35+(1-EXP(-LN(2)/25))/(LN(2)/25)*Calculateur!BL36*Calculateur!BN36*VLOOKUP('Données projet'!$B$11,Paramètres!$A$1:$I$89,3,0)*0.475*44/12</f>
        <v>9.6573661930865473</v>
      </c>
      <c r="BR36" s="21">
        <f>EXP(-LN(2)/2)*BR35+(1-EXP(-LN(2)/2))/(LN(2)/2)*BL36*BO36*VLOOKUP('Données projet'!$B$11,Paramètres!$A$1:$I$89,3,0)*0.475*44/12</f>
        <v>3.3817023277053537</v>
      </c>
      <c r="BS36" s="22">
        <f t="shared" si="9"/>
        <v>20.757121372225821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14.6</v>
      </c>
      <c r="BY36" s="12">
        <f>IF('Données projet'!$A$114&gt;35,BY35+BX36-CG35,IF(A36&lt;'Données projet'!$A$114,$BV$205^A36,IF(A36='Données projet'!$A$114,'Données projet'!$B$114,BY35+BX36-CG35)))</f>
        <v>203.80000000000004</v>
      </c>
      <c r="BZ36" s="13">
        <f>BY36*VLOOKUP('Données projet'!$B$12,Paramètres!$A$1:$I$89,3,0)*VLOOKUP('Données projet'!$B$12,Paramètres!$A$1:$I$89,5,0)</f>
        <v>121.87240000000003</v>
      </c>
      <c r="CA36" s="13">
        <f t="shared" si="39"/>
        <v>32.111311550408985</v>
      </c>
      <c r="CB36" s="20">
        <f t="shared" si="10"/>
        <v>268.1882976169623</v>
      </c>
      <c r="CC36" s="59">
        <f t="shared" si="11"/>
        <v>561.52163095029562</v>
      </c>
      <c r="CD36" s="59">
        <f ca="1">AVERAGE(OFFSET($CC$3,0,0,'Données projet'!$E$12+1,1))-AVERAGE(OFFSET($H$3,0,0,'Données projet'!$E$12+1,1))</f>
        <v>370.12772664814923</v>
      </c>
      <c r="CE36" s="59">
        <f t="shared" si="40"/>
        <v>292.26503163353146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7.047421644782335</v>
      </c>
      <c r="CL36" s="21">
        <f>EXP(-LN(2)/25)*CL35+(1-EXP(-LN(2)/25))/(LN(2)/25)*Calculateur!CG36*Calculateur!CI36*VLOOKUP('Données projet'!$B$12,Paramètres!$A$1:$I$89,3,0)*0.475*44/12</f>
        <v>6.1130169859896242</v>
      </c>
      <c r="CM36" s="21">
        <f>EXP(-LN(2)/2)*CM35+(1-EXP(-LN(2)/2))/(LN(2)/2)*CG36*CJ36*VLOOKUP('Données projet'!$B$12,Paramètres!$A$1:$I$89,3,0)*0.475*44/12</f>
        <v>2.8011446490377225</v>
      </c>
      <c r="CN36" s="22">
        <f t="shared" si="12"/>
        <v>15.961583279809682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319.22903094674564</v>
      </c>
      <c r="T37" s="59">
        <f t="shared" si="34"/>
        <v>254.58690973142848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146.60568000000004</v>
      </c>
      <c r="AK37" s="13">
        <f t="shared" si="35"/>
        <v>37.806189668967654</v>
      </c>
      <c r="AL37" s="20">
        <f t="shared" si="4"/>
        <v>321.18400634011869</v>
      </c>
      <c r="AM37" s="59">
        <f t="shared" si="5"/>
        <v>614.51733967345194</v>
      </c>
      <c r="AN37" s="59">
        <f ca="1">AVERAGE(OFFSET($AM$3,0,0,'Données projet'!$E$10+1,1))-AVERAGE(OFFSET($H$3,0,0,'Données projet'!$E$10+1,1))</f>
        <v>475.01366239340246</v>
      </c>
      <c r="AO37" s="59">
        <f t="shared" si="36"/>
        <v>322.81767004794284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8.0323500221071473</v>
      </c>
      <c r="AV37" s="21">
        <f>EXP(-LN(2)/25)*AV36+(1-EXP(-LN(2)/25))/(LN(2)/25)*Calculateur!AQ37*Calculateur!AS37*VLOOKUP('Données projet'!$B$10,Paramètres!$A$1:$I$89,3,0)*0.475*44/12</f>
        <v>9.9713333147810275</v>
      </c>
      <c r="AW37" s="21">
        <f>EXP(-LN(2)/2)*AW36+(1-EXP(-LN(2)/2))/(LN(2)/2)*AQ37*AT37*VLOOKUP('Données projet'!$B$10,Paramètres!$A$1:$I$89,3,0)*0.475*44/12</f>
        <v>2.5383769338978523</v>
      </c>
      <c r="AX37" s="21">
        <f t="shared" si="6"/>
        <v>20.542060270786024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136.20000000000005</v>
      </c>
      <c r="BE37" s="13">
        <f>BD37*VLOOKUP('Données projet'!$B$11,Paramètres!$A$1:$I$89,3,0)*VLOOKUP('Données projet'!$B$11,Paramètres!$A$1:$I$89,5,0)</f>
        <v>138.10680000000005</v>
      </c>
      <c r="BF37" s="13">
        <f t="shared" si="37"/>
        <v>35.862956890686135</v>
      </c>
      <c r="BG37" s="20">
        <f t="shared" si="7"/>
        <v>302.99732658461176</v>
      </c>
      <c r="BH37" s="59">
        <f t="shared" si="8"/>
        <v>596.33065991794501</v>
      </c>
      <c r="BI37" s="59">
        <f ca="1">AVERAGE(OFFSET($BH$3,0,0,'Données projet'!$E$11+1,1))-AVERAGE(OFFSET($H$3,0,0,'Données projet'!$E$11+1,1))</f>
        <v>449.84356201138451</v>
      </c>
      <c r="BJ37" s="59">
        <f t="shared" si="38"/>
        <v>306.61893266146666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7.5667065425647078</v>
      </c>
      <c r="BQ37" s="21">
        <f>EXP(-LN(2)/25)*BQ36+(1-EXP(-LN(2)/25))/(LN(2)/25)*Calculateur!BL37*Calculateur!BN37*VLOOKUP('Données projet'!$B$11,Paramètres!$A$1:$I$89,3,0)*0.475*44/12</f>
        <v>9.3932850066777807</v>
      </c>
      <c r="BR37" s="21">
        <f>EXP(-LN(2)/2)*BR36+(1-EXP(-LN(2)/2))/(LN(2)/2)*BL37*BO37*VLOOKUP('Données projet'!$B$11,Paramètres!$A$1:$I$89,3,0)*0.475*44/12</f>
        <v>2.3912246478747883</v>
      </c>
      <c r="BS37" s="22">
        <f t="shared" si="9"/>
        <v>19.351216197117278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14.6</v>
      </c>
      <c r="BY37" s="12">
        <f>IF('Données projet'!$A$114&gt;35,BY36+BX37-CG36,IF(A37&lt;'Données projet'!$A$114,$BV$205^A37,IF(A37='Données projet'!$A$114,'Données projet'!$B$114,BY36+BX37-CG36)))</f>
        <v>218.40000000000003</v>
      </c>
      <c r="BZ37" s="13">
        <f>BY37*VLOOKUP('Données projet'!$B$12,Paramètres!$A$1:$I$89,3,0)*VLOOKUP('Données projet'!$B$12,Paramètres!$A$1:$I$89,5,0)</f>
        <v>130.60320000000004</v>
      </c>
      <c r="CA37" s="13">
        <f t="shared" si="39"/>
        <v>34.135703567016428</v>
      </c>
      <c r="CB37" s="20">
        <f t="shared" si="10"/>
        <v>286.92025704588701</v>
      </c>
      <c r="CC37" s="59">
        <f t="shared" si="11"/>
        <v>580.25359037922033</v>
      </c>
      <c r="CD37" s="59">
        <f ca="1">AVERAGE(OFFSET($CC$3,0,0,'Données projet'!$E$12+1,1))-AVERAGE(OFFSET($H$3,0,0,'Données projet'!$E$12+1,1))</f>
        <v>370.12772664814923</v>
      </c>
      <c r="CE37" s="59">
        <f t="shared" si="40"/>
        <v>292.26503163353146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6.9092260048309146</v>
      </c>
      <c r="CL37" s="21">
        <f>EXP(-LN(2)/25)*CL36+(1-EXP(-LN(2)/25))/(LN(2)/25)*Calculateur!CG37*Calculateur!CI37*VLOOKUP('Données projet'!$B$12,Paramètres!$A$1:$I$89,3,0)*0.475*44/12</f>
        <v>5.9458562150381464</v>
      </c>
      <c r="CM37" s="21">
        <f>EXP(-LN(2)/2)*CM36+(1-EXP(-LN(2)/2))/(LN(2)/2)*CG37*CJ37*VLOOKUP('Données projet'!$B$12,Paramètres!$A$1:$I$89,3,0)*0.475*44/12</f>
        <v>1.9807083764189855</v>
      </c>
      <c r="CN37" s="22">
        <f t="shared" si="12"/>
        <v>14.835790596288046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319.22903094674564</v>
      </c>
      <c r="T38" s="59">
        <f t="shared" si="34"/>
        <v>254.58690973142848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158.23080000000007</v>
      </c>
      <c r="AK38" s="13">
        <f t="shared" si="35"/>
        <v>40.443209539379019</v>
      </c>
      <c r="AL38" s="20">
        <f t="shared" si="4"/>
        <v>346.02389994775189</v>
      </c>
      <c r="AM38" s="59">
        <f t="shared" si="5"/>
        <v>639.3572332810852</v>
      </c>
      <c r="AN38" s="59">
        <f ca="1">AVERAGE(OFFSET($AM$3,0,0,'Données projet'!$E$10+1,1))-AVERAGE(OFFSET($H$3,0,0,'Données projet'!$E$10+1,1))</f>
        <v>475.01366239340246</v>
      </c>
      <c r="AO38" s="59">
        <f t="shared" si="36"/>
        <v>322.81767004794284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7.8748405374233785</v>
      </c>
      <c r="AV38" s="21">
        <f>EXP(-LN(2)/25)*AV37+(1-EXP(-LN(2)/25))/(LN(2)/25)*Calculateur!AQ38*Calculateur!AS38*VLOOKUP('Données projet'!$B$10,Paramètres!$A$1:$I$89,3,0)*0.475*44/12</f>
        <v>9.698666680918711</v>
      </c>
      <c r="AW38" s="21">
        <f>EXP(-LN(2)/2)*AW37+(1-EXP(-LN(2)/2))/(LN(2)/2)*AQ38*AT38*VLOOKUP('Données projet'!$B$10,Paramètres!$A$1:$I$89,3,0)*0.475*44/12</f>
        <v>1.7949035431666882</v>
      </c>
      <c r="AX38" s="21">
        <f t="shared" si="6"/>
        <v>19.368410761508777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147.00000000000006</v>
      </c>
      <c r="BE38" s="13">
        <f>BD38*VLOOKUP('Données projet'!$B$11,Paramètres!$A$1:$I$89,3,0)*VLOOKUP('Données projet'!$B$11,Paramètres!$A$1:$I$89,5,0)</f>
        <v>149.05800000000008</v>
      </c>
      <c r="BF38" s="13">
        <f t="shared" si="37"/>
        <v>38.364434314370335</v>
      </c>
      <c r="BG38" s="20">
        <f t="shared" si="7"/>
        <v>326.42740643086182</v>
      </c>
      <c r="BH38" s="59">
        <f t="shared" si="8"/>
        <v>619.76073976419514</v>
      </c>
      <c r="BI38" s="59">
        <f ca="1">AVERAGE(OFFSET($BH$3,0,0,'Données projet'!$E$11+1,1))-AVERAGE(OFFSET($H$3,0,0,'Données projet'!$E$11+1,1))</f>
        <v>449.84356201138451</v>
      </c>
      <c r="BJ38" s="59">
        <f t="shared" si="38"/>
        <v>306.61893266146666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7.4183280425002884</v>
      </c>
      <c r="BQ38" s="21">
        <f>EXP(-LN(2)/25)*BQ37+(1-EXP(-LN(2)/25))/(LN(2)/25)*Calculateur!BL38*Calculateur!BN38*VLOOKUP('Données projet'!$B$11,Paramètres!$A$1:$I$89,3,0)*0.475*44/12</f>
        <v>9.1364251341987863</v>
      </c>
      <c r="BR38" s="21">
        <f>EXP(-LN(2)/2)*BR37+(1-EXP(-LN(2)/2))/(LN(2)/2)*BL38*BO38*VLOOKUP('Données projet'!$B$11,Paramètres!$A$1:$I$89,3,0)*0.475*44/12</f>
        <v>1.6908511638526771</v>
      </c>
      <c r="BS38" s="22">
        <f t="shared" si="9"/>
        <v>18.245604340551751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233</v>
      </c>
      <c r="BW38" s="12">
        <f>VLOOKUP(A38,'Données projet'!$A$113:$I$133,9,0)</f>
        <v>14.6</v>
      </c>
      <c r="BX38" s="12">
        <f t="array" ref="BX38">INDEX(BW:BW,MIN(IF(ISNUMBER(BW38:BW234),ROW(BW38:BW234),"")))</f>
        <v>14.6</v>
      </c>
      <c r="BY38" s="12">
        <f>IF('Données projet'!$A$114&gt;35,BY37+BX38-CG37,IF(A38&lt;'Données projet'!$A$114,$BV$205^A38,IF(A38='Données projet'!$A$114,'Données projet'!$B$114,BY37+BX38-CG37)))</f>
        <v>233.00000000000003</v>
      </c>
      <c r="BZ38" s="13">
        <f>BY38*VLOOKUP('Données projet'!$B$12,Paramètres!$A$1:$I$89,3,0)*VLOOKUP('Données projet'!$B$12,Paramètres!$A$1:$I$89,5,0)</f>
        <v>139.33400000000003</v>
      </c>
      <c r="CA38" s="13">
        <f t="shared" si="39"/>
        <v>36.144391930570897</v>
      </c>
      <c r="CB38" s="20">
        <f t="shared" si="10"/>
        <v>305.62486594574438</v>
      </c>
      <c r="CC38" s="59">
        <f t="shared" si="11"/>
        <v>598.95819927907769</v>
      </c>
      <c r="CD38" s="59">
        <f ca="1">AVERAGE(OFFSET($CC$3,0,0,'Données projet'!$E$12+1,1))-AVERAGE(OFFSET($H$3,0,0,'Données projet'!$E$12+1,1))</f>
        <v>370.12772664814923</v>
      </c>
      <c r="CE38" s="59">
        <f t="shared" si="40"/>
        <v>292.26503163353146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41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6.7737402970879241</v>
      </c>
      <c r="CL38" s="21">
        <f>EXP(-LN(2)/25)*CL37+(1-EXP(-LN(2)/25))/(LN(2)/25)*Calculateur!CG38*Calculateur!CI38*VLOOKUP('Données projet'!$B$12,Paramètres!$A$1:$I$89,3,0)*0.475*44/12</f>
        <v>5.7832664641589391</v>
      </c>
      <c r="CM38" s="21">
        <f>EXP(-LN(2)/2)*CM37+(1-EXP(-LN(2)/2))/(LN(2)/2)*CG38*CJ38*VLOOKUP('Données projet'!$B$12,Paramètres!$A$1:$I$89,3,0)*0.475*44/12</f>
        <v>1.4005723245188615</v>
      </c>
      <c r="CN38" s="22">
        <f t="shared" si="12"/>
        <v>13.957579085765726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319.22903094674564</v>
      </c>
      <c r="T39" s="59">
        <f t="shared" si="34"/>
        <v>254.58690973142848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140.14728000000005</v>
      </c>
      <c r="AK39" s="13">
        <f t="shared" si="35"/>
        <v>36.330743209877284</v>
      </c>
      <c r="AL39" s="20">
        <f t="shared" si="4"/>
        <v>307.36589042386964</v>
      </c>
      <c r="AM39" s="59">
        <f t="shared" si="5"/>
        <v>600.69922375720296</v>
      </c>
      <c r="AN39" s="59">
        <f ca="1">AVERAGE(OFFSET($AM$3,0,0,'Données projet'!$E$10+1,1))-AVERAGE(OFFSET($H$3,0,0,'Données projet'!$E$10+1,1))</f>
        <v>475.01366239340246</v>
      </c>
      <c r="AO39" s="59">
        <f t="shared" si="36"/>
        <v>322.81767004794284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7.720419717662959</v>
      </c>
      <c r="AV39" s="21">
        <f>EXP(-LN(2)/25)*AV38+(1-EXP(-LN(2)/25))/(LN(2)/25)*Calculateur!AQ39*Calculateur!AS39*VLOOKUP('Données projet'!$B$10,Paramètres!$A$1:$I$89,3,0)*0.475*44/12</f>
        <v>9.4334561304982749</v>
      </c>
      <c r="AW39" s="21">
        <f>EXP(-LN(2)/2)*AW38+(1-EXP(-LN(2)/2))/(LN(2)/2)*AQ39*AT39*VLOOKUP('Données projet'!$B$10,Paramètres!$A$1:$I$89,3,0)*0.475*44/12</f>
        <v>1.2691884669489264</v>
      </c>
      <c r="AX39" s="21">
        <f t="shared" si="6"/>
        <v>18.42306431511016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130.20000000000005</v>
      </c>
      <c r="BE39" s="13">
        <f>BD39*VLOOKUP('Données projet'!$B$11,Paramètres!$A$1:$I$89,3,0)*VLOOKUP('Données projet'!$B$11,Paramètres!$A$1:$I$89,5,0)</f>
        <v>132.02280000000007</v>
      </c>
      <c r="BF39" s="13">
        <f t="shared" si="37"/>
        <v>34.463348169992798</v>
      </c>
      <c r="BG39" s="20">
        <f t="shared" si="7"/>
        <v>289.96337472940422</v>
      </c>
      <c r="BH39" s="59">
        <f t="shared" si="8"/>
        <v>583.29670806273748</v>
      </c>
      <c r="BI39" s="59">
        <f ca="1">AVERAGE(OFFSET($BH$3,0,0,'Données projet'!$E$11+1,1))-AVERAGE(OFFSET($H$3,0,0,'Données projet'!$E$11+1,1))</f>
        <v>449.84356201138451</v>
      </c>
      <c r="BJ39" s="59">
        <f t="shared" si="38"/>
        <v>306.61893266146666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7.2728591543201837</v>
      </c>
      <c r="BQ39" s="21">
        <f>EXP(-LN(2)/25)*BQ38+(1-EXP(-LN(2)/25))/(LN(2)/25)*Calculateur!BL39*Calculateur!BN39*VLOOKUP('Données projet'!$B$11,Paramètres!$A$1:$I$89,3,0)*0.475*44/12</f>
        <v>8.8865891084404041</v>
      </c>
      <c r="BR39" s="21">
        <f>EXP(-LN(2)/2)*BR38+(1-EXP(-LN(2)/2))/(LN(2)/2)*BL39*BO39*VLOOKUP('Données projet'!$B$11,Paramètres!$A$1:$I$89,3,0)*0.475*44/12</f>
        <v>1.1956123239373941</v>
      </c>
      <c r="BS39" s="22">
        <f t="shared" si="9"/>
        <v>17.355060586697981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14.4</v>
      </c>
      <c r="BY39" s="12">
        <f>IF('Données projet'!$A$114&gt;35,BY38+BX39-CG38,IF(A39&lt;'Données projet'!$A$114,$BV$205^A39,IF(A39='Données projet'!$A$114,'Données projet'!$B$114,BY38+BX39-CG38)))</f>
        <v>206.40000000000003</v>
      </c>
      <c r="BZ39" s="13">
        <f>BY39*VLOOKUP('Données projet'!$B$12,Paramètres!$A$1:$I$89,3,0)*VLOOKUP('Données projet'!$B$12,Paramètres!$A$1:$I$89,5,0)</f>
        <v>123.42720000000003</v>
      </c>
      <c r="CA39" s="13">
        <f t="shared" si="39"/>
        <v>32.473022671122074</v>
      </c>
      <c r="CB39" s="20">
        <f t="shared" si="10"/>
        <v>271.5262211522043</v>
      </c>
      <c r="CC39" s="59">
        <f t="shared" si="11"/>
        <v>564.85955448553761</v>
      </c>
      <c r="CD39" s="59">
        <f ca="1">AVERAGE(OFFSET($CC$3,0,0,'Données projet'!$E$12+1,1))-AVERAGE(OFFSET($H$3,0,0,'Données projet'!$E$12+1,1))</f>
        <v>370.12772664814923</v>
      </c>
      <c r="CE39" s="59">
        <f t="shared" si="40"/>
        <v>292.26503163353146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6.640911381435652</v>
      </c>
      <c r="CL39" s="21">
        <f>EXP(-LN(2)/25)*CL38+(1-EXP(-LN(2)/25))/(LN(2)/25)*Calculateur!CG39*Calculateur!CI39*VLOOKUP('Données projet'!$B$12,Paramètres!$A$1:$I$89,3,0)*0.475*44/12</f>
        <v>5.6251227385677476</v>
      </c>
      <c r="CM39" s="21">
        <f>EXP(-LN(2)/2)*CM38+(1-EXP(-LN(2)/2))/(LN(2)/2)*CG39*CJ39*VLOOKUP('Données projet'!$B$12,Paramètres!$A$1:$I$89,3,0)*0.475*44/12</f>
        <v>0.99035418820949284</v>
      </c>
      <c r="CN39" s="22">
        <f t="shared" si="12"/>
        <v>13.256388308212893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319.22903094674564</v>
      </c>
      <c r="T40" s="59">
        <f t="shared" si="34"/>
        <v>254.58690973142848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152.20296000000002</v>
      </c>
      <c r="AK40" s="13">
        <f t="shared" si="35"/>
        <v>39.078790593326843</v>
      </c>
      <c r="AL40" s="20">
        <f t="shared" si="4"/>
        <v>333.14904895004429</v>
      </c>
      <c r="AM40" s="59">
        <f t="shared" si="5"/>
        <v>626.48238228337755</v>
      </c>
      <c r="AN40" s="59">
        <f ca="1">AVERAGE(OFFSET($AM$3,0,0,'Données projet'!$E$10+1,1))-AVERAGE(OFFSET($H$3,0,0,'Données projet'!$E$10+1,1))</f>
        <v>475.01366239340246</v>
      </c>
      <c r="AO40" s="59">
        <f t="shared" si="36"/>
        <v>322.81767004794284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7.569026995990642</v>
      </c>
      <c r="AV40" s="21">
        <f>EXP(-LN(2)/25)*AV39+(1-EXP(-LN(2)/25))/(LN(2)/25)*Calculateur!AQ40*Calculateur!AS40*VLOOKUP('Données projet'!$B$10,Paramètres!$A$1:$I$89,3,0)*0.475*44/12</f>
        <v>9.1754977765259014</v>
      </c>
      <c r="AW40" s="21">
        <f>EXP(-LN(2)/2)*AW39+(1-EXP(-LN(2)/2))/(LN(2)/2)*AQ40*AT40*VLOOKUP('Données projet'!$B$10,Paramètres!$A$1:$I$89,3,0)*0.475*44/12</f>
        <v>0.89745177158334422</v>
      </c>
      <c r="AX40" s="21">
        <f t="shared" si="6"/>
        <v>17.641976544099887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141.40000000000003</v>
      </c>
      <c r="BE40" s="13">
        <f>BD40*VLOOKUP('Données projet'!$B$11,Paramètres!$A$1:$I$89,3,0)*VLOOKUP('Données projet'!$B$11,Paramètres!$A$1:$I$89,5,0)</f>
        <v>143.37960000000004</v>
      </c>
      <c r="BF40" s="13">
        <f t="shared" si="37"/>
        <v>37.070146308317469</v>
      </c>
      <c r="BG40" s="20">
        <f t="shared" si="7"/>
        <v>314.28330815365302</v>
      </c>
      <c r="BH40" s="59">
        <f t="shared" si="8"/>
        <v>607.61664148698628</v>
      </c>
      <c r="BI40" s="59">
        <f ca="1">AVERAGE(OFFSET($BH$3,0,0,'Données projet'!$E$11+1,1))-AVERAGE(OFFSET($H$3,0,0,'Données projet'!$E$11+1,1))</f>
        <v>449.84356201138451</v>
      </c>
      <c r="BJ40" s="59">
        <f t="shared" si="38"/>
        <v>306.61893266146666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7.1302428223100298</v>
      </c>
      <c r="BQ40" s="21">
        <f>EXP(-LN(2)/25)*BQ39+(1-EXP(-LN(2)/25))/(LN(2)/25)*Calculateur!BL40*Calculateur!BN40*VLOOKUP('Données projet'!$B$11,Paramètres!$A$1:$I$89,3,0)*0.475*44/12</f>
        <v>8.6435848619446904</v>
      </c>
      <c r="BR40" s="21">
        <f>EXP(-LN(2)/2)*BR39+(1-EXP(-LN(2)/2))/(LN(2)/2)*BL40*BO40*VLOOKUP('Données projet'!$B$11,Paramètres!$A$1:$I$89,3,0)*0.475*44/12</f>
        <v>0.84542558192633854</v>
      </c>
      <c r="BS40" s="22">
        <f t="shared" si="9"/>
        <v>16.619253266181058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14.4</v>
      </c>
      <c r="BY40" s="12">
        <f>IF('Données projet'!$A$114&gt;35,BY39+BX40-CG39,IF(A40&lt;'Données projet'!$A$114,$BV$205^A40,IF(A40='Données projet'!$A$114,'Données projet'!$B$114,BY39+BX40-CG39)))</f>
        <v>220.80000000000004</v>
      </c>
      <c r="BZ40" s="13">
        <f>BY40*VLOOKUP('Données projet'!$B$12,Paramètres!$A$1:$I$89,3,0)*VLOOKUP('Données projet'!$B$12,Paramètres!$A$1:$I$89,5,0)</f>
        <v>132.03840000000005</v>
      </c>
      <c r="CA40" s="13">
        <f t="shared" si="39"/>
        <v>34.466946374534373</v>
      </c>
      <c r="CB40" s="20">
        <f t="shared" si="10"/>
        <v>289.99681160231415</v>
      </c>
      <c r="CC40" s="59">
        <f t="shared" si="11"/>
        <v>583.33014493564747</v>
      </c>
      <c r="CD40" s="59">
        <f ca="1">AVERAGE(OFFSET($CC$3,0,0,'Données projet'!$E$12+1,1))-AVERAGE(OFFSET($H$3,0,0,'Données projet'!$E$12+1,1))</f>
        <v>370.12772664814923</v>
      </c>
      <c r="CE40" s="59">
        <f t="shared" si="40"/>
        <v>292.26503163353146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6.510687159801682</v>
      </c>
      <c r="CL40" s="21">
        <f>EXP(-LN(2)/25)*CL39+(1-EXP(-LN(2)/25))/(LN(2)/25)*Calculateur!CG40*Calculateur!CI40*VLOOKUP('Données projet'!$B$12,Paramètres!$A$1:$I$89,3,0)*0.475*44/12</f>
        <v>5.4713034614692644</v>
      </c>
      <c r="CM40" s="21">
        <f>EXP(-LN(2)/2)*CM39+(1-EXP(-LN(2)/2))/(LN(2)/2)*CG40*CJ40*VLOOKUP('Données projet'!$B$12,Paramètres!$A$1:$I$89,3,0)*0.475*44/12</f>
        <v>0.70028616225943086</v>
      </c>
      <c r="CN40" s="22">
        <f t="shared" si="12"/>
        <v>12.682276783530376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319.22903094674564</v>
      </c>
      <c r="T41" s="59">
        <f t="shared" si="34"/>
        <v>254.58690973142848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164.25864000000001</v>
      </c>
      <c r="AK41" s="13">
        <f t="shared" si="35"/>
        <v>41.80159011374478</v>
      </c>
      <c r="AL41" s="20">
        <f t="shared" si="4"/>
        <v>358.88823411477216</v>
      </c>
      <c r="AM41" s="59">
        <f t="shared" si="5"/>
        <v>652.22156744810547</v>
      </c>
      <c r="AN41" s="59">
        <f ca="1">AVERAGE(OFFSET($AM$3,0,0,'Données projet'!$E$10+1,1))-AVERAGE(OFFSET($H$3,0,0,'Données projet'!$E$10+1,1))</f>
        <v>475.01366239340246</v>
      </c>
      <c r="AO41" s="59">
        <f t="shared" si="36"/>
        <v>322.81767004794284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7.4206029932498767</v>
      </c>
      <c r="AV41" s="21">
        <f>EXP(-LN(2)/25)*AV40+(1-EXP(-LN(2)/25))/(LN(2)/25)*Calculateur!AQ41*Calculateur!AS41*VLOOKUP('Données projet'!$B$10,Paramètres!$A$1:$I$89,3,0)*0.475*44/12</f>
        <v>8.9245933073083439</v>
      </c>
      <c r="AW41" s="21">
        <f>EXP(-LN(2)/2)*AW40+(1-EXP(-LN(2)/2))/(LN(2)/2)*AQ41*AT41*VLOOKUP('Données projet'!$B$10,Paramètres!$A$1:$I$89,3,0)*0.475*44/12</f>
        <v>0.6345942334744632</v>
      </c>
      <c r="AX41" s="21">
        <f t="shared" si="6"/>
        <v>16.979790534032684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152.60000000000002</v>
      </c>
      <c r="BE41" s="13">
        <f>BD41*VLOOKUP('Données projet'!$B$11,Paramètres!$A$1:$I$89,3,0)*VLOOKUP('Données projet'!$B$11,Paramètres!$A$1:$I$89,5,0)</f>
        <v>154.73640000000003</v>
      </c>
      <c r="BF41" s="13">
        <f t="shared" si="37"/>
        <v>39.652994320183701</v>
      </c>
      <c r="BG41" s="20">
        <f t="shared" si="7"/>
        <v>338.56152844098665</v>
      </c>
      <c r="BH41" s="59">
        <f t="shared" si="8"/>
        <v>631.89486177431991</v>
      </c>
      <c r="BI41" s="59">
        <f ca="1">AVERAGE(OFFSET($BH$3,0,0,'Données projet'!$E$11+1,1))-AVERAGE(OFFSET($H$3,0,0,'Données projet'!$E$11+1,1))</f>
        <v>449.84356201138451</v>
      </c>
      <c r="BJ41" s="59">
        <f t="shared" si="38"/>
        <v>306.61893266146666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6.9904231095832214</v>
      </c>
      <c r="BQ41" s="21">
        <f>EXP(-LN(2)/25)*BQ40+(1-EXP(-LN(2)/25))/(LN(2)/25)*Calculateur!BL41*Calculateur!BN41*VLOOKUP('Données projet'!$B$11,Paramètres!$A$1:$I$89,3,0)*0.475*44/12</f>
        <v>8.4072255793484398</v>
      </c>
      <c r="BR41" s="21">
        <f>EXP(-LN(2)/2)*BR40+(1-EXP(-LN(2)/2))/(LN(2)/2)*BL41*BO41*VLOOKUP('Données projet'!$B$11,Paramètres!$A$1:$I$89,3,0)*0.475*44/12</f>
        <v>0.59780616196869707</v>
      </c>
      <c r="BS41" s="22">
        <f t="shared" si="9"/>
        <v>15.995454850900357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14.4</v>
      </c>
      <c r="BY41" s="12">
        <f>IF('Données projet'!$A$114&gt;35,BY40+BX41-CG40,IF(A41&lt;'Données projet'!$A$114,$BV$205^A41,IF(A41='Données projet'!$A$114,'Données projet'!$B$114,BY40+BX41-CG40)))</f>
        <v>235.20000000000005</v>
      </c>
      <c r="BZ41" s="13">
        <f>BY41*VLOOKUP('Données projet'!$B$12,Paramètres!$A$1:$I$89,3,0)*VLOOKUP('Données projet'!$B$12,Paramètres!$A$1:$I$89,5,0)</f>
        <v>140.64960000000002</v>
      </c>
      <c r="CA41" s="13">
        <f t="shared" si="39"/>
        <v>36.445779615258601</v>
      </c>
      <c r="CB41" s="20">
        <f t="shared" si="10"/>
        <v>308.44111949657542</v>
      </c>
      <c r="CC41" s="59">
        <f t="shared" si="11"/>
        <v>601.7744528299088</v>
      </c>
      <c r="CD41" s="59">
        <f ca="1">AVERAGE(OFFSET($CC$3,0,0,'Données projet'!$E$12+1,1))-AVERAGE(OFFSET($H$3,0,0,'Données projet'!$E$12+1,1))</f>
        <v>370.12772664814923</v>
      </c>
      <c r="CE41" s="59">
        <f t="shared" si="40"/>
        <v>292.26503163353146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6.383016555725022</v>
      </c>
      <c r="CL41" s="21">
        <f>EXP(-LN(2)/25)*CL40+(1-EXP(-LN(2)/25))/(LN(2)/25)*Calculateur!CG41*Calculateur!CI41*VLOOKUP('Données projet'!$B$12,Paramètres!$A$1:$I$89,3,0)*0.475*44/12</f>
        <v>5.3216903805920435</v>
      </c>
      <c r="CM41" s="21">
        <f>EXP(-LN(2)/2)*CM40+(1-EXP(-LN(2)/2))/(LN(2)/2)*CG41*CJ41*VLOOKUP('Données projet'!$B$12,Paramètres!$A$1:$I$89,3,0)*0.475*44/12</f>
        <v>0.49517709410474653</v>
      </c>
      <c r="CN41" s="22">
        <f t="shared" si="12"/>
        <v>12.199884030421813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319.22903094674564</v>
      </c>
      <c r="T42" s="59">
        <f t="shared" si="34"/>
        <v>254.58690973142848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176.31432000000001</v>
      </c>
      <c r="AK42" s="13">
        <f t="shared" si="35"/>
        <v>44.501205551735517</v>
      </c>
      <c r="AL42" s="20">
        <f t="shared" si="4"/>
        <v>384.58704033593932</v>
      </c>
      <c r="AM42" s="59">
        <f t="shared" si="5"/>
        <v>677.92037366927264</v>
      </c>
      <c r="AN42" s="59">
        <f ca="1">AVERAGE(OFFSET($AM$3,0,0,'Données projet'!$E$10+1,1))-AVERAGE(OFFSET($H$3,0,0,'Données projet'!$E$10+1,1))</f>
        <v>475.01366239340246</v>
      </c>
      <c r="AO42" s="59">
        <f t="shared" si="36"/>
        <v>322.81767004794284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7.2750894946731552</v>
      </c>
      <c r="AV42" s="21">
        <f>EXP(-LN(2)/25)*AV41+(1-EXP(-LN(2)/25))/(LN(2)/25)*Calculateur!AQ42*Calculateur!AS42*VLOOKUP('Données projet'!$B$10,Paramètres!$A$1:$I$89,3,0)*0.475*44/12</f>
        <v>8.6805498339960323</v>
      </c>
      <c r="AW42" s="21">
        <f>EXP(-LN(2)/2)*AW41+(1-EXP(-LN(2)/2))/(LN(2)/2)*AQ42*AT42*VLOOKUP('Données projet'!$B$10,Paramètres!$A$1:$I$89,3,0)*0.475*44/12</f>
        <v>0.44872588579167211</v>
      </c>
      <c r="AX42" s="21">
        <f t="shared" si="6"/>
        <v>16.40436521446086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163.80000000000001</v>
      </c>
      <c r="BE42" s="13">
        <f>BD42*VLOOKUP('Données projet'!$B$11,Paramètres!$A$1:$I$89,3,0)*VLOOKUP('Données projet'!$B$11,Paramètres!$A$1:$I$89,5,0)</f>
        <v>166.09320000000002</v>
      </c>
      <c r="BF42" s="13">
        <f t="shared" si="37"/>
        <v>42.213849908165905</v>
      </c>
      <c r="BG42" s="20">
        <f t="shared" si="7"/>
        <v>362.80144525672227</v>
      </c>
      <c r="BH42" s="59">
        <f t="shared" si="8"/>
        <v>656.13477859005559</v>
      </c>
      <c r="BI42" s="59">
        <f ca="1">AVERAGE(OFFSET($BH$3,0,0,'Données projet'!$E$11+1,1))-AVERAGE(OFFSET($H$3,0,0,'Données projet'!$E$11+1,1))</f>
        <v>449.84356201138451</v>
      </c>
      <c r="BJ42" s="59">
        <f t="shared" si="38"/>
        <v>306.61893266146666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6.8533451761413824</v>
      </c>
      <c r="BQ42" s="21">
        <f>EXP(-LN(2)/25)*BQ41+(1-EXP(-LN(2)/25))/(LN(2)/25)*Calculateur!BL42*Calculateur!BN42*VLOOKUP('Données projet'!$B$11,Paramètres!$A$1:$I$89,3,0)*0.475*44/12</f>
        <v>8.1773295537643786</v>
      </c>
      <c r="BR42" s="21">
        <f>EXP(-LN(2)/2)*BR41+(1-EXP(-LN(2)/2))/(LN(2)/2)*BL42*BO42*VLOOKUP('Données projet'!$B$11,Paramètres!$A$1:$I$89,3,0)*0.475*44/12</f>
        <v>0.42271279096316927</v>
      </c>
      <c r="BS42" s="22">
        <f t="shared" si="9"/>
        <v>15.453387520868931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14.4</v>
      </c>
      <c r="BY42" s="12">
        <f>IF('Données projet'!$A$114&gt;35,BY41+BX42-CG41,IF(A42&lt;'Données projet'!$A$114,$BV$205^A42,IF(A42='Données projet'!$A$114,'Données projet'!$B$114,BY41+BX42-CG41)))</f>
        <v>249.60000000000005</v>
      </c>
      <c r="BZ42" s="13">
        <f>BY42*VLOOKUP('Données projet'!$B$12,Paramètres!$A$1:$I$89,3,0)*VLOOKUP('Données projet'!$B$12,Paramètres!$A$1:$I$89,5,0)</f>
        <v>149.26080000000005</v>
      </c>
      <c r="CA42" s="13">
        <f t="shared" si="39"/>
        <v>38.410551499792909</v>
      </c>
      <c r="CB42" s="20">
        <f t="shared" si="10"/>
        <v>326.86093719547273</v>
      </c>
      <c r="CC42" s="59">
        <f t="shared" si="11"/>
        <v>620.1942705288061</v>
      </c>
      <c r="CD42" s="59">
        <f ca="1">AVERAGE(OFFSET($CC$3,0,0,'Données projet'!$E$12+1,1))-AVERAGE(OFFSET($H$3,0,0,'Données projet'!$E$12+1,1))</f>
        <v>370.12772664814923</v>
      </c>
      <c r="CE42" s="59">
        <f t="shared" si="40"/>
        <v>292.26503163353146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6.2578494943229259</v>
      </c>
      <c r="CL42" s="21">
        <f>EXP(-LN(2)/25)*CL41+(1-EXP(-LN(2)/25))/(LN(2)/25)*Calculateur!CG42*Calculateur!CI42*VLOOKUP('Données projet'!$B$12,Paramètres!$A$1:$I$89,3,0)*0.475*44/12</f>
        <v>5.1761684772792202</v>
      </c>
      <c r="CM42" s="21">
        <f>EXP(-LN(2)/2)*CM41+(1-EXP(-LN(2)/2))/(LN(2)/2)*CG42*CJ42*VLOOKUP('Données projet'!$B$12,Paramètres!$A$1:$I$89,3,0)*0.475*44/12</f>
        <v>0.35014308112971548</v>
      </c>
      <c r="CN42" s="22">
        <f t="shared" si="12"/>
        <v>11.784161052731861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319.22903094674564</v>
      </c>
      <c r="T43" s="59">
        <f t="shared" si="34"/>
        <v>254.58690973142848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188.36999999999998</v>
      </c>
      <c r="AK43" s="13">
        <f t="shared" si="35"/>
        <v>47.179402486491298</v>
      </c>
      <c r="AL43" s="20">
        <f t="shared" si="4"/>
        <v>410.24854266397227</v>
      </c>
      <c r="AM43" s="59">
        <f t="shared" si="5"/>
        <v>703.58187599730559</v>
      </c>
      <c r="AN43" s="59">
        <f ca="1">AVERAGE(OFFSET($AM$3,0,0,'Données projet'!$E$10+1,1))-AVERAGE(OFFSET($H$3,0,0,'Données projet'!$E$10+1,1))</f>
        <v>475.01366239340246</v>
      </c>
      <c r="AO43" s="59">
        <f t="shared" si="36"/>
        <v>322.81767004794284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7.1324294270490531</v>
      </c>
      <c r="AV43" s="21">
        <f>EXP(-LN(2)/25)*AV42+(1-EXP(-LN(2)/25))/(LN(2)/25)*Calculateur!AQ43*Calculateur!AS43*VLOOKUP('Données projet'!$B$10,Paramètres!$A$1:$I$89,3,0)*0.475*44/12</f>
        <v>8.4431797422951345</v>
      </c>
      <c r="AW43" s="21">
        <f>EXP(-LN(2)/2)*AW42+(1-EXP(-LN(2)/2))/(LN(2)/2)*AQ43*AT43*VLOOKUP('Données projet'!$B$10,Paramètres!$A$1:$I$89,3,0)*0.475*44/12</f>
        <v>0.3172971167372316</v>
      </c>
      <c r="AX43" s="21">
        <f t="shared" si="6"/>
        <v>15.892906286081418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175</v>
      </c>
      <c r="BE43" s="13">
        <f>BD43*VLOOKUP('Données projet'!$B$11,Paramètres!$A$1:$I$89,3,0)*VLOOKUP('Données projet'!$B$11,Paramètres!$A$1:$I$89,5,0)</f>
        <v>177.45000000000002</v>
      </c>
      <c r="BF43" s="13">
        <f t="shared" si="37"/>
        <v>44.754387900936791</v>
      </c>
      <c r="BG43" s="20">
        <f t="shared" si="7"/>
        <v>387.0059755941316</v>
      </c>
      <c r="BH43" s="59">
        <f t="shared" si="8"/>
        <v>680.33930892746491</v>
      </c>
      <c r="BI43" s="59">
        <f ca="1">AVERAGE(OFFSET($BH$3,0,0,'Données projet'!$E$11+1,1))-AVERAGE(OFFSET($H$3,0,0,'Données projet'!$E$11+1,1))</f>
        <v>449.84356201138451</v>
      </c>
      <c r="BJ43" s="59">
        <f t="shared" si="38"/>
        <v>306.61893266146666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6.7189552573650539</v>
      </c>
      <c r="BQ43" s="21">
        <f>EXP(-LN(2)/25)*BQ42+(1-EXP(-LN(2)/25))/(LN(2)/25)*Calculateur!BL43*Calculateur!BN43*VLOOKUP('Données projet'!$B$11,Paramètres!$A$1:$I$89,3,0)*0.475*44/12</f>
        <v>7.9537200470896199</v>
      </c>
      <c r="BR43" s="21">
        <f>EXP(-LN(2)/2)*BR42+(1-EXP(-LN(2)/2))/(LN(2)/2)*BL43*BO43*VLOOKUP('Données projet'!$B$11,Paramètres!$A$1:$I$89,3,0)*0.475*44/12</f>
        <v>0.29890308098434853</v>
      </c>
      <c r="BS43" s="22">
        <f t="shared" si="9"/>
        <v>14.971578385439024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264</v>
      </c>
      <c r="BW43" s="12">
        <f>VLOOKUP(A43,'Données projet'!$A$113:$I$133,9,0)</f>
        <v>14.4</v>
      </c>
      <c r="BX43" s="12">
        <f t="array" ref="BX43">INDEX(BW:BW,MIN(IF(ISNUMBER(BW43:BW239),ROW(BW43:BW239),"")))</f>
        <v>14.4</v>
      </c>
      <c r="BY43" s="12">
        <f>IF('Données projet'!$A$114&gt;35,BY42+BX43-CG42,IF(A43&lt;'Données projet'!$A$114,$BV$205^A43,IF(A43='Données projet'!$A$114,'Données projet'!$B$114,BY42+BX43-CG42)))</f>
        <v>264.00000000000006</v>
      </c>
      <c r="BZ43" s="13">
        <f>BY43*VLOOKUP('Données projet'!$B$12,Paramètres!$A$1:$I$89,3,0)*VLOOKUP('Données projet'!$B$12,Paramètres!$A$1:$I$89,5,0)</f>
        <v>157.87200000000004</v>
      </c>
      <c r="CA43" s="13">
        <f t="shared" si="39"/>
        <v>40.362165684361159</v>
      </c>
      <c r="CB43" s="20">
        <f t="shared" si="10"/>
        <v>345.25783856692902</v>
      </c>
      <c r="CC43" s="59">
        <f t="shared" si="11"/>
        <v>638.59117190026234</v>
      </c>
      <c r="CD43" s="59">
        <f ca="1">AVERAGE(OFFSET($CC$3,0,0,'Données projet'!$E$12+1,1))-AVERAGE(OFFSET($H$3,0,0,'Données projet'!$E$12+1,1))</f>
        <v>370.12772664814923</v>
      </c>
      <c r="CE43" s="59">
        <f t="shared" si="40"/>
        <v>292.26503163353146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41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6.1351368826505563</v>
      </c>
      <c r="CL43" s="21">
        <f>EXP(-LN(2)/25)*CL42+(1-EXP(-LN(2)/25))/(LN(2)/25)*Calculateur!CG43*Calculateur!CI43*VLOOKUP('Données projet'!$B$12,Paramètres!$A$1:$I$89,3,0)*0.475*44/12</f>
        <v>5.0346258780651496</v>
      </c>
      <c r="CM43" s="21">
        <f>EXP(-LN(2)/2)*CM42+(1-EXP(-LN(2)/2))/(LN(2)/2)*CG43*CJ43*VLOOKUP('Données projet'!$B$12,Paramètres!$A$1:$I$89,3,0)*0.475*44/12</f>
        <v>0.24758854705237329</v>
      </c>
      <c r="CN43" s="22">
        <f t="shared" si="12"/>
        <v>11.417351307768079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319.22903094674564</v>
      </c>
      <c r="T44" s="59">
        <f t="shared" si="34"/>
        <v>254.58690973142848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170.50175999999999</v>
      </c>
      <c r="AK44" s="13">
        <f t="shared" si="35"/>
        <v>43.202381851006642</v>
      </c>
      <c r="AL44" s="20">
        <f t="shared" si="4"/>
        <v>372.20138039050318</v>
      </c>
      <c r="AM44" s="59">
        <f t="shared" si="5"/>
        <v>665.53471372383649</v>
      </c>
      <c r="AN44" s="59">
        <f ca="1">AVERAGE(OFFSET($AM$3,0,0,'Données projet'!$E$10+1,1))-AVERAGE(OFFSET($H$3,0,0,'Données projet'!$E$10+1,1))</f>
        <v>475.01366239340246</v>
      </c>
      <c r="AO44" s="59">
        <f t="shared" si="36"/>
        <v>322.81767004794284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6.9925668363370104</v>
      </c>
      <c r="AV44" s="21">
        <f>EXP(-LN(2)/25)*AV43+(1-EXP(-LN(2)/25))/(LN(2)/25)*Calculateur!AQ44*Calculateur!AS44*VLOOKUP('Données projet'!$B$10,Paramètres!$A$1:$I$89,3,0)*0.475*44/12</f>
        <v>8.2123005482345484</v>
      </c>
      <c r="AW44" s="21">
        <f>EXP(-LN(2)/2)*AW43+(1-EXP(-LN(2)/2))/(LN(2)/2)*AQ44*AT44*VLOOKUP('Données projet'!$B$10,Paramètres!$A$1:$I$89,3,0)*0.475*44/12</f>
        <v>0.22436294289583605</v>
      </c>
      <c r="AX44" s="21">
        <f t="shared" si="6"/>
        <v>15.429230327467394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158.4</v>
      </c>
      <c r="BE44" s="13">
        <f>BD44*VLOOKUP('Données projet'!$B$11,Paramètres!$A$1:$I$89,3,0)*VLOOKUP('Données projet'!$B$11,Paramètres!$A$1:$I$89,5,0)</f>
        <v>160.61760000000001</v>
      </c>
      <c r="BF44" s="13">
        <f t="shared" si="37"/>
        <v>40.981785561145074</v>
      </c>
      <c r="BG44" s="20">
        <f t="shared" si="7"/>
        <v>351.11892985232771</v>
      </c>
      <c r="BH44" s="59">
        <f t="shared" si="8"/>
        <v>644.45226318566097</v>
      </c>
      <c r="BI44" s="59">
        <f ca="1">AVERAGE(OFFSET($BH$3,0,0,'Données projet'!$E$11+1,1))-AVERAGE(OFFSET($H$3,0,0,'Données projet'!$E$11+1,1))</f>
        <v>449.84356201138451</v>
      </c>
      <c r="BJ44" s="59">
        <f t="shared" si="38"/>
        <v>306.61893266146666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6.5872006429261729</v>
      </c>
      <c r="BQ44" s="21">
        <f>EXP(-LN(2)/25)*BQ43+(1-EXP(-LN(2)/25))/(LN(2)/25)*Calculateur!BL44*Calculateur!BN44*VLOOKUP('Données projet'!$B$11,Paramètres!$A$1:$I$89,3,0)*0.475*44/12</f>
        <v>7.7362251541339955</v>
      </c>
      <c r="BR44" s="21">
        <f>EXP(-LN(2)/2)*BR43+(1-EXP(-LN(2)/2))/(LN(2)/2)*BL44*BO44*VLOOKUP('Données projet'!$B$11,Paramètres!$A$1:$I$89,3,0)*0.475*44/12</f>
        <v>0.21135639548158464</v>
      </c>
      <c r="BS44" s="22">
        <f t="shared" si="9"/>
        <v>14.534782192541751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19</v>
      </c>
      <c r="BY44" s="12">
        <f>IF('Données projet'!$A$114&gt;35,BY43+BX44-CG43,IF(A44&lt;'Données projet'!$A$114,$BV$205^A44,IF(A44='Données projet'!$A$114,'Données projet'!$B$114,BY43+BX44-CG43)))</f>
        <v>242.00000000000006</v>
      </c>
      <c r="BZ44" s="13">
        <f>BY44*VLOOKUP('Données projet'!$B$12,Paramètres!$A$1:$I$89,3,0)*VLOOKUP('Données projet'!$B$12,Paramètres!$A$1:$I$89,5,0)</f>
        <v>144.71600000000007</v>
      </c>
      <c r="CA44" s="13">
        <f t="shared" si="39"/>
        <v>37.375282885096105</v>
      </c>
      <c r="CB44" s="20">
        <f t="shared" si="10"/>
        <v>317.14231769154247</v>
      </c>
      <c r="CC44" s="59">
        <f t="shared" si="11"/>
        <v>610.47565102487579</v>
      </c>
      <c r="CD44" s="59">
        <f ca="1">AVERAGE(OFFSET($CC$3,0,0,'Données projet'!$E$12+1,1))-AVERAGE(OFFSET($H$3,0,0,'Données projet'!$E$12+1,1))</f>
        <v>370.12772664814923</v>
      </c>
      <c r="CE44" s="59">
        <f t="shared" si="40"/>
        <v>292.26503163353146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6.0148305904457793</v>
      </c>
      <c r="CL44" s="21">
        <f>EXP(-LN(2)/25)*CL43+(1-EXP(-LN(2)/25))/(LN(2)/25)*Calculateur!CG44*Calculateur!CI44*VLOOKUP('Données projet'!$B$12,Paramètres!$A$1:$I$89,3,0)*0.475*44/12</f>
        <v>4.8969537686699898</v>
      </c>
      <c r="CM44" s="21">
        <f>EXP(-LN(2)/2)*CM43+(1-EXP(-LN(2)/2))/(LN(2)/2)*CG44*CJ44*VLOOKUP('Données projet'!$B$12,Paramètres!$A$1:$I$89,3,0)*0.475*44/12</f>
        <v>0.17507154056485777</v>
      </c>
      <c r="CN44" s="22">
        <f t="shared" si="12"/>
        <v>11.086855899680627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319.22903094674564</v>
      </c>
      <c r="T45" s="59">
        <f t="shared" si="34"/>
        <v>254.58690973142848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182.77271999999999</v>
      </c>
      <c r="AK45" s="13">
        <f t="shared" si="35"/>
        <v>45.938515386827795</v>
      </c>
      <c r="AL45" s="20">
        <f t="shared" si="4"/>
        <v>398.33873496539172</v>
      </c>
      <c r="AM45" s="59">
        <f t="shared" si="5"/>
        <v>691.67206829872498</v>
      </c>
      <c r="AN45" s="59">
        <f ca="1">AVERAGE(OFFSET($AM$3,0,0,'Données projet'!$E$10+1,1))-AVERAGE(OFFSET($H$3,0,0,'Données projet'!$E$10+1,1))</f>
        <v>475.01366239340246</v>
      </c>
      <c r="AO45" s="59">
        <f t="shared" si="36"/>
        <v>322.81767004794284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6.8554468657210732</v>
      </c>
      <c r="AV45" s="21">
        <f>EXP(-LN(2)/25)*AV44+(1-EXP(-LN(2)/25))/(LN(2)/25)*Calculateur!AQ45*Calculateur!AS45*VLOOKUP('Données projet'!$B$10,Paramètres!$A$1:$I$89,3,0)*0.475*44/12</f>
        <v>7.9877347578769582</v>
      </c>
      <c r="AW45" s="21">
        <f>EXP(-LN(2)/2)*AW44+(1-EXP(-LN(2)/2))/(LN(2)/2)*AQ45*AT45*VLOOKUP('Données projet'!$B$10,Paramètres!$A$1:$I$89,3,0)*0.475*44/12</f>
        <v>0.1586485583686158</v>
      </c>
      <c r="AX45" s="21">
        <f t="shared" si="6"/>
        <v>15.001830181966648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169.8</v>
      </c>
      <c r="BE45" s="13">
        <f>BD45*VLOOKUP('Données projet'!$B$11,Paramètres!$A$1:$I$89,3,0)*VLOOKUP('Données projet'!$B$11,Paramètres!$A$1:$I$89,5,0)</f>
        <v>172.1772</v>
      </c>
      <c r="BF45" s="13">
        <f t="shared" si="37"/>
        <v>43.577282221917017</v>
      </c>
      <c r="BG45" s="20">
        <f t="shared" si="7"/>
        <v>375.77238986983883</v>
      </c>
      <c r="BH45" s="59">
        <f t="shared" si="8"/>
        <v>669.10572320317215</v>
      </c>
      <c r="BI45" s="59">
        <f ca="1">AVERAGE(OFFSET($BH$3,0,0,'Données projet'!$E$11+1,1))-AVERAGE(OFFSET($H$3,0,0,'Données projet'!$E$11+1,1))</f>
        <v>449.84356201138451</v>
      </c>
      <c r="BJ45" s="59">
        <f t="shared" si="38"/>
        <v>306.61893266146666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6.4580296561140589</v>
      </c>
      <c r="BQ45" s="21">
        <f>EXP(-LN(2)/25)*BQ44+(1-EXP(-LN(2)/25))/(LN(2)/25)*Calculateur!BL45*Calculateur!BN45*VLOOKUP('Données projet'!$B$11,Paramètres!$A$1:$I$89,3,0)*0.475*44/12</f>
        <v>7.5246776704638023</v>
      </c>
      <c r="BR45" s="21">
        <f>EXP(-LN(2)/2)*BR44+(1-EXP(-LN(2)/2))/(LN(2)/2)*BL45*BO45*VLOOKUP('Données projet'!$B$11,Paramètres!$A$1:$I$89,3,0)*0.475*44/12</f>
        <v>0.14945154049217427</v>
      </c>
      <c r="BS45" s="22">
        <f t="shared" si="9"/>
        <v>14.132158867070036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19</v>
      </c>
      <c r="BY45" s="12">
        <f>IF('Données projet'!$A$114&gt;35,BY44+BX45-CG44,IF(A45&lt;'Données projet'!$A$114,$BV$205^A45,IF(A45='Données projet'!$A$114,'Données projet'!$B$114,BY44+BX45-CG44)))</f>
        <v>261.00000000000006</v>
      </c>
      <c r="BZ45" s="13">
        <f>BY45*VLOOKUP('Données projet'!$B$12,Paramètres!$A$1:$I$89,3,0)*VLOOKUP('Données projet'!$B$12,Paramètres!$A$1:$I$89,5,0)</f>
        <v>156.07800000000003</v>
      </c>
      <c r="CA45" s="13">
        <f t="shared" si="39"/>
        <v>39.956623674978466</v>
      </c>
      <c r="CB45" s="20">
        <f t="shared" si="10"/>
        <v>341.42696956725422</v>
      </c>
      <c r="CC45" s="59">
        <f t="shared" si="11"/>
        <v>634.76030290058748</v>
      </c>
      <c r="CD45" s="59">
        <f ca="1">AVERAGE(OFFSET($CC$3,0,0,'Données projet'!$E$12+1,1))-AVERAGE(OFFSET($H$3,0,0,'Données projet'!$E$12+1,1))</f>
        <v>370.12772664814923</v>
      </c>
      <c r="CE45" s="59">
        <f t="shared" si="40"/>
        <v>292.26503163353146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5.8968834312515455</v>
      </c>
      <c r="CL45" s="21">
        <f>EXP(-LN(2)/25)*CL44+(1-EXP(-LN(2)/25))/(LN(2)/25)*Calculateur!CG45*Calculateur!CI45*VLOOKUP('Données projet'!$B$12,Paramètres!$A$1:$I$89,3,0)*0.475*44/12</f>
        <v>4.7630463103461027</v>
      </c>
      <c r="CM45" s="21">
        <f>EXP(-LN(2)/2)*CM44+(1-EXP(-LN(2)/2))/(LN(2)/2)*CG45*CJ45*VLOOKUP('Données projet'!$B$12,Paramètres!$A$1:$I$89,3,0)*0.475*44/12</f>
        <v>0.12379427352618667</v>
      </c>
      <c r="CN45" s="22">
        <f t="shared" si="12"/>
        <v>10.783724015123834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319.22903094674564</v>
      </c>
      <c r="T46" s="59">
        <f t="shared" si="34"/>
        <v>254.58690973142848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195.04368000000002</v>
      </c>
      <c r="AK46" s="13">
        <f t="shared" si="35"/>
        <v>48.65333290919024</v>
      </c>
      <c r="AL46" s="20">
        <f t="shared" si="4"/>
        <v>424.43896415017304</v>
      </c>
      <c r="AM46" s="59">
        <f t="shared" si="5"/>
        <v>717.77229748350635</v>
      </c>
      <c r="AN46" s="59">
        <f ca="1">AVERAGE(OFFSET($AM$3,0,0,'Données projet'!$E$10+1,1))-AVERAGE(OFFSET($H$3,0,0,'Données projet'!$E$10+1,1))</f>
        <v>475.01366239340246</v>
      </c>
      <c r="AO46" s="59">
        <f t="shared" si="36"/>
        <v>322.81767004794284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6.7210157340939913</v>
      </c>
      <c r="AV46" s="21">
        <f>EXP(-LN(2)/25)*AV45+(1-EXP(-LN(2)/25))/(LN(2)/25)*Calculateur!AQ46*Calculateur!AS46*VLOOKUP('Données projet'!$B$10,Paramètres!$A$1:$I$89,3,0)*0.475*44/12</f>
        <v>7.7693097308660981</v>
      </c>
      <c r="AW46" s="21">
        <f>EXP(-LN(2)/2)*AW45+(1-EXP(-LN(2)/2))/(LN(2)/2)*AQ46*AT46*VLOOKUP('Données projet'!$B$10,Paramètres!$A$1:$I$89,3,0)*0.475*44/12</f>
        <v>0.11218147144791803</v>
      </c>
      <c r="AX46" s="21">
        <f t="shared" si="6"/>
        <v>14.602506936408009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181.20000000000002</v>
      </c>
      <c r="BE46" s="13">
        <f>BD46*VLOOKUP('Données projet'!$B$11,Paramètres!$A$1:$I$89,3,0)*VLOOKUP('Données projet'!$B$11,Paramètres!$A$1:$I$89,5,0)</f>
        <v>183.73680000000002</v>
      </c>
      <c r="BF46" s="13">
        <f t="shared" si="37"/>
        <v>46.152558509293854</v>
      </c>
      <c r="BG46" s="20">
        <f t="shared" si="7"/>
        <v>400.3906327370201</v>
      </c>
      <c r="BH46" s="59">
        <f t="shared" si="8"/>
        <v>693.72396607035341</v>
      </c>
      <c r="BI46" s="59">
        <f ca="1">AVERAGE(OFFSET($BH$3,0,0,'Données projet'!$E$11+1,1))-AVERAGE(OFFSET($H$3,0,0,'Données projet'!$E$11+1,1))</f>
        <v>449.84356201138451</v>
      </c>
      <c r="BJ46" s="59">
        <f t="shared" si="38"/>
        <v>306.61893266146666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6.3313916335668079</v>
      </c>
      <c r="BQ46" s="21">
        <f>EXP(-LN(2)/25)*BQ45+(1-EXP(-LN(2)/25))/(LN(2)/25)*Calculateur!BL46*Calculateur!BN46*VLOOKUP('Données projet'!$B$11,Paramètres!$A$1:$I$89,3,0)*0.475*44/12</f>
        <v>7.3189149638593687</v>
      </c>
      <c r="BR46" s="21">
        <f>EXP(-LN(2)/2)*BR45+(1-EXP(-LN(2)/2))/(LN(2)/2)*BL46*BO46*VLOOKUP('Données projet'!$B$11,Paramètres!$A$1:$I$89,3,0)*0.475*44/12</f>
        <v>0.10567819774079232</v>
      </c>
      <c r="BS46" s="22">
        <f t="shared" si="9"/>
        <v>13.755984795166968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19</v>
      </c>
      <c r="BY46" s="12">
        <f>IF('Données projet'!$A$114&gt;35,BY45+BX46-CG45,IF(A46&lt;'Données projet'!$A$114,$BV$205^A46,IF(A46='Données projet'!$A$114,'Données projet'!$B$114,BY45+BX46-CG45)))</f>
        <v>280.00000000000006</v>
      </c>
      <c r="BZ46" s="13">
        <f>BY46*VLOOKUP('Données projet'!$B$12,Paramètres!$A$1:$I$89,3,0)*VLOOKUP('Données projet'!$B$12,Paramètres!$A$1:$I$89,5,0)</f>
        <v>167.44000000000005</v>
      </c>
      <c r="CA46" s="13">
        <f t="shared" si="39"/>
        <v>42.516163405082935</v>
      </c>
      <c r="CB46" s="20">
        <f t="shared" si="10"/>
        <v>365.67365126385283</v>
      </c>
      <c r="CC46" s="59">
        <f t="shared" si="11"/>
        <v>659.00698459718615</v>
      </c>
      <c r="CD46" s="59">
        <f ca="1">AVERAGE(OFFSET($CC$3,0,0,'Données projet'!$E$12+1,1))-AVERAGE(OFFSET($H$3,0,0,'Données projet'!$E$12+1,1))</f>
        <v>370.12772664814923</v>
      </c>
      <c r="CE46" s="59">
        <f t="shared" si="40"/>
        <v>292.26503163353146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5.7812491439084468</v>
      </c>
      <c r="CL46" s="21">
        <f>EXP(-LN(2)/25)*CL45+(1-EXP(-LN(2)/25))/(LN(2)/25)*Calculateur!CG46*Calculateur!CI46*VLOOKUP('Données projet'!$B$12,Paramètres!$A$1:$I$89,3,0)*0.475*44/12</f>
        <v>4.6328005585119696</v>
      </c>
      <c r="CM46" s="21">
        <f>EXP(-LN(2)/2)*CM45+(1-EXP(-LN(2)/2))/(LN(2)/2)*CG46*CJ46*VLOOKUP('Données projet'!$B$12,Paramètres!$A$1:$I$89,3,0)*0.475*44/12</f>
        <v>8.7535770282428899E-2</v>
      </c>
      <c r="CN46" s="22">
        <f t="shared" si="12"/>
        <v>10.501585472702846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319.22903094674564</v>
      </c>
      <c r="T47" s="59">
        <f t="shared" si="34"/>
        <v>254.58690973142848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207.31464000000003</v>
      </c>
      <c r="AK47" s="13">
        <f t="shared" si="35"/>
        <v>51.348328156106163</v>
      </c>
      <c r="AL47" s="20">
        <f t="shared" si="4"/>
        <v>450.50466953855158</v>
      </c>
      <c r="AM47" s="59">
        <f t="shared" si="5"/>
        <v>743.8380028718849</v>
      </c>
      <c r="AN47" s="59">
        <f ca="1">AVERAGE(OFFSET($AM$3,0,0,'Données projet'!$E$10+1,1))-AVERAGE(OFFSET($H$3,0,0,'Données projet'!$E$10+1,1))</f>
        <v>475.01366239340246</v>
      </c>
      <c r="AO47" s="59">
        <f t="shared" si="36"/>
        <v>322.81767004794284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6.589220714963222</v>
      </c>
      <c r="AV47" s="21">
        <f>EXP(-LN(2)/25)*AV46+(1-EXP(-LN(2)/25))/(LN(2)/25)*Calculateur!AQ47*Calculateur!AS47*VLOOKUP('Données projet'!$B$10,Paramètres!$A$1:$I$89,3,0)*0.475*44/12</f>
        <v>7.5568575477053228</v>
      </c>
      <c r="AW47" s="21">
        <f>EXP(-LN(2)/2)*AW46+(1-EXP(-LN(2)/2))/(LN(2)/2)*AQ47*AT47*VLOOKUP('Données projet'!$B$10,Paramètres!$A$1:$I$89,3,0)*0.475*44/12</f>
        <v>7.93242791843079E-2</v>
      </c>
      <c r="AX47" s="21">
        <f t="shared" si="6"/>
        <v>14.225402541852853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192.60000000000002</v>
      </c>
      <c r="BE47" s="13">
        <f>BD47*VLOOKUP('Données projet'!$B$11,Paramètres!$A$1:$I$89,3,0)*VLOOKUP('Données projet'!$B$11,Paramètres!$A$1:$I$89,5,0)</f>
        <v>195.29640000000003</v>
      </c>
      <c r="BF47" s="13">
        <f t="shared" si="37"/>
        <v>48.709031383366153</v>
      </c>
      <c r="BG47" s="20">
        <f t="shared" si="7"/>
        <v>424.97612632602949</v>
      </c>
      <c r="BH47" s="59">
        <f t="shared" si="8"/>
        <v>718.3094596593628</v>
      </c>
      <c r="BI47" s="59">
        <f ca="1">AVERAGE(OFFSET($BH$3,0,0,'Données projet'!$E$11+1,1))-AVERAGE(OFFSET($H$3,0,0,'Données projet'!$E$11+1,1))</f>
        <v>449.84356201138451</v>
      </c>
      <c r="BJ47" s="59">
        <f t="shared" si="38"/>
        <v>306.61893266146666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6.2072369054001415</v>
      </c>
      <c r="BQ47" s="21">
        <f>EXP(-LN(2)/25)*BQ46+(1-EXP(-LN(2)/25))/(LN(2)/25)*Calculateur!BL47*Calculateur!BN47*VLOOKUP('Données projet'!$B$11,Paramètres!$A$1:$I$89,3,0)*0.475*44/12</f>
        <v>7.1187788492876241</v>
      </c>
      <c r="BR47" s="21">
        <f>EXP(-LN(2)/2)*BR46+(1-EXP(-LN(2)/2))/(LN(2)/2)*BL47*BO47*VLOOKUP('Données projet'!$B$11,Paramètres!$A$1:$I$89,3,0)*0.475*44/12</f>
        <v>7.4725770246087134E-2</v>
      </c>
      <c r="BS47" s="22">
        <f t="shared" si="9"/>
        <v>13.400741524933853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19</v>
      </c>
      <c r="BY47" s="12">
        <f>IF('Données projet'!$A$114&gt;35,BY46+BX47-CG46,IF(A47&lt;'Données projet'!$A$114,$BV$205^A47,IF(A47='Données projet'!$A$114,'Données projet'!$B$114,BY46+BX47-CG46)))</f>
        <v>299.00000000000006</v>
      </c>
      <c r="BZ47" s="13">
        <f>BY47*VLOOKUP('Données projet'!$B$12,Paramètres!$A$1:$I$89,3,0)*VLOOKUP('Données projet'!$B$12,Paramètres!$A$1:$I$89,5,0)</f>
        <v>178.80200000000002</v>
      </c>
      <c r="CA47" s="13">
        <f t="shared" si="39"/>
        <v>45.055549739375941</v>
      </c>
      <c r="CB47" s="20">
        <f t="shared" si="10"/>
        <v>389.88523246274644</v>
      </c>
      <c r="CC47" s="59">
        <f t="shared" si="11"/>
        <v>683.2185657960797</v>
      </c>
      <c r="CD47" s="59">
        <f ca="1">AVERAGE(OFFSET($CC$3,0,0,'Données projet'!$E$12+1,1))-AVERAGE(OFFSET($H$3,0,0,'Données projet'!$E$12+1,1))</f>
        <v>370.12772664814923</v>
      </c>
      <c r="CE47" s="59">
        <f t="shared" si="40"/>
        <v>292.26503163353146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5.6678823744101949</v>
      </c>
      <c r="CL47" s="21">
        <f>EXP(-LN(2)/25)*CL46+(1-EXP(-LN(2)/25))/(LN(2)/25)*Calculateur!CG47*Calculateur!CI47*VLOOKUP('Données projet'!$B$12,Paramètres!$A$1:$I$89,3,0)*0.475*44/12</f>
        <v>4.5061163836110669</v>
      </c>
      <c r="CM47" s="21">
        <f>EXP(-LN(2)/2)*CM46+(1-EXP(-LN(2)/2))/(LN(2)/2)*CG47*CJ47*VLOOKUP('Données projet'!$B$12,Paramètres!$A$1:$I$89,3,0)*0.475*44/12</f>
        <v>6.1897136763093344E-2</v>
      </c>
      <c r="CN47" s="22">
        <f t="shared" si="12"/>
        <v>10.235895894784356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319.22903094674564</v>
      </c>
      <c r="T48" s="59">
        <f t="shared" si="34"/>
        <v>254.58690973142848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219.58560000000003</v>
      </c>
      <c r="AK48" s="13">
        <f t="shared" si="35"/>
        <v>54.024808047218549</v>
      </c>
      <c r="AL48" s="20">
        <f t="shared" si="4"/>
        <v>476.53812734890562</v>
      </c>
      <c r="AM48" s="59">
        <f t="shared" si="5"/>
        <v>769.87146068223888</v>
      </c>
      <c r="AN48" s="59">
        <f ca="1">AVERAGE(OFFSET($AM$3,0,0,'Données projet'!$E$10+1,1))-AVERAGE(OFFSET($H$3,0,0,'Données projet'!$E$10+1,1))</f>
        <v>475.01366239340246</v>
      </c>
      <c r="AO48" s="59">
        <f t="shared" si="36"/>
        <v>322.81767004794284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6.4600101157705829</v>
      </c>
      <c r="AV48" s="21">
        <f>EXP(-LN(2)/25)*AV47+(1-EXP(-LN(2)/25))/(LN(2)/25)*Calculateur!AQ48*Calculateur!AS48*VLOOKUP('Données projet'!$B$10,Paramètres!$A$1:$I$89,3,0)*0.475*44/12</f>
        <v>7.3502148806654537</v>
      </c>
      <c r="AW48" s="21">
        <f>EXP(-LN(2)/2)*AW47+(1-EXP(-LN(2)/2))/(LN(2)/2)*AQ48*AT48*VLOOKUP('Données projet'!$B$10,Paramètres!$A$1:$I$89,3,0)*0.475*44/12</f>
        <v>5.6090735723959013E-2</v>
      </c>
      <c r="AX48" s="21">
        <f t="shared" si="6"/>
        <v>13.866315732159997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204.00000000000003</v>
      </c>
      <c r="BE48" s="13">
        <f>BD48*VLOOKUP('Données projet'!$B$11,Paramètres!$A$1:$I$89,3,0)*VLOOKUP('Données projet'!$B$11,Paramètres!$A$1:$I$89,5,0)</f>
        <v>206.85600000000005</v>
      </c>
      <c r="BF48" s="13">
        <f t="shared" si="37"/>
        <v>51.247940588293027</v>
      </c>
      <c r="BG48" s="20">
        <f t="shared" si="7"/>
        <v>449.53102985794379</v>
      </c>
      <c r="BH48" s="59">
        <f t="shared" si="8"/>
        <v>742.86436319127711</v>
      </c>
      <c r="BI48" s="59">
        <f ca="1">AVERAGE(OFFSET($BH$3,0,0,'Données projet'!$E$11+1,1))-AVERAGE(OFFSET($H$3,0,0,'Données projet'!$E$11+1,1))</f>
        <v>449.84356201138451</v>
      </c>
      <c r="BJ48" s="59">
        <f t="shared" si="38"/>
        <v>306.61893266146666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6.0855167757259165</v>
      </c>
      <c r="BQ48" s="21">
        <f>EXP(-LN(2)/25)*BQ47+(1-EXP(-LN(2)/25))/(LN(2)/25)*Calculateur!BL48*Calculateur!BN48*VLOOKUP('Données projet'!$B$11,Paramètres!$A$1:$I$89,3,0)*0.475*44/12</f>
        <v>6.9241154672935448</v>
      </c>
      <c r="BR48" s="21">
        <f>EXP(-LN(2)/2)*BR47+(1-EXP(-LN(2)/2))/(LN(2)/2)*BL48*BO48*VLOOKUP('Données projet'!$B$11,Paramètres!$A$1:$I$89,3,0)*0.475*44/12</f>
        <v>5.2839098870396159E-2</v>
      </c>
      <c r="BS48" s="22">
        <f t="shared" si="9"/>
        <v>13.062471341889857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318</v>
      </c>
      <c r="BW48" s="12">
        <f>VLOOKUP(A48,'Données projet'!$A$113:$I$133,9,0)</f>
        <v>19</v>
      </c>
      <c r="BX48" s="12">
        <f t="array" ref="BX48">INDEX(BW:BW,MIN(IF(ISNUMBER(BW48:BW244),ROW(BW48:BW244),"")))</f>
        <v>19</v>
      </c>
      <c r="BY48" s="12">
        <f>IF('Données projet'!$A$114&gt;35,BY47+BX48-CG47,IF(A48&lt;'Données projet'!$A$114,$BV$205^A48,IF(A48='Données projet'!$A$114,'Données projet'!$B$114,BY47+BX48-CG47)))</f>
        <v>318.00000000000006</v>
      </c>
      <c r="BZ48" s="13">
        <f>BY48*VLOOKUP('Données projet'!$B$12,Paramètres!$A$1:$I$89,3,0)*VLOOKUP('Données projet'!$B$12,Paramètres!$A$1:$I$89,5,0)</f>
        <v>190.16400000000004</v>
      </c>
      <c r="CA48" s="13">
        <f t="shared" si="39"/>
        <v>47.576209101852911</v>
      </c>
      <c r="CB48" s="20">
        <f t="shared" si="10"/>
        <v>414.06419751906054</v>
      </c>
      <c r="CC48" s="59">
        <f t="shared" si="11"/>
        <v>707.39753085239386</v>
      </c>
      <c r="CD48" s="59">
        <f ca="1">AVERAGE(OFFSET($CC$3,0,0,'Données projet'!$E$12+1,1))-AVERAGE(OFFSET($H$3,0,0,'Données projet'!$E$12+1,1))</f>
        <v>370.12772664814923</v>
      </c>
      <c r="CE48" s="59">
        <f t="shared" si="40"/>
        <v>292.26503163353146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53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5.5567386581149023</v>
      </c>
      <c r="CL48" s="21">
        <f>EXP(-LN(2)/25)*CL47+(1-EXP(-LN(2)/25))/(LN(2)/25)*Calculateur!CG48*Calculateur!CI48*VLOOKUP('Données projet'!$B$12,Paramètres!$A$1:$I$89,3,0)*0.475*44/12</f>
        <v>4.3828963941348604</v>
      </c>
      <c r="CM48" s="21">
        <f>EXP(-LN(2)/2)*CM47+(1-EXP(-LN(2)/2))/(LN(2)/2)*CG48*CJ48*VLOOKUP('Données projet'!$B$12,Paramètres!$A$1:$I$89,3,0)*0.475*44/12</f>
        <v>4.3767885141214456E-2</v>
      </c>
      <c r="CN48" s="22">
        <f t="shared" si="12"/>
        <v>9.9834029373909772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319.22903094674564</v>
      </c>
      <c r="T49" s="59">
        <f t="shared" si="34"/>
        <v>254.58690973142848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201.2868</v>
      </c>
      <c r="AK49" s="13">
        <f t="shared" si="35"/>
        <v>50.026861773677616</v>
      </c>
      <c r="AL49" s="20">
        <f t="shared" si="4"/>
        <v>437.70462758915511</v>
      </c>
      <c r="AM49" s="59">
        <f t="shared" si="5"/>
        <v>731.03796092248842</v>
      </c>
      <c r="AN49" s="59">
        <f ca="1">AVERAGE(OFFSET($AM$3,0,0,'Données projet'!$E$10+1,1))-AVERAGE(OFFSET($H$3,0,0,'Données projet'!$E$10+1,1))</f>
        <v>475.01366239340246</v>
      </c>
      <c r="AO49" s="59">
        <f t="shared" si="36"/>
        <v>322.81767004794284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6.3333332576174284</v>
      </c>
      <c r="AV49" s="21">
        <f>EXP(-LN(2)/25)*AV48+(1-EXP(-LN(2)/25))/(LN(2)/25)*Calculateur!AQ49*Calculateur!AS49*VLOOKUP('Données projet'!$B$10,Paramètres!$A$1:$I$89,3,0)*0.475*44/12</f>
        <v>7.1492228682226555</v>
      </c>
      <c r="AW49" s="21">
        <f>EXP(-LN(2)/2)*AW48+(1-EXP(-LN(2)/2))/(LN(2)/2)*AQ49*AT49*VLOOKUP('Données projet'!$B$10,Paramètres!$A$1:$I$89,3,0)*0.475*44/12</f>
        <v>3.966213959215395E-2</v>
      </c>
      <c r="AX49" s="21">
        <f t="shared" si="6"/>
        <v>13.522218265432238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187.00000000000003</v>
      </c>
      <c r="BE49" s="13">
        <f>BD49*VLOOKUP('Données projet'!$B$11,Paramètres!$A$1:$I$89,3,0)*VLOOKUP('Données projet'!$B$11,Paramètres!$A$1:$I$89,5,0)</f>
        <v>189.61800000000005</v>
      </c>
      <c r="BF49" s="13">
        <f t="shared" si="37"/>
        <v>47.4554881852685</v>
      </c>
      <c r="BG49" s="20">
        <f t="shared" si="7"/>
        <v>412.90299192267599</v>
      </c>
      <c r="BH49" s="59">
        <f t="shared" si="8"/>
        <v>706.23632525600931</v>
      </c>
      <c r="BI49" s="59">
        <f ca="1">AVERAGE(OFFSET($BH$3,0,0,'Données projet'!$E$11+1,1))-AVERAGE(OFFSET($H$3,0,0,'Données projet'!$E$11+1,1))</f>
        <v>449.84356201138451</v>
      </c>
      <c r="BJ49" s="59">
        <f t="shared" si="38"/>
        <v>306.61893266146666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5.9661835035526547</v>
      </c>
      <c r="BQ49" s="21">
        <f>EXP(-LN(2)/25)*BQ48+(1-EXP(-LN(2)/25))/(LN(2)/25)*Calculateur!BL49*Calculateur!BN49*VLOOKUP('Données projet'!$B$11,Paramètres!$A$1:$I$89,3,0)*0.475*44/12</f>
        <v>6.7347751657169956</v>
      </c>
      <c r="BR49" s="21">
        <f>EXP(-LN(2)/2)*BR48+(1-EXP(-LN(2)/2))/(LN(2)/2)*BL49*BO49*VLOOKUP('Données projet'!$B$11,Paramètres!$A$1:$I$89,3,0)*0.475*44/12</f>
        <v>3.7362885123043567E-2</v>
      </c>
      <c r="BS49" s="22">
        <f t="shared" si="9"/>
        <v>12.738321554392693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17.399999999999999</v>
      </c>
      <c r="BY49" s="12">
        <f>IF('Données projet'!$A$114&gt;35,BY48+BX49-CG48,IF(A49&lt;'Données projet'!$A$114,$BV$205^A49,IF(A49='Données projet'!$A$114,'Données projet'!$B$114,BY48+BX49-CG48)))</f>
        <v>282.40000000000003</v>
      </c>
      <c r="BZ49" s="13">
        <f>BY49*VLOOKUP('Données projet'!$B$12,Paramètres!$A$1:$I$89,3,0)*VLOOKUP('Données projet'!$B$12,Paramètres!$A$1:$I$89,5,0)</f>
        <v>168.87520000000004</v>
      </c>
      <c r="CA49" s="13">
        <f t="shared" si="39"/>
        <v>42.838008554673955</v>
      </c>
      <c r="CB49" s="20">
        <f t="shared" si="10"/>
        <v>368.73383823272388</v>
      </c>
      <c r="CC49" s="59">
        <f t="shared" si="11"/>
        <v>662.06717156605714</v>
      </c>
      <c r="CD49" s="59">
        <f ca="1">AVERAGE(OFFSET($CC$3,0,0,'Données projet'!$E$12+1,1))-AVERAGE(OFFSET($H$3,0,0,'Données projet'!$E$12+1,1))</f>
        <v>370.12772664814923</v>
      </c>
      <c r="CE49" s="59">
        <f t="shared" si="40"/>
        <v>292.26503163353146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5.4477744023051873</v>
      </c>
      <c r="CL49" s="21">
        <f>EXP(-LN(2)/25)*CL48+(1-EXP(-LN(2)/25))/(LN(2)/25)*Calculateur!CG49*Calculateur!CI49*VLOOKUP('Données projet'!$B$12,Paramètres!$A$1:$I$89,3,0)*0.475*44/12</f>
        <v>4.2630458617507383</v>
      </c>
      <c r="CM49" s="21">
        <f>EXP(-LN(2)/2)*CM48+(1-EXP(-LN(2)/2))/(LN(2)/2)*CG49*CJ49*VLOOKUP('Données projet'!$B$12,Paramètres!$A$1:$I$89,3,0)*0.475*44/12</f>
        <v>3.0948568381546679E-2</v>
      </c>
      <c r="CN49" s="22">
        <f t="shared" si="12"/>
        <v>9.7417688324374723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319.22903094674564</v>
      </c>
      <c r="T50" s="59">
        <f t="shared" si="34"/>
        <v>254.58690973142848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213.12720000000002</v>
      </c>
      <c r="AK50" s="13">
        <f t="shared" si="35"/>
        <v>52.618368568459893</v>
      </c>
      <c r="AL50" s="20">
        <f t="shared" si="4"/>
        <v>462.8401985900677</v>
      </c>
      <c r="AM50" s="59">
        <f t="shared" si="5"/>
        <v>756.17353192340101</v>
      </c>
      <c r="AN50" s="59">
        <f ca="1">AVERAGE(OFFSET($AM$3,0,0,'Données projet'!$E$10+1,1))-AVERAGE(OFFSET($H$3,0,0,'Données projet'!$E$10+1,1))</f>
        <v>475.01366239340246</v>
      </c>
      <c r="AO50" s="59">
        <f t="shared" si="36"/>
        <v>322.81767004794284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6.209140455387403</v>
      </c>
      <c r="AV50" s="21">
        <f>EXP(-LN(2)/25)*AV49+(1-EXP(-LN(2)/25))/(LN(2)/25)*Calculateur!AQ50*Calculateur!AS50*VLOOKUP('Données projet'!$B$10,Paramètres!$A$1:$I$89,3,0)*0.475*44/12</f>
        <v>6.9537269929298162</v>
      </c>
      <c r="AW50" s="21">
        <f>EXP(-LN(2)/2)*AW49+(1-EXP(-LN(2)/2))/(LN(2)/2)*AQ50*AT50*VLOOKUP('Données projet'!$B$10,Paramètres!$A$1:$I$89,3,0)*0.475*44/12</f>
        <v>2.8045367861979507E-2</v>
      </c>
      <c r="AX50" s="21">
        <f t="shared" si="6"/>
        <v>13.190912816179198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198.00000000000003</v>
      </c>
      <c r="BE50" s="13">
        <f>BD50*VLOOKUP('Données projet'!$B$11,Paramètres!$A$1:$I$89,3,0)*VLOOKUP('Données projet'!$B$11,Paramètres!$A$1:$I$89,5,0)</f>
        <v>200.77200000000002</v>
      </c>
      <c r="BF50" s="13">
        <f t="shared" si="37"/>
        <v>49.913791898945412</v>
      </c>
      <c r="BG50" s="20">
        <f t="shared" si="7"/>
        <v>436.61108755732994</v>
      </c>
      <c r="BH50" s="59">
        <f t="shared" si="8"/>
        <v>729.9444208906632</v>
      </c>
      <c r="BI50" s="59">
        <f ca="1">AVERAGE(OFFSET($BH$3,0,0,'Données projet'!$E$11+1,1))-AVERAGE(OFFSET($H$3,0,0,'Données projet'!$E$11+1,1))</f>
        <v>449.84356201138451</v>
      </c>
      <c r="BJ50" s="59">
        <f t="shared" si="38"/>
        <v>306.61893266146666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5.8491902840606018</v>
      </c>
      <c r="BQ50" s="21">
        <f>EXP(-LN(2)/25)*BQ49+(1-EXP(-LN(2)/25))/(LN(2)/25)*Calculateur!BL50*Calculateur!BN50*VLOOKUP('Données projet'!$B$11,Paramètres!$A$1:$I$89,3,0)*0.475*44/12</f>
        <v>6.5506123846440314</v>
      </c>
      <c r="BR50" s="21">
        <f>EXP(-LN(2)/2)*BR49+(1-EXP(-LN(2)/2))/(LN(2)/2)*BL50*BO50*VLOOKUP('Données projet'!$B$11,Paramètres!$A$1:$I$89,3,0)*0.475*44/12</f>
        <v>2.6419549435198079E-2</v>
      </c>
      <c r="BS50" s="22">
        <f t="shared" si="9"/>
        <v>12.426222218139833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17.399999999999999</v>
      </c>
      <c r="BY50" s="12">
        <f>IF('Données projet'!$A$114&gt;35,BY49+BX50-CG49,IF(A50&lt;'Données projet'!$A$114,$BV$205^A50,IF(A50='Données projet'!$A$114,'Données projet'!$B$114,BY49+BX50-CG49)))</f>
        <v>299.8</v>
      </c>
      <c r="BZ50" s="13">
        <f>BY50*VLOOKUP('Données projet'!$B$12,Paramètres!$A$1:$I$89,3,0)*VLOOKUP('Données projet'!$B$12,Paramètres!$A$1:$I$89,5,0)</f>
        <v>179.28040000000001</v>
      </c>
      <c r="CA50" s="13">
        <f t="shared" si="39"/>
        <v>45.162051118824294</v>
      </c>
      <c r="CB50" s="20">
        <f t="shared" si="10"/>
        <v>390.90393569861902</v>
      </c>
      <c r="CC50" s="59">
        <f t="shared" si="11"/>
        <v>684.23726903195234</v>
      </c>
      <c r="CD50" s="59">
        <f ca="1">AVERAGE(OFFSET($CC$3,0,0,'Données projet'!$E$12+1,1))-AVERAGE(OFFSET($H$3,0,0,'Données projet'!$E$12+1,1))</f>
        <v>370.12772664814923</v>
      </c>
      <c r="CE50" s="59">
        <f t="shared" si="40"/>
        <v>292.26503163353146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5.3409468690902671</v>
      </c>
      <c r="CL50" s="21">
        <f>EXP(-LN(2)/25)*CL49+(1-EXP(-LN(2)/25))/(LN(2)/25)*Calculateur!CG50*Calculateur!CI50*VLOOKUP('Données projet'!$B$12,Paramètres!$A$1:$I$89,3,0)*0.475*44/12</f>
        <v>4.1464726484773262</v>
      </c>
      <c r="CM50" s="21">
        <f>EXP(-LN(2)/2)*CM49+(1-EXP(-LN(2)/2))/(LN(2)/2)*CG50*CJ50*VLOOKUP('Données projet'!$B$12,Paramètres!$A$1:$I$89,3,0)*0.475*44/12</f>
        <v>2.1883942570607232E-2</v>
      </c>
      <c r="CN50" s="22">
        <f t="shared" si="12"/>
        <v>9.5093034601382005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319.22903094674564</v>
      </c>
      <c r="T51" s="59">
        <f t="shared" si="34"/>
        <v>254.58690973142848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224.96760000000003</v>
      </c>
      <c r="AK51" s="13">
        <f t="shared" si="35"/>
        <v>55.193161946335238</v>
      </c>
      <c r="AL51" s="20">
        <f t="shared" si="4"/>
        <v>487.94666038986719</v>
      </c>
      <c r="AM51" s="59">
        <f t="shared" si="5"/>
        <v>781.2799937232005</v>
      </c>
      <c r="AN51" s="59">
        <f ca="1">AVERAGE(OFFSET($AM$3,0,0,'Données projet'!$E$10+1,1))-AVERAGE(OFFSET($H$3,0,0,'Données projet'!$E$10+1,1))</f>
        <v>475.01366239340246</v>
      </c>
      <c r="AO51" s="59">
        <f t="shared" si="36"/>
        <v>322.81767004794284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6.0873829982589784</v>
      </c>
      <c r="AV51" s="21">
        <f>EXP(-LN(2)/25)*AV50+(1-EXP(-LN(2)/25))/(LN(2)/25)*Calculateur!AQ51*Calculateur!AS51*VLOOKUP('Données projet'!$B$10,Paramètres!$A$1:$I$89,3,0)*0.475*44/12</f>
        <v>6.7635769626275408</v>
      </c>
      <c r="AW51" s="21">
        <f>EXP(-LN(2)/2)*AW50+(1-EXP(-LN(2)/2))/(LN(2)/2)*AQ51*AT51*VLOOKUP('Données projet'!$B$10,Paramètres!$A$1:$I$89,3,0)*0.475*44/12</f>
        <v>1.9831069796076975E-2</v>
      </c>
      <c r="AX51" s="21">
        <f t="shared" si="6"/>
        <v>12.870791030682597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209.00000000000003</v>
      </c>
      <c r="BE51" s="13">
        <f>BD51*VLOOKUP('Données projet'!$B$11,Paramètres!$A$1:$I$89,3,0)*VLOOKUP('Données projet'!$B$11,Paramètres!$A$1:$I$89,5,0)</f>
        <v>211.92600000000004</v>
      </c>
      <c r="BF51" s="13">
        <f t="shared" si="37"/>
        <v>52.356241262970165</v>
      </c>
      <c r="BG51" s="20">
        <f t="shared" si="7"/>
        <v>460.29157019967312</v>
      </c>
      <c r="BH51" s="59">
        <f t="shared" si="8"/>
        <v>753.62490353300643</v>
      </c>
      <c r="BI51" s="59">
        <f ca="1">AVERAGE(OFFSET($BH$3,0,0,'Données projet'!$E$11+1,1))-AVERAGE(OFFSET($H$3,0,0,'Données projet'!$E$11+1,1))</f>
        <v>449.84356201138451</v>
      </c>
      <c r="BJ51" s="59">
        <f t="shared" si="38"/>
        <v>306.61893266146666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5.7344912302439699</v>
      </c>
      <c r="BQ51" s="21">
        <f>EXP(-LN(2)/25)*BQ50+(1-EXP(-LN(2)/25))/(LN(2)/25)*Calculateur!BL51*Calculateur!BN51*VLOOKUP('Données projet'!$B$11,Paramètres!$A$1:$I$89,3,0)*0.475*44/12</f>
        <v>6.3714855445042069</v>
      </c>
      <c r="BR51" s="21">
        <f>EXP(-LN(2)/2)*BR50+(1-EXP(-LN(2)/2))/(LN(2)/2)*BL51*BO51*VLOOKUP('Données projet'!$B$11,Paramètres!$A$1:$I$89,3,0)*0.475*44/12</f>
        <v>1.8681442561521783E-2</v>
      </c>
      <c r="BS51" s="22">
        <f t="shared" si="9"/>
        <v>12.124658217309699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17.399999999999999</v>
      </c>
      <c r="BY51" s="12">
        <f>IF('Données projet'!$A$114&gt;35,BY50+BX51-CG50,IF(A51&lt;'Données projet'!$A$114,$BV$205^A51,IF(A51='Données projet'!$A$114,'Données projet'!$B$114,BY50+BX51-CG50)))</f>
        <v>317.2</v>
      </c>
      <c r="BZ51" s="13">
        <f>BY51*VLOOKUP('Données projet'!$B$12,Paramètres!$A$1:$I$89,3,0)*VLOOKUP('Données projet'!$B$12,Paramètres!$A$1:$I$89,5,0)</f>
        <v>189.68560000000002</v>
      </c>
      <c r="CA51" s="13">
        <f t="shared" si="39"/>
        <v>47.470436776872745</v>
      </c>
      <c r="CB51" s="20">
        <f t="shared" si="10"/>
        <v>413.04676405305344</v>
      </c>
      <c r="CC51" s="59">
        <f t="shared" si="11"/>
        <v>706.38009738638675</v>
      </c>
      <c r="CD51" s="59">
        <f ca="1">AVERAGE(OFFSET($CC$3,0,0,'Données projet'!$E$12+1,1))-AVERAGE(OFFSET($H$3,0,0,'Données projet'!$E$12+1,1))</f>
        <v>370.12772664814923</v>
      </c>
      <c r="CE51" s="59">
        <f t="shared" si="40"/>
        <v>292.26503163353146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5.23621415864333</v>
      </c>
      <c r="CL51" s="21">
        <f>EXP(-LN(2)/25)*CL50+(1-EXP(-LN(2)/25))/(LN(2)/25)*Calculateur!CG51*Calculateur!CI51*VLOOKUP('Données projet'!$B$12,Paramètres!$A$1:$I$89,3,0)*0.475*44/12</f>
        <v>4.0330871358511944</v>
      </c>
      <c r="CM51" s="21">
        <f>EXP(-LN(2)/2)*CM50+(1-EXP(-LN(2)/2))/(LN(2)/2)*CG51*CJ51*VLOOKUP('Données projet'!$B$12,Paramètres!$A$1:$I$89,3,0)*0.475*44/12</f>
        <v>1.5474284190773341E-2</v>
      </c>
      <c r="CN51" s="22">
        <f t="shared" si="12"/>
        <v>9.2847755786852986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319.22903094674564</v>
      </c>
      <c r="T52" s="59">
        <f t="shared" si="34"/>
        <v>254.58690973142848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236.80800000000002</v>
      </c>
      <c r="AK52" s="13">
        <f t="shared" si="35"/>
        <v>57.752221878398714</v>
      </c>
      <c r="AL52" s="20">
        <f t="shared" si="4"/>
        <v>513.02571977154446</v>
      </c>
      <c r="AM52" s="59">
        <f t="shared" si="5"/>
        <v>806.35905310487783</v>
      </c>
      <c r="AN52" s="59">
        <f ca="1">AVERAGE(OFFSET($AM$3,0,0,'Données projet'!$E$10+1,1))-AVERAGE(OFFSET($H$3,0,0,'Données projet'!$E$10+1,1))</f>
        <v>475.01366239340246</v>
      </c>
      <c r="AO52" s="59">
        <f t="shared" si="36"/>
        <v>322.81767004794284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5.9680131306001272</v>
      </c>
      <c r="AV52" s="21">
        <f>EXP(-LN(2)/25)*AV51+(1-EXP(-LN(2)/25))/(LN(2)/25)*Calculateur!AQ52*Calculateur!AS52*VLOOKUP('Données projet'!$B$10,Paramètres!$A$1:$I$89,3,0)*0.475*44/12</f>
        <v>6.5786265949034366</v>
      </c>
      <c r="AW52" s="21">
        <f>EXP(-LN(2)/2)*AW51+(1-EXP(-LN(2)/2))/(LN(2)/2)*AQ52*AT52*VLOOKUP('Données projet'!$B$10,Paramètres!$A$1:$I$89,3,0)*0.475*44/12</f>
        <v>1.4022683930989753E-2</v>
      </c>
      <c r="AX52" s="21">
        <f t="shared" si="6"/>
        <v>12.560662409434553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220.00000000000003</v>
      </c>
      <c r="BE52" s="13">
        <f>BD52*VLOOKUP('Données projet'!$B$11,Paramètres!$A$1:$I$89,3,0)*VLOOKUP('Données projet'!$B$11,Paramètres!$A$1:$I$89,5,0)</f>
        <v>223.08000000000004</v>
      </c>
      <c r="BF52" s="13">
        <f t="shared" si="37"/>
        <v>54.783765878062667</v>
      </c>
      <c r="BG52" s="20">
        <f t="shared" si="7"/>
        <v>483.94605890429256</v>
      </c>
      <c r="BH52" s="59">
        <f t="shared" si="8"/>
        <v>777.27939223762587</v>
      </c>
      <c r="BI52" s="59">
        <f ca="1">AVERAGE(OFFSET($BH$3,0,0,'Données projet'!$E$11+1,1))-AVERAGE(OFFSET($H$3,0,0,'Données projet'!$E$11+1,1))</f>
        <v>449.84356201138451</v>
      </c>
      <c r="BJ52" s="59">
        <f t="shared" si="38"/>
        <v>306.61893266146666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5.6220413549131676</v>
      </c>
      <c r="BQ52" s="21">
        <f>EXP(-LN(2)/25)*BQ51+(1-EXP(-LN(2)/25))/(LN(2)/25)*Calculateur!BL52*Calculateur!BN52*VLOOKUP('Données projet'!$B$11,Paramètres!$A$1:$I$89,3,0)*0.475*44/12</f>
        <v>6.197256937227877</v>
      </c>
      <c r="BR52" s="21">
        <f>EXP(-LN(2)/2)*BR51+(1-EXP(-LN(2)/2))/(LN(2)/2)*BL52*BO52*VLOOKUP('Données projet'!$B$11,Paramètres!$A$1:$I$89,3,0)*0.475*44/12</f>
        <v>1.320977471759904E-2</v>
      </c>
      <c r="BS52" s="22">
        <f t="shared" si="9"/>
        <v>11.832508066858644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17.399999999999999</v>
      </c>
      <c r="BY52" s="12">
        <f>IF('Données projet'!$A$114&gt;35,BY51+BX52-CG51,IF(A52&lt;'Données projet'!$A$114,$BV$205^A52,IF(A52='Données projet'!$A$114,'Données projet'!$B$114,BY51+BX52-CG51)))</f>
        <v>334.59999999999997</v>
      </c>
      <c r="BZ52" s="13">
        <f>BY52*VLOOKUP('Données projet'!$B$12,Paramètres!$A$1:$I$89,3,0)*VLOOKUP('Données projet'!$B$12,Paramètres!$A$1:$I$89,5,0)</f>
        <v>200.0908</v>
      </c>
      <c r="CA52" s="13">
        <f t="shared" si="39"/>
        <v>49.764122289960234</v>
      </c>
      <c r="CB52" s="20">
        <f t="shared" si="10"/>
        <v>435.16398965501406</v>
      </c>
      <c r="CC52" s="59">
        <f t="shared" si="11"/>
        <v>728.49732298834738</v>
      </c>
      <c r="CD52" s="59">
        <f ca="1">AVERAGE(OFFSET($CC$3,0,0,'Données projet'!$E$12+1,1))-AVERAGE(OFFSET($H$3,0,0,'Données projet'!$E$12+1,1))</f>
        <v>370.12772664814923</v>
      </c>
      <c r="CE52" s="59">
        <f t="shared" si="40"/>
        <v>292.26503163353146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5.1335351927676118</v>
      </c>
      <c r="CL52" s="21">
        <f>EXP(-LN(2)/25)*CL51+(1-EXP(-LN(2)/25))/(LN(2)/25)*Calculateur!CG52*Calculateur!CI52*VLOOKUP('Données projet'!$B$12,Paramètres!$A$1:$I$89,3,0)*0.475*44/12</f>
        <v>3.9228021560305089</v>
      </c>
      <c r="CM52" s="21">
        <f>EXP(-LN(2)/2)*CM51+(1-EXP(-LN(2)/2))/(LN(2)/2)*CG52*CJ52*VLOOKUP('Données projet'!$B$12,Paramètres!$A$1:$I$89,3,0)*0.475*44/12</f>
        <v>1.0941971285303618E-2</v>
      </c>
      <c r="CN52" s="22">
        <f t="shared" si="12"/>
        <v>9.0672793200834239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319.22903094674564</v>
      </c>
      <c r="T53" s="59">
        <f t="shared" si="34"/>
        <v>254.58690973142848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248.64840000000004</v>
      </c>
      <c r="AK53" s="13">
        <f t="shared" si="35"/>
        <v>60.296424802828774</v>
      </c>
      <c r="AL53" s="20">
        <f t="shared" si="4"/>
        <v>538.07890319826015</v>
      </c>
      <c r="AM53" s="59">
        <f t="shared" si="5"/>
        <v>831.41223653159341</v>
      </c>
      <c r="AN53" s="59">
        <f ca="1">AVERAGE(OFFSET($AM$3,0,0,'Données projet'!$E$10+1,1))-AVERAGE(OFFSET($H$3,0,0,'Données projet'!$E$10+1,1))</f>
        <v>475.01366239340246</v>
      </c>
      <c r="AO53" s="59">
        <f t="shared" si="36"/>
        <v>322.81767004794284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5.8509840332376353</v>
      </c>
      <c r="AV53" s="21">
        <f>EXP(-LN(2)/25)*AV52+(1-EXP(-LN(2)/25))/(LN(2)/25)*Calculateur!AQ53*Calculateur!AS53*VLOOKUP('Données projet'!$B$10,Paramètres!$A$1:$I$89,3,0)*0.475*44/12</f>
        <v>6.3987337047108648</v>
      </c>
      <c r="AW53" s="21">
        <f>EXP(-LN(2)/2)*AW52+(1-EXP(-LN(2)/2))/(LN(2)/2)*AQ53*AT53*VLOOKUP('Données projet'!$B$10,Paramètres!$A$1:$I$89,3,0)*0.475*44/12</f>
        <v>9.9155348980384875E-3</v>
      </c>
      <c r="AX53" s="21">
        <f t="shared" si="6"/>
        <v>12.259633272846539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231.00000000000003</v>
      </c>
      <c r="BE53" s="13">
        <f>BD53*VLOOKUP('Données projet'!$B$11,Paramètres!$A$1:$I$89,3,0)*VLOOKUP('Données projet'!$B$11,Paramètres!$A$1:$I$89,5,0)</f>
        <v>234.23400000000007</v>
      </c>
      <c r="BF53" s="13">
        <f t="shared" si="37"/>
        <v>57.197197133603488</v>
      </c>
      <c r="BG53" s="20">
        <f t="shared" si="7"/>
        <v>507.57600167435953</v>
      </c>
      <c r="BH53" s="59">
        <f t="shared" si="8"/>
        <v>800.90933500769279</v>
      </c>
      <c r="BI53" s="59">
        <f ca="1">AVERAGE(OFFSET($BH$3,0,0,'Données projet'!$E$11+1,1))-AVERAGE(OFFSET($H$3,0,0,'Données projet'!$E$11+1,1))</f>
        <v>449.84356201138451</v>
      </c>
      <c r="BJ53" s="59">
        <f t="shared" si="38"/>
        <v>306.61893266146666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5.5117965530499511</v>
      </c>
      <c r="BQ53" s="21">
        <f>EXP(-LN(2)/25)*BQ52+(1-EXP(-LN(2)/25))/(LN(2)/25)*Calculateur!BL53*Calculateur!BN53*VLOOKUP('Données projet'!$B$11,Paramètres!$A$1:$I$89,3,0)*0.475*44/12</f>
        <v>6.0277926203798025</v>
      </c>
      <c r="BR53" s="21">
        <f>EXP(-LN(2)/2)*BR52+(1-EXP(-LN(2)/2))/(LN(2)/2)*BL53*BO53*VLOOKUP('Données projet'!$B$11,Paramètres!$A$1:$I$89,3,0)*0.475*44/12</f>
        <v>9.3407212807608917E-3</v>
      </c>
      <c r="BS53" s="22">
        <f t="shared" si="9"/>
        <v>11.548929894710515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352</v>
      </c>
      <c r="BW53" s="12">
        <f>VLOOKUP(A53,'Données projet'!$A$113:$I$133,9,0)</f>
        <v>17.399999999999999</v>
      </c>
      <c r="BX53" s="12">
        <f t="array" ref="BX53">INDEX(BW:BW,MIN(IF(ISNUMBER(BW53:BW249),ROW(BW53:BW249),"")))</f>
        <v>17.399999999999999</v>
      </c>
      <c r="BY53" s="12">
        <f>IF('Données projet'!$A$114&gt;35,BY52+BX53-CG52,IF(A53&lt;'Données projet'!$A$114,$BV$205^A53,IF(A53='Données projet'!$A$114,'Données projet'!$B$114,BY52+BX53-CG52)))</f>
        <v>351.99999999999994</v>
      </c>
      <c r="BZ53" s="13">
        <f>BY53*VLOOKUP('Données projet'!$B$12,Paramètres!$A$1:$I$89,3,0)*VLOOKUP('Données projet'!$B$12,Paramètres!$A$1:$I$89,5,0)</f>
        <v>210.49599999999998</v>
      </c>
      <c r="CA53" s="13">
        <f t="shared" si="39"/>
        <v>52.043959291168463</v>
      </c>
      <c r="CB53" s="20">
        <f t="shared" si="10"/>
        <v>457.25709576545165</v>
      </c>
      <c r="CC53" s="59">
        <f t="shared" si="11"/>
        <v>750.59042909878497</v>
      </c>
      <c r="CD53" s="59">
        <f ca="1">AVERAGE(OFFSET($CC$3,0,0,'Données projet'!$E$12+1,1))-AVERAGE(OFFSET($H$3,0,0,'Données projet'!$E$12+1,1))</f>
        <v>370.12772664814923</v>
      </c>
      <c r="CE53" s="59">
        <f t="shared" si="40"/>
        <v>292.26503163353146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53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5.0328696987847312</v>
      </c>
      <c r="CL53" s="21">
        <f>EXP(-LN(2)/25)*CL52+(1-EXP(-LN(2)/25))/(LN(2)/25)*Calculateur!CG53*Calculateur!CI53*VLOOKUP('Données projet'!$B$12,Paramètres!$A$1:$I$89,3,0)*0.475*44/12</f>
        <v>3.815532924782655</v>
      </c>
      <c r="CM53" s="21">
        <f>EXP(-LN(2)/2)*CM52+(1-EXP(-LN(2)/2))/(LN(2)/2)*CG53*CJ53*VLOOKUP('Données projet'!$B$12,Paramètres!$A$1:$I$89,3,0)*0.475*44/12</f>
        <v>7.7371420953866715E-3</v>
      </c>
      <c r="CN53" s="22">
        <f t="shared" si="12"/>
        <v>8.8561397656627729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319.22903094674564</v>
      </c>
      <c r="T54" s="59">
        <f t="shared" si="34"/>
        <v>254.58690973142848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229.48848000000001</v>
      </c>
      <c r="AK54" s="13">
        <f t="shared" si="35"/>
        <v>56.17206461989467</v>
      </c>
      <c r="AL54" s="20">
        <f t="shared" si="4"/>
        <v>497.52544854631657</v>
      </c>
      <c r="AM54" s="59">
        <f t="shared" si="5"/>
        <v>790.85878187964988</v>
      </c>
      <c r="AN54" s="59">
        <f ca="1">AVERAGE(OFFSET($AM$3,0,0,'Données projet'!$E$10+1,1))-AVERAGE(OFFSET($H$3,0,0,'Données projet'!$E$10+1,1))</f>
        <v>475.01366239340246</v>
      </c>
      <c r="AO54" s="59">
        <f t="shared" si="36"/>
        <v>322.81767004794284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5.7362498050937205</v>
      </c>
      <c r="AV54" s="21">
        <f>EXP(-LN(2)/25)*AV53+(1-EXP(-LN(2)/25))/(LN(2)/25)*Calculateur!AQ54*Calculateur!AS54*VLOOKUP('Données projet'!$B$10,Paramètres!$A$1:$I$89,3,0)*0.475*44/12</f>
        <v>6.2237599950607647</v>
      </c>
      <c r="AW54" s="21">
        <f>EXP(-LN(2)/2)*AW53+(1-EXP(-LN(2)/2))/(LN(2)/2)*AQ54*AT54*VLOOKUP('Données projet'!$B$10,Paramètres!$A$1:$I$89,3,0)*0.475*44/12</f>
        <v>7.0113419654948767E-3</v>
      </c>
      <c r="AX54" s="21">
        <f t="shared" si="6"/>
        <v>11.967021142119979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213.20000000000002</v>
      </c>
      <c r="BE54" s="13">
        <f>BD54*VLOOKUP('Données projet'!$B$11,Paramètres!$A$1:$I$89,3,0)*VLOOKUP('Données projet'!$B$11,Paramètres!$A$1:$I$89,5,0)</f>
        <v>216.18480000000002</v>
      </c>
      <c r="BF54" s="13">
        <f t="shared" si="37"/>
        <v>53.284828478170375</v>
      </c>
      <c r="BG54" s="20">
        <f t="shared" si="7"/>
        <v>469.3262695994801</v>
      </c>
      <c r="BH54" s="59">
        <f t="shared" si="8"/>
        <v>762.65960293281341</v>
      </c>
      <c r="BI54" s="59">
        <f ca="1">AVERAGE(OFFSET($BH$3,0,0,'Données projet'!$E$11+1,1))-AVERAGE(OFFSET($H$3,0,0,'Données projet'!$E$11+1,1))</f>
        <v>449.84356201138451</v>
      </c>
      <c r="BJ54" s="59">
        <f t="shared" si="38"/>
        <v>306.61893266146666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5.4037135845085826</v>
      </c>
      <c r="BQ54" s="21">
        <f>EXP(-LN(2)/25)*BQ53+(1-EXP(-LN(2)/25))/(LN(2)/25)*Calculateur!BL54*Calculateur!BN54*VLOOKUP('Données projet'!$B$11,Paramètres!$A$1:$I$89,3,0)*0.475*44/12</f>
        <v>5.8629623141876799</v>
      </c>
      <c r="BR54" s="21">
        <f>EXP(-LN(2)/2)*BR53+(1-EXP(-LN(2)/2))/(LN(2)/2)*BL54*BO54*VLOOKUP('Données projet'!$B$11,Paramètres!$A$1:$I$89,3,0)*0.475*44/12</f>
        <v>6.6048873587995199E-3</v>
      </c>
      <c r="BS54" s="22">
        <f t="shared" si="9"/>
        <v>11.273280786055063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17.625</v>
      </c>
      <c r="BY54" s="12">
        <f>IF('Données projet'!$A$114&gt;35,BY53+BX54-CG53,IF(A54&lt;'Données projet'!$A$114,$BV$205^A54,IF(A54='Données projet'!$A$114,'Données projet'!$B$114,BY53+BX54-CG53)))</f>
        <v>316.62499999999994</v>
      </c>
      <c r="BZ54" s="13">
        <f>BY54*VLOOKUP('Données projet'!$B$12,Paramètres!$A$1:$I$89,3,0)*VLOOKUP('Données projet'!$B$12,Paramètres!$A$1:$I$89,5,0)</f>
        <v>189.34174999999999</v>
      </c>
      <c r="CA54" s="13">
        <f t="shared" si="39"/>
        <v>47.394393740797923</v>
      </c>
      <c r="CB54" s="20">
        <f t="shared" si="10"/>
        <v>412.31545034855634</v>
      </c>
      <c r="CC54" s="59">
        <f t="shared" si="11"/>
        <v>705.64878368188965</v>
      </c>
      <c r="CD54" s="59">
        <f ca="1">AVERAGE(OFFSET($CC$3,0,0,'Données projet'!$E$12+1,1))-AVERAGE(OFFSET($H$3,0,0,'Données projet'!$E$12+1,1))</f>
        <v>370.12772664814923</v>
      </c>
      <c r="CE54" s="59">
        <f t="shared" si="40"/>
        <v>292.26503163353146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4.9341781937389664</v>
      </c>
      <c r="CL54" s="21">
        <f>EXP(-LN(2)/25)*CL53+(1-EXP(-LN(2)/25))/(LN(2)/25)*Calculateur!CG54*Calculateur!CI54*VLOOKUP('Données projet'!$B$12,Paramètres!$A$1:$I$89,3,0)*0.475*44/12</f>
        <v>3.7111969763043176</v>
      </c>
      <c r="CM54" s="21">
        <f>EXP(-LN(2)/2)*CM53+(1-EXP(-LN(2)/2))/(LN(2)/2)*CG54*CJ54*VLOOKUP('Données projet'!$B$12,Paramètres!$A$1:$I$89,3,0)*0.475*44/12</f>
        <v>5.4709856426518096E-3</v>
      </c>
      <c r="CN54" s="22">
        <f t="shared" si="12"/>
        <v>8.6508461556859366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319.22903094674564</v>
      </c>
      <c r="T55" s="59">
        <f t="shared" si="34"/>
        <v>254.58690973142848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240.46776</v>
      </c>
      <c r="AK55" s="13">
        <f t="shared" si="35"/>
        <v>58.540159917256176</v>
      </c>
      <c r="AL55" s="20">
        <f t="shared" si="4"/>
        <v>520.77212718922112</v>
      </c>
      <c r="AM55" s="59">
        <f t="shared" si="5"/>
        <v>814.10546052255449</v>
      </c>
      <c r="AN55" s="59">
        <f ca="1">AVERAGE(OFFSET($AM$3,0,0,'Données projet'!$E$10+1,1))-AVERAGE(OFFSET($H$3,0,0,'Données projet'!$E$10+1,1))</f>
        <v>475.01366239340246</v>
      </c>
      <c r="AO55" s="59">
        <f t="shared" si="36"/>
        <v>322.81767004794284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5.6237654451827392</v>
      </c>
      <c r="AV55" s="21">
        <f>EXP(-LN(2)/25)*AV54+(1-EXP(-LN(2)/25))/(LN(2)/25)*Calculateur!AQ55*Calculateur!AS55*VLOOKUP('Données projet'!$B$10,Paramètres!$A$1:$I$89,3,0)*0.475*44/12</f>
        <v>6.0535709507025146</v>
      </c>
      <c r="AW55" s="21">
        <f>EXP(-LN(2)/2)*AW54+(1-EXP(-LN(2)/2))/(LN(2)/2)*AQ55*AT55*VLOOKUP('Données projet'!$B$10,Paramètres!$A$1:$I$89,3,0)*0.475*44/12</f>
        <v>4.9577674490192437E-3</v>
      </c>
      <c r="AX55" s="21">
        <f t="shared" si="6"/>
        <v>11.682294163334273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223.4</v>
      </c>
      <c r="BE55" s="13">
        <f>BD55*VLOOKUP('Données projet'!$B$11,Paramètres!$A$1:$I$89,3,0)*VLOOKUP('Données projet'!$B$11,Paramètres!$A$1:$I$89,5,0)</f>
        <v>226.52760000000001</v>
      </c>
      <c r="BF55" s="13">
        <f t="shared" si="37"/>
        <v>55.531204013656371</v>
      </c>
      <c r="BG55" s="20">
        <f t="shared" si="7"/>
        <v>491.25241699045142</v>
      </c>
      <c r="BH55" s="59">
        <f t="shared" si="8"/>
        <v>784.58575032378474</v>
      </c>
      <c r="BI55" s="59">
        <f ca="1">AVERAGE(OFFSET($BH$3,0,0,'Données projet'!$E$11+1,1))-AVERAGE(OFFSET($H$3,0,0,'Données projet'!$E$11+1,1))</f>
        <v>449.84356201138451</v>
      </c>
      <c r="BJ55" s="59">
        <f t="shared" si="38"/>
        <v>306.61893266146666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5.2977500570562093</v>
      </c>
      <c r="BQ55" s="21">
        <f>EXP(-LN(2)/25)*BQ54+(1-EXP(-LN(2)/25))/(LN(2)/25)*Calculateur!BL55*Calculateur!BN55*VLOOKUP('Données projet'!$B$11,Paramètres!$A$1:$I$89,3,0)*0.475*44/12</f>
        <v>5.70263930138643</v>
      </c>
      <c r="BR55" s="21">
        <f>EXP(-LN(2)/2)*BR54+(1-EXP(-LN(2)/2))/(LN(2)/2)*BL55*BO55*VLOOKUP('Données projet'!$B$11,Paramètres!$A$1:$I$89,3,0)*0.475*44/12</f>
        <v>4.6703606403804459E-3</v>
      </c>
      <c r="BS55" s="22">
        <f t="shared" si="9"/>
        <v>11.00505971908302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17.625</v>
      </c>
      <c r="BY55" s="12">
        <f>IF('Données projet'!$A$114&gt;35,BY54+BX55-CG54,IF(A55&lt;'Données projet'!$A$114,$BV$205^A55,IF(A55='Données projet'!$A$114,'Données projet'!$B$114,BY54+BX55-CG54)))</f>
        <v>334.24999999999994</v>
      </c>
      <c r="BZ55" s="13">
        <f>BY55*VLOOKUP('Données projet'!$B$12,Paramètres!$A$1:$I$89,3,0)*VLOOKUP('Données projet'!$B$12,Paramètres!$A$1:$I$89,5,0)</f>
        <v>199.88149999999996</v>
      </c>
      <c r="CA55" s="13">
        <f t="shared" si="39"/>
        <v>49.71812411377941</v>
      </c>
      <c r="CB55" s="20">
        <f t="shared" si="10"/>
        <v>434.71934533149914</v>
      </c>
      <c r="CC55" s="59">
        <f t="shared" si="11"/>
        <v>728.05267866483246</v>
      </c>
      <c r="CD55" s="59">
        <f ca="1">AVERAGE(OFFSET($CC$3,0,0,'Données projet'!$E$12+1,1))-AVERAGE(OFFSET($H$3,0,0,'Données projet'!$E$12+1,1))</f>
        <v>370.12772664814923</v>
      </c>
      <c r="CE55" s="59">
        <f t="shared" si="40"/>
        <v>292.26503163353146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4.8374219689112747</v>
      </c>
      <c r="CL55" s="21">
        <f>EXP(-LN(2)/25)*CL54+(1-EXP(-LN(2)/25))/(LN(2)/25)*Calculateur!CG55*Calculateur!CI55*VLOOKUP('Données projet'!$B$12,Paramètres!$A$1:$I$89,3,0)*0.475*44/12</f>
        <v>3.609714099823909</v>
      </c>
      <c r="CM55" s="21">
        <f>EXP(-LN(2)/2)*CM54+(1-EXP(-LN(2)/2))/(LN(2)/2)*CG55*CJ55*VLOOKUP('Données projet'!$B$12,Paramètres!$A$1:$I$89,3,0)*0.475*44/12</f>
        <v>3.8685710476933366E-3</v>
      </c>
      <c r="CN55" s="22">
        <f t="shared" si="12"/>
        <v>8.4510046397828766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319.22903094674564</v>
      </c>
      <c r="T56" s="59">
        <f t="shared" si="34"/>
        <v>254.58690973142848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251.44704000000002</v>
      </c>
      <c r="AK56" s="13">
        <f t="shared" si="35"/>
        <v>60.895698530162839</v>
      </c>
      <c r="AL56" s="20">
        <f t="shared" si="4"/>
        <v>543.99693627336694</v>
      </c>
      <c r="AM56" s="59">
        <f t="shared" si="5"/>
        <v>837.33026960670031</v>
      </c>
      <c r="AN56" s="59">
        <f ca="1">AVERAGE(OFFSET($AM$3,0,0,'Données projet'!$E$10+1,1))-AVERAGE(OFFSET($H$3,0,0,'Données projet'!$E$10+1,1))</f>
        <v>475.01366239340246</v>
      </c>
      <c r="AO56" s="59">
        <f t="shared" si="36"/>
        <v>322.81767004794284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5.5134868349609274</v>
      </c>
      <c r="AV56" s="21">
        <f>EXP(-LN(2)/25)*AV55+(1-EXP(-LN(2)/25))/(LN(2)/25)*Calculateur!AQ56*Calculateur!AS56*VLOOKUP('Données projet'!$B$10,Paramètres!$A$1:$I$89,3,0)*0.475*44/12</f>
        <v>5.8880357347120933</v>
      </c>
      <c r="AW56" s="21">
        <f>EXP(-LN(2)/2)*AW55+(1-EXP(-LN(2)/2))/(LN(2)/2)*AQ56*AT56*VLOOKUP('Données projet'!$B$10,Paramètres!$A$1:$I$89,3,0)*0.475*44/12</f>
        <v>3.5056709827474383E-3</v>
      </c>
      <c r="AX56" s="21">
        <f t="shared" si="6"/>
        <v>11.405028240655767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233.6</v>
      </c>
      <c r="BE56" s="13">
        <f>BD56*VLOOKUP('Données projet'!$B$11,Paramètres!$A$1:$I$89,3,0)*VLOOKUP('Données projet'!$B$11,Paramètres!$A$1:$I$89,5,0)</f>
        <v>236.87040000000002</v>
      </c>
      <c r="BF56" s="13">
        <f t="shared" si="37"/>
        <v>57.765668276484661</v>
      </c>
      <c r="BG56" s="20">
        <f t="shared" si="7"/>
        <v>513.15781891487757</v>
      </c>
      <c r="BH56" s="59">
        <f t="shared" si="8"/>
        <v>806.49115224821094</v>
      </c>
      <c r="BI56" s="59">
        <f ca="1">AVERAGE(OFFSET($BH$3,0,0,'Données projet'!$E$11+1,1))-AVERAGE(OFFSET($H$3,0,0,'Données projet'!$E$11+1,1))</f>
        <v>449.84356201138451</v>
      </c>
      <c r="BJ56" s="59">
        <f t="shared" si="38"/>
        <v>306.61893266146666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5.1938644097458067</v>
      </c>
      <c r="BQ56" s="21">
        <f>EXP(-LN(2)/25)*BQ55+(1-EXP(-LN(2)/25))/(LN(2)/25)*Calculateur!BL56*Calculateur!BN56*VLOOKUP('Données projet'!$B$11,Paramètres!$A$1:$I$89,3,0)*0.475*44/12</f>
        <v>5.5467003298012507</v>
      </c>
      <c r="BR56" s="21">
        <f>EXP(-LN(2)/2)*BR55+(1-EXP(-LN(2)/2))/(LN(2)/2)*BL56*BO56*VLOOKUP('Données projet'!$B$11,Paramètres!$A$1:$I$89,3,0)*0.475*44/12</f>
        <v>3.3024436793997599E-3</v>
      </c>
      <c r="BS56" s="22">
        <f t="shared" si="9"/>
        <v>10.743867183226458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17.625</v>
      </c>
      <c r="BY56" s="12">
        <f>IF('Données projet'!$A$114&gt;35,BY55+BX56-CG55,IF(A56&lt;'Données projet'!$A$114,$BV$205^A56,IF(A56='Données projet'!$A$114,'Données projet'!$B$114,BY55+BX56-CG55)))</f>
        <v>351.87499999999994</v>
      </c>
      <c r="BZ56" s="13">
        <f>BY56*VLOOKUP('Données projet'!$B$12,Paramètres!$A$1:$I$89,3,0)*VLOOKUP('Données projet'!$B$12,Paramètres!$A$1:$I$89,5,0)</f>
        <v>210.42124999999999</v>
      </c>
      <c r="CA56" s="13">
        <f t="shared" si="39"/>
        <v>52.027628682866947</v>
      </c>
      <c r="CB56" s="20">
        <f t="shared" si="10"/>
        <v>457.09846370599325</v>
      </c>
      <c r="CC56" s="59">
        <f t="shared" si="11"/>
        <v>750.43179703932651</v>
      </c>
      <c r="CD56" s="59">
        <f ca="1">AVERAGE(OFFSET($CC$3,0,0,'Données projet'!$E$12+1,1))-AVERAGE(OFFSET($H$3,0,0,'Données projet'!$E$12+1,1))</f>
        <v>370.12772664814923</v>
      </c>
      <c r="CE56" s="59">
        <f t="shared" si="40"/>
        <v>292.26503163353146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4.7425630746369842</v>
      </c>
      <c r="CL56" s="21">
        <f>EXP(-LN(2)/25)*CL55+(1-EXP(-LN(2)/25))/(LN(2)/25)*Calculateur!CG56*Calculateur!CI56*VLOOKUP('Données projet'!$B$12,Paramètres!$A$1:$I$89,3,0)*0.475*44/12</f>
        <v>3.5110062779376099</v>
      </c>
      <c r="CM56" s="21">
        <f>EXP(-LN(2)/2)*CM55+(1-EXP(-LN(2)/2))/(LN(2)/2)*CG56*CJ56*VLOOKUP('Données projet'!$B$12,Paramètres!$A$1:$I$89,3,0)*0.475*44/12</f>
        <v>2.7354928213259052E-3</v>
      </c>
      <c r="CN56" s="22">
        <f t="shared" si="12"/>
        <v>8.2563048453959205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319.22903094674564</v>
      </c>
      <c r="T57" s="59">
        <f t="shared" si="34"/>
        <v>254.58690973142848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262.42631999999998</v>
      </c>
      <c r="AK57" s="13">
        <f t="shared" si="35"/>
        <v>63.239291401748304</v>
      </c>
      <c r="AL57" s="20">
        <f t="shared" si="4"/>
        <v>567.20093985804488</v>
      </c>
      <c r="AM57" s="59">
        <f t="shared" si="5"/>
        <v>860.53427319137813</v>
      </c>
      <c r="AN57" s="59">
        <f ca="1">AVERAGE(OFFSET($AM$3,0,0,'Données projet'!$E$10+1,1))-AVERAGE(OFFSET($H$3,0,0,'Données projet'!$E$10+1,1))</f>
        <v>475.01366239340246</v>
      </c>
      <c r="AO57" s="59">
        <f t="shared" si="36"/>
        <v>322.81767004794284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5.4053707210222548</v>
      </c>
      <c r="AV57" s="21">
        <f>EXP(-LN(2)/25)*AV56+(1-EXP(-LN(2)/25))/(LN(2)/25)*Calculateur!AQ57*Calculateur!AS57*VLOOKUP('Données projet'!$B$10,Paramètres!$A$1:$I$89,3,0)*0.475*44/12</f>
        <v>5.7270270879080494</v>
      </c>
      <c r="AW57" s="21">
        <f>EXP(-LN(2)/2)*AW56+(1-EXP(-LN(2)/2))/(LN(2)/2)*AQ57*AT57*VLOOKUP('Données projet'!$B$10,Paramètres!$A$1:$I$89,3,0)*0.475*44/12</f>
        <v>2.4788837245096219E-3</v>
      </c>
      <c r="AX57" s="21">
        <f t="shared" si="6"/>
        <v>11.134876692654814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243.79999999999998</v>
      </c>
      <c r="BE57" s="13">
        <f>BD57*VLOOKUP('Données projet'!$B$11,Paramètres!$A$1:$I$89,3,0)*VLOOKUP('Données projet'!$B$11,Paramètres!$A$1:$I$89,5,0)</f>
        <v>247.2132</v>
      </c>
      <c r="BF57" s="13">
        <f t="shared" si="37"/>
        <v>59.988800807398761</v>
      </c>
      <c r="BG57" s="20">
        <f t="shared" si="7"/>
        <v>535.04348473955281</v>
      </c>
      <c r="BH57" s="59">
        <f t="shared" si="8"/>
        <v>828.37681807288618</v>
      </c>
      <c r="BI57" s="59">
        <f ca="1">AVERAGE(OFFSET($BH$3,0,0,'Données projet'!$E$11+1,1))-AVERAGE(OFFSET($H$3,0,0,'Données projet'!$E$11+1,1))</f>
        <v>449.84356201138451</v>
      </c>
      <c r="BJ57" s="59">
        <f t="shared" si="38"/>
        <v>306.61893266146666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5.0920158966151732</v>
      </c>
      <c r="BQ57" s="21">
        <f>EXP(-LN(2)/25)*BQ56+(1-EXP(-LN(2)/25))/(LN(2)/25)*Calculateur!BL57*Calculateur!BN57*VLOOKUP('Données projet'!$B$11,Paramètres!$A$1:$I$89,3,0)*0.475*44/12</f>
        <v>5.3950255175945427</v>
      </c>
      <c r="BR57" s="21">
        <f>EXP(-LN(2)/2)*BR56+(1-EXP(-LN(2)/2))/(LN(2)/2)*BL57*BO57*VLOOKUP('Données projet'!$B$11,Paramètres!$A$1:$I$89,3,0)*0.475*44/12</f>
        <v>2.3351803201902229E-3</v>
      </c>
      <c r="BS57" s="22">
        <f t="shared" si="9"/>
        <v>10.489376594529906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17.625</v>
      </c>
      <c r="BY57" s="12">
        <f>IF('Données projet'!$A$114&gt;35,BY56+BX57-CG56,IF(A57&lt;'Données projet'!$A$114,$BV$205^A57,IF(A57='Données projet'!$A$114,'Données projet'!$B$114,BY56+BX57-CG56)))</f>
        <v>369.49999999999994</v>
      </c>
      <c r="BZ57" s="13">
        <f>BY57*VLOOKUP('Données projet'!$B$12,Paramètres!$A$1:$I$89,3,0)*VLOOKUP('Données projet'!$B$12,Paramètres!$A$1:$I$89,5,0)</f>
        <v>220.96099999999996</v>
      </c>
      <c r="CA57" s="13">
        <f t="shared" si="39"/>
        <v>54.323701308314696</v>
      </c>
      <c r="CB57" s="20">
        <f t="shared" si="10"/>
        <v>479.45418811198141</v>
      </c>
      <c r="CC57" s="59">
        <f t="shared" si="11"/>
        <v>772.78752144531472</v>
      </c>
      <c r="CD57" s="59">
        <f ca="1">AVERAGE(OFFSET($CC$3,0,0,'Données projet'!$E$12+1,1))-AVERAGE(OFFSET($H$3,0,0,'Données projet'!$E$12+1,1))</f>
        <v>370.12772664814923</v>
      </c>
      <c r="CE57" s="59">
        <f t="shared" si="40"/>
        <v>292.26503163353146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4.6495643054212001</v>
      </c>
      <c r="CL57" s="21">
        <f>EXP(-LN(2)/25)*CL56+(1-EXP(-LN(2)/25))/(LN(2)/25)*Calculateur!CG57*Calculateur!CI57*VLOOKUP('Données projet'!$B$12,Paramètres!$A$1:$I$89,3,0)*0.475*44/12</f>
        <v>3.4149976266316102</v>
      </c>
      <c r="CM57" s="21">
        <f>EXP(-LN(2)/2)*CM56+(1-EXP(-LN(2)/2))/(LN(2)/2)*CG57*CJ57*VLOOKUP('Données projet'!$B$12,Paramètres!$A$1:$I$89,3,0)*0.475*44/12</f>
        <v>1.9342855238466685E-3</v>
      </c>
      <c r="CN57" s="22">
        <f t="shared" si="12"/>
        <v>8.0664962175766579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319.22903094674564</v>
      </c>
      <c r="T58" s="59">
        <f t="shared" si="34"/>
        <v>254.58690973142848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273.40559999999994</v>
      </c>
      <c r="AK58" s="13">
        <f t="shared" si="35"/>
        <v>65.571495462320897</v>
      </c>
      <c r="AL58" s="20">
        <f t="shared" si="4"/>
        <v>590.38510793020873</v>
      </c>
      <c r="AM58" s="59">
        <f t="shared" si="5"/>
        <v>883.71844126354199</v>
      </c>
      <c r="AN58" s="59">
        <f ca="1">AVERAGE(OFFSET($AM$3,0,0,'Données projet'!$E$10+1,1))-AVERAGE(OFFSET($H$3,0,0,'Données projet'!$E$10+1,1))</f>
        <v>475.01366239340246</v>
      </c>
      <c r="AO58" s="59">
        <f t="shared" si="36"/>
        <v>322.81767004794284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5.299374698133601</v>
      </c>
      <c r="AV58" s="21">
        <f>EXP(-LN(2)/25)*AV57+(1-EXP(-LN(2)/25))/(LN(2)/25)*Calculateur!AQ58*Calculateur!AS58*VLOOKUP('Données projet'!$B$10,Paramètres!$A$1:$I$89,3,0)*0.475*44/12</f>
        <v>5.5704212310179386</v>
      </c>
      <c r="AW58" s="21">
        <f>EXP(-LN(2)/2)*AW57+(1-EXP(-LN(2)/2))/(LN(2)/2)*AQ58*AT58*VLOOKUP('Données projet'!$B$10,Paramètres!$A$1:$I$89,3,0)*0.475*44/12</f>
        <v>1.7528354913737192E-3</v>
      </c>
      <c r="AX58" s="21">
        <f t="shared" si="6"/>
        <v>10.871548764642913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253.99999999999997</v>
      </c>
      <c r="BE58" s="13">
        <f>BD58*VLOOKUP('Données projet'!$B$11,Paramètres!$A$1:$I$89,3,0)*VLOOKUP('Données projet'!$B$11,Paramètres!$A$1:$I$89,5,0)</f>
        <v>257.55599999999998</v>
      </c>
      <c r="BF58" s="13">
        <f t="shared" si="37"/>
        <v>62.201129910568184</v>
      </c>
      <c r="BG58" s="20">
        <f t="shared" si="7"/>
        <v>556.91033459423954</v>
      </c>
      <c r="BH58" s="59">
        <f t="shared" si="8"/>
        <v>850.24366792757291</v>
      </c>
      <c r="BI58" s="59">
        <f ca="1">AVERAGE(OFFSET($BH$3,0,0,'Données projet'!$E$11+1,1))-AVERAGE(OFFSET($H$3,0,0,'Données projet'!$E$11+1,1))</f>
        <v>449.84356201138451</v>
      </c>
      <c r="BJ58" s="59">
        <f t="shared" si="38"/>
        <v>306.61893266146666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4.9921645707055724</v>
      </c>
      <c r="BQ58" s="21">
        <f>EXP(-LN(2)/25)*BQ57+(1-EXP(-LN(2)/25))/(LN(2)/25)*Calculateur!BL58*Calculateur!BN58*VLOOKUP('Données projet'!$B$11,Paramètres!$A$1:$I$89,3,0)*0.475*44/12</f>
        <v>5.2474982611038588</v>
      </c>
      <c r="BR58" s="21">
        <f>EXP(-LN(2)/2)*BR57+(1-EXP(-LN(2)/2))/(LN(2)/2)*BL58*BO58*VLOOKUP('Données projet'!$B$11,Paramètres!$A$1:$I$89,3,0)*0.475*44/12</f>
        <v>1.65122183969988E-3</v>
      </c>
      <c r="BS58" s="22">
        <f t="shared" si="9"/>
        <v>10.24131405364913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17.625</v>
      </c>
      <c r="BY58" s="12">
        <f>IF('Données projet'!$A$114&gt;35,BY57+BX58-CG57,IF(A58&lt;'Données projet'!$A$114,$BV$205^A58,IF(A58='Données projet'!$A$114,'Données projet'!$B$114,BY57+BX58-CG57)))</f>
        <v>387.12499999999994</v>
      </c>
      <c r="BZ58" s="13">
        <f>BY58*VLOOKUP('Données projet'!$B$12,Paramètres!$A$1:$I$89,3,0)*VLOOKUP('Données projet'!$B$12,Paramètres!$A$1:$I$89,5,0)</f>
        <v>231.50074999999998</v>
      </c>
      <c r="CA58" s="13">
        <f t="shared" si="39"/>
        <v>56.607055837426749</v>
      </c>
      <c r="CB58" s="20">
        <f t="shared" si="10"/>
        <v>501.78776183351812</v>
      </c>
      <c r="CC58" s="59">
        <f t="shared" si="11"/>
        <v>795.12109516685143</v>
      </c>
      <c r="CD58" s="59">
        <f ca="1">AVERAGE(OFFSET($CC$3,0,0,'Données projet'!$E$12+1,1))-AVERAGE(OFFSET($H$3,0,0,'Données projet'!$E$12+1,1))</f>
        <v>370.12772664814923</v>
      </c>
      <c r="CE58" s="59">
        <f t="shared" si="40"/>
        <v>292.26503163353146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4.5583891853460896</v>
      </c>
      <c r="CL58" s="21">
        <f>EXP(-LN(2)/25)*CL57+(1-EXP(-LN(2)/25))/(LN(2)/25)*Calculateur!CG58*Calculateur!CI58*VLOOKUP('Données projet'!$B$12,Paramètres!$A$1:$I$89,3,0)*0.475*44/12</f>
        <v>3.3216143369444486</v>
      </c>
      <c r="CM58" s="21">
        <f>EXP(-LN(2)/2)*CM57+(1-EXP(-LN(2)/2))/(LN(2)/2)*CG58*CJ58*VLOOKUP('Données projet'!$B$12,Paramètres!$A$1:$I$89,3,0)*0.475*44/12</f>
        <v>1.3677464106629528E-3</v>
      </c>
      <c r="CN58" s="22">
        <f t="shared" si="12"/>
        <v>7.8813712687012014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319.22903094674564</v>
      </c>
      <c r="T59" s="59">
        <f t="shared" si="34"/>
        <v>254.58690973142848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253.38455999999994</v>
      </c>
      <c r="AK59" s="13">
        <f t="shared" si="35"/>
        <v>61.310125241957316</v>
      </c>
      <c r="AL59" s="20">
        <f t="shared" si="4"/>
        <v>548.09324346307551</v>
      </c>
      <c r="AM59" s="59">
        <f t="shared" si="5"/>
        <v>841.42657679640888</v>
      </c>
      <c r="AN59" s="59">
        <f ca="1">AVERAGE(OFFSET($AM$3,0,0,'Données projet'!$E$10+1,1))-AVERAGE(OFFSET($H$3,0,0,'Données projet'!$E$10+1,1))</f>
        <v>475.01366239340246</v>
      </c>
      <c r="AO59" s="59">
        <f t="shared" si="36"/>
        <v>322.81767004794284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5.1954571926026034</v>
      </c>
      <c r="AV59" s="21">
        <f>EXP(-LN(2)/25)*AV58+(1-EXP(-LN(2)/25))/(LN(2)/25)*Calculateur!AQ59*Calculateur!AS59*VLOOKUP('Données projet'!$B$10,Paramètres!$A$1:$I$89,3,0)*0.475*44/12</f>
        <v>5.4180977695200321</v>
      </c>
      <c r="AW59" s="21">
        <f>EXP(-LN(2)/2)*AW58+(1-EXP(-LN(2)/2))/(LN(2)/2)*AQ59*AT59*VLOOKUP('Données projet'!$B$10,Paramètres!$A$1:$I$89,3,0)*0.475*44/12</f>
        <v>1.2394418622548109E-3</v>
      </c>
      <c r="AX59" s="21">
        <f t="shared" si="6"/>
        <v>10.61479440398489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235.39999999999998</v>
      </c>
      <c r="BE59" s="13">
        <f>BD59*VLOOKUP('Données projet'!$B$11,Paramètres!$A$1:$I$89,3,0)*VLOOKUP('Données projet'!$B$11,Paramètres!$A$1:$I$89,5,0)</f>
        <v>238.69559999999998</v>
      </c>
      <c r="BF59" s="13">
        <f t="shared" si="37"/>
        <v>58.158793514165929</v>
      </c>
      <c r="BG59" s="20">
        <f t="shared" si="7"/>
        <v>517.02140203717238</v>
      </c>
      <c r="BH59" s="59">
        <f t="shared" si="8"/>
        <v>810.35473537050575</v>
      </c>
      <c r="BI59" s="59">
        <f ca="1">AVERAGE(OFFSET($BH$3,0,0,'Données projet'!$E$11+1,1))-AVERAGE(OFFSET($H$3,0,0,'Données projet'!$E$11+1,1))</f>
        <v>449.84356201138451</v>
      </c>
      <c r="BJ59" s="59">
        <f t="shared" si="38"/>
        <v>306.61893266146666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4.894271268393763</v>
      </c>
      <c r="BQ59" s="21">
        <f>EXP(-LN(2)/25)*BQ58+(1-EXP(-LN(2)/25))/(LN(2)/25)*Calculateur!BL59*Calculateur!BN59*VLOOKUP('Données projet'!$B$11,Paramètres!$A$1:$I$89,3,0)*0.475*44/12</f>
        <v>5.1040051452000332</v>
      </c>
      <c r="BR59" s="21">
        <f>EXP(-LN(2)/2)*BR58+(1-EXP(-LN(2)/2))/(LN(2)/2)*BL59*BO59*VLOOKUP('Données projet'!$B$11,Paramètres!$A$1:$I$89,3,0)*0.475*44/12</f>
        <v>1.1675901600951115E-3</v>
      </c>
      <c r="BS59" s="22">
        <f t="shared" si="9"/>
        <v>9.9994440037538919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17.625</v>
      </c>
      <c r="BY59" s="12">
        <f>IF('Données projet'!$A$114&gt;35,BY58+BX59-CG58,IF(A59&lt;'Données projet'!$A$114,$BV$205^A59,IF(A59='Données projet'!$A$114,'Données projet'!$B$114,BY58+BX59-CG58)))</f>
        <v>404.74999999999994</v>
      </c>
      <c r="BZ59" s="13">
        <f>BY59*VLOOKUP('Données projet'!$B$12,Paramètres!$A$1:$I$89,3,0)*VLOOKUP('Données projet'!$B$12,Paramètres!$A$1:$I$89,5,0)</f>
        <v>242.04049999999998</v>
      </c>
      <c r="CA59" s="13">
        <f t="shared" si="39"/>
        <v>58.878337443371535</v>
      </c>
      <c r="CB59" s="20">
        <f t="shared" si="10"/>
        <v>524.10030854720526</v>
      </c>
      <c r="CC59" s="59">
        <f t="shared" si="11"/>
        <v>817.43364188053852</v>
      </c>
      <c r="CD59" s="59">
        <f ca="1">AVERAGE(OFFSET($CC$3,0,0,'Données projet'!$E$12+1,1))-AVERAGE(OFFSET($H$3,0,0,'Données projet'!$E$12+1,1))</f>
        <v>370.12772664814923</v>
      </c>
      <c r="CE59" s="59">
        <f t="shared" si="40"/>
        <v>292.26503163353146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4.4690019537643195</v>
      </c>
      <c r="CL59" s="21">
        <f>EXP(-LN(2)/25)*CL58+(1-EXP(-LN(2)/25))/(LN(2)/25)*Calculateur!CG59*Calculateur!CI59*VLOOKUP('Données projet'!$B$12,Paramètres!$A$1:$I$89,3,0)*0.475*44/12</f>
        <v>3.2307846182245963</v>
      </c>
      <c r="CM59" s="21">
        <f>EXP(-LN(2)/2)*CM58+(1-EXP(-LN(2)/2))/(LN(2)/2)*CG59*CJ59*VLOOKUP('Données projet'!$B$12,Paramètres!$A$1:$I$89,3,0)*0.475*44/12</f>
        <v>9.6714276192333447E-4</v>
      </c>
      <c r="CN59" s="22">
        <f t="shared" si="12"/>
        <v>7.7007537147508396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319.22903094674564</v>
      </c>
      <c r="T60" s="59">
        <f t="shared" si="34"/>
        <v>254.58690973142848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263.50271999999995</v>
      </c>
      <c r="AK60" s="13">
        <f t="shared" si="35"/>
        <v>63.468433809179686</v>
      </c>
      <c r="AL60" s="20">
        <f t="shared" si="4"/>
        <v>569.47475955098787</v>
      </c>
      <c r="AM60" s="59">
        <f t="shared" si="5"/>
        <v>862.80809288432124</v>
      </c>
      <c r="AN60" s="59">
        <f ca="1">AVERAGE(OFFSET($AM$3,0,0,'Données projet'!$E$10+1,1))-AVERAGE(OFFSET($H$3,0,0,'Données projet'!$E$10+1,1))</f>
        <v>475.01366239340246</v>
      </c>
      <c r="AO60" s="59">
        <f t="shared" si="36"/>
        <v>322.81767004794284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5.0935774459716496</v>
      </c>
      <c r="AV60" s="21">
        <f>EXP(-LN(2)/25)*AV59+(1-EXP(-LN(2)/25))/(LN(2)/25)*Calculateur!AQ60*Calculateur!AS60*VLOOKUP('Données projet'!$B$10,Paramètres!$A$1:$I$89,3,0)*0.475*44/12</f>
        <v>5.2699396010871284</v>
      </c>
      <c r="AW60" s="21">
        <f>EXP(-LN(2)/2)*AW59+(1-EXP(-LN(2)/2))/(LN(2)/2)*AQ60*AT60*VLOOKUP('Données projet'!$B$10,Paramètres!$A$1:$I$89,3,0)*0.475*44/12</f>
        <v>8.7641774568685959E-4</v>
      </c>
      <c r="AX60" s="21">
        <f t="shared" si="6"/>
        <v>10.364393464804465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244.79999999999998</v>
      </c>
      <c r="BE60" s="13">
        <f>BD60*VLOOKUP('Données projet'!$B$11,Paramètres!$A$1:$I$89,3,0)*VLOOKUP('Données projet'!$B$11,Paramètres!$A$1:$I$89,5,0)</f>
        <v>248.22720000000001</v>
      </c>
      <c r="BF60" s="13">
        <f t="shared" si="37"/>
        <v>60.20616532763993</v>
      </c>
      <c r="BG60" s="20">
        <f t="shared" si="7"/>
        <v>537.18811127897277</v>
      </c>
      <c r="BH60" s="59">
        <f t="shared" si="8"/>
        <v>830.52144461230614</v>
      </c>
      <c r="BI60" s="59">
        <f ca="1">AVERAGE(OFFSET($BH$3,0,0,'Données projet'!$E$11+1,1))-AVERAGE(OFFSET($H$3,0,0,'Données projet'!$E$11+1,1))</f>
        <v>449.84356201138451</v>
      </c>
      <c r="BJ60" s="59">
        <f t="shared" si="38"/>
        <v>306.61893266146666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4.7982975940312702</v>
      </c>
      <c r="BQ60" s="21">
        <f>EXP(-LN(2)/25)*BQ59+(1-EXP(-LN(2)/25))/(LN(2)/25)*Calculateur!BL60*Calculateur!BN60*VLOOKUP('Données projet'!$B$11,Paramètres!$A$1:$I$89,3,0)*0.475*44/12</f>
        <v>4.9644358560965731</v>
      </c>
      <c r="BR60" s="21">
        <f>EXP(-LN(2)/2)*BR59+(1-EXP(-LN(2)/2))/(LN(2)/2)*BL60*BO60*VLOOKUP('Données projet'!$B$11,Paramètres!$A$1:$I$89,3,0)*0.475*44/12</f>
        <v>8.2561091984993998E-4</v>
      </c>
      <c r="BS60" s="22">
        <f t="shared" si="9"/>
        <v>9.7635590610476939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17.625</v>
      </c>
      <c r="BY60" s="12">
        <f>IF('Données projet'!$A$114&gt;35,BY59+BX60-CG59,IF(A60&lt;'Données projet'!$A$114,$BV$205^A60,IF(A60='Données projet'!$A$114,'Données projet'!$B$114,BY59+BX60-CG59)))</f>
        <v>422.37499999999994</v>
      </c>
      <c r="BZ60" s="13">
        <f>BY60*VLOOKUP('Données projet'!$B$12,Paramètres!$A$1:$I$89,3,0)*VLOOKUP('Données projet'!$B$12,Paramètres!$A$1:$I$89,5,0)</f>
        <v>252.58025000000001</v>
      </c>
      <c r="CA60" s="13">
        <f t="shared" si="39"/>
        <v>61.138131933251593</v>
      </c>
      <c r="CB60" s="20">
        <f t="shared" si="10"/>
        <v>546.39284853374647</v>
      </c>
      <c r="CC60" s="59">
        <f t="shared" si="11"/>
        <v>839.72618186707973</v>
      </c>
      <c r="CD60" s="59">
        <f ca="1">AVERAGE(OFFSET($CC$3,0,0,'Données projet'!$E$12+1,1))-AVERAGE(OFFSET($H$3,0,0,'Données projet'!$E$12+1,1))</f>
        <v>370.12772664814923</v>
      </c>
      <c r="CE60" s="59">
        <f t="shared" si="40"/>
        <v>292.26503163353146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4.3813675512730406</v>
      </c>
      <c r="CL60" s="21">
        <f>EXP(-LN(2)/25)*CL59+(1-EXP(-LN(2)/25))/(LN(2)/25)*Calculateur!CG60*Calculateur!CI60*VLOOKUP('Données projet'!$B$12,Paramètres!$A$1:$I$89,3,0)*0.475*44/12</f>
        <v>3.1424386429396658</v>
      </c>
      <c r="CM60" s="21">
        <f>EXP(-LN(2)/2)*CM59+(1-EXP(-LN(2)/2))/(LN(2)/2)*CG60*CJ60*VLOOKUP('Données projet'!$B$12,Paramètres!$A$1:$I$89,3,0)*0.475*44/12</f>
        <v>6.8387320533147653E-4</v>
      </c>
      <c r="CN60" s="22">
        <f t="shared" si="12"/>
        <v>7.5244900674180384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319.22903094674564</v>
      </c>
      <c r="T61" s="59">
        <f t="shared" si="34"/>
        <v>254.58690973142848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273.62087999999994</v>
      </c>
      <c r="AK61" s="13">
        <f t="shared" si="35"/>
        <v>65.617114611149361</v>
      </c>
      <c r="AL61" s="20">
        <f t="shared" si="4"/>
        <v>590.83950728108505</v>
      </c>
      <c r="AM61" s="59">
        <f t="shared" si="5"/>
        <v>884.17284061441842</v>
      </c>
      <c r="AN61" s="59">
        <f ca="1">AVERAGE(OFFSET($AM$3,0,0,'Données projet'!$E$10+1,1))-AVERAGE(OFFSET($H$3,0,0,'Données projet'!$E$10+1,1))</f>
        <v>475.01366239340246</v>
      </c>
      <c r="AO61" s="59">
        <f t="shared" si="36"/>
        <v>322.81767004794284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4.9936954990316194</v>
      </c>
      <c r="AV61" s="21">
        <f>EXP(-LN(2)/25)*AV60+(1-EXP(-LN(2)/25))/(LN(2)/25)*Calculateur!AQ61*Calculateur!AS61*VLOOKUP('Données projet'!$B$10,Paramètres!$A$1:$I$89,3,0)*0.475*44/12</f>
        <v>5.1258328255613215</v>
      </c>
      <c r="AW61" s="21">
        <f>EXP(-LN(2)/2)*AW60+(1-EXP(-LN(2)/2))/(LN(2)/2)*AQ61*AT61*VLOOKUP('Données projet'!$B$10,Paramètres!$A$1:$I$89,3,0)*0.475*44/12</f>
        <v>6.1972093112740547E-4</v>
      </c>
      <c r="AX61" s="21">
        <f t="shared" si="6"/>
        <v>10.120148045524068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254.2</v>
      </c>
      <c r="BE61" s="13">
        <f>BD61*VLOOKUP('Données projet'!$B$11,Paramètres!$A$1:$I$89,3,0)*VLOOKUP('Données projet'!$B$11,Paramètres!$A$1:$I$89,5,0)</f>
        <v>257.75880000000001</v>
      </c>
      <c r="BF61" s="13">
        <f t="shared" si="37"/>
        <v>62.244404241627407</v>
      </c>
      <c r="BG61" s="20">
        <f t="shared" si="7"/>
        <v>557.33891405416773</v>
      </c>
      <c r="BH61" s="59">
        <f t="shared" si="8"/>
        <v>850.6722473875011</v>
      </c>
      <c r="BI61" s="59">
        <f ca="1">AVERAGE(OFFSET($BH$3,0,0,'Données projet'!$E$11+1,1))-AVERAGE(OFFSET($H$3,0,0,'Données projet'!$E$11+1,1))</f>
        <v>449.84356201138451</v>
      </c>
      <c r="BJ61" s="59">
        <f t="shared" si="38"/>
        <v>306.61893266146666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4.7042059048848648</v>
      </c>
      <c r="BQ61" s="21">
        <f>EXP(-LN(2)/25)*BQ60+(1-EXP(-LN(2)/25))/(LN(2)/25)*Calculateur!BL61*Calculateur!BN61*VLOOKUP('Données projet'!$B$11,Paramètres!$A$1:$I$89,3,0)*0.475*44/12</f>
        <v>4.8286830965432772</v>
      </c>
      <c r="BR61" s="21">
        <f>EXP(-LN(2)/2)*BR60+(1-EXP(-LN(2)/2))/(LN(2)/2)*BL61*BO61*VLOOKUP('Données projet'!$B$11,Paramètres!$A$1:$I$89,3,0)*0.475*44/12</f>
        <v>5.8379508004755573E-4</v>
      </c>
      <c r="BS61" s="22">
        <f t="shared" si="9"/>
        <v>9.5334727965081889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440</v>
      </c>
      <c r="BW61" s="12">
        <f>VLOOKUP(A61,'Données projet'!$A$113:$I$133,9,0)</f>
        <v>17.625</v>
      </c>
      <c r="BX61" s="12">
        <f t="array" ref="BX61">INDEX(BW:BW,MIN(IF(ISNUMBER(BW61:BW257),ROW(BW61:BW257),"")))</f>
        <v>17.625</v>
      </c>
      <c r="BY61" s="12">
        <f>IF('Données projet'!$A$114&gt;35,BY60+BX61-CG60,IF(A61&lt;'Données projet'!$A$114,$BV$205^A61,IF(A61='Données projet'!$A$114,'Données projet'!$B$114,BY60+BX61-CG60)))</f>
        <v>439.99999999999994</v>
      </c>
      <c r="BZ61" s="13">
        <f>BY61*VLOOKUP('Données projet'!$B$12,Paramètres!$A$1:$I$89,3,0)*VLOOKUP('Données projet'!$B$12,Paramètres!$A$1:$I$89,5,0)</f>
        <v>263.12</v>
      </c>
      <c r="CA61" s="13">
        <f t="shared" si="39"/>
        <v>63.386973458752003</v>
      </c>
      <c r="CB61" s="20">
        <f t="shared" si="10"/>
        <v>568.66631210732646</v>
      </c>
      <c r="CC61" s="59">
        <f t="shared" si="11"/>
        <v>861.99964544065983</v>
      </c>
      <c r="CD61" s="59">
        <f ca="1">AVERAGE(OFFSET($CC$3,0,0,'Données projet'!$E$12+1,1))-AVERAGE(OFFSET($H$3,0,0,'Données projet'!$E$12+1,1))</f>
        <v>370.12772664814923</v>
      </c>
      <c r="CE61" s="59">
        <f t="shared" si="40"/>
        <v>292.26503163353146</v>
      </c>
      <c r="CF61" s="15">
        <f>IF(ISNA(VLOOKUP(A61,'Données projet'!$A$113:$I$133,3,0)),0,VLOOKUP(A61,'Données projet'!$A$113:$I$133,3,0))</f>
        <v>8</v>
      </c>
      <c r="CG61" s="15">
        <f>IF(ISNA(VLOOKUP(A61,'Données projet'!$A$113:$I$133,4,0)),0,VLOOKUP(A61,'Données projet'!$A$113:$I$133,4,0))</f>
        <v>78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4.2954516059629082</v>
      </c>
      <c r="CL61" s="21">
        <f>EXP(-LN(2)/25)*CL60+(1-EXP(-LN(2)/25))/(LN(2)/25)*Calculateur!CG61*Calculateur!CI61*VLOOKUP('Données projet'!$B$12,Paramètres!$A$1:$I$89,3,0)*0.475*44/12</f>
        <v>3.0565084929948148</v>
      </c>
      <c r="CM61" s="21">
        <f>EXP(-LN(2)/2)*CM60+(1-EXP(-LN(2)/2))/(LN(2)/2)*CG61*CJ61*VLOOKUP('Données projet'!$B$12,Paramètres!$A$1:$I$89,3,0)*0.475*44/12</f>
        <v>4.8357138096166729E-4</v>
      </c>
      <c r="CN61" s="22">
        <f t="shared" si="12"/>
        <v>7.3524436703386851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319.22903094674564</v>
      </c>
      <c r="T62" s="59">
        <f t="shared" si="34"/>
        <v>254.58690973142848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283.73903999999993</v>
      </c>
      <c r="AK62" s="13">
        <f t="shared" si="35"/>
        <v>67.756564441537463</v>
      </c>
      <c r="AL62" s="20">
        <f t="shared" si="4"/>
        <v>612.18817773567764</v>
      </c>
      <c r="AM62" s="59">
        <f t="shared" si="5"/>
        <v>905.52151106901101</v>
      </c>
      <c r="AN62" s="59">
        <f ca="1">AVERAGE(OFFSET($AM$3,0,0,'Données projet'!$E$10+1,1))-AVERAGE(OFFSET($H$3,0,0,'Données projet'!$E$10+1,1))</f>
        <v>475.01366239340246</v>
      </c>
      <c r="AO62" s="59">
        <f t="shared" si="36"/>
        <v>322.81767004794284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4.8957721761491104</v>
      </c>
      <c r="AV62" s="21">
        <f>EXP(-LN(2)/25)*AV61+(1-EXP(-LN(2)/25))/(LN(2)/25)*Calculateur!AQ62*Calculateur!AS62*VLOOKUP('Données projet'!$B$10,Paramètres!$A$1:$I$89,3,0)*0.475*44/12</f>
        <v>4.9856666573905137</v>
      </c>
      <c r="AW62" s="21">
        <f>EXP(-LN(2)/2)*AW61+(1-EXP(-LN(2)/2))/(LN(2)/2)*AQ62*AT62*VLOOKUP('Données projet'!$B$10,Paramètres!$A$1:$I$89,3,0)*0.475*44/12</f>
        <v>4.3820887284342979E-4</v>
      </c>
      <c r="AX62" s="21">
        <f t="shared" si="6"/>
        <v>9.8818770424124676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263.59999999999997</v>
      </c>
      <c r="BE62" s="13">
        <f>BD62*VLOOKUP('Données projet'!$B$11,Paramètres!$A$1:$I$89,3,0)*VLOOKUP('Données projet'!$B$11,Paramètres!$A$1:$I$89,5,0)</f>
        <v>267.29039999999998</v>
      </c>
      <c r="BF62" s="13">
        <f t="shared" si="37"/>
        <v>64.273886654661325</v>
      </c>
      <c r="BG62" s="20">
        <f t="shared" si="7"/>
        <v>577.47446592353515</v>
      </c>
      <c r="BH62" s="59">
        <f t="shared" si="8"/>
        <v>870.80779925686852</v>
      </c>
      <c r="BI62" s="59">
        <f ca="1">AVERAGE(OFFSET($BH$3,0,0,'Données projet'!$E$11+1,1))-AVERAGE(OFFSET($H$3,0,0,'Données projet'!$E$11+1,1))</f>
        <v>449.84356201138451</v>
      </c>
      <c r="BJ62" s="59">
        <f t="shared" si="38"/>
        <v>306.61893266146666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4.6119592963723566</v>
      </c>
      <c r="BQ62" s="21">
        <f>EXP(-LN(2)/25)*BQ61+(1-EXP(-LN(2)/25))/(LN(2)/25)*Calculateur!BL62*Calculateur!BN62*VLOOKUP('Données projet'!$B$11,Paramètres!$A$1:$I$89,3,0)*0.475*44/12</f>
        <v>4.696642503338893</v>
      </c>
      <c r="BR62" s="21">
        <f>EXP(-LN(2)/2)*BR61+(1-EXP(-LN(2)/2))/(LN(2)/2)*BL62*BO62*VLOOKUP('Données projet'!$B$11,Paramètres!$A$1:$I$89,3,0)*0.475*44/12</f>
        <v>4.1280545992496999E-4</v>
      </c>
      <c r="BS62" s="22">
        <f t="shared" si="9"/>
        <v>9.3090146051711748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16.625</v>
      </c>
      <c r="BY62" s="12">
        <f>IF('Données projet'!$A$114&gt;35,BY61+BX62-CG61,IF(A62&lt;'Données projet'!$A$114,$BV$205^A62,IF(A62='Données projet'!$A$114,'Données projet'!$B$114,BY61+BX62-CG61)))</f>
        <v>378.62499999999994</v>
      </c>
      <c r="BZ62" s="13">
        <f>BY62*VLOOKUP('Données projet'!$B$12,Paramètres!$A$1:$I$89,3,0)*VLOOKUP('Données projet'!$B$12,Paramètres!$A$1:$I$89,5,0)</f>
        <v>226.41774999999998</v>
      </c>
      <c r="CA62" s="13">
        <f t="shared" si="39"/>
        <v>55.507409107649494</v>
      </c>
      <c r="CB62" s="20">
        <f t="shared" si="10"/>
        <v>491.0196521124895</v>
      </c>
      <c r="CC62" s="59">
        <f t="shared" si="11"/>
        <v>784.35298544582281</v>
      </c>
      <c r="CD62" s="59">
        <f ca="1">AVERAGE(OFFSET($CC$3,0,0,'Données projet'!$E$12+1,1))-AVERAGE(OFFSET($H$3,0,0,'Données projet'!$E$12+1,1))</f>
        <v>370.12772664814923</v>
      </c>
      <c r="CE62" s="59">
        <f t="shared" si="40"/>
        <v>292.26503163353146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4.2112204199367547</v>
      </c>
      <c r="CL62" s="21">
        <f>EXP(-LN(2)/25)*CL61+(1-EXP(-LN(2)/25))/(LN(2)/25)*Calculateur!CG62*Calculateur!CI62*VLOOKUP('Données projet'!$B$12,Paramètres!$A$1:$I$89,3,0)*0.475*44/12</f>
        <v>2.9729281075190754</v>
      </c>
      <c r="CM62" s="21">
        <f>EXP(-LN(2)/2)*CM61+(1-EXP(-LN(2)/2))/(LN(2)/2)*CG62*CJ62*VLOOKUP('Données projet'!$B$12,Paramètres!$A$1:$I$89,3,0)*0.475*44/12</f>
        <v>3.4193660266573832E-4</v>
      </c>
      <c r="CN62" s="22">
        <f t="shared" si="12"/>
        <v>7.1844904640584959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319.22903094674564</v>
      </c>
      <c r="T63" s="59">
        <f t="shared" si="34"/>
        <v>254.58690973142848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293.85719999999992</v>
      </c>
      <c r="AK63" s="13">
        <f t="shared" si="35"/>
        <v>69.887150190339781</v>
      </c>
      <c r="AL63" s="20">
        <f t="shared" si="4"/>
        <v>633.52140991484157</v>
      </c>
      <c r="AM63" s="59">
        <f t="shared" si="5"/>
        <v>926.85474324817483</v>
      </c>
      <c r="AN63" s="59">
        <f ca="1">AVERAGE(OFFSET($AM$3,0,0,'Données projet'!$E$10+1,1))-AVERAGE(OFFSET($H$3,0,0,'Données projet'!$E$10+1,1))</f>
        <v>475.01366239340246</v>
      </c>
      <c r="AO63" s="59">
        <f t="shared" si="36"/>
        <v>322.81767004794284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4.7997690699009983</v>
      </c>
      <c r="AV63" s="21">
        <f>EXP(-LN(2)/25)*AV62+(1-EXP(-LN(2)/25))/(LN(2)/25)*Calculateur!AQ63*Calculateur!AS63*VLOOKUP('Données projet'!$B$10,Paramètres!$A$1:$I$89,3,0)*0.475*44/12</f>
        <v>4.8493333404593555</v>
      </c>
      <c r="AW63" s="21">
        <f>EXP(-LN(2)/2)*AW62+(1-EXP(-LN(2)/2))/(LN(2)/2)*AQ63*AT63*VLOOKUP('Données projet'!$B$10,Paramètres!$A$1:$I$89,3,0)*0.475*44/12</f>
        <v>3.0986046556370273E-4</v>
      </c>
      <c r="AX63" s="21">
        <f t="shared" si="6"/>
        <v>9.6494122708259162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272.99999999999994</v>
      </c>
      <c r="BE63" s="13">
        <f>BD63*VLOOKUP('Données projet'!$B$11,Paramètres!$A$1:$I$89,3,0)*VLOOKUP('Données projet'!$B$11,Paramètres!$A$1:$I$89,5,0)</f>
        <v>276.82199999999995</v>
      </c>
      <c r="BF63" s="13">
        <f t="shared" si="37"/>
        <v>66.29496059864374</v>
      </c>
      <c r="BG63" s="20">
        <f t="shared" si="7"/>
        <v>597.59537304263779</v>
      </c>
      <c r="BH63" s="59">
        <f t="shared" si="8"/>
        <v>890.92870637597116</v>
      </c>
      <c r="BI63" s="59">
        <f ca="1">AVERAGE(OFFSET($BH$3,0,0,'Données projet'!$E$11+1,1))-AVERAGE(OFFSET($H$3,0,0,'Données projet'!$E$11+1,1))</f>
        <v>449.84356201138451</v>
      </c>
      <c r="BJ63" s="59">
        <f t="shared" si="38"/>
        <v>306.61893266146666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4.5215215875879027</v>
      </c>
      <c r="BQ63" s="21">
        <f>EXP(-LN(2)/25)*BQ62+(1-EXP(-LN(2)/25))/(LN(2)/25)*Calculateur!BL63*Calculateur!BN63*VLOOKUP('Données projet'!$B$11,Paramètres!$A$1:$I$89,3,0)*0.475*44/12</f>
        <v>4.5682125670993958</v>
      </c>
      <c r="BR63" s="21">
        <f>EXP(-LN(2)/2)*BR62+(1-EXP(-LN(2)/2))/(LN(2)/2)*BL63*BO63*VLOOKUP('Données projet'!$B$11,Paramètres!$A$1:$I$89,3,0)*0.475*44/12</f>
        <v>2.9189754002377787E-4</v>
      </c>
      <c r="BS63" s="22">
        <f t="shared" si="9"/>
        <v>9.0900260522273229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16.625</v>
      </c>
      <c r="BY63" s="12">
        <f>IF('Données projet'!$A$114&gt;35,BY62+BX63-CG62,IF(A63&lt;'Données projet'!$A$114,$BV$205^A63,IF(A63='Données projet'!$A$114,'Données projet'!$B$114,BY62+BX63-CG62)))</f>
        <v>395.24999999999994</v>
      </c>
      <c r="BZ63" s="13">
        <f>BY63*VLOOKUP('Données projet'!$B$12,Paramètres!$A$1:$I$89,3,0)*VLOOKUP('Données projet'!$B$12,Paramètres!$A$1:$I$89,5,0)</f>
        <v>236.35949999999997</v>
      </c>
      <c r="CA63" s="13">
        <f t="shared" si="39"/>
        <v>57.655563749416167</v>
      </c>
      <c r="CB63" s="20">
        <f t="shared" si="10"/>
        <v>512.07623603023308</v>
      </c>
      <c r="CC63" s="59">
        <f t="shared" si="11"/>
        <v>805.40956936356633</v>
      </c>
      <c r="CD63" s="59">
        <f ca="1">AVERAGE(OFFSET($CC$3,0,0,'Données projet'!$E$12+1,1))-AVERAGE(OFFSET($H$3,0,0,'Données projet'!$E$12+1,1))</f>
        <v>370.12772664814923</v>
      </c>
      <c r="CE63" s="59">
        <f t="shared" si="40"/>
        <v>292.26503163353146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4.1286409560926236</v>
      </c>
      <c r="CL63" s="21">
        <f>EXP(-LN(2)/25)*CL62+(1-EXP(-LN(2)/25))/(LN(2)/25)*Calculateur!CG63*Calculateur!CI63*VLOOKUP('Données projet'!$B$12,Paramètres!$A$1:$I$89,3,0)*0.475*44/12</f>
        <v>2.8916332320794718</v>
      </c>
      <c r="CM63" s="21">
        <f>EXP(-LN(2)/2)*CM62+(1-EXP(-LN(2)/2))/(LN(2)/2)*CG63*CJ63*VLOOKUP('Données projet'!$B$12,Paramètres!$A$1:$I$89,3,0)*0.475*44/12</f>
        <v>2.4178569048083367E-4</v>
      </c>
      <c r="CN63" s="22">
        <f t="shared" si="12"/>
        <v>7.020515973862576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319.22903094674564</v>
      </c>
      <c r="T64" s="59">
        <f t="shared" si="34"/>
        <v>254.58690973142848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273.19031999999993</v>
      </c>
      <c r="AK64" s="13">
        <f t="shared" si="35"/>
        <v>65.525872132143832</v>
      </c>
      <c r="AL64" s="20">
        <f t="shared" si="4"/>
        <v>589.93070129681701</v>
      </c>
      <c r="AM64" s="59">
        <f t="shared" si="5"/>
        <v>883.26403463015026</v>
      </c>
      <c r="AN64" s="59">
        <f ca="1">AVERAGE(OFFSET($AM$3,0,0,'Données projet'!$E$10+1,1))-AVERAGE(OFFSET($H$3,0,0,'Données projet'!$E$10+1,1))</f>
        <v>475.01366239340246</v>
      </c>
      <c r="AO64" s="59">
        <f t="shared" si="36"/>
        <v>322.81767004794284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4.7056485260102985</v>
      </c>
      <c r="AV64" s="21">
        <f>EXP(-LN(2)/25)*AV63+(1-EXP(-LN(2)/25))/(LN(2)/25)*Calculateur!AQ64*Calculateur!AS64*VLOOKUP('Données projet'!$B$10,Paramètres!$A$1:$I$89,3,0)*0.475*44/12</f>
        <v>4.7167280652491375</v>
      </c>
      <c r="AW64" s="21">
        <f>EXP(-LN(2)/2)*AW63+(1-EXP(-LN(2)/2))/(LN(2)/2)*AQ64*AT64*VLOOKUP('Données projet'!$B$10,Paramètres!$A$1:$I$89,3,0)*0.475*44/12</f>
        <v>2.191044364217149E-4</v>
      </c>
      <c r="AX64" s="21">
        <f t="shared" si="6"/>
        <v>9.4225956956958576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253.79999999999995</v>
      </c>
      <c r="BE64" s="13">
        <f>BD64*VLOOKUP('Données projet'!$B$11,Paramètres!$A$1:$I$89,3,0)*VLOOKUP('Données projet'!$B$11,Paramètres!$A$1:$I$89,5,0)</f>
        <v>257.35319999999996</v>
      </c>
      <c r="BF64" s="13">
        <f t="shared" si="37"/>
        <v>62.157851613080908</v>
      </c>
      <c r="BG64" s="20">
        <f t="shared" si="7"/>
        <v>556.48174822611588</v>
      </c>
      <c r="BH64" s="59">
        <f t="shared" si="8"/>
        <v>849.81508155944925</v>
      </c>
      <c r="BI64" s="59">
        <f ca="1">AVERAGE(OFFSET($BH$3,0,0,'Données projet'!$E$11+1,1))-AVERAGE(OFFSET($H$3,0,0,'Données projet'!$E$11+1,1))</f>
        <v>449.84356201138451</v>
      </c>
      <c r="BJ64" s="59">
        <f t="shared" si="38"/>
        <v>306.61893266146666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4.4328573071111563</v>
      </c>
      <c r="BQ64" s="21">
        <f>EXP(-LN(2)/25)*BQ63+(1-EXP(-LN(2)/25))/(LN(2)/25)*Calculateur!BL64*Calculateur!BN64*VLOOKUP('Données projet'!$B$11,Paramètres!$A$1:$I$89,3,0)*0.475*44/12</f>
        <v>4.4432945542202047</v>
      </c>
      <c r="BR64" s="21">
        <f>EXP(-LN(2)/2)*BR63+(1-EXP(-LN(2)/2))/(LN(2)/2)*BL64*BO64*VLOOKUP('Données projet'!$B$11,Paramètres!$A$1:$I$89,3,0)*0.475*44/12</f>
        <v>2.06402729962485E-4</v>
      </c>
      <c r="BS64" s="22">
        <f t="shared" si="9"/>
        <v>8.8763582640613237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16.625</v>
      </c>
      <c r="BY64" s="12">
        <f>IF('Données projet'!$A$114&gt;35,BY63+BX64-CG63,IF(A64&lt;'Données projet'!$A$114,$BV$205^A64,IF(A64='Données projet'!$A$114,'Données projet'!$B$114,BY63+BX64-CG63)))</f>
        <v>411.87499999999994</v>
      </c>
      <c r="BZ64" s="13">
        <f>BY64*VLOOKUP('Données projet'!$B$12,Paramètres!$A$1:$I$89,3,0)*VLOOKUP('Données projet'!$B$12,Paramètres!$A$1:$I$89,5,0)</f>
        <v>246.30124999999998</v>
      </c>
      <c r="CA64" s="13">
        <f t="shared" si="39"/>
        <v>59.793223430016852</v>
      </c>
      <c r="CB64" s="20">
        <f t="shared" si="10"/>
        <v>533.11454122394582</v>
      </c>
      <c r="CC64" s="59">
        <f t="shared" si="11"/>
        <v>826.44787455727919</v>
      </c>
      <c r="CD64" s="59">
        <f ca="1">AVERAGE(OFFSET($CC$3,0,0,'Données projet'!$E$12+1,1))-AVERAGE(OFFSET($H$3,0,0,'Données projet'!$E$12+1,1))</f>
        <v>370.12772664814923</v>
      </c>
      <c r="CE64" s="59">
        <f t="shared" si="40"/>
        <v>292.26503163353146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4.047680825165977</v>
      </c>
      <c r="CL64" s="21">
        <f>EXP(-LN(2)/25)*CL63+(1-EXP(-LN(2)/25))/(LN(2)/25)*Calculateur!CG64*Calculateur!CI64*VLOOKUP('Données projet'!$B$12,Paramètres!$A$1:$I$89,3,0)*0.475*44/12</f>
        <v>2.812561369283876</v>
      </c>
      <c r="CM64" s="21">
        <f>EXP(-LN(2)/2)*CM63+(1-EXP(-LN(2)/2))/(LN(2)/2)*CG64*CJ64*VLOOKUP('Données projet'!$B$12,Paramètres!$A$1:$I$89,3,0)*0.475*44/12</f>
        <v>1.7096830133286919E-4</v>
      </c>
      <c r="CN64" s="22">
        <f t="shared" si="12"/>
        <v>6.8604131627511862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319.22903094674564</v>
      </c>
      <c r="T65" s="59">
        <f t="shared" si="34"/>
        <v>254.58690973142848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282.66263999999995</v>
      </c>
      <c r="AK65" s="13">
        <f t="shared" si="35"/>
        <v>67.529390930099993</v>
      </c>
      <c r="AL65" s="20">
        <f t="shared" si="4"/>
        <v>609.91778720325738</v>
      </c>
      <c r="AM65" s="59">
        <f t="shared" si="5"/>
        <v>903.25112053659063</v>
      </c>
      <c r="AN65" s="59">
        <f ca="1">AVERAGE(OFFSET($AM$3,0,0,'Données projet'!$E$10+1,1))-AVERAGE(OFFSET($H$3,0,0,'Données projet'!$E$10+1,1))</f>
        <v>475.01366239340246</v>
      </c>
      <c r="AO65" s="59">
        <f t="shared" si="36"/>
        <v>322.81767004794284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4.6133736285774321</v>
      </c>
      <c r="AV65" s="21">
        <f>EXP(-LN(2)/25)*AV64+(1-EXP(-LN(2)/25))/(LN(2)/25)*Calculateur!AQ65*Calculateur!AS65*VLOOKUP('Données projet'!$B$10,Paramètres!$A$1:$I$89,3,0)*0.475*44/12</f>
        <v>4.5877488882629507</v>
      </c>
      <c r="AW65" s="21">
        <f>EXP(-LN(2)/2)*AW64+(1-EXP(-LN(2)/2))/(LN(2)/2)*AQ65*AT65*VLOOKUP('Données projet'!$B$10,Paramètres!$A$1:$I$89,3,0)*0.475*44/12</f>
        <v>1.5493023278185137E-4</v>
      </c>
      <c r="AX65" s="21">
        <f t="shared" si="6"/>
        <v>9.2012774470731635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262.59999999999997</v>
      </c>
      <c r="BE65" s="13">
        <f>BD65*VLOOKUP('Données projet'!$B$11,Paramètres!$A$1:$I$89,3,0)*VLOOKUP('Données projet'!$B$11,Paramètres!$A$1:$I$89,5,0)</f>
        <v>266.27640000000002</v>
      </c>
      <c r="BF65" s="13">
        <f t="shared" si="37"/>
        <v>64.058389829439747</v>
      </c>
      <c r="BG65" s="20">
        <f t="shared" si="7"/>
        <v>575.33309228627434</v>
      </c>
      <c r="BH65" s="59">
        <f t="shared" si="8"/>
        <v>868.66642561960771</v>
      </c>
      <c r="BI65" s="59">
        <f ca="1">AVERAGE(OFFSET($BH$3,0,0,'Données projet'!$E$11+1,1))-AVERAGE(OFFSET($H$3,0,0,'Données projet'!$E$11+1,1))</f>
        <v>449.84356201138451</v>
      </c>
      <c r="BJ65" s="59">
        <f t="shared" si="38"/>
        <v>306.61893266146666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4.3459316790946882</v>
      </c>
      <c r="BQ65" s="21">
        <f>EXP(-LN(2)/25)*BQ64+(1-EXP(-LN(2)/25))/(LN(2)/25)*Calculateur!BL65*Calculateur!BN65*VLOOKUP('Données projet'!$B$11,Paramètres!$A$1:$I$89,3,0)*0.475*44/12</f>
        <v>4.3217924309723479</v>
      </c>
      <c r="BR65" s="21">
        <f>EXP(-LN(2)/2)*BR64+(1-EXP(-LN(2)/2))/(LN(2)/2)*BL65*BO65*VLOOKUP('Données projet'!$B$11,Paramètres!$A$1:$I$89,3,0)*0.475*44/12</f>
        <v>1.4594877001188893E-4</v>
      </c>
      <c r="BS65" s="22">
        <f t="shared" si="9"/>
        <v>8.6678700588370479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16.625</v>
      </c>
      <c r="BY65" s="12">
        <f>IF('Données projet'!$A$114&gt;35,BY64+BX65-CG64,IF(A65&lt;'Données projet'!$A$114,$BV$205^A65,IF(A65='Données projet'!$A$114,'Données projet'!$B$114,BY64+BX65-CG64)))</f>
        <v>428.49999999999994</v>
      </c>
      <c r="BZ65" s="13">
        <f>BY65*VLOOKUP('Données projet'!$B$12,Paramètres!$A$1:$I$89,3,0)*VLOOKUP('Données projet'!$B$12,Paramètres!$A$1:$I$89,5,0)</f>
        <v>256.24299999999999</v>
      </c>
      <c r="CA65" s="13">
        <f t="shared" si="39"/>
        <v>61.920860231490025</v>
      </c>
      <c r="CB65" s="20">
        <f t="shared" si="10"/>
        <v>554.13538990317852</v>
      </c>
      <c r="CC65" s="59">
        <f t="shared" si="11"/>
        <v>847.46872323651178</v>
      </c>
      <c r="CD65" s="59">
        <f ca="1">AVERAGE(OFFSET($CC$3,0,0,'Données projet'!$E$12+1,1))-AVERAGE(OFFSET($H$3,0,0,'Données projet'!$E$12+1,1))</f>
        <v>370.12772664814923</v>
      </c>
      <c r="CE65" s="59">
        <f t="shared" si="40"/>
        <v>292.26503163353146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3.9683082730259978</v>
      </c>
      <c r="CL65" s="21">
        <f>EXP(-LN(2)/25)*CL64+(1-EXP(-LN(2)/25))/(LN(2)/25)*Calculateur!CG65*Calculateur!CI65*VLOOKUP('Données projet'!$B$12,Paramètres!$A$1:$I$89,3,0)*0.475*44/12</f>
        <v>2.7356517307346344</v>
      </c>
      <c r="CM65" s="21">
        <f>EXP(-LN(2)/2)*CM64+(1-EXP(-LN(2)/2))/(LN(2)/2)*CG65*CJ65*VLOOKUP('Données projet'!$B$12,Paramètres!$A$1:$I$89,3,0)*0.475*44/12</f>
        <v>1.2089284524041686E-4</v>
      </c>
      <c r="CN65" s="22">
        <f t="shared" si="12"/>
        <v>6.7040808966058725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319.22903094674564</v>
      </c>
      <c r="T66" s="59">
        <f t="shared" si="34"/>
        <v>254.58690973142848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292.13495999999998</v>
      </c>
      <c r="AK66" s="13">
        <f t="shared" si="35"/>
        <v>69.525108311202231</v>
      </c>
      <c r="AL66" s="20">
        <f t="shared" si="4"/>
        <v>629.89128564201053</v>
      </c>
      <c r="AM66" s="59">
        <f t="shared" si="5"/>
        <v>923.2246189753439</v>
      </c>
      <c r="AN66" s="59">
        <f ca="1">AVERAGE(OFFSET($AM$3,0,0,'Données projet'!$E$10+1,1))-AVERAGE(OFFSET($H$3,0,0,'Données projet'!$E$10+1,1))</f>
        <v>475.01366239340246</v>
      </c>
      <c r="AO66" s="59">
        <f t="shared" si="36"/>
        <v>322.81767004794284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4.5229081856010946</v>
      </c>
      <c r="AV66" s="21">
        <f>EXP(-LN(2)/25)*AV65+(1-EXP(-LN(2)/25))/(LN(2)/25)*Calculateur!AQ66*Calculateur!AS66*VLOOKUP('Données projet'!$B$10,Paramètres!$A$1:$I$89,3,0)*0.475*44/12</f>
        <v>4.4622966536541719</v>
      </c>
      <c r="AW66" s="21">
        <f>EXP(-LN(2)/2)*AW65+(1-EXP(-LN(2)/2))/(LN(2)/2)*AQ66*AT66*VLOOKUP('Données projet'!$B$10,Paramètres!$A$1:$I$89,3,0)*0.475*44/12</f>
        <v>1.0955221821085745E-4</v>
      </c>
      <c r="AX66" s="21">
        <f t="shared" si="6"/>
        <v>8.9853143914734783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271.39999999999998</v>
      </c>
      <c r="BE66" s="13">
        <f>BD66*VLOOKUP('Données projet'!$B$11,Paramètres!$A$1:$I$89,3,0)*VLOOKUP('Données projet'!$B$11,Paramètres!$A$1:$I$89,5,0)</f>
        <v>275.19960000000003</v>
      </c>
      <c r="BF66" s="13">
        <f t="shared" si="37"/>
        <v>65.951527620662617</v>
      </c>
      <c r="BG66" s="20">
        <f t="shared" si="7"/>
        <v>594.17154727265404</v>
      </c>
      <c r="BH66" s="59">
        <f t="shared" si="8"/>
        <v>887.50488060598741</v>
      </c>
      <c r="BI66" s="59">
        <f ca="1">AVERAGE(OFFSET($BH$3,0,0,'Données projet'!$E$11+1,1))-AVERAGE(OFFSET($H$3,0,0,'Données projet'!$E$11+1,1))</f>
        <v>449.84356201138451</v>
      </c>
      <c r="BJ66" s="59">
        <f t="shared" si="38"/>
        <v>306.61893266146666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4.2607106096242253</v>
      </c>
      <c r="BQ66" s="21">
        <f>EXP(-LN(2)/25)*BQ65+(1-EXP(-LN(2)/25))/(LN(2)/25)*Calculateur!BL66*Calculateur!BN66*VLOOKUP('Données projet'!$B$11,Paramètres!$A$1:$I$89,3,0)*0.475*44/12</f>
        <v>4.2036127896742226</v>
      </c>
      <c r="BR66" s="21">
        <f>EXP(-LN(2)/2)*BR65+(1-EXP(-LN(2)/2))/(LN(2)/2)*BL66*BO66*VLOOKUP('Données projet'!$B$11,Paramètres!$A$1:$I$89,3,0)*0.475*44/12</f>
        <v>1.032013649812425E-4</v>
      </c>
      <c r="BS66" s="22">
        <f t="shared" si="9"/>
        <v>8.4644266006634279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16.625</v>
      </c>
      <c r="BY66" s="12">
        <f>IF('Données projet'!$A$114&gt;35,BY65+BX66-CG65,IF(A66&lt;'Données projet'!$A$114,$BV$205^A66,IF(A66='Données projet'!$A$114,'Données projet'!$B$114,BY65+BX66-CG65)))</f>
        <v>445.12499999999994</v>
      </c>
      <c r="BZ66" s="13">
        <f>BY66*VLOOKUP('Données projet'!$B$12,Paramètres!$A$1:$I$89,3,0)*VLOOKUP('Données projet'!$B$12,Paramètres!$A$1:$I$89,5,0)</f>
        <v>266.18475000000001</v>
      </c>
      <c r="CA66" s="13">
        <f t="shared" si="39"/>
        <v>64.038907529798962</v>
      </c>
      <c r="CB66" s="20">
        <f t="shared" si="10"/>
        <v>575.13953686439993</v>
      </c>
      <c r="CC66" s="59">
        <f t="shared" si="11"/>
        <v>868.4728701977333</v>
      </c>
      <c r="CD66" s="59">
        <f ca="1">AVERAGE(OFFSET($CC$3,0,0,'Données projet'!$E$12+1,1))-AVERAGE(OFFSET($H$3,0,0,'Données projet'!$E$12+1,1))</f>
        <v>370.12772664814923</v>
      </c>
      <c r="CE66" s="59">
        <f t="shared" si="40"/>
        <v>292.26503163353146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3.890492168221007</v>
      </c>
      <c r="CL66" s="21">
        <f>EXP(-LN(2)/25)*CL65+(1-EXP(-LN(2)/25))/(LN(2)/25)*Calculateur!CG66*Calculateur!CI66*VLOOKUP('Données projet'!$B$12,Paramètres!$A$1:$I$89,3,0)*0.475*44/12</f>
        <v>2.6608451902960235</v>
      </c>
      <c r="CM66" s="21">
        <f>EXP(-LN(2)/2)*CM65+(1-EXP(-LN(2)/2))/(LN(2)/2)*CG66*CJ66*VLOOKUP('Données projet'!$B$12,Paramètres!$A$1:$I$89,3,0)*0.475*44/12</f>
        <v>8.5484150666434607E-5</v>
      </c>
      <c r="CN66" s="22">
        <f t="shared" si="12"/>
        <v>6.551422842667697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319.22903094674564</v>
      </c>
      <c r="T67" s="59">
        <f t="shared" si="34"/>
        <v>254.58690973142848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301.60727999999995</v>
      </c>
      <c r="AK67" s="13">
        <f t="shared" si="35"/>
        <v>71.513306244453176</v>
      </c>
      <c r="AL67" s="20">
        <f t="shared" si="4"/>
        <v>649.85168770908911</v>
      </c>
      <c r="AM67" s="59">
        <f t="shared" si="5"/>
        <v>943.18502104242248</v>
      </c>
      <c r="AN67" s="59">
        <f ca="1">AVERAGE(OFFSET($AM$3,0,0,'Données projet'!$E$10+1,1))-AVERAGE(OFFSET($H$3,0,0,'Données projet'!$E$10+1,1))</f>
        <v>475.01366239340246</v>
      </c>
      <c r="AO67" s="59">
        <f t="shared" si="36"/>
        <v>322.81767004794284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4.4342167147830516</v>
      </c>
      <c r="AV67" s="21">
        <f>EXP(-LN(2)/25)*AV66+(1-EXP(-LN(2)/25))/(LN(2)/25)*Calculateur!AQ67*Calculateur!AS67*VLOOKUP('Données projet'!$B$10,Paramètres!$A$1:$I$89,3,0)*0.475*44/12</f>
        <v>4.3402749169980162</v>
      </c>
      <c r="AW67" s="21">
        <f>EXP(-LN(2)/2)*AW66+(1-EXP(-LN(2)/2))/(LN(2)/2)*AQ67*AT67*VLOOKUP('Données projet'!$B$10,Paramètres!$A$1:$I$89,3,0)*0.475*44/12</f>
        <v>7.7465116390925683E-5</v>
      </c>
      <c r="AX67" s="21">
        <f t="shared" si="6"/>
        <v>8.7745690968974586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280.2</v>
      </c>
      <c r="BE67" s="13">
        <f>BD67*VLOOKUP('Données projet'!$B$11,Paramètres!$A$1:$I$89,3,0)*VLOOKUP('Données projet'!$B$11,Paramètres!$A$1:$I$89,5,0)</f>
        <v>284.12279999999998</v>
      </c>
      <c r="BF67" s="13">
        <f t="shared" si="37"/>
        <v>67.837532462585557</v>
      </c>
      <c r="BG67" s="20">
        <f t="shared" si="7"/>
        <v>612.99757903900309</v>
      </c>
      <c r="BH67" s="59">
        <f t="shared" si="8"/>
        <v>906.33091237233634</v>
      </c>
      <c r="BI67" s="59">
        <f ca="1">AVERAGE(OFFSET($BH$3,0,0,'Données projet'!$E$11+1,1))-AVERAGE(OFFSET($H$3,0,0,'Données projet'!$E$11+1,1))</f>
        <v>449.84356201138451</v>
      </c>
      <c r="BJ67" s="59">
        <f t="shared" si="38"/>
        <v>306.61893266146666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4.177160673346358</v>
      </c>
      <c r="BQ67" s="21">
        <f>EXP(-LN(2)/25)*BQ66+(1-EXP(-LN(2)/25))/(LN(2)/25)*Calculateur!BL67*Calculateur!BN67*VLOOKUP('Données projet'!$B$11,Paramètres!$A$1:$I$89,3,0)*0.475*44/12</f>
        <v>4.088664776882192</v>
      </c>
      <c r="BR67" s="21">
        <f>EXP(-LN(2)/2)*BR66+(1-EXP(-LN(2)/2))/(LN(2)/2)*BL67*BO67*VLOOKUP('Données projet'!$B$11,Paramètres!$A$1:$I$89,3,0)*0.475*44/12</f>
        <v>7.2974385005944467E-5</v>
      </c>
      <c r="BS67" s="22">
        <f t="shared" si="9"/>
        <v>8.2658984246135567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16.625</v>
      </c>
      <c r="BY67" s="12">
        <f>IF('Données projet'!$A$114&gt;35,BY66+BX67-CG66,IF(A67&lt;'Données projet'!$A$114,$BV$205^A67,IF(A67='Données projet'!$A$114,'Données projet'!$B$114,BY66+BX67-CG66)))</f>
        <v>461.74999999999994</v>
      </c>
      <c r="BZ67" s="13">
        <f>BY67*VLOOKUP('Données projet'!$B$12,Paramètres!$A$1:$I$89,3,0)*VLOOKUP('Données projet'!$B$12,Paramètres!$A$1:$I$89,5,0)</f>
        <v>276.12649999999996</v>
      </c>
      <c r="CA67" s="13">
        <f t="shared" si="39"/>
        <v>66.147764494536574</v>
      </c>
      <c r="CB67" s="20">
        <f t="shared" si="10"/>
        <v>596.12767732798443</v>
      </c>
      <c r="CC67" s="59">
        <f t="shared" si="11"/>
        <v>889.46101066131769</v>
      </c>
      <c r="CD67" s="59">
        <f ca="1">AVERAGE(OFFSET($CC$3,0,0,'Données projet'!$E$12+1,1))-AVERAGE(OFFSET($H$3,0,0,'Données projet'!$E$12+1,1))</f>
        <v>370.12772664814923</v>
      </c>
      <c r="CE67" s="59">
        <f t="shared" si="40"/>
        <v>292.26503163353146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3.8142019897681045</v>
      </c>
      <c r="CL67" s="21">
        <f>EXP(-LN(2)/25)*CL66+(1-EXP(-LN(2)/25))/(LN(2)/25)*Calculateur!CG67*Calculateur!CI67*VLOOKUP('Données projet'!$B$12,Paramètres!$A$1:$I$89,3,0)*0.475*44/12</f>
        <v>2.5880842386396115</v>
      </c>
      <c r="CM67" s="21">
        <f>EXP(-LN(2)/2)*CM66+(1-EXP(-LN(2)/2))/(LN(2)/2)*CG67*CJ67*VLOOKUP('Données projet'!$B$12,Paramètres!$A$1:$I$89,3,0)*0.475*44/12</f>
        <v>6.0446422620208439E-5</v>
      </c>
      <c r="CN67" s="22">
        <f t="shared" si="12"/>
        <v>6.4023466748303361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319.22903094674564</v>
      </c>
      <c r="T68" s="59">
        <f t="shared" si="34"/>
        <v>254.58690973142848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311.07960000000003</v>
      </c>
      <c r="AK68" s="13">
        <f t="shared" si="35"/>
        <v>73.49424798183118</v>
      </c>
      <c r="AL68" s="20">
        <f t="shared" ref="AL68:AL131" si="58">(AJ68+AK68)*0.475*44/12</f>
        <v>669.79945190168928</v>
      </c>
      <c r="AM68" s="59">
        <f t="shared" ref="AM68:AM131" si="59">AL68+(AD68+AE68)*44/12</f>
        <v>963.13278523502254</v>
      </c>
      <c r="AN68" s="59">
        <f ca="1">AVERAGE(OFFSET($AM$3,0,0,'Données projet'!$E$10+1,1))-AVERAGE(OFFSET($H$3,0,0,'Données projet'!$E$10+1,1))</f>
        <v>475.01366239340246</v>
      </c>
      <c r="AO68" s="59">
        <f t="shared" si="36"/>
        <v>322.81767004794284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4.3472644296112941</v>
      </c>
      <c r="AV68" s="21">
        <f>EXP(-LN(2)/25)*AV67+(1-EXP(-LN(2)/25))/(LN(2)/25)*Calculateur!AQ68*Calculateur!AS68*VLOOKUP('Données projet'!$B$10,Paramètres!$A$1:$I$89,3,0)*0.475*44/12</f>
        <v>4.2215898711475672</v>
      </c>
      <c r="AW68" s="21">
        <f>EXP(-LN(2)/2)*AW67+(1-EXP(-LN(2)/2))/(LN(2)/2)*AQ68*AT68*VLOOKUP('Données projet'!$B$10,Paramètres!$A$1:$I$89,3,0)*0.475*44/12</f>
        <v>5.4776109105428724E-5</v>
      </c>
      <c r="AX68" s="21">
        <f t="shared" ref="AX68:AX131" si="60">SUM(AU68:AW68)</f>
        <v>8.5689090768679677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289</v>
      </c>
      <c r="BE68" s="13">
        <f>BD68*VLOOKUP('Données projet'!$B$11,Paramètres!$A$1:$I$89,3,0)*VLOOKUP('Données projet'!$B$11,Paramètres!$A$1:$I$89,5,0)</f>
        <v>293.04599999999999</v>
      </c>
      <c r="BF68" s="13">
        <f t="shared" si="37"/>
        <v>69.716654076072615</v>
      </c>
      <c r="BG68" s="20">
        <f t="shared" ref="BG68:BG131" si="61">(BE68+BF68)*0.475*44/12</f>
        <v>631.81162251582646</v>
      </c>
      <c r="BH68" s="59">
        <f t="shared" ref="BH68:BH131" si="62">BG68+(AY68+AZ68)*44/12</f>
        <v>925.14495584915971</v>
      </c>
      <c r="BI68" s="59">
        <f ca="1">AVERAGE(OFFSET($BH$3,0,0,'Données projet'!$E$11+1,1))-AVERAGE(OFFSET($H$3,0,0,'Données projet'!$E$11+1,1))</f>
        <v>449.84356201138451</v>
      </c>
      <c r="BJ68" s="59">
        <f t="shared" si="38"/>
        <v>306.61893266146666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4.0952491003584708</v>
      </c>
      <c r="BQ68" s="21">
        <f>EXP(-LN(2)/25)*BQ67+(1-EXP(-LN(2)/25))/(LN(2)/25)*Calculateur!BL68*Calculateur!BN68*VLOOKUP('Données projet'!$B$11,Paramètres!$A$1:$I$89,3,0)*0.475*44/12</f>
        <v>3.9768600235448126</v>
      </c>
      <c r="BR68" s="21">
        <f>EXP(-LN(2)/2)*BR67+(1-EXP(-LN(2)/2))/(LN(2)/2)*BL68*BO68*VLOOKUP('Données projet'!$B$11,Paramètres!$A$1:$I$89,3,0)*0.475*44/12</f>
        <v>5.1600682490621249E-5</v>
      </c>
      <c r="BS68" s="22">
        <f t="shared" ref="BS68:BS131" si="63">SUM(BP68:BR68)</f>
        <v>8.0721607245857747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16.625</v>
      </c>
      <c r="BY68" s="12">
        <f>IF('Données projet'!$A$114&gt;35,BY67+BX68-CG67,IF(A68&lt;'Données projet'!$A$114,$BV$205^A68,IF(A68='Données projet'!$A$114,'Données projet'!$B$114,BY67+BX68-CG67)))</f>
        <v>478.37499999999994</v>
      </c>
      <c r="BZ68" s="13">
        <f>BY68*VLOOKUP('Données projet'!$B$12,Paramètres!$A$1:$I$89,3,0)*VLOOKUP('Données projet'!$B$12,Paramètres!$A$1:$I$89,5,0)</f>
        <v>286.06824999999998</v>
      </c>
      <c r="CA68" s="13">
        <f t="shared" si="39"/>
        <v>68.247799922382825</v>
      </c>
      <c r="CB68" s="20">
        <f t="shared" ref="CB68:CB131" si="64">(BZ68+CA68)*0.475*44/12</f>
        <v>617.10045361481673</v>
      </c>
      <c r="CC68" s="59">
        <f t="shared" ref="CC68:CC131" si="65">CB68+(BT68+BU68)*44/12</f>
        <v>910.4337869481501</v>
      </c>
      <c r="CD68" s="59">
        <f ca="1">AVERAGE(OFFSET($CC$3,0,0,'Données projet'!$E$12+1,1))-AVERAGE(OFFSET($H$3,0,0,'Données projet'!$E$12+1,1))</f>
        <v>370.12772664814923</v>
      </c>
      <c r="CE68" s="59">
        <f t="shared" si="40"/>
        <v>292.26503163353146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3.7394078151822496</v>
      </c>
      <c r="CL68" s="21">
        <f>EXP(-LN(2)/25)*CL67+(1-EXP(-LN(2)/25))/(LN(2)/25)*Calculateur!CG68*Calculateur!CI68*VLOOKUP('Données projet'!$B$12,Paramètres!$A$1:$I$89,3,0)*0.475*44/12</f>
        <v>2.5173129390325761</v>
      </c>
      <c r="CM68" s="21">
        <f>EXP(-LN(2)/2)*CM67+(1-EXP(-LN(2)/2))/(LN(2)/2)*CG68*CJ68*VLOOKUP('Données projet'!$B$12,Paramètres!$A$1:$I$89,3,0)*0.475*44/12</f>
        <v>4.274207533321731E-5</v>
      </c>
      <c r="CN68" s="22">
        <f t="shared" ref="CN68:CN131" si="66">SUM(CK68:CM68)</f>
        <v>6.2567634962901586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319.22903094674564</v>
      </c>
      <c r="T69" s="59">
        <f t="shared" ref="T69:T132" si="88">$T$3</f>
        <v>254.58690973142848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289.76688000000001</v>
      </c>
      <c r="AK69" s="13">
        <f t="shared" ref="AK69:AK132" si="89">EXP(-1.0587+0.8836*LN(AJ69)+0.284)</f>
        <v>69.026894594073823</v>
      </c>
      <c r="AL69" s="20">
        <f t="shared" si="58"/>
        <v>624.8991574180119</v>
      </c>
      <c r="AM69" s="59">
        <f t="shared" si="59"/>
        <v>918.23249075134527</v>
      </c>
      <c r="AN69" s="59">
        <f ca="1">AVERAGE(OFFSET($AM$3,0,0,'Données projet'!$E$10+1,1))-AVERAGE(OFFSET($H$3,0,0,'Données projet'!$E$10+1,1))</f>
        <v>475.01366239340246</v>
      </c>
      <c r="AO69" s="59">
        <f t="shared" ref="AO69:AO132" si="90">$AO$3</f>
        <v>322.81767004794284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4.2620172257160975</v>
      </c>
      <c r="AV69" s="21">
        <f>EXP(-LN(2)/25)*AV68+(1-EXP(-LN(2)/25))/(LN(2)/25)*Calculateur!AQ69*Calculateur!AS69*VLOOKUP('Données projet'!$B$10,Paramètres!$A$1:$I$89,3,0)*0.475*44/12</f>
        <v>4.1061502741172742</v>
      </c>
      <c r="AW69" s="21">
        <f>EXP(-LN(2)/2)*AW68+(1-EXP(-LN(2)/2))/(LN(2)/2)*AQ69*AT69*VLOOKUP('Données projet'!$B$10,Paramètres!$A$1:$I$89,3,0)*0.475*44/12</f>
        <v>3.8732558195462842E-5</v>
      </c>
      <c r="AX69" s="21">
        <f t="shared" si="60"/>
        <v>8.368206232391568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269.2</v>
      </c>
      <c r="BE69" s="13">
        <f>BD69*VLOOKUP('Données projet'!$B$11,Paramètres!$A$1:$I$89,3,0)*VLOOKUP('Données projet'!$B$11,Paramètres!$A$1:$I$89,5,0)</f>
        <v>272.96879999999999</v>
      </c>
      <c r="BF69" s="13">
        <f t="shared" ref="BF69:BF132" si="91">EXP(-1.0587+0.8836*LN(BE69)+0.284)</f>
        <v>65.478922017818945</v>
      </c>
      <c r="BG69" s="20">
        <f t="shared" si="61"/>
        <v>589.46311584770126</v>
      </c>
      <c r="BH69" s="59">
        <f t="shared" si="62"/>
        <v>882.79644918103463</v>
      </c>
      <c r="BI69" s="59">
        <f ca="1">AVERAGE(OFFSET($BH$3,0,0,'Données projet'!$E$11+1,1))-AVERAGE(OFFSET($H$3,0,0,'Données projet'!$E$11+1,1))</f>
        <v>449.84356201138451</v>
      </c>
      <c r="BJ69" s="59">
        <f t="shared" ref="BJ69:BJ132" si="92">$BJ$3</f>
        <v>306.61893266146666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4.0149437633557499</v>
      </c>
      <c r="BQ69" s="21">
        <f>EXP(-LN(2)/25)*BQ68+(1-EXP(-LN(2)/25))/(LN(2)/25)*Calculateur!BL69*Calculateur!BN69*VLOOKUP('Données projet'!$B$11,Paramètres!$A$1:$I$89,3,0)*0.475*44/12</f>
        <v>3.8681125770670004</v>
      </c>
      <c r="BR69" s="21">
        <f>EXP(-LN(2)/2)*BR68+(1-EXP(-LN(2)/2))/(LN(2)/2)*BL69*BO69*VLOOKUP('Données projet'!$B$11,Paramètres!$A$1:$I$89,3,0)*0.475*44/12</f>
        <v>3.6487192502972233E-5</v>
      </c>
      <c r="BS69" s="22">
        <f t="shared" si="63"/>
        <v>7.8830928276152532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495</v>
      </c>
      <c r="BW69" s="12">
        <f>VLOOKUP(A69,'Données projet'!$A$113:$I$133,9,0)</f>
        <v>16.625</v>
      </c>
      <c r="BX69" s="12">
        <f t="array" ref="BX69">INDEX(BW:BW,MIN(IF(ISNUMBER(BW69:BW265),ROW(BW69:BW265),"")))</f>
        <v>16.625</v>
      </c>
      <c r="BY69" s="12">
        <f>IF('Données projet'!$A$114&gt;35,BY68+BX69-CG68,IF(A69&lt;'Données projet'!$A$114,$BV$205^A69,IF(A69='Données projet'!$A$114,'Données projet'!$B$114,BY68+BX69-CG68)))</f>
        <v>494.99999999999994</v>
      </c>
      <c r="BZ69" s="13">
        <f>BY69*VLOOKUP('Données projet'!$B$12,Paramètres!$A$1:$I$89,3,0)*VLOOKUP('Données projet'!$B$12,Paramètres!$A$1:$I$89,5,0)</f>
        <v>296.01</v>
      </c>
      <c r="CA69" s="13">
        <f t="shared" ref="CA69:CA132" si="93">EXP(-1.0587+0.8836*LN(BZ69)+0.284)</f>
        <v>70.339355522692159</v>
      </c>
      <c r="CB69" s="20">
        <f t="shared" si="64"/>
        <v>638.05846086868871</v>
      </c>
      <c r="CC69" s="59">
        <f t="shared" si="65"/>
        <v>931.39179420202208</v>
      </c>
      <c r="CD69" s="59">
        <f ca="1">AVERAGE(OFFSET($CC$3,0,0,'Données projet'!$E$12+1,1))-AVERAGE(OFFSET($H$3,0,0,'Données projet'!$E$12+1,1))</f>
        <v>370.12772664814923</v>
      </c>
      <c r="CE69" s="59">
        <f t="shared" ref="CE69:CE132" si="94">$CE$3</f>
        <v>292.26503163353146</v>
      </c>
      <c r="CF69" s="15">
        <f>IF(ISNA(VLOOKUP(A69,'Données projet'!$A$113:$I$133,3,0)),0,VLOOKUP(A69,'Données projet'!$A$113:$I$133,3,0))</f>
        <v>9</v>
      </c>
      <c r="CG69" s="15">
        <f>IF(ISNA(VLOOKUP(A69,'Données projet'!$A$113:$I$133,4,0)),0,VLOOKUP(A69,'Données projet'!$A$113:$I$133,4,0))</f>
        <v>65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3.6660803087400815</v>
      </c>
      <c r="CL69" s="21">
        <f>EXP(-LN(2)/25)*CL68+(1-EXP(-LN(2)/25))/(LN(2)/25)*Calculateur!CG69*Calculateur!CI69*VLOOKUP('Données projet'!$B$12,Paramètres!$A$1:$I$89,3,0)*0.475*44/12</f>
        <v>2.4484768843349962</v>
      </c>
      <c r="CM69" s="21">
        <f>EXP(-LN(2)/2)*CM68+(1-EXP(-LN(2)/2))/(LN(2)/2)*CG69*CJ69*VLOOKUP('Données projet'!$B$12,Paramètres!$A$1:$I$89,3,0)*0.475*44/12</f>
        <v>3.0223211310104226E-5</v>
      </c>
      <c r="CN69" s="22">
        <f t="shared" si="66"/>
        <v>6.1145874162863878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319.22903094674564</v>
      </c>
      <c r="T70" s="59">
        <f t="shared" si="88"/>
        <v>254.58690973142848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298.59335999999996</v>
      </c>
      <c r="AK70" s="13">
        <f t="shared" si="89"/>
        <v>70.88149709045409</v>
      </c>
      <c r="AL70" s="20">
        <f t="shared" si="58"/>
        <v>643.50204276587419</v>
      </c>
      <c r="AM70" s="59">
        <f t="shared" si="59"/>
        <v>936.83537609920745</v>
      </c>
      <c r="AN70" s="59">
        <f ca="1">AVERAGE(OFFSET($AM$3,0,0,'Données projet'!$E$10+1,1))-AVERAGE(OFFSET($H$3,0,0,'Données projet'!$E$10+1,1))</f>
        <v>475.01366239340246</v>
      </c>
      <c r="AO70" s="59">
        <f t="shared" si="90"/>
        <v>322.81767004794284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4.178441667493626</v>
      </c>
      <c r="AV70" s="21">
        <f>EXP(-LN(2)/25)*AV69+(1-EXP(-LN(2)/25))/(LN(2)/25)*Calculateur!AQ70*Calculateur!AS70*VLOOKUP('Données projet'!$B$10,Paramètres!$A$1:$I$89,3,0)*0.475*44/12</f>
        <v>3.9938673789384791</v>
      </c>
      <c r="AW70" s="21">
        <f>EXP(-LN(2)/2)*AW69+(1-EXP(-LN(2)/2))/(LN(2)/2)*AQ70*AT70*VLOOKUP('Données projet'!$B$10,Paramètres!$A$1:$I$89,3,0)*0.475*44/12</f>
        <v>2.7388054552714362E-5</v>
      </c>
      <c r="AX70" s="21">
        <f t="shared" si="60"/>
        <v>8.1723364344866578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277.39999999999998</v>
      </c>
      <c r="BE70" s="13">
        <f>BD70*VLOOKUP('Données projet'!$B$11,Paramètres!$A$1:$I$89,3,0)*VLOOKUP('Données projet'!$B$11,Paramètres!$A$1:$I$89,5,0)</f>
        <v>281.28360000000004</v>
      </c>
      <c r="BF70" s="13">
        <f t="shared" si="91"/>
        <v>67.238198209347928</v>
      </c>
      <c r="BG70" s="20">
        <f t="shared" si="61"/>
        <v>607.00879854794766</v>
      </c>
      <c r="BH70" s="59">
        <f t="shared" si="62"/>
        <v>900.34213188128092</v>
      </c>
      <c r="BI70" s="59">
        <f ca="1">AVERAGE(OFFSET($BH$3,0,0,'Données projet'!$E$11+1,1))-AVERAGE(OFFSET($H$3,0,0,'Données projet'!$E$11+1,1))</f>
        <v>449.84356201138451</v>
      </c>
      <c r="BJ70" s="59">
        <f t="shared" si="92"/>
        <v>306.61893266146666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3.936213165030233</v>
      </c>
      <c r="BQ70" s="21">
        <f>EXP(-LN(2)/25)*BQ69+(1-EXP(-LN(2)/25))/(LN(2)/25)*Calculateur!BL70*Calculateur!BN70*VLOOKUP('Données projet'!$B$11,Paramètres!$A$1:$I$89,3,0)*0.475*44/12</f>
        <v>3.7623388352319034</v>
      </c>
      <c r="BR70" s="21">
        <f>EXP(-LN(2)/2)*BR69+(1-EXP(-LN(2)/2))/(LN(2)/2)*BL70*BO70*VLOOKUP('Données projet'!$B$11,Paramètres!$A$1:$I$89,3,0)*0.475*44/12</f>
        <v>2.5800341245310624E-5</v>
      </c>
      <c r="BS70" s="22">
        <f t="shared" si="63"/>
        <v>7.698577800603382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12.875</v>
      </c>
      <c r="BY70" s="12">
        <f>IF('Données projet'!$A$114&gt;35,BY69+BX70-CG69,IF(A70&lt;'Données projet'!$A$114,$BV$205^A70,IF(A70='Données projet'!$A$114,'Données projet'!$B$114,BY69+BX70-CG69)))</f>
        <v>442.87499999999994</v>
      </c>
      <c r="BZ70" s="13">
        <f>BY70*VLOOKUP('Données projet'!$B$12,Paramètres!$A$1:$I$89,3,0)*VLOOKUP('Données projet'!$B$12,Paramètres!$A$1:$I$89,5,0)</f>
        <v>264.83924999999999</v>
      </c>
      <c r="CA70" s="13">
        <f t="shared" si="93"/>
        <v>63.752800756768096</v>
      </c>
      <c r="CB70" s="20">
        <f t="shared" si="64"/>
        <v>572.29782173470437</v>
      </c>
      <c r="CC70" s="59">
        <f t="shared" si="65"/>
        <v>865.63115506803774</v>
      </c>
      <c r="CD70" s="59">
        <f ca="1">AVERAGE(OFFSET($CC$3,0,0,'Données projet'!$E$12+1,1))-AVERAGE(OFFSET($H$3,0,0,'Données projet'!$E$12+1,1))</f>
        <v>370.12772664814923</v>
      </c>
      <c r="CE70" s="59">
        <f t="shared" si="94"/>
        <v>292.26503163353146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3.5941907099738817</v>
      </c>
      <c r="CL70" s="21">
        <f>EXP(-LN(2)/25)*CL69+(1-EXP(-LN(2)/25))/(LN(2)/25)*Calculateur!CG70*Calculateur!CI70*VLOOKUP('Données projet'!$B$12,Paramètres!$A$1:$I$89,3,0)*0.475*44/12</f>
        <v>2.3815231551730527</v>
      </c>
      <c r="CM70" s="21">
        <f>EXP(-LN(2)/2)*CM69+(1-EXP(-LN(2)/2))/(LN(2)/2)*CG70*CJ70*VLOOKUP('Données projet'!$B$12,Paramètres!$A$1:$I$89,3,0)*0.475*44/12</f>
        <v>2.1371037666608658E-5</v>
      </c>
      <c r="CN70" s="22">
        <f t="shared" si="66"/>
        <v>5.975735236184601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319.22903094674564</v>
      </c>
      <c r="T71" s="59">
        <f t="shared" si="88"/>
        <v>254.58690973142848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307.41983999999997</v>
      </c>
      <c r="AK71" s="13">
        <f t="shared" si="89"/>
        <v>72.729728242133774</v>
      </c>
      <c r="AL71" s="20">
        <f t="shared" si="58"/>
        <v>662.09383135504959</v>
      </c>
      <c r="AM71" s="59">
        <f t="shared" si="59"/>
        <v>955.42716468838285</v>
      </c>
      <c r="AN71" s="59">
        <f ca="1">AVERAGE(OFFSET($AM$3,0,0,'Données projet'!$E$10+1,1))-AVERAGE(OFFSET($H$3,0,0,'Données projet'!$E$10+1,1))</f>
        <v>475.01366239340246</v>
      </c>
      <c r="AO71" s="59">
        <f t="shared" si="90"/>
        <v>322.81767004794284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4.0965049749918396</v>
      </c>
      <c r="AV71" s="21">
        <f>EXP(-LN(2)/25)*AV70+(1-EXP(-LN(2)/25))/(LN(2)/25)*Calculateur!AQ71*Calculateur!AS71*VLOOKUP('Données projet'!$B$10,Paramètres!$A$1:$I$89,3,0)*0.475*44/12</f>
        <v>3.8846548654330491</v>
      </c>
      <c r="AW71" s="21">
        <f>EXP(-LN(2)/2)*AW70+(1-EXP(-LN(2)/2))/(LN(2)/2)*AQ71*AT71*VLOOKUP('Données projet'!$B$10,Paramètres!$A$1:$I$89,3,0)*0.475*44/12</f>
        <v>1.9366279097731421E-5</v>
      </c>
      <c r="AX71" s="21">
        <f t="shared" si="60"/>
        <v>7.9811792067039864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285.59999999999997</v>
      </c>
      <c r="BE71" s="13">
        <f>BD71*VLOOKUP('Données projet'!$B$11,Paramètres!$A$1:$I$89,3,0)*VLOOKUP('Données projet'!$B$11,Paramètres!$A$1:$I$89,5,0)</f>
        <v>289.59839999999997</v>
      </c>
      <c r="BF71" s="13">
        <f t="shared" si="91"/>
        <v>68.991430542388798</v>
      </c>
      <c r="BG71" s="20">
        <f t="shared" si="61"/>
        <v>624.54395486132705</v>
      </c>
      <c r="BH71" s="59">
        <f t="shared" si="62"/>
        <v>917.87728819466042</v>
      </c>
      <c r="BI71" s="59">
        <f ca="1">AVERAGE(OFFSET($BH$3,0,0,'Données projet'!$E$11+1,1))-AVERAGE(OFFSET($H$3,0,0,'Données projet'!$E$11+1,1))</f>
        <v>449.84356201138451</v>
      </c>
      <c r="BJ71" s="59">
        <f t="shared" si="92"/>
        <v>306.61893266146666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3.8590264257169564</v>
      </c>
      <c r="BQ71" s="21">
        <f>EXP(-LN(2)/25)*BQ70+(1-EXP(-LN(2)/25))/(LN(2)/25)*Calculateur!BL71*Calculateur!BN71*VLOOKUP('Données projet'!$B$11,Paramètres!$A$1:$I$89,3,0)*0.475*44/12</f>
        <v>3.6594574819296866</v>
      </c>
      <c r="BR71" s="21">
        <f>EXP(-LN(2)/2)*BR70+(1-EXP(-LN(2)/2))/(LN(2)/2)*BL71*BO71*VLOOKUP('Données projet'!$B$11,Paramètres!$A$1:$I$89,3,0)*0.475*44/12</f>
        <v>1.8243596251486117E-5</v>
      </c>
      <c r="BS71" s="22">
        <f t="shared" si="63"/>
        <v>7.5185021512428944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12.875</v>
      </c>
      <c r="BY71" s="12">
        <f>IF('Données projet'!$A$114&gt;35,BY70+BX71-CG70,IF(A71&lt;'Données projet'!$A$114,$BV$205^A71,IF(A71='Données projet'!$A$114,'Données projet'!$B$114,BY70+BX71-CG70)))</f>
        <v>455.74999999999994</v>
      </c>
      <c r="BZ71" s="13">
        <f>BY71*VLOOKUP('Données projet'!$B$12,Paramètres!$A$1:$I$89,3,0)*VLOOKUP('Données projet'!$B$12,Paramètres!$A$1:$I$89,5,0)</f>
        <v>272.5385</v>
      </c>
      <c r="CA71" s="13">
        <f t="shared" si="93"/>
        <v>65.387709293034902</v>
      </c>
      <c r="CB71" s="20">
        <f t="shared" si="64"/>
        <v>588.55481451870241</v>
      </c>
      <c r="CC71" s="59">
        <f t="shared" si="65"/>
        <v>881.88814785203567</v>
      </c>
      <c r="CD71" s="59">
        <f ca="1">AVERAGE(OFFSET($CC$3,0,0,'Données projet'!$E$12+1,1))-AVERAGE(OFFSET($H$3,0,0,'Données projet'!$E$12+1,1))</f>
        <v>370.12772664814923</v>
      </c>
      <c r="CE71" s="59">
        <f t="shared" si="94"/>
        <v>292.26503163353146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3.5237108223911613</v>
      </c>
      <c r="CL71" s="21">
        <f>EXP(-LN(2)/25)*CL70+(1-EXP(-LN(2)/25))/(LN(2)/25)*Calculateur!CG71*Calculateur!CI71*VLOOKUP('Données projet'!$B$12,Paramètres!$A$1:$I$89,3,0)*0.475*44/12</f>
        <v>2.3164002792559857</v>
      </c>
      <c r="CM71" s="21">
        <f>EXP(-LN(2)/2)*CM70+(1-EXP(-LN(2)/2))/(LN(2)/2)*CG71*CJ71*VLOOKUP('Données projet'!$B$12,Paramètres!$A$1:$I$89,3,0)*0.475*44/12</f>
        <v>1.5111605655052115E-5</v>
      </c>
      <c r="CN71" s="22">
        <f t="shared" si="66"/>
        <v>5.8401262132528018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319.22903094674564</v>
      </c>
      <c r="T72" s="59">
        <f t="shared" si="88"/>
        <v>254.58690973142848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316.24631999999991</v>
      </c>
      <c r="AK72" s="13">
        <f t="shared" si="89"/>
        <v>74.57179198892409</v>
      </c>
      <c r="AL72" s="20">
        <f t="shared" si="58"/>
        <v>680.67487838070929</v>
      </c>
      <c r="AM72" s="59">
        <f t="shared" si="59"/>
        <v>974.00821171404255</v>
      </c>
      <c r="AN72" s="59">
        <f ca="1">AVERAGE(OFFSET($AM$3,0,0,'Données projet'!$E$10+1,1))-AVERAGE(OFFSET($H$3,0,0,'Données projet'!$E$10+1,1))</f>
        <v>475.01366239340246</v>
      </c>
      <c r="AO72" s="59">
        <f t="shared" si="90"/>
        <v>322.81767004794284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4.0161750110535657</v>
      </c>
      <c r="AV72" s="21">
        <f>EXP(-LN(2)/25)*AV71+(1-EXP(-LN(2)/25))/(LN(2)/25)*Calculateur!AQ72*Calculateur!AS72*VLOOKUP('Données projet'!$B$10,Paramètres!$A$1:$I$89,3,0)*0.475*44/12</f>
        <v>3.7784287738526614</v>
      </c>
      <c r="AW72" s="21">
        <f>EXP(-LN(2)/2)*AW71+(1-EXP(-LN(2)/2))/(LN(2)/2)*AQ72*AT72*VLOOKUP('Données projet'!$B$10,Paramètres!$A$1:$I$89,3,0)*0.475*44/12</f>
        <v>1.3694027276357181E-5</v>
      </c>
      <c r="AX72" s="21">
        <f t="shared" si="60"/>
        <v>7.7946174789335041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293.79999999999995</v>
      </c>
      <c r="BE72" s="13">
        <f>BD72*VLOOKUP('Données projet'!$B$11,Paramètres!$A$1:$I$89,3,0)*VLOOKUP('Données projet'!$B$11,Paramètres!$A$1:$I$89,5,0)</f>
        <v>297.91319999999996</v>
      </c>
      <c r="BF72" s="13">
        <f t="shared" si="91"/>
        <v>70.73881247427552</v>
      </c>
      <c r="BG72" s="20">
        <f t="shared" si="61"/>
        <v>642.06892172602977</v>
      </c>
      <c r="BH72" s="59">
        <f t="shared" si="62"/>
        <v>935.40225505936314</v>
      </c>
      <c r="BI72" s="59">
        <f ca="1">AVERAGE(OFFSET($BH$3,0,0,'Données projet'!$E$11+1,1))-AVERAGE(OFFSET($H$3,0,0,'Données projet'!$E$11+1,1))</f>
        <v>449.84356201138451</v>
      </c>
      <c r="BJ72" s="59">
        <f t="shared" si="92"/>
        <v>306.61893266146666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3.7833532712823508</v>
      </c>
      <c r="BQ72" s="21">
        <f>EXP(-LN(2)/25)*BQ71+(1-EXP(-LN(2)/25))/(LN(2)/25)*Calculateur!BL72*Calculateur!BN72*VLOOKUP('Données projet'!$B$11,Paramètres!$A$1:$I$89,3,0)*0.475*44/12</f>
        <v>3.5593894246438142</v>
      </c>
      <c r="BR72" s="21">
        <f>EXP(-LN(2)/2)*BR71+(1-EXP(-LN(2)/2))/(LN(2)/2)*BL72*BO72*VLOOKUP('Données projet'!$B$11,Paramètres!$A$1:$I$89,3,0)*0.475*44/12</f>
        <v>1.2900170622655312E-5</v>
      </c>
      <c r="BS72" s="22">
        <f t="shared" si="63"/>
        <v>7.3427555960967874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12.875</v>
      </c>
      <c r="BY72" s="12">
        <f>IF('Données projet'!$A$114&gt;35,BY71+BX72-CG71,IF(A72&lt;'Données projet'!$A$114,$BV$205^A72,IF(A72='Données projet'!$A$114,'Données projet'!$B$114,BY71+BX72-CG71)))</f>
        <v>468.62499999999994</v>
      </c>
      <c r="BZ72" s="13">
        <f>BY72*VLOOKUP('Données projet'!$B$12,Paramètres!$A$1:$I$89,3,0)*VLOOKUP('Données projet'!$B$12,Paramètres!$A$1:$I$89,5,0)</f>
        <v>280.23775000000001</v>
      </c>
      <c r="CA72" s="13">
        <f t="shared" si="93"/>
        <v>67.017249808465152</v>
      </c>
      <c r="CB72" s="20">
        <f t="shared" si="64"/>
        <v>604.80245799974352</v>
      </c>
      <c r="CC72" s="59">
        <f t="shared" si="65"/>
        <v>898.1357913330769</v>
      </c>
      <c r="CD72" s="59">
        <f ca="1">AVERAGE(OFFSET($CC$3,0,0,'Données projet'!$E$12+1,1))-AVERAGE(OFFSET($H$3,0,0,'Données projet'!$E$12+1,1))</f>
        <v>370.12772664814923</v>
      </c>
      <c r="CE72" s="59">
        <f t="shared" si="94"/>
        <v>292.26503163353146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3.4546130024154516</v>
      </c>
      <c r="CL72" s="21">
        <f>EXP(-LN(2)/25)*CL71+(1-EXP(-LN(2)/25))/(LN(2)/25)*Calculateur!CG72*Calculateur!CI72*VLOOKUP('Données projet'!$B$12,Paramètres!$A$1:$I$89,3,0)*0.475*44/12</f>
        <v>2.2530581918055343</v>
      </c>
      <c r="CM72" s="21">
        <f>EXP(-LN(2)/2)*CM71+(1-EXP(-LN(2)/2))/(LN(2)/2)*CG72*CJ72*VLOOKUP('Données projet'!$B$12,Paramètres!$A$1:$I$89,3,0)*0.475*44/12</f>
        <v>1.0685518833304331E-5</v>
      </c>
      <c r="CN72" s="22">
        <f t="shared" si="66"/>
        <v>5.7076818797398188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319.22903094674564</v>
      </c>
      <c r="T73" s="59">
        <f t="shared" si="88"/>
        <v>254.58690973142848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325.07279999999992</v>
      </c>
      <c r="AK73" s="13">
        <f t="shared" si="89"/>
        <v>76.407880238933714</v>
      </c>
      <c r="AL73" s="20">
        <f t="shared" si="58"/>
        <v>699.24551808280933</v>
      </c>
      <c r="AM73" s="59">
        <f t="shared" si="59"/>
        <v>992.5788514161427</v>
      </c>
      <c r="AN73" s="59">
        <f ca="1">AVERAGE(OFFSET($AM$3,0,0,'Données projet'!$E$10+1,1))-AVERAGE(OFFSET($H$3,0,0,'Données projet'!$E$10+1,1))</f>
        <v>475.01366239340246</v>
      </c>
      <c r="AO73" s="59">
        <f t="shared" si="90"/>
        <v>322.81767004794284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3.9374202687116817</v>
      </c>
      <c r="AV73" s="21">
        <f>EXP(-LN(2)/25)*AV72+(1-EXP(-LN(2)/25))/(LN(2)/25)*Calculateur!AQ73*Calculateur!AS73*VLOOKUP('Données projet'!$B$10,Paramètres!$A$1:$I$89,3,0)*0.475*44/12</f>
        <v>3.6751074403327268</v>
      </c>
      <c r="AW73" s="21">
        <f>EXP(-LN(2)/2)*AW72+(1-EXP(-LN(2)/2))/(LN(2)/2)*AQ73*AT73*VLOOKUP('Données projet'!$B$10,Paramètres!$A$1:$I$89,3,0)*0.475*44/12</f>
        <v>9.6831395488657104E-6</v>
      </c>
      <c r="AX73" s="21">
        <f t="shared" si="60"/>
        <v>7.6125373921839579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301.99999999999994</v>
      </c>
      <c r="BE73" s="13">
        <f>BD73*VLOOKUP('Données projet'!$B$11,Paramètres!$A$1:$I$89,3,0)*VLOOKUP('Données projet'!$B$11,Paramètres!$A$1:$I$89,5,0)</f>
        <v>306.22800000000001</v>
      </c>
      <c r="BF73" s="13">
        <f t="shared" si="91"/>
        <v>72.480526049067294</v>
      </c>
      <c r="BG73" s="20">
        <f t="shared" si="61"/>
        <v>659.58401620212555</v>
      </c>
      <c r="BH73" s="59">
        <f t="shared" si="62"/>
        <v>952.91734953545892</v>
      </c>
      <c r="BI73" s="59">
        <f ca="1">AVERAGE(OFFSET($BH$3,0,0,'Données projet'!$E$11+1,1))-AVERAGE(OFFSET($H$3,0,0,'Données projet'!$E$11+1,1))</f>
        <v>449.84356201138451</v>
      </c>
      <c r="BJ73" s="59">
        <f t="shared" si="92"/>
        <v>306.61893266146666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3.7091640212501411</v>
      </c>
      <c r="BQ73" s="21">
        <f>EXP(-LN(2)/25)*BQ72+(1-EXP(-LN(2)/25))/(LN(2)/25)*Calculateur!BL73*Calculateur!BN73*VLOOKUP('Données projet'!$B$11,Paramètres!$A$1:$I$89,3,0)*0.475*44/12</f>
        <v>3.4620577336467746</v>
      </c>
      <c r="BR73" s="21">
        <f>EXP(-LN(2)/2)*BR72+(1-EXP(-LN(2)/2))/(LN(2)/2)*BL73*BO73*VLOOKUP('Données projet'!$B$11,Paramètres!$A$1:$I$89,3,0)*0.475*44/12</f>
        <v>9.1217981257430583E-6</v>
      </c>
      <c r="BS73" s="22">
        <f t="shared" si="63"/>
        <v>7.1712308766950414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12.875</v>
      </c>
      <c r="BY73" s="12">
        <f>IF('Données projet'!$A$114&gt;35,BY72+BX73-CG72,IF(A73&lt;'Données projet'!$A$114,$BV$205^A73,IF(A73='Données projet'!$A$114,'Données projet'!$B$114,BY72+BX73-CG72)))</f>
        <v>481.49999999999994</v>
      </c>
      <c r="BZ73" s="13">
        <f>BY73*VLOOKUP('Données projet'!$B$12,Paramètres!$A$1:$I$89,3,0)*VLOOKUP('Données projet'!$B$12,Paramètres!$A$1:$I$89,5,0)</f>
        <v>287.93700000000001</v>
      </c>
      <c r="CA73" s="13">
        <f t="shared" si="93"/>
        <v>68.641586729718156</v>
      </c>
      <c r="CB73" s="20">
        <f t="shared" si="64"/>
        <v>621.04103855425899</v>
      </c>
      <c r="CC73" s="59">
        <f t="shared" si="65"/>
        <v>914.37437188759236</v>
      </c>
      <c r="CD73" s="59">
        <f ca="1">AVERAGE(OFFSET($CC$3,0,0,'Données projet'!$E$12+1,1))-AVERAGE(OFFSET($H$3,0,0,'Données projet'!$E$12+1,1))</f>
        <v>370.12772664814923</v>
      </c>
      <c r="CE73" s="59">
        <f t="shared" si="94"/>
        <v>292.26503163353146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3.3868701485439567</v>
      </c>
      <c r="CL73" s="21">
        <f>EXP(-LN(2)/25)*CL72+(1-EXP(-LN(2)/25))/(LN(2)/25)*Calculateur!CG73*Calculateur!CI73*VLOOKUP('Données projet'!$B$12,Paramètres!$A$1:$I$89,3,0)*0.475*44/12</f>
        <v>2.1914481970674311</v>
      </c>
      <c r="CM73" s="21">
        <f>EXP(-LN(2)/2)*CM72+(1-EXP(-LN(2)/2))/(LN(2)/2)*CG73*CJ73*VLOOKUP('Données projet'!$B$12,Paramètres!$A$1:$I$89,3,0)*0.475*44/12</f>
        <v>7.555802827526059E-6</v>
      </c>
      <c r="CN73" s="22">
        <f t="shared" si="66"/>
        <v>5.5783259014142157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319.22903094674564</v>
      </c>
      <c r="T74" s="59">
        <f t="shared" si="88"/>
        <v>254.58690973142848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303.11424</v>
      </c>
      <c r="AK74" s="13">
        <f t="shared" si="89"/>
        <v>71.828934878193564</v>
      </c>
      <c r="AL74" s="20">
        <f t="shared" si="58"/>
        <v>653.02602957952047</v>
      </c>
      <c r="AM74" s="59">
        <f t="shared" si="59"/>
        <v>946.35936291285384</v>
      </c>
      <c r="AN74" s="59">
        <f ca="1">AVERAGE(OFFSET($AM$3,0,0,'Données projet'!$E$10+1,1))-AVERAGE(OFFSET($H$3,0,0,'Données projet'!$E$10+1,1))</f>
        <v>475.01366239340246</v>
      </c>
      <c r="AO74" s="59">
        <f t="shared" si="90"/>
        <v>322.81767004794284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3.8602098588314724</v>
      </c>
      <c r="AV74" s="21">
        <f>EXP(-LN(2)/25)*AV73+(1-EXP(-LN(2)/25))/(LN(2)/25)*Calculateur!AQ74*Calculateur!AS74*VLOOKUP('Données projet'!$B$10,Paramètres!$A$1:$I$89,3,0)*0.475*44/12</f>
        <v>3.5746114341113278</v>
      </c>
      <c r="AW74" s="21">
        <f>EXP(-LN(2)/2)*AW73+(1-EXP(-LN(2)/2))/(LN(2)/2)*AQ74*AT74*VLOOKUP('Données projet'!$B$10,Paramètres!$A$1:$I$89,3,0)*0.475*44/12</f>
        <v>6.8470136381785905E-6</v>
      </c>
      <c r="AX74" s="21">
        <f t="shared" si="60"/>
        <v>7.434828139956438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281.59999999999997</v>
      </c>
      <c r="BE74" s="13">
        <f>BD74*VLOOKUP('Données projet'!$B$11,Paramètres!$A$1:$I$89,3,0)*VLOOKUP('Données projet'!$B$11,Paramètres!$A$1:$I$89,5,0)</f>
        <v>285.54239999999999</v>
      </c>
      <c r="BF74" s="13">
        <f t="shared" si="91"/>
        <v>68.136937829389524</v>
      </c>
      <c r="BG74" s="20">
        <f t="shared" si="61"/>
        <v>615.99151338618674</v>
      </c>
      <c r="BH74" s="59">
        <f t="shared" si="62"/>
        <v>909.32484671952011</v>
      </c>
      <c r="BI74" s="59">
        <f ca="1">AVERAGE(OFFSET($BH$3,0,0,'Données projet'!$E$11+1,1))-AVERAGE(OFFSET($H$3,0,0,'Données projet'!$E$11+1,1))</f>
        <v>449.84356201138451</v>
      </c>
      <c r="BJ74" s="59">
        <f t="shared" si="92"/>
        <v>306.61893266146666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3.6364295771600887</v>
      </c>
      <c r="BQ74" s="21">
        <f>EXP(-LN(2)/25)*BQ73+(1-EXP(-LN(2)/25))/(LN(2)/25)*Calculateur!BL74*Calculateur!BN74*VLOOKUP('Données projet'!$B$11,Paramètres!$A$1:$I$89,3,0)*0.475*44/12</f>
        <v>3.3673875828585</v>
      </c>
      <c r="BR74" s="21">
        <f>EXP(-LN(2)/2)*BR73+(1-EXP(-LN(2)/2))/(LN(2)/2)*BL74*BO74*VLOOKUP('Données projet'!$B$11,Paramètres!$A$1:$I$89,3,0)*0.475*44/12</f>
        <v>6.4500853113276561E-6</v>
      </c>
      <c r="BS74" s="22">
        <f t="shared" si="63"/>
        <v>7.0038236101038995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12.875</v>
      </c>
      <c r="BY74" s="12">
        <f>IF('Données projet'!$A$114&gt;35,BY73+BX74-CG73,IF(A74&lt;'Données projet'!$A$114,$BV$205^A74,IF(A74='Données projet'!$A$114,'Données projet'!$B$114,BY73+BX74-CG73)))</f>
        <v>494.37499999999994</v>
      </c>
      <c r="BZ74" s="13">
        <f>BY74*VLOOKUP('Données projet'!$B$12,Paramètres!$A$1:$I$89,3,0)*VLOOKUP('Données projet'!$B$12,Paramètres!$A$1:$I$89,5,0)</f>
        <v>295.63625000000002</v>
      </c>
      <c r="CA74" s="13">
        <f t="shared" si="93"/>
        <v>70.260875189476423</v>
      </c>
      <c r="CB74" s="20">
        <f t="shared" si="64"/>
        <v>637.27082637167155</v>
      </c>
      <c r="CC74" s="59">
        <f t="shared" si="65"/>
        <v>930.6041597050048</v>
      </c>
      <c r="CD74" s="59">
        <f ca="1">AVERAGE(OFFSET($CC$3,0,0,'Données projet'!$E$12+1,1))-AVERAGE(OFFSET($H$3,0,0,'Données projet'!$E$12+1,1))</f>
        <v>370.12772664814923</v>
      </c>
      <c r="CE74" s="59">
        <f t="shared" si="94"/>
        <v>292.26503163353146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3.3204556907178207</v>
      </c>
      <c r="CL74" s="21">
        <f>EXP(-LN(2)/25)*CL73+(1-EXP(-LN(2)/25))/(LN(2)/25)*Calculateur!CG74*Calculateur!CI74*VLOOKUP('Données projet'!$B$12,Paramètres!$A$1:$I$89,3,0)*0.475*44/12</f>
        <v>2.13152293087537</v>
      </c>
      <c r="CM74" s="21">
        <f>EXP(-LN(2)/2)*CM73+(1-EXP(-LN(2)/2))/(LN(2)/2)*CG74*CJ74*VLOOKUP('Données projet'!$B$12,Paramètres!$A$1:$I$89,3,0)*0.475*44/12</f>
        <v>5.3427594166521663E-6</v>
      </c>
      <c r="CN74" s="22">
        <f t="shared" si="66"/>
        <v>5.4519839643526069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319.22903094674564</v>
      </c>
      <c r="T75" s="59">
        <f t="shared" si="88"/>
        <v>254.58690973142848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311.29487999999998</v>
      </c>
      <c r="AK75" s="13">
        <f t="shared" si="89"/>
        <v>73.539187014795203</v>
      </c>
      <c r="AL75" s="20">
        <f t="shared" si="58"/>
        <v>670.25266671743498</v>
      </c>
      <c r="AM75" s="59">
        <f t="shared" si="59"/>
        <v>963.58600005076823</v>
      </c>
      <c r="AN75" s="59">
        <f ca="1">AVERAGE(OFFSET($AM$3,0,0,'Données projet'!$E$10+1,1))-AVERAGE(OFFSET($H$3,0,0,'Données projet'!$E$10+1,1))</f>
        <v>475.01366239340246</v>
      </c>
      <c r="AO75" s="59">
        <f t="shared" si="90"/>
        <v>322.81767004794284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3.7845134979953139</v>
      </c>
      <c r="AV75" s="21">
        <f>EXP(-LN(2)/25)*AV74+(1-EXP(-LN(2)/25))/(LN(2)/25)*Calculateur!AQ75*Calculateur!AS75*VLOOKUP('Données projet'!$B$10,Paramètres!$A$1:$I$89,3,0)*0.475*44/12</f>
        <v>3.4768634964649081</v>
      </c>
      <c r="AW75" s="21">
        <f>EXP(-LN(2)/2)*AW74+(1-EXP(-LN(2)/2))/(LN(2)/2)*AQ75*AT75*VLOOKUP('Données projet'!$B$10,Paramètres!$A$1:$I$89,3,0)*0.475*44/12</f>
        <v>4.8415697744328552E-6</v>
      </c>
      <c r="AX75" s="21">
        <f t="shared" si="60"/>
        <v>7.2613818360299964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289.2</v>
      </c>
      <c r="BE75" s="13">
        <f>BD75*VLOOKUP('Données projet'!$B$11,Paramètres!$A$1:$I$89,3,0)*VLOOKUP('Données projet'!$B$11,Paramètres!$A$1:$I$89,5,0)</f>
        <v>293.24880000000002</v>
      </c>
      <c r="BF75" s="13">
        <f t="shared" si="91"/>
        <v>69.759283249126327</v>
      </c>
      <c r="BG75" s="20">
        <f t="shared" si="61"/>
        <v>632.23907832556176</v>
      </c>
      <c r="BH75" s="59">
        <f t="shared" si="62"/>
        <v>925.57241165889513</v>
      </c>
      <c r="BI75" s="59">
        <f ca="1">AVERAGE(OFFSET($BH$3,0,0,'Données projet'!$E$11+1,1))-AVERAGE(OFFSET($H$3,0,0,'Données projet'!$E$11+1,1))</f>
        <v>449.84356201138451</v>
      </c>
      <c r="BJ75" s="59">
        <f t="shared" si="92"/>
        <v>306.61893266146666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3.5651214111550118</v>
      </c>
      <c r="BQ75" s="21">
        <f>EXP(-LN(2)/25)*BQ74+(1-EXP(-LN(2)/25))/(LN(2)/25)*Calculateur!BL75*Calculateur!BN75*VLOOKUP('Données projet'!$B$11,Paramètres!$A$1:$I$89,3,0)*0.475*44/12</f>
        <v>3.2753061923220175</v>
      </c>
      <c r="BR75" s="21">
        <f>EXP(-LN(2)/2)*BR74+(1-EXP(-LN(2)/2))/(LN(2)/2)*BL75*BO75*VLOOKUP('Données projet'!$B$11,Paramètres!$A$1:$I$89,3,0)*0.475*44/12</f>
        <v>4.5608990628715292E-6</v>
      </c>
      <c r="BS75" s="22">
        <f t="shared" si="63"/>
        <v>6.8404321643760921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12.875</v>
      </c>
      <c r="BY75" s="12">
        <f>IF('Données projet'!$A$114&gt;35,BY74+BX75-CG74,IF(A75&lt;'Données projet'!$A$114,$BV$205^A75,IF(A75='Données projet'!$A$114,'Données projet'!$B$114,BY74+BX75-CG74)))</f>
        <v>507.24999999999994</v>
      </c>
      <c r="BZ75" s="13">
        <f>BY75*VLOOKUP('Données projet'!$B$12,Paramètres!$A$1:$I$89,3,0)*VLOOKUP('Données projet'!$B$12,Paramètres!$A$1:$I$89,5,0)</f>
        <v>303.33549999999997</v>
      </c>
      <c r="CA75" s="13">
        <f t="shared" si="93"/>
        <v>71.875261779950591</v>
      </c>
      <c r="CB75" s="20">
        <f t="shared" si="64"/>
        <v>653.49207676674712</v>
      </c>
      <c r="CC75" s="59">
        <f t="shared" si="65"/>
        <v>946.82541010008049</v>
      </c>
      <c r="CD75" s="59">
        <f ca="1">AVERAGE(OFFSET($CC$3,0,0,'Données projet'!$E$12+1,1))-AVERAGE(OFFSET($H$3,0,0,'Données projet'!$E$12+1,1))</f>
        <v>370.12772664814923</v>
      </c>
      <c r="CE75" s="59">
        <f t="shared" si="94"/>
        <v>292.26503163353146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3.2553435799008361</v>
      </c>
      <c r="CL75" s="21">
        <f>EXP(-LN(2)/25)*CL74+(1-EXP(-LN(2)/25))/(LN(2)/25)*Calculateur!CG75*Calculateur!CI75*VLOOKUP('Données projet'!$B$12,Paramètres!$A$1:$I$89,3,0)*0.475*44/12</f>
        <v>2.0732363242386636</v>
      </c>
      <c r="CM75" s="21">
        <f>EXP(-LN(2)/2)*CM74+(1-EXP(-LN(2)/2))/(LN(2)/2)*CG75*CJ75*VLOOKUP('Données projet'!$B$12,Paramètres!$A$1:$I$89,3,0)*0.475*44/12</f>
        <v>3.7779014137630299E-6</v>
      </c>
      <c r="CN75" s="22">
        <f t="shared" si="66"/>
        <v>5.3285836820409136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319.22903094674564</v>
      </c>
      <c r="T76" s="59">
        <f t="shared" si="88"/>
        <v>254.58690973142848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319.47552000000002</v>
      </c>
      <c r="AK76" s="13">
        <f t="shared" si="89"/>
        <v>75.244214982768241</v>
      </c>
      <c r="AL76" s="20">
        <f t="shared" si="58"/>
        <v>687.47020509498805</v>
      </c>
      <c r="AM76" s="59">
        <f t="shared" si="59"/>
        <v>980.80353842832142</v>
      </c>
      <c r="AN76" s="59">
        <f ca="1">AVERAGE(OFFSET($AM$3,0,0,'Données projet'!$E$10+1,1))-AVERAGE(OFFSET($H$3,0,0,'Données projet'!$E$10+1,1))</f>
        <v>475.01366239340246</v>
      </c>
      <c r="AO76" s="59">
        <f t="shared" si="90"/>
        <v>322.81767004794284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3.7103014966249313</v>
      </c>
      <c r="AV76" s="21">
        <f>EXP(-LN(2)/25)*AV75+(1-EXP(-LN(2)/25))/(LN(2)/25)*Calculateur!AQ76*Calculateur!AS76*VLOOKUP('Données projet'!$B$10,Paramètres!$A$1:$I$89,3,0)*0.475*44/12</f>
        <v>3.3817884813137704</v>
      </c>
      <c r="AW76" s="21">
        <f>EXP(-LN(2)/2)*AW75+(1-EXP(-LN(2)/2))/(LN(2)/2)*AQ76*AT76*VLOOKUP('Données projet'!$B$10,Paramètres!$A$1:$I$89,3,0)*0.475*44/12</f>
        <v>3.4235068190892953E-6</v>
      </c>
      <c r="AX76" s="21">
        <f t="shared" si="60"/>
        <v>7.0920934014455215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296.8</v>
      </c>
      <c r="BE76" s="13">
        <f>BD76*VLOOKUP('Données projet'!$B$11,Paramètres!$A$1:$I$89,3,0)*VLOOKUP('Données projet'!$B$11,Paramètres!$A$1:$I$89,5,0)</f>
        <v>300.95520000000005</v>
      </c>
      <c r="BF76" s="13">
        <f t="shared" si="91"/>
        <v>71.376673021759785</v>
      </c>
      <c r="BG76" s="20">
        <f t="shared" si="61"/>
        <v>648.4780121795651</v>
      </c>
      <c r="BH76" s="59">
        <f t="shared" si="62"/>
        <v>941.81134551289847</v>
      </c>
      <c r="BI76" s="59">
        <f ca="1">AVERAGE(OFFSET($BH$3,0,0,'Données projet'!$E$11+1,1))-AVERAGE(OFFSET($H$3,0,0,'Données projet'!$E$11+1,1))</f>
        <v>449.84356201138451</v>
      </c>
      <c r="BJ76" s="59">
        <f t="shared" si="92"/>
        <v>306.61893266146666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3.4952115547916081</v>
      </c>
      <c r="BQ76" s="21">
        <f>EXP(-LN(2)/25)*BQ75+(1-EXP(-LN(2)/25))/(LN(2)/25)*Calculateur!BL76*Calculateur!BN76*VLOOKUP('Données projet'!$B$11,Paramètres!$A$1:$I$89,3,0)*0.475*44/12</f>
        <v>3.1857427722521052</v>
      </c>
      <c r="BR76" s="21">
        <f>EXP(-LN(2)/2)*BR75+(1-EXP(-LN(2)/2))/(LN(2)/2)*BL76*BO76*VLOOKUP('Données projet'!$B$11,Paramètres!$A$1:$I$89,3,0)*0.475*44/12</f>
        <v>3.2250426556638281E-6</v>
      </c>
      <c r="BS76" s="22">
        <f t="shared" si="63"/>
        <v>6.6809575520863689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12.875</v>
      </c>
      <c r="BY76" s="12">
        <f>IF('Données projet'!$A$114&gt;35,BY75+BX76-CG75,IF(A76&lt;'Données projet'!$A$114,$BV$205^A76,IF(A76='Données projet'!$A$114,'Données projet'!$B$114,BY75+BX76-CG75)))</f>
        <v>520.125</v>
      </c>
      <c r="BZ76" s="13">
        <f>BY76*VLOOKUP('Données projet'!$B$12,Paramètres!$A$1:$I$89,3,0)*VLOOKUP('Données projet'!$B$12,Paramètres!$A$1:$I$89,5,0)</f>
        <v>311.03475000000003</v>
      </c>
      <c r="CA76" s="13">
        <f t="shared" si="93"/>
        <v>73.484885227728896</v>
      </c>
      <c r="CB76" s="20">
        <f t="shared" si="64"/>
        <v>669.70503135496119</v>
      </c>
      <c r="CC76" s="59">
        <f t="shared" si="65"/>
        <v>963.03836468829445</v>
      </c>
      <c r="CD76" s="59">
        <f ca="1">AVERAGE(OFFSET($CC$3,0,0,'Données projet'!$E$12+1,1))-AVERAGE(OFFSET($H$3,0,0,'Données projet'!$E$12+1,1))</f>
        <v>370.12772664814923</v>
      </c>
      <c r="CE76" s="59">
        <f t="shared" si="94"/>
        <v>292.26503163353146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3.1915082778625061</v>
      </c>
      <c r="CL76" s="21">
        <f>EXP(-LN(2)/25)*CL75+(1-EXP(-LN(2)/25))/(LN(2)/25)*Calculateur!CG76*Calculateur!CI76*VLOOKUP('Données projet'!$B$12,Paramètres!$A$1:$I$89,3,0)*0.475*44/12</f>
        <v>2.0165435679255976</v>
      </c>
      <c r="CM76" s="21">
        <f>EXP(-LN(2)/2)*CM75+(1-EXP(-LN(2)/2))/(LN(2)/2)*CG76*CJ76*VLOOKUP('Données projet'!$B$12,Paramètres!$A$1:$I$89,3,0)*0.475*44/12</f>
        <v>2.6713797083260836E-6</v>
      </c>
      <c r="CN76" s="22">
        <f t="shared" si="66"/>
        <v>5.2080545171678123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319.22903094674564</v>
      </c>
      <c r="T77" s="59">
        <f t="shared" si="88"/>
        <v>254.58690973142848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327.65616</v>
      </c>
      <c r="AK77" s="13">
        <f t="shared" si="89"/>
        <v>76.94416793638409</v>
      </c>
      <c r="AL77" s="20">
        <f t="shared" si="58"/>
        <v>704.67890448920218</v>
      </c>
      <c r="AM77" s="59">
        <f t="shared" si="59"/>
        <v>998.01223782253555</v>
      </c>
      <c r="AN77" s="59">
        <f ca="1">AVERAGE(OFFSET($AM$3,0,0,'Données projet'!$E$10+1,1))-AVERAGE(OFFSET($H$3,0,0,'Données projet'!$E$10+1,1))</f>
        <v>475.01366239340246</v>
      </c>
      <c r="AO77" s="59">
        <f t="shared" si="90"/>
        <v>322.81767004794284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3.6375447473365705</v>
      </c>
      <c r="AV77" s="21">
        <f>EXP(-LN(2)/25)*AV76+(1-EXP(-LN(2)/25))/(LN(2)/25)*Calculateur!AQ77*Calculateur!AS77*VLOOKUP('Données projet'!$B$10,Paramètres!$A$1:$I$89,3,0)*0.475*44/12</f>
        <v>3.2893132974517183</v>
      </c>
      <c r="AW77" s="21">
        <f>EXP(-LN(2)/2)*AW76+(1-EXP(-LN(2)/2))/(LN(2)/2)*AQ77*AT77*VLOOKUP('Données projet'!$B$10,Paramètres!$A$1:$I$89,3,0)*0.475*44/12</f>
        <v>2.4207848872164276E-6</v>
      </c>
      <c r="AX77" s="21">
        <f t="shared" si="60"/>
        <v>6.926860465573176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304.40000000000003</v>
      </c>
      <c r="BE77" s="13">
        <f>BD77*VLOOKUP('Données projet'!$B$11,Paramètres!$A$1:$I$89,3,0)*VLOOKUP('Données projet'!$B$11,Paramètres!$A$1:$I$89,5,0)</f>
        <v>308.66160000000008</v>
      </c>
      <c r="BF77" s="13">
        <f t="shared" si="91"/>
        <v>72.98924863505313</v>
      </c>
      <c r="BG77" s="20">
        <f t="shared" si="61"/>
        <v>664.70856137271755</v>
      </c>
      <c r="BH77" s="59">
        <f t="shared" si="62"/>
        <v>958.04189470605093</v>
      </c>
      <c r="BI77" s="59">
        <f ca="1">AVERAGE(OFFSET($BH$3,0,0,'Données projet'!$E$11+1,1))-AVERAGE(OFFSET($H$3,0,0,'Données projet'!$E$11+1,1))</f>
        <v>449.84356201138451</v>
      </c>
      <c r="BJ77" s="59">
        <f t="shared" si="92"/>
        <v>306.61893266146666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3.4266725880706885</v>
      </c>
      <c r="BQ77" s="21">
        <f>EXP(-LN(2)/25)*BQ76+(1-EXP(-LN(2)/25))/(LN(2)/25)*Calculateur!BL77*Calculateur!BN77*VLOOKUP('Données projet'!$B$11,Paramètres!$A$1:$I$89,3,0)*0.475*44/12</f>
        <v>3.0986284686139403</v>
      </c>
      <c r="BR77" s="21">
        <f>EXP(-LN(2)/2)*BR76+(1-EXP(-LN(2)/2))/(LN(2)/2)*BL77*BO77*VLOOKUP('Données projet'!$B$11,Paramètres!$A$1:$I$89,3,0)*0.475*44/12</f>
        <v>2.2804495314357646E-6</v>
      </c>
      <c r="BS77" s="22">
        <f t="shared" si="63"/>
        <v>6.5253033371341607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533</v>
      </c>
      <c r="BW77" s="12">
        <f>VLOOKUP(A77,'Données projet'!$A$113:$I$133,9,0)</f>
        <v>12.875</v>
      </c>
      <c r="BX77" s="12">
        <f t="array" ref="BX77">INDEX(BW:BW,MIN(IF(ISNUMBER(BW77:BW273),ROW(BW77:BW273),"")))</f>
        <v>12.875</v>
      </c>
      <c r="BY77" s="12">
        <f>IF('Données projet'!$A$114&gt;35,BY76+BX77-CG76,IF(A77&lt;'Données projet'!$A$114,$BV$205^A77,IF(A77='Données projet'!$A$114,'Données projet'!$B$114,BY76+BX77-CG76)))</f>
        <v>533</v>
      </c>
      <c r="BZ77" s="13">
        <f>BY77*VLOOKUP('Données projet'!$B$12,Paramètres!$A$1:$I$89,3,0)*VLOOKUP('Données projet'!$B$12,Paramètres!$A$1:$I$89,5,0)</f>
        <v>318.73400000000004</v>
      </c>
      <c r="CA77" s="13">
        <f t="shared" si="93"/>
        <v>75.089876999925679</v>
      </c>
      <c r="CB77" s="20">
        <f t="shared" si="64"/>
        <v>685.90991910820378</v>
      </c>
      <c r="CC77" s="59">
        <f t="shared" si="65"/>
        <v>979.24325244153715</v>
      </c>
      <c r="CD77" s="59">
        <f ca="1">AVERAGE(OFFSET($CC$3,0,0,'Données projet'!$E$12+1,1))-AVERAGE(OFFSET($H$3,0,0,'Données projet'!$E$12+1,1))</f>
        <v>370.12772664814923</v>
      </c>
      <c r="CE77" s="59">
        <f t="shared" si="94"/>
        <v>292.26503163353146</v>
      </c>
      <c r="CF77" s="15">
        <f>IF(ISNA(VLOOKUP(A77,'Données projet'!$A$113:$I$133,3,0)),0,VLOOKUP(A77,'Données projet'!$A$113:$I$133,3,0))</f>
        <v>10</v>
      </c>
      <c r="CG77" s="15">
        <f>IF(ISNA(VLOOKUP(A77,'Données projet'!$A$113:$I$133,4,0)),0,VLOOKUP(A77,'Données projet'!$A$113:$I$133,4,0))</f>
        <v>37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3.1289247471614585</v>
      </c>
      <c r="CL77" s="21">
        <f>EXP(-LN(2)/25)*CL76+(1-EXP(-LN(2)/25))/(LN(2)/25)*Calculateur!CG77*Calculateur!CI77*VLOOKUP('Données projet'!$B$12,Paramètres!$A$1:$I$89,3,0)*0.475*44/12</f>
        <v>1.9614010780152549</v>
      </c>
      <c r="CM77" s="21">
        <f>EXP(-LN(2)/2)*CM76+(1-EXP(-LN(2)/2))/(LN(2)/2)*CG77*CJ77*VLOOKUP('Données projet'!$B$12,Paramètres!$A$1:$I$89,3,0)*0.475*44/12</f>
        <v>1.8889507068815152E-6</v>
      </c>
      <c r="CN77" s="22">
        <f t="shared" si="66"/>
        <v>5.0903277141274206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319.22903094674564</v>
      </c>
      <c r="T78" s="59">
        <f t="shared" si="88"/>
        <v>254.58690973142848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335.83680000000004</v>
      </c>
      <c r="AK78" s="13">
        <f t="shared" si="89"/>
        <v>78.639187157507763</v>
      </c>
      <c r="AL78" s="20">
        <f t="shared" si="58"/>
        <v>721.87901096599273</v>
      </c>
      <c r="AM78" s="59">
        <f t="shared" si="59"/>
        <v>1015.2123442993261</v>
      </c>
      <c r="AN78" s="59">
        <f ca="1">AVERAGE(OFFSET($AM$3,0,0,'Données projet'!$E$10+1,1))-AVERAGE(OFFSET($H$3,0,0,'Données projet'!$E$10+1,1))</f>
        <v>475.01366239340246</v>
      </c>
      <c r="AO78" s="59">
        <f t="shared" si="90"/>
        <v>322.81767004794284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3.5662147135245195</v>
      </c>
      <c r="AV78" s="21">
        <f>EXP(-LN(2)/25)*AV77+(1-EXP(-LN(2)/25))/(LN(2)/25)*Calculateur!AQ78*Calculateur!AS78*VLOOKUP('Données projet'!$B$10,Paramètres!$A$1:$I$89,3,0)*0.475*44/12</f>
        <v>3.1993668523554324</v>
      </c>
      <c r="AW78" s="21">
        <f>EXP(-LN(2)/2)*AW77+(1-EXP(-LN(2)/2))/(LN(2)/2)*AQ78*AT78*VLOOKUP('Données projet'!$B$10,Paramètres!$A$1:$I$89,3,0)*0.475*44/12</f>
        <v>1.7117534095446476E-6</v>
      </c>
      <c r="AX78" s="21">
        <f t="shared" si="60"/>
        <v>6.7655832776333611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312.00000000000006</v>
      </c>
      <c r="BE78" s="13">
        <f>BD78*VLOOKUP('Données projet'!$B$11,Paramètres!$A$1:$I$89,3,0)*VLOOKUP('Données projet'!$B$11,Paramètres!$A$1:$I$89,5,0)</f>
        <v>316.36800000000005</v>
      </c>
      <c r="BF78" s="13">
        <f t="shared" si="91"/>
        <v>74.597144109003438</v>
      </c>
      <c r="BG78" s="20">
        <f t="shared" si="61"/>
        <v>680.93095932318113</v>
      </c>
      <c r="BH78" s="59">
        <f t="shared" si="62"/>
        <v>974.2642926565145</v>
      </c>
      <c r="BI78" s="59">
        <f ca="1">AVERAGE(OFFSET($BH$3,0,0,'Données projet'!$E$11+1,1))-AVERAGE(OFFSET($H$3,0,0,'Données projet'!$E$11+1,1))</f>
        <v>449.84356201138451</v>
      </c>
      <c r="BJ78" s="59">
        <f t="shared" si="92"/>
        <v>306.61893266146666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3.3594776286825243</v>
      </c>
      <c r="BQ78" s="21">
        <f>EXP(-LN(2)/25)*BQ77+(1-EXP(-LN(2)/25))/(LN(2)/25)*Calculateur!BL78*Calculateur!BN78*VLOOKUP('Données projet'!$B$11,Paramètres!$A$1:$I$89,3,0)*0.475*44/12</f>
        <v>3.013896310189903</v>
      </c>
      <c r="BR78" s="21">
        <f>EXP(-LN(2)/2)*BR77+(1-EXP(-LN(2)/2))/(LN(2)/2)*BL78*BO78*VLOOKUP('Données projet'!$B$11,Paramètres!$A$1:$I$89,3,0)*0.475*44/12</f>
        <v>1.612521327831914E-6</v>
      </c>
      <c r="BS78" s="22">
        <f t="shared" si="63"/>
        <v>6.3733755513937558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8.875</v>
      </c>
      <c r="BY78" s="12">
        <f>IF('Données projet'!$A$114&gt;35,BY77+BX78-CG77,IF(A78&lt;'Données projet'!$A$114,$BV$205^A78,IF(A78='Données projet'!$A$114,'Données projet'!$B$114,BY77+BX78-CG77)))</f>
        <v>504.875</v>
      </c>
      <c r="BZ78" s="13">
        <f>BY78*VLOOKUP('Données projet'!$B$12,Paramètres!$A$1:$I$89,3,0)*VLOOKUP('Données projet'!$B$12,Paramètres!$A$1:$I$89,5,0)</f>
        <v>301.91525000000001</v>
      </c>
      <c r="CA78" s="13">
        <f t="shared" si="93"/>
        <v>71.577824610045951</v>
      </c>
      <c r="CB78" s="20">
        <f t="shared" si="64"/>
        <v>650.50043827916329</v>
      </c>
      <c r="CC78" s="59">
        <f t="shared" si="65"/>
        <v>943.83377161249655</v>
      </c>
      <c r="CD78" s="59">
        <f ca="1">AVERAGE(OFFSET($CC$3,0,0,'Données projet'!$E$12+1,1))-AVERAGE(OFFSET($H$3,0,0,'Données projet'!$E$12+1,1))</f>
        <v>370.12772664814923</v>
      </c>
      <c r="CE78" s="59">
        <f t="shared" si="94"/>
        <v>292.26503163353146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3.0675684413252737</v>
      </c>
      <c r="CL78" s="21">
        <f>EXP(-LN(2)/25)*CL77+(1-EXP(-LN(2)/25))/(LN(2)/25)*Calculateur!CG78*Calculateur!CI78*VLOOKUP('Données projet'!$B$12,Paramètres!$A$1:$I$89,3,0)*0.475*44/12</f>
        <v>1.907766462391328</v>
      </c>
      <c r="CM78" s="21">
        <f>EXP(-LN(2)/2)*CM77+(1-EXP(-LN(2)/2))/(LN(2)/2)*CG78*CJ78*VLOOKUP('Données projet'!$B$12,Paramètres!$A$1:$I$89,3,0)*0.475*44/12</f>
        <v>1.335689854163042E-6</v>
      </c>
      <c r="CN78" s="22">
        <f t="shared" si="66"/>
        <v>4.975336239406456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319.22903094674564</v>
      </c>
      <c r="T79" s="59">
        <f t="shared" si="88"/>
        <v>254.58690973142848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313.44768000000005</v>
      </c>
      <c r="AK79" s="13">
        <f t="shared" si="89"/>
        <v>73.988378849122171</v>
      </c>
      <c r="AL79" s="20">
        <f t="shared" si="58"/>
        <v>674.78446916222117</v>
      </c>
      <c r="AM79" s="59">
        <f t="shared" si="59"/>
        <v>968.11780249555454</v>
      </c>
      <c r="AN79" s="59">
        <f ca="1">AVERAGE(OFFSET($AM$3,0,0,'Données projet'!$E$10+1,1))-AVERAGE(OFFSET($H$3,0,0,'Données projet'!$E$10+1,1))</f>
        <v>475.01366239340246</v>
      </c>
      <c r="AO79" s="59">
        <f t="shared" si="90"/>
        <v>322.81767004794284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3.4962834181684981</v>
      </c>
      <c r="AV79" s="21">
        <f>EXP(-LN(2)/25)*AV78+(1-EXP(-LN(2)/25))/(LN(2)/25)*Calculateur!AQ79*Calculateur!AS79*VLOOKUP('Données projet'!$B$10,Paramètres!$A$1:$I$89,3,0)*0.475*44/12</f>
        <v>3.1118799975303824</v>
      </c>
      <c r="AW79" s="21">
        <f>EXP(-LN(2)/2)*AW78+(1-EXP(-LN(2)/2))/(LN(2)/2)*AQ79*AT79*VLOOKUP('Données projet'!$B$10,Paramètres!$A$1:$I$89,3,0)*0.475*44/12</f>
        <v>1.2103924436082138E-6</v>
      </c>
      <c r="AX79" s="21">
        <f t="shared" si="60"/>
        <v>6.6081646260913249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291.20000000000005</v>
      </c>
      <c r="BE79" s="13">
        <f>BD79*VLOOKUP('Données projet'!$B$11,Paramètres!$A$1:$I$89,3,0)*VLOOKUP('Données projet'!$B$11,Paramètres!$A$1:$I$89,5,0)</f>
        <v>295.27680000000004</v>
      </c>
      <c r="BF79" s="13">
        <f t="shared" si="91"/>
        <v>70.185386686980493</v>
      </c>
      <c r="BG79" s="20">
        <f t="shared" si="61"/>
        <v>636.51330847982445</v>
      </c>
      <c r="BH79" s="59">
        <f t="shared" si="62"/>
        <v>929.8466418131577</v>
      </c>
      <c r="BI79" s="59">
        <f ca="1">AVERAGE(OFFSET($BH$3,0,0,'Données projet'!$E$11+1,1))-AVERAGE(OFFSET($H$3,0,0,'Données projet'!$E$11+1,1))</f>
        <v>449.84356201138451</v>
      </c>
      <c r="BJ79" s="59">
        <f t="shared" si="92"/>
        <v>306.61893266146666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3.2936003214630838</v>
      </c>
      <c r="BQ79" s="21">
        <f>EXP(-LN(2)/25)*BQ78+(1-EXP(-LN(2)/25))/(LN(2)/25)*Calculateur!BL79*Calculateur!BN79*VLOOKUP('Données projet'!$B$11,Paramètres!$A$1:$I$89,3,0)*0.475*44/12</f>
        <v>2.9314811570938417</v>
      </c>
      <c r="BR79" s="21">
        <f>EXP(-LN(2)/2)*BR78+(1-EXP(-LN(2)/2))/(LN(2)/2)*BL79*BO79*VLOOKUP('Données projet'!$B$11,Paramètres!$A$1:$I$89,3,0)*0.475*44/12</f>
        <v>1.1402247657178823E-6</v>
      </c>
      <c r="BS79" s="22">
        <f t="shared" si="63"/>
        <v>6.2250826187816912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8.875</v>
      </c>
      <c r="BY79" s="12">
        <f>IF('Données projet'!$A$114&gt;35,BY78+BX79-CG78,IF(A79&lt;'Données projet'!$A$114,$BV$205^A79,IF(A79='Données projet'!$A$114,'Données projet'!$B$114,BY78+BX79-CG78)))</f>
        <v>513.75</v>
      </c>
      <c r="BZ79" s="13">
        <f>BY79*VLOOKUP('Données projet'!$B$12,Paramètres!$A$1:$I$89,3,0)*VLOOKUP('Données projet'!$B$12,Paramètres!$A$1:$I$89,5,0)</f>
        <v>307.22250000000003</v>
      </c>
      <c r="CA79" s="13">
        <f t="shared" si="93"/>
        <v>72.68847414066191</v>
      </c>
      <c r="CB79" s="20">
        <f t="shared" si="64"/>
        <v>661.67827996165295</v>
      </c>
      <c r="CC79" s="59">
        <f t="shared" si="65"/>
        <v>955.01161329498632</v>
      </c>
      <c r="CD79" s="59">
        <f ca="1">AVERAGE(OFFSET($CC$3,0,0,'Données projet'!$E$12+1,1))-AVERAGE(OFFSET($H$3,0,0,'Données projet'!$E$12+1,1))</f>
        <v>370.12772664814923</v>
      </c>
      <c r="CE79" s="59">
        <f t="shared" si="94"/>
        <v>292.26503163353146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3.0074152952228852</v>
      </c>
      <c r="CL79" s="21">
        <f>EXP(-LN(2)/25)*CL78+(1-EXP(-LN(2)/25))/(LN(2)/25)*Calculateur!CG79*Calculateur!CI79*VLOOKUP('Données projet'!$B$12,Paramètres!$A$1:$I$89,3,0)*0.475*44/12</f>
        <v>1.855598488152159</v>
      </c>
      <c r="CM79" s="21">
        <f>EXP(-LN(2)/2)*CM78+(1-EXP(-LN(2)/2))/(LN(2)/2)*CG79*CJ79*VLOOKUP('Données projet'!$B$12,Paramètres!$A$1:$I$89,3,0)*0.475*44/12</f>
        <v>9.444753534407578E-7</v>
      </c>
      <c r="CN79" s="22">
        <f t="shared" si="66"/>
        <v>4.8630147278503975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319.22903094674564</v>
      </c>
      <c r="T80" s="59">
        <f t="shared" si="88"/>
        <v>254.58690973142848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321.19776000000002</v>
      </c>
      <c r="AK80" s="13">
        <f t="shared" si="89"/>
        <v>75.602516709962615</v>
      </c>
      <c r="AL80" s="20">
        <f t="shared" si="58"/>
        <v>691.09381526985146</v>
      </c>
      <c r="AM80" s="59">
        <f t="shared" si="59"/>
        <v>984.42714860318483</v>
      </c>
      <c r="AN80" s="59">
        <f ca="1">AVERAGE(OFFSET($AM$3,0,0,'Données projet'!$E$10+1,1))-AVERAGE(OFFSET($H$3,0,0,'Données projet'!$E$10+1,1))</f>
        <v>475.01366239340246</v>
      </c>
      <c r="AO80" s="59">
        <f t="shared" si="90"/>
        <v>322.81767004794284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3.4277234328605299</v>
      </c>
      <c r="AV80" s="21">
        <f>EXP(-LN(2)/25)*AV79+(1-EXP(-LN(2)/25))/(LN(2)/25)*Calculateur!AQ80*Calculateur!AS80*VLOOKUP('Données projet'!$B$10,Paramètres!$A$1:$I$89,3,0)*0.475*44/12</f>
        <v>3.0267854753512573</v>
      </c>
      <c r="AW80" s="21">
        <f>EXP(-LN(2)/2)*AW79+(1-EXP(-LN(2)/2))/(LN(2)/2)*AQ80*AT80*VLOOKUP('Données projet'!$B$10,Paramètres!$A$1:$I$89,3,0)*0.475*44/12</f>
        <v>8.5587670477232381E-7</v>
      </c>
      <c r="AX80" s="21">
        <f t="shared" si="60"/>
        <v>6.4545097640884919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298.40000000000003</v>
      </c>
      <c r="BE80" s="13">
        <f>BD80*VLOOKUP('Données projet'!$B$11,Paramètres!$A$1:$I$89,3,0)*VLOOKUP('Données projet'!$B$11,Paramètres!$A$1:$I$89,5,0)</f>
        <v>302.57760000000007</v>
      </c>
      <c r="BF80" s="13">
        <f t="shared" si="91"/>
        <v>71.716558091076294</v>
      </c>
      <c r="BG80" s="20">
        <f t="shared" si="61"/>
        <v>651.89565867529132</v>
      </c>
      <c r="BH80" s="59">
        <f t="shared" si="62"/>
        <v>945.22899200862457</v>
      </c>
      <c r="BI80" s="59">
        <f ca="1">AVERAGE(OFFSET($BH$3,0,0,'Données projet'!$E$11+1,1))-AVERAGE(OFFSET($H$3,0,0,'Données projet'!$E$11+1,1))</f>
        <v>449.84356201138451</v>
      </c>
      <c r="BJ80" s="59">
        <f t="shared" si="92"/>
        <v>306.61893266146666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3.2290148280570268</v>
      </c>
      <c r="BQ80" s="21">
        <f>EXP(-LN(2)/25)*BQ79+(1-EXP(-LN(2)/25))/(LN(2)/25)*Calculateur!BL80*Calculateur!BN80*VLOOKUP('Données projet'!$B$11,Paramètres!$A$1:$I$89,3,0)*0.475*44/12</f>
        <v>2.8513196506932164</v>
      </c>
      <c r="BR80" s="21">
        <f>EXP(-LN(2)/2)*BR79+(1-EXP(-LN(2)/2))/(LN(2)/2)*BL80*BO80*VLOOKUP('Données projet'!$B$11,Paramètres!$A$1:$I$89,3,0)*0.475*44/12</f>
        <v>8.0626066391595702E-7</v>
      </c>
      <c r="BS80" s="22">
        <f t="shared" si="63"/>
        <v>6.0803352850109071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8.875</v>
      </c>
      <c r="BY80" s="12">
        <f>IF('Données projet'!$A$114&gt;35,BY79+BX80-CG79,IF(A80&lt;'Données projet'!$A$114,$BV$205^A80,IF(A80='Données projet'!$A$114,'Données projet'!$B$114,BY79+BX80-CG79)))</f>
        <v>522.625</v>
      </c>
      <c r="BZ80" s="13">
        <f>BY80*VLOOKUP('Données projet'!$B$12,Paramètres!$A$1:$I$89,3,0)*VLOOKUP('Données projet'!$B$12,Paramètres!$A$1:$I$89,5,0)</f>
        <v>312.52975000000004</v>
      </c>
      <c r="CA80" s="13">
        <f t="shared" si="93"/>
        <v>73.796892500493684</v>
      </c>
      <c r="CB80" s="20">
        <f t="shared" si="64"/>
        <v>672.85223568835988</v>
      </c>
      <c r="CC80" s="59">
        <f t="shared" si="65"/>
        <v>966.18556902169325</v>
      </c>
      <c r="CD80" s="59">
        <f ca="1">AVERAGE(OFFSET($CC$3,0,0,'Données projet'!$E$12+1,1))-AVERAGE(OFFSET($H$3,0,0,'Données projet'!$E$12+1,1))</f>
        <v>370.12772664814923</v>
      </c>
      <c r="CE80" s="59">
        <f t="shared" si="94"/>
        <v>292.26503163353146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2.9484417156257683</v>
      </c>
      <c r="CL80" s="21">
        <f>EXP(-LN(2)/25)*CL79+(1-EXP(-LN(2)/25))/(LN(2)/25)*Calculateur!CG80*Calculateur!CI80*VLOOKUP('Données projet'!$B$12,Paramètres!$A$1:$I$89,3,0)*0.475*44/12</f>
        <v>1.8048570499119547</v>
      </c>
      <c r="CM80" s="21">
        <f>EXP(-LN(2)/2)*CM79+(1-EXP(-LN(2)/2))/(LN(2)/2)*CG80*CJ80*VLOOKUP('Données projet'!$B$12,Paramètres!$A$1:$I$89,3,0)*0.475*44/12</f>
        <v>6.6784492708152111E-7</v>
      </c>
      <c r="CN80" s="22">
        <f t="shared" si="66"/>
        <v>4.7532994333826499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319.22903094674564</v>
      </c>
      <c r="T81" s="59">
        <f t="shared" si="88"/>
        <v>254.58690973142848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328.94784000000004</v>
      </c>
      <c r="AK81" s="13">
        <f t="shared" si="89"/>
        <v>77.212127032960666</v>
      </c>
      <c r="AL81" s="20">
        <f t="shared" si="58"/>
        <v>707.39527591573994</v>
      </c>
      <c r="AM81" s="59">
        <f t="shared" si="59"/>
        <v>1000.7286092490733</v>
      </c>
      <c r="AN81" s="59">
        <f ca="1">AVERAGE(OFFSET($AM$3,0,0,'Données projet'!$E$10+1,1))-AVERAGE(OFFSET($H$3,0,0,'Données projet'!$E$10+1,1))</f>
        <v>475.01366239340246</v>
      </c>
      <c r="AO81" s="59">
        <f t="shared" si="90"/>
        <v>322.81767004794284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3.360507867046989</v>
      </c>
      <c r="AV81" s="21">
        <f>EXP(-LN(2)/25)*AV80+(1-EXP(-LN(2)/25))/(LN(2)/25)*Calculateur!AQ81*Calculateur!AS81*VLOOKUP('Données projet'!$B$10,Paramètres!$A$1:$I$89,3,0)*0.475*44/12</f>
        <v>2.9440178673560466</v>
      </c>
      <c r="AW81" s="21">
        <f>EXP(-LN(2)/2)*AW80+(1-EXP(-LN(2)/2))/(LN(2)/2)*AQ81*AT81*VLOOKUP('Données projet'!$B$10,Paramètres!$A$1:$I$89,3,0)*0.475*44/12</f>
        <v>6.051962218041069E-7</v>
      </c>
      <c r="AX81" s="21">
        <f t="shared" si="60"/>
        <v>6.3045263395992581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305.60000000000002</v>
      </c>
      <c r="BE81" s="13">
        <f>BD81*VLOOKUP('Données projet'!$B$11,Paramètres!$A$1:$I$89,3,0)*VLOOKUP('Données projet'!$B$11,Paramètres!$A$1:$I$89,5,0)</f>
        <v>309.87840000000006</v>
      </c>
      <c r="BF81" s="13">
        <f t="shared" si="91"/>
        <v>73.243434672131556</v>
      </c>
      <c r="BG81" s="20">
        <f t="shared" si="61"/>
        <v>667.27052872062916</v>
      </c>
      <c r="BH81" s="59">
        <f t="shared" si="62"/>
        <v>960.60386205396253</v>
      </c>
      <c r="BI81" s="59">
        <f ca="1">AVERAGE(OFFSET($BH$3,0,0,'Données projet'!$E$11+1,1))-AVERAGE(OFFSET($H$3,0,0,'Données projet'!$E$11+1,1))</f>
        <v>449.84356201138451</v>
      </c>
      <c r="BJ81" s="59">
        <f t="shared" si="92"/>
        <v>306.61893266146666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3.1656958167834013</v>
      </c>
      <c r="BQ81" s="21">
        <f>EXP(-LN(2)/25)*BQ80+(1-EXP(-LN(2)/25))/(LN(2)/25)*Calculateur!BL81*Calculateur!BN81*VLOOKUP('Données projet'!$B$11,Paramètres!$A$1:$I$89,3,0)*0.475*44/12</f>
        <v>2.7733501649006267</v>
      </c>
      <c r="BR81" s="21">
        <f>EXP(-LN(2)/2)*BR80+(1-EXP(-LN(2)/2))/(LN(2)/2)*BL81*BO81*VLOOKUP('Données projet'!$B$11,Paramètres!$A$1:$I$89,3,0)*0.475*44/12</f>
        <v>5.7011238285894114E-7</v>
      </c>
      <c r="BS81" s="22">
        <f t="shared" si="63"/>
        <v>5.9390465517964115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8.875</v>
      </c>
      <c r="BY81" s="12">
        <f>IF('Données projet'!$A$114&gt;35,BY80+BX81-CG80,IF(A81&lt;'Données projet'!$A$114,$BV$205^A81,IF(A81='Données projet'!$A$114,'Données projet'!$B$114,BY80+BX81-CG80)))</f>
        <v>531.5</v>
      </c>
      <c r="BZ81" s="13">
        <f>BY81*VLOOKUP('Données projet'!$B$12,Paramètres!$A$1:$I$89,3,0)*VLOOKUP('Données projet'!$B$12,Paramètres!$A$1:$I$89,5,0)</f>
        <v>317.83700000000005</v>
      </c>
      <c r="CA81" s="13">
        <f t="shared" si="93"/>
        <v>74.903121950927684</v>
      </c>
      <c r="CB81" s="20">
        <f t="shared" si="64"/>
        <v>684.0223790645324</v>
      </c>
      <c r="CC81" s="59">
        <f t="shared" si="65"/>
        <v>977.35571239786577</v>
      </c>
      <c r="CD81" s="59">
        <f ca="1">AVERAGE(OFFSET($CC$3,0,0,'Données projet'!$E$12+1,1))-AVERAGE(OFFSET($H$3,0,0,'Données projet'!$E$12+1,1))</f>
        <v>370.12772664814923</v>
      </c>
      <c r="CE81" s="59">
        <f t="shared" si="94"/>
        <v>292.26503163353146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2.890624571954219</v>
      </c>
      <c r="CL81" s="21">
        <f>EXP(-LN(2)/25)*CL80+(1-EXP(-LN(2)/25))/(LN(2)/25)*Calculateur!CG81*Calculateur!CI81*VLOOKUP('Données projet'!$B$12,Paramètres!$A$1:$I$89,3,0)*0.475*44/12</f>
        <v>1.7555031389688052</v>
      </c>
      <c r="CM81" s="21">
        <f>EXP(-LN(2)/2)*CM80+(1-EXP(-LN(2)/2))/(LN(2)/2)*CG81*CJ81*VLOOKUP('Données projet'!$B$12,Paramètres!$A$1:$I$89,3,0)*0.475*44/12</f>
        <v>4.7223767672037896E-7</v>
      </c>
      <c r="CN81" s="22">
        <f t="shared" si="66"/>
        <v>4.6461281831607009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319.22903094674564</v>
      </c>
      <c r="T82" s="59">
        <f t="shared" si="88"/>
        <v>254.58690973142848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336.69792000000001</v>
      </c>
      <c r="AK82" s="13">
        <f t="shared" si="89"/>
        <v>78.817328763317647</v>
      </c>
      <c r="AL82" s="20">
        <f t="shared" si="58"/>
        <v>723.6890582627783</v>
      </c>
      <c r="AM82" s="59">
        <f t="shared" si="59"/>
        <v>1017.0223915961117</v>
      </c>
      <c r="AN82" s="59">
        <f ca="1">AVERAGE(OFFSET($AM$3,0,0,'Données projet'!$E$10+1,1))-AVERAGE(OFFSET($H$3,0,0,'Données projet'!$E$10+1,1))</f>
        <v>475.01366239340246</v>
      </c>
      <c r="AO82" s="59">
        <f t="shared" si="90"/>
        <v>322.81767004794284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3.2946103574816048</v>
      </c>
      <c r="AV82" s="21">
        <f>EXP(-LN(2)/25)*AV81+(1-EXP(-LN(2)/25))/(LN(2)/25)*Calculateur!AQ82*Calculateur!AS82*VLOOKUP('Données projet'!$B$10,Paramètres!$A$1:$I$89,3,0)*0.475*44/12</f>
        <v>2.8635135439540247</v>
      </c>
      <c r="AW82" s="21">
        <f>EXP(-LN(2)/2)*AW81+(1-EXP(-LN(2)/2))/(LN(2)/2)*AQ82*AT82*VLOOKUP('Données projet'!$B$10,Paramètres!$A$1:$I$89,3,0)*0.475*44/12</f>
        <v>4.2793835238616191E-7</v>
      </c>
      <c r="AX82" s="21">
        <f t="shared" si="60"/>
        <v>6.1581243293739822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312.8</v>
      </c>
      <c r="BE82" s="13">
        <f>BD82*VLOOKUP('Données projet'!$B$11,Paramètres!$A$1:$I$89,3,0)*VLOOKUP('Données projet'!$B$11,Paramètres!$A$1:$I$89,5,0)</f>
        <v>317.17920000000004</v>
      </c>
      <c r="BF82" s="13">
        <f t="shared" si="91"/>
        <v>74.766129261581426</v>
      </c>
      <c r="BG82" s="20">
        <f t="shared" si="61"/>
        <v>682.63811513058772</v>
      </c>
      <c r="BH82" s="59">
        <f t="shared" si="62"/>
        <v>975.97144846392098</v>
      </c>
      <c r="BI82" s="59">
        <f ca="1">AVERAGE(OFFSET($BH$3,0,0,'Données projet'!$E$11+1,1))-AVERAGE(OFFSET($H$3,0,0,'Données projet'!$E$11+1,1))</f>
        <v>449.84356201138451</v>
      </c>
      <c r="BJ82" s="59">
        <f t="shared" si="92"/>
        <v>306.61893266146666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3.1036184527000681</v>
      </c>
      <c r="BQ82" s="21">
        <f>EXP(-LN(2)/25)*BQ81+(1-EXP(-LN(2)/25))/(LN(2)/25)*Calculateur!BL82*Calculateur!BN82*VLOOKUP('Données projet'!$B$11,Paramètres!$A$1:$I$89,3,0)*0.475*44/12</f>
        <v>2.6975127587972723</v>
      </c>
      <c r="BR82" s="21">
        <f>EXP(-LN(2)/2)*BR81+(1-EXP(-LN(2)/2))/(LN(2)/2)*BL82*BO82*VLOOKUP('Données projet'!$B$11,Paramètres!$A$1:$I$89,3,0)*0.475*44/12</f>
        <v>4.0313033195797851E-7</v>
      </c>
      <c r="BS82" s="22">
        <f t="shared" si="63"/>
        <v>5.8011316146276721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8.875</v>
      </c>
      <c r="BY82" s="12">
        <f>IF('Données projet'!$A$114&gt;35,BY81+BX82-CG81,IF(A82&lt;'Données projet'!$A$114,$BV$205^A82,IF(A82='Données projet'!$A$114,'Données projet'!$B$114,BY81+BX82-CG81)))</f>
        <v>540.375</v>
      </c>
      <c r="BZ82" s="13">
        <f>BY82*VLOOKUP('Données projet'!$B$12,Paramètres!$A$1:$I$89,3,0)*VLOOKUP('Données projet'!$B$12,Paramètres!$A$1:$I$89,5,0)</f>
        <v>323.14425000000006</v>
      </c>
      <c r="CA82" s="13">
        <f t="shared" si="93"/>
        <v>76.007203261088534</v>
      </c>
      <c r="CB82" s="20">
        <f t="shared" si="64"/>
        <v>695.18878109639593</v>
      </c>
      <c r="CC82" s="59">
        <f t="shared" si="65"/>
        <v>988.5221144297293</v>
      </c>
      <c r="CD82" s="59">
        <f ca="1">AVERAGE(OFFSET($CC$3,0,0,'Données projet'!$E$12+1,1))-AVERAGE(OFFSET($H$3,0,0,'Données projet'!$E$12+1,1))</f>
        <v>370.12772664814923</v>
      </c>
      <c r="CE82" s="59">
        <f t="shared" si="94"/>
        <v>292.26503163353146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2.8339411872050935</v>
      </c>
      <c r="CL82" s="21">
        <f>EXP(-LN(2)/25)*CL81+(1-EXP(-LN(2)/25))/(LN(2)/25)*Calculateur!CG82*Calculateur!CI82*VLOOKUP('Données projet'!$B$12,Paramètres!$A$1:$I$89,3,0)*0.475*44/12</f>
        <v>1.7074988133158053</v>
      </c>
      <c r="CM82" s="21">
        <f>EXP(-LN(2)/2)*CM81+(1-EXP(-LN(2)/2))/(LN(2)/2)*CG82*CJ82*VLOOKUP('Données projet'!$B$12,Paramètres!$A$1:$I$89,3,0)*0.475*44/12</f>
        <v>3.3392246354076061E-7</v>
      </c>
      <c r="CN82" s="22">
        <f t="shared" si="66"/>
        <v>4.5414403344433625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319.22903094674564</v>
      </c>
      <c r="T83" s="59">
        <f t="shared" si="88"/>
        <v>254.58690973142848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344.44799999999998</v>
      </c>
      <c r="AK83" s="13">
        <f t="shared" si="89"/>
        <v>80.418235058027051</v>
      </c>
      <c r="AL83" s="20">
        <f t="shared" si="58"/>
        <v>739.9753593927303</v>
      </c>
      <c r="AM83" s="59">
        <f t="shared" si="59"/>
        <v>1033.3086927260636</v>
      </c>
      <c r="AN83" s="59">
        <f ca="1">AVERAGE(OFFSET($AM$3,0,0,'Données projet'!$E$10+1,1))-AVERAGE(OFFSET($H$3,0,0,'Données projet'!$E$10+1,1))</f>
        <v>475.01366239340246</v>
      </c>
      <c r="AO83" s="59">
        <f t="shared" si="90"/>
        <v>322.81767004794284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3.2300050578852857</v>
      </c>
      <c r="AV83" s="21">
        <f>EXP(-LN(2)/25)*AV82+(1-EXP(-LN(2)/25))/(LN(2)/25)*Calculateur!AQ83*Calculateur!AS83*VLOOKUP('Données projet'!$B$10,Paramètres!$A$1:$I$89,3,0)*0.475*44/12</f>
        <v>2.7852106155089693</v>
      </c>
      <c r="AW83" s="21">
        <f>EXP(-LN(2)/2)*AW82+(1-EXP(-LN(2)/2))/(LN(2)/2)*AQ83*AT83*VLOOKUP('Données projet'!$B$10,Paramètres!$A$1:$I$89,3,0)*0.475*44/12</f>
        <v>3.0259811090205345E-7</v>
      </c>
      <c r="AX83" s="21">
        <f t="shared" si="60"/>
        <v>6.0152159759923665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320</v>
      </c>
      <c r="BE83" s="13">
        <f>BD83*VLOOKUP('Données projet'!$B$11,Paramètres!$A$1:$I$89,3,0)*VLOOKUP('Données projet'!$B$11,Paramètres!$A$1:$I$89,5,0)</f>
        <v>324.48</v>
      </c>
      <c r="BF83" s="13">
        <f t="shared" si="91"/>
        <v>76.284749200165578</v>
      </c>
      <c r="BG83" s="20">
        <f t="shared" si="61"/>
        <v>697.99860485695501</v>
      </c>
      <c r="BH83" s="59">
        <f t="shared" si="62"/>
        <v>991.33193819028838</v>
      </c>
      <c r="BI83" s="59">
        <f ca="1">AVERAGE(OFFSET($BH$3,0,0,'Données projet'!$E$11+1,1))-AVERAGE(OFFSET($H$3,0,0,'Données projet'!$E$11+1,1))</f>
        <v>449.84356201138451</v>
      </c>
      <c r="BJ83" s="59">
        <f t="shared" si="92"/>
        <v>306.61893266146666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3.0427583878629556</v>
      </c>
      <c r="BQ83" s="21">
        <f>EXP(-LN(2)/25)*BQ82+(1-EXP(-LN(2)/25))/(LN(2)/25)*Calculateur!BL83*Calculateur!BN83*VLOOKUP('Données projet'!$B$11,Paramètres!$A$1:$I$89,3,0)*0.475*44/12</f>
        <v>2.6237491305519303</v>
      </c>
      <c r="BR83" s="21">
        <f>EXP(-LN(2)/2)*BR82+(1-EXP(-LN(2)/2))/(LN(2)/2)*BL83*BO83*VLOOKUP('Données projet'!$B$11,Paramètres!$A$1:$I$89,3,0)*0.475*44/12</f>
        <v>2.8505619142947057E-7</v>
      </c>
      <c r="BS83" s="22">
        <f t="shared" si="63"/>
        <v>5.6665078034710765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8.875</v>
      </c>
      <c r="BY83" s="12">
        <f>IF('Données projet'!$A$114&gt;35,BY82+BX83-CG82,IF(A83&lt;'Données projet'!$A$114,$BV$205^A83,IF(A83='Données projet'!$A$114,'Données projet'!$B$114,BY82+BX83-CG82)))</f>
        <v>549.25</v>
      </c>
      <c r="BZ83" s="13">
        <f>BY83*VLOOKUP('Données projet'!$B$12,Paramètres!$A$1:$I$89,3,0)*VLOOKUP('Données projet'!$B$12,Paramètres!$A$1:$I$89,5,0)</f>
        <v>328.45150000000001</v>
      </c>
      <c r="CA83" s="13">
        <f t="shared" si="93"/>
        <v>77.109175784158708</v>
      </c>
      <c r="CB83" s="20">
        <f t="shared" si="64"/>
        <v>706.35151032407646</v>
      </c>
      <c r="CC83" s="59">
        <f t="shared" si="65"/>
        <v>999.68484365740983</v>
      </c>
      <c r="CD83" s="59">
        <f ca="1">AVERAGE(OFFSET($CC$3,0,0,'Données projet'!$E$12+1,1))-AVERAGE(OFFSET($H$3,0,0,'Données projet'!$E$12+1,1))</f>
        <v>370.12772664814923</v>
      </c>
      <c r="CE83" s="59">
        <f t="shared" si="94"/>
        <v>292.26503163353146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2.7783693290574472</v>
      </c>
      <c r="CL83" s="21">
        <f>EXP(-LN(2)/25)*CL82+(1-EXP(-LN(2)/25))/(LN(2)/25)*Calculateur!CG83*Calculateur!CI83*VLOOKUP('Données projet'!$B$12,Paramètres!$A$1:$I$89,3,0)*0.475*44/12</f>
        <v>1.6608071684722245</v>
      </c>
      <c r="CM83" s="21">
        <f>EXP(-LN(2)/2)*CM82+(1-EXP(-LN(2)/2))/(LN(2)/2)*CG83*CJ83*VLOOKUP('Données projet'!$B$12,Paramètres!$A$1:$I$89,3,0)*0.475*44/12</f>
        <v>2.3611883836018953E-7</v>
      </c>
      <c r="CN83" s="22">
        <f t="shared" si="66"/>
        <v>4.4391767336485097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319.22903094674564</v>
      </c>
      <c r="T84" s="59">
        <f t="shared" si="88"/>
        <v>254.58690973142848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321.62832000000003</v>
      </c>
      <c r="AK84" s="13">
        <f t="shared" si="89"/>
        <v>75.692057158625346</v>
      </c>
      <c r="AL84" s="20">
        <f t="shared" si="58"/>
        <v>691.99965688460588</v>
      </c>
      <c r="AM84" s="59">
        <f t="shared" si="59"/>
        <v>985.33299021793914</v>
      </c>
      <c r="AN84" s="59">
        <f ca="1">AVERAGE(OFFSET($AM$3,0,0,'Données projet'!$E$10+1,1))-AVERAGE(OFFSET($H$3,0,0,'Données projet'!$E$10+1,1))</f>
        <v>475.01366239340246</v>
      </c>
      <c r="AO84" s="59">
        <f t="shared" si="90"/>
        <v>322.81767004794284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3.1666666288087084</v>
      </c>
      <c r="AV84" s="21">
        <f>EXP(-LN(2)/25)*AV83+(1-EXP(-LN(2)/25))/(LN(2)/25)*Calculateur!AQ84*Calculateur!AS84*VLOOKUP('Données projet'!$B$10,Paramètres!$A$1:$I$89,3,0)*0.475*44/12</f>
        <v>2.709048884760016</v>
      </c>
      <c r="AW84" s="21">
        <f>EXP(-LN(2)/2)*AW83+(1-EXP(-LN(2)/2))/(LN(2)/2)*AQ84*AT84*VLOOKUP('Données projet'!$B$10,Paramètres!$A$1:$I$89,3,0)*0.475*44/12</f>
        <v>2.1396917619308095E-7</v>
      </c>
      <c r="AX84" s="21">
        <f t="shared" si="60"/>
        <v>5.8757157275379015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6.8</v>
      </c>
      <c r="BD84" s="12">
        <f>IF('Données projet'!$A$88&gt;35,BD83+BC84-BL83,IF(A84&lt;'Données projet'!$A$88,$BA$205^A84,IF(A84='Données projet'!$A$88,'Données projet'!$B$88,BD83+BC84-BL83)))</f>
        <v>298.8</v>
      </c>
      <c r="BE84" s="13">
        <f>BD84*VLOOKUP('Données projet'!$B$11,Paramètres!$A$1:$I$89,3,0)*VLOOKUP('Données projet'!$B$11,Paramètres!$A$1:$I$89,5,0)</f>
        <v>302.98320000000007</v>
      </c>
      <c r="BF84" s="13">
        <f t="shared" si="91"/>
        <v>71.801496173397709</v>
      </c>
      <c r="BG84" s="20">
        <f t="shared" si="61"/>
        <v>652.75001250200114</v>
      </c>
      <c r="BH84" s="59">
        <f t="shared" si="62"/>
        <v>946.08334583533451</v>
      </c>
      <c r="BI84" s="59">
        <f ca="1">AVERAGE(OFFSET($BH$3,0,0,'Données projet'!$E$11+1,1))-AVERAGE(OFFSET($H$3,0,0,'Données projet'!$E$11+1,1))</f>
        <v>449.84356201138451</v>
      </c>
      <c r="BJ84" s="59">
        <f t="shared" si="92"/>
        <v>306.61893266146666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2.9830917517763247</v>
      </c>
      <c r="BQ84" s="21">
        <f>EXP(-LN(2)/25)*BQ83+(1-EXP(-LN(2)/25))/(LN(2)/25)*Calculateur!BL84*Calculateur!BN84*VLOOKUP('Données projet'!$B$11,Paramètres!$A$1:$I$89,3,0)*0.475*44/12</f>
        <v>2.5520025726000175</v>
      </c>
      <c r="BR84" s="21">
        <f>EXP(-LN(2)/2)*BR83+(1-EXP(-LN(2)/2))/(LN(2)/2)*BL84*BO84*VLOOKUP('Données projet'!$B$11,Paramètres!$A$1:$I$89,3,0)*0.475*44/12</f>
        <v>2.0156516597898925E-7</v>
      </c>
      <c r="BS84" s="22">
        <f t="shared" si="63"/>
        <v>5.5350945259415081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8.875</v>
      </c>
      <c r="BY84" s="12">
        <f>IF('Données projet'!$A$114&gt;35,BY83+BX84-CG83,IF(A84&lt;'Données projet'!$A$114,$BV$205^A84,IF(A84='Données projet'!$A$114,'Données projet'!$B$114,BY83+BX84-CG83)))</f>
        <v>558.125</v>
      </c>
      <c r="BZ84" s="13">
        <f>BY84*VLOOKUP('Données projet'!$B$12,Paramètres!$A$1:$I$89,3,0)*VLOOKUP('Données projet'!$B$12,Paramètres!$A$1:$I$89,5,0)</f>
        <v>333.75875000000002</v>
      </c>
      <c r="CA84" s="13">
        <f t="shared" si="93"/>
        <v>78.209077528625059</v>
      </c>
      <c r="CB84" s="20">
        <f t="shared" si="64"/>
        <v>717.5106329456886</v>
      </c>
      <c r="CC84" s="59">
        <f t="shared" si="65"/>
        <v>1010.843966279022</v>
      </c>
      <c r="CD84" s="59">
        <f ca="1">AVERAGE(OFFSET($CC$3,0,0,'Données projet'!$E$12+1,1))-AVERAGE(OFFSET($H$3,0,0,'Données projet'!$E$12+1,1))</f>
        <v>370.12772664814923</v>
      </c>
      <c r="CE84" s="59">
        <f t="shared" si="94"/>
        <v>292.26503163353146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2.7238872011525896</v>
      </c>
      <c r="CL84" s="21">
        <f>EXP(-LN(2)/25)*CL83+(1-EXP(-LN(2)/25))/(LN(2)/25)*Calculateur!CG84*Calculateur!CI84*VLOOKUP('Données projet'!$B$12,Paramètres!$A$1:$I$89,3,0)*0.475*44/12</f>
        <v>1.6153923091122984</v>
      </c>
      <c r="CM84" s="21">
        <f>EXP(-LN(2)/2)*CM83+(1-EXP(-LN(2)/2))/(LN(2)/2)*CG84*CJ84*VLOOKUP('Données projet'!$B$12,Paramètres!$A$1:$I$89,3,0)*0.475*44/12</f>
        <v>1.6696123177038033E-7</v>
      </c>
      <c r="CN84" s="22">
        <f t="shared" si="66"/>
        <v>4.3392796772261191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319.22903094674564</v>
      </c>
      <c r="T85" s="59">
        <f t="shared" si="88"/>
        <v>254.58690973142848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328.94784000000004</v>
      </c>
      <c r="AK85" s="13">
        <f t="shared" si="89"/>
        <v>77.212127032960666</v>
      </c>
      <c r="AL85" s="20">
        <f t="shared" si="58"/>
        <v>707.39527591573994</v>
      </c>
      <c r="AM85" s="59">
        <f t="shared" si="59"/>
        <v>1000.7286092490733</v>
      </c>
      <c r="AN85" s="59">
        <f ca="1">AVERAGE(OFFSET($AM$3,0,0,'Données projet'!$E$10+1,1))-AVERAGE(OFFSET($H$3,0,0,'Données projet'!$E$10+1,1))</f>
        <v>475.01366239340246</v>
      </c>
      <c r="AO85" s="59">
        <f t="shared" si="90"/>
        <v>322.81767004794284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3.1045702276936957</v>
      </c>
      <c r="AV85" s="21">
        <f>EXP(-LN(2)/25)*AV84+(1-EXP(-LN(2)/25))/(LN(2)/25)*Calculateur!AQ85*Calculateur!AS85*VLOOKUP('Données projet'!$B$10,Paramètres!$A$1:$I$89,3,0)*0.475*44/12</f>
        <v>2.6349698005435642</v>
      </c>
      <c r="AW85" s="21">
        <f>EXP(-LN(2)/2)*AW84+(1-EXP(-LN(2)/2))/(LN(2)/2)*AQ85*AT85*VLOOKUP('Données projet'!$B$10,Paramètres!$A$1:$I$89,3,0)*0.475*44/12</f>
        <v>1.5129905545102673E-7</v>
      </c>
      <c r="AX85" s="21">
        <f t="shared" si="60"/>
        <v>5.7395401795363146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6.8</v>
      </c>
      <c r="BD85" s="12">
        <f>IF('Données projet'!$A$88&gt;35,BD84+BC85-BL84,IF(A85&lt;'Données projet'!$A$88,$BA$205^A85,IF(A85='Données projet'!$A$88,'Données projet'!$B$88,BD84+BC85-BL84)))</f>
        <v>305.60000000000002</v>
      </c>
      <c r="BE85" s="13">
        <f>BD85*VLOOKUP('Données projet'!$B$11,Paramètres!$A$1:$I$89,3,0)*VLOOKUP('Données projet'!$B$11,Paramètres!$A$1:$I$89,5,0)</f>
        <v>309.87840000000006</v>
      </c>
      <c r="BF85" s="13">
        <f t="shared" si="91"/>
        <v>73.243434672131556</v>
      </c>
      <c r="BG85" s="20">
        <f t="shared" si="61"/>
        <v>667.27052872062916</v>
      </c>
      <c r="BH85" s="59">
        <f t="shared" si="62"/>
        <v>960.60386205396253</v>
      </c>
      <c r="BI85" s="59">
        <f ca="1">AVERAGE(OFFSET($BH$3,0,0,'Données projet'!$E$11+1,1))-AVERAGE(OFFSET($H$3,0,0,'Données projet'!$E$11+1,1))</f>
        <v>449.84356201138451</v>
      </c>
      <c r="BJ85" s="59">
        <f t="shared" si="92"/>
        <v>306.61893266146666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2.9245951420302982</v>
      </c>
      <c r="BQ85" s="21">
        <f>EXP(-LN(2)/25)*BQ84+(1-EXP(-LN(2)/25))/(LN(2)/25)*Calculateur!BL85*Calculateur!BN85*VLOOKUP('Données projet'!$B$11,Paramètres!$A$1:$I$89,3,0)*0.475*44/12</f>
        <v>2.4822179280482874</v>
      </c>
      <c r="BR85" s="21">
        <f>EXP(-LN(2)/2)*BR84+(1-EXP(-LN(2)/2))/(LN(2)/2)*BL85*BO85*VLOOKUP('Données projet'!$B$11,Paramètres!$A$1:$I$89,3,0)*0.475*44/12</f>
        <v>1.4252809571473529E-7</v>
      </c>
      <c r="BS85" s="22">
        <f t="shared" si="63"/>
        <v>5.4068132126066821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567</v>
      </c>
      <c r="BW85" s="12">
        <f>VLOOKUP(A85,'Données projet'!$A$113:$I$133,9,0)</f>
        <v>8.875</v>
      </c>
      <c r="BX85" s="12">
        <f t="array" ref="BX85">INDEX(BW:BW,MIN(IF(ISNUMBER(BW85:BW281),ROW(BW85:BW281),"")))</f>
        <v>8.875</v>
      </c>
      <c r="BY85" s="12">
        <f>IF('Données projet'!$A$114&gt;35,BY84+BX85-CG84,IF(A85&lt;'Données projet'!$A$114,$BV$205^A85,IF(A85='Données projet'!$A$114,'Données projet'!$B$114,BY84+BX85-CG84)))</f>
        <v>567</v>
      </c>
      <c r="BZ85" s="13">
        <f>BY85*VLOOKUP('Données projet'!$B$12,Paramètres!$A$1:$I$89,3,0)*VLOOKUP('Données projet'!$B$12,Paramètres!$A$1:$I$89,5,0)</f>
        <v>339.06600000000003</v>
      </c>
      <c r="CA85" s="13">
        <f t="shared" si="93"/>
        <v>79.30694522486489</v>
      </c>
      <c r="CB85" s="20">
        <f t="shared" si="64"/>
        <v>728.66621293330627</v>
      </c>
      <c r="CC85" s="59">
        <f t="shared" si="65"/>
        <v>1021.9995462666395</v>
      </c>
      <c r="CD85" s="59">
        <f ca="1">AVERAGE(OFFSET($CC$3,0,0,'Données projet'!$E$12+1,1))-AVERAGE(OFFSET($H$3,0,0,'Données projet'!$E$12+1,1))</f>
        <v>370.12772664814923</v>
      </c>
      <c r="CE85" s="59">
        <f t="shared" si="94"/>
        <v>292.26503163353146</v>
      </c>
      <c r="CF85" s="15">
        <f>IF(ISNA(VLOOKUP(A85,'Données projet'!$A$113:$I$133,3,0)),0,VLOOKUP(A85,'Données projet'!$A$113:$I$133,3,0))</f>
        <v>11</v>
      </c>
      <c r="CG85" s="15">
        <f>IF(ISNA(VLOOKUP(A85,'Données projet'!$A$113:$I$133,4,0)),0,VLOOKUP(A85,'Données projet'!$A$113:$I$133,4,0))</f>
        <v>567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2.6704734345451295</v>
      </c>
      <c r="CL85" s="21">
        <f>EXP(-LN(2)/25)*CL84+(1-EXP(-LN(2)/25))/(LN(2)/25)*Calculateur!CG85*Calculateur!CI85*VLOOKUP('Données projet'!$B$12,Paramètres!$A$1:$I$89,3,0)*0.475*44/12</f>
        <v>1.5712193214698331</v>
      </c>
      <c r="CM85" s="21">
        <f>EXP(-LN(2)/2)*CM84+(1-EXP(-LN(2)/2))/(LN(2)/2)*CG85*CJ85*VLOOKUP('Données projet'!$B$12,Paramètres!$A$1:$I$89,3,0)*0.475*44/12</f>
        <v>1.1805941918009478E-7</v>
      </c>
      <c r="CN85" s="22">
        <f t="shared" si="66"/>
        <v>4.2416928740743822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319.22903094674564</v>
      </c>
      <c r="T86" s="59">
        <f t="shared" si="88"/>
        <v>254.58690973142848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336.26736000000005</v>
      </c>
      <c r="AK86" s="13">
        <f t="shared" si="89"/>
        <v>78.728264597957192</v>
      </c>
      <c r="AL86" s="20">
        <f t="shared" si="58"/>
        <v>722.78404617477554</v>
      </c>
      <c r="AM86" s="59">
        <f t="shared" si="59"/>
        <v>1016.1173795081088</v>
      </c>
      <c r="AN86" s="59">
        <f ca="1">AVERAGE(OFFSET($AM$3,0,0,'Données projet'!$E$10+1,1))-AVERAGE(OFFSET($H$3,0,0,'Données projet'!$E$10+1,1))</f>
        <v>475.01366239340246</v>
      </c>
      <c r="AO86" s="59">
        <f t="shared" si="90"/>
        <v>322.81767004794284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3.0436914991294839</v>
      </c>
      <c r="AV86" s="21">
        <f>EXP(-LN(2)/25)*AV85+(1-EXP(-LN(2)/25))/(LN(2)/25)*Calculateur!AQ86*Calculateur!AS86*VLOOKUP('Données projet'!$B$10,Paramètres!$A$1:$I$89,3,0)*0.475*44/12</f>
        <v>2.5629164127806607</v>
      </c>
      <c r="AW86" s="21">
        <f>EXP(-LN(2)/2)*AW85+(1-EXP(-LN(2)/2))/(LN(2)/2)*AQ86*AT86*VLOOKUP('Données projet'!$B$10,Paramètres!$A$1:$I$89,3,0)*0.475*44/12</f>
        <v>1.0698458809654048E-7</v>
      </c>
      <c r="AX86" s="21">
        <f t="shared" si="60"/>
        <v>5.6066080188947325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6.8</v>
      </c>
      <c r="BD86" s="12">
        <f>IF('Données projet'!$A$88&gt;35,BD85+BC86-BL85,IF(A86&lt;'Données projet'!$A$88,$BA$205^A86,IF(A86='Données projet'!$A$88,'Données projet'!$B$88,BD85+BC86-BL85)))</f>
        <v>312.40000000000003</v>
      </c>
      <c r="BE86" s="13">
        <f>BD86*VLOOKUP('Données projet'!$B$11,Paramètres!$A$1:$I$89,3,0)*VLOOKUP('Données projet'!$B$11,Paramètres!$A$1:$I$89,5,0)</f>
        <v>316.77360000000004</v>
      </c>
      <c r="BF86" s="13">
        <f t="shared" si="91"/>
        <v>74.681642981668006</v>
      </c>
      <c r="BG86" s="20">
        <f t="shared" si="61"/>
        <v>681.78454819307183</v>
      </c>
      <c r="BH86" s="59">
        <f t="shared" si="62"/>
        <v>975.1178815264052</v>
      </c>
      <c r="BI86" s="59">
        <f ca="1">AVERAGE(OFFSET($BH$3,0,0,'Données projet'!$E$11+1,1))-AVERAGE(OFFSET($H$3,0,0,'Données projet'!$E$11+1,1))</f>
        <v>449.84356201138451</v>
      </c>
      <c r="BJ86" s="59">
        <f t="shared" si="92"/>
        <v>306.61893266146666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2.8672456151219823</v>
      </c>
      <c r="BQ86" s="21">
        <f>EXP(-LN(2)/25)*BQ85+(1-EXP(-LN(2)/25))/(LN(2)/25)*Calculateur!BL86*Calculateur!BN86*VLOOKUP('Données projet'!$B$11,Paramètres!$A$1:$I$89,3,0)*0.475*44/12</f>
        <v>2.4143415482716395</v>
      </c>
      <c r="BR86" s="21">
        <f>EXP(-LN(2)/2)*BR85+(1-EXP(-LN(2)/2))/(LN(2)/2)*BL86*BO86*VLOOKUP('Données projet'!$B$11,Paramètres!$A$1:$I$89,3,0)*0.475*44/12</f>
        <v>1.0078258298949463E-7</v>
      </c>
      <c r="BS86" s="22">
        <f t="shared" si="63"/>
        <v>5.2815872641762054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370.12772664814923</v>
      </c>
      <c r="CE86" s="59">
        <f t="shared" si="94"/>
        <v>292.26503163353146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2.6181070793216614</v>
      </c>
      <c r="CL86" s="21">
        <f>EXP(-LN(2)/25)*CL85+(1-EXP(-LN(2)/25))/(LN(2)/25)*Calculateur!CG86*Calculateur!CI86*VLOOKUP('Données projet'!$B$12,Paramètres!$A$1:$I$89,3,0)*0.475*44/12</f>
        <v>1.5282542464974074</v>
      </c>
      <c r="CM86" s="21">
        <f>EXP(-LN(2)/2)*CM85+(1-EXP(-LN(2)/2))/(LN(2)/2)*CG86*CJ86*VLOOKUP('Données projet'!$B$12,Paramètres!$A$1:$I$89,3,0)*0.475*44/12</f>
        <v>8.3480615885190178E-8</v>
      </c>
      <c r="CN86" s="22">
        <f t="shared" si="66"/>
        <v>4.1463614092996846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319.22903094674564</v>
      </c>
      <c r="T87" s="59">
        <f t="shared" si="88"/>
        <v>254.58690973142848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343.58688000000006</v>
      </c>
      <c r="AK87" s="13">
        <f t="shared" si="89"/>
        <v>80.240565305520732</v>
      </c>
      <c r="AL87" s="20">
        <f t="shared" si="58"/>
        <v>738.1661339071153</v>
      </c>
      <c r="AM87" s="59">
        <f t="shared" si="59"/>
        <v>1031.4994672404487</v>
      </c>
      <c r="AN87" s="59">
        <f ca="1">AVERAGE(OFFSET($AM$3,0,0,'Données projet'!$E$10+1,1))-AVERAGE(OFFSET($H$3,0,0,'Données projet'!$E$10+1,1))</f>
        <v>475.01366239340246</v>
      </c>
      <c r="AO87" s="59">
        <f t="shared" si="90"/>
        <v>322.81767004794284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2.9840065653000583</v>
      </c>
      <c r="AV87" s="21">
        <f>EXP(-LN(2)/25)*AV86+(1-EXP(-LN(2)/25))/(LN(2)/25)*Calculateur!AQ87*Calculateur!AS87*VLOOKUP('Données projet'!$B$10,Paramètres!$A$1:$I$89,3,0)*0.475*44/12</f>
        <v>2.4928333286952569</v>
      </c>
      <c r="AW87" s="21">
        <f>EXP(-LN(2)/2)*AW86+(1-EXP(-LN(2)/2))/(LN(2)/2)*AQ87*AT87*VLOOKUP('Données projet'!$B$10,Paramètres!$A$1:$I$89,3,0)*0.475*44/12</f>
        <v>7.5649527725513363E-8</v>
      </c>
      <c r="AX87" s="21">
        <f t="shared" si="60"/>
        <v>5.4768399696448427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6.8</v>
      </c>
      <c r="BD87" s="12">
        <f>IF('Données projet'!$A$88&gt;35,BD86+BC87-BL86,IF(A87&lt;'Données projet'!$A$88,$BA$205^A87,IF(A87='Données projet'!$A$88,'Données projet'!$B$88,BD86+BC87-BL86)))</f>
        <v>319.20000000000005</v>
      </c>
      <c r="BE87" s="13">
        <f>BD87*VLOOKUP('Données projet'!$B$11,Paramètres!$A$1:$I$89,3,0)*VLOOKUP('Données projet'!$B$11,Paramètres!$A$1:$I$89,5,0)</f>
        <v>323.66880000000009</v>
      </c>
      <c r="BF87" s="13">
        <f t="shared" si="91"/>
        <v>76.11621164769852</v>
      </c>
      <c r="BG87" s="20">
        <f t="shared" si="61"/>
        <v>696.29222861974176</v>
      </c>
      <c r="BH87" s="59">
        <f t="shared" si="62"/>
        <v>989.62556195307502</v>
      </c>
      <c r="BI87" s="59">
        <f ca="1">AVERAGE(OFFSET($BH$3,0,0,'Données projet'!$E$11+1,1))-AVERAGE(OFFSET($H$3,0,0,'Données projet'!$E$11+1,1))</f>
        <v>449.84356201138451</v>
      </c>
      <c r="BJ87" s="59">
        <f t="shared" si="92"/>
        <v>306.61893266146666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2.8110206774565811</v>
      </c>
      <c r="BQ87" s="21">
        <f>EXP(-LN(2)/25)*BQ86+(1-EXP(-LN(2)/25))/(LN(2)/25)*Calculateur!BL87*Calculateur!BN87*VLOOKUP('Données projet'!$B$11,Paramètres!$A$1:$I$89,3,0)*0.475*44/12</f>
        <v>2.3483212516694474</v>
      </c>
      <c r="BR87" s="21">
        <f>EXP(-LN(2)/2)*BR86+(1-EXP(-LN(2)/2))/(LN(2)/2)*BL87*BO87*VLOOKUP('Données projet'!$B$11,Paramètres!$A$1:$I$89,3,0)*0.475*44/12</f>
        <v>7.1264047857367643E-8</v>
      </c>
      <c r="BS87" s="22">
        <f t="shared" si="63"/>
        <v>5.159342000390077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370.12772664814923</v>
      </c>
      <c r="CE87" s="59">
        <f t="shared" si="94"/>
        <v>292.26503163353146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2.5667675963838024</v>
      </c>
      <c r="CL87" s="21">
        <f>EXP(-LN(2)/25)*CL86+(1-EXP(-LN(2)/25))/(LN(2)/25)*Calculateur!CG87*Calculateur!CI87*VLOOKUP('Données projet'!$B$12,Paramètres!$A$1:$I$89,3,0)*0.475*44/12</f>
        <v>1.4864640537595377</v>
      </c>
      <c r="CM87" s="21">
        <f>EXP(-LN(2)/2)*CM86+(1-EXP(-LN(2)/2))/(LN(2)/2)*CG87*CJ87*VLOOKUP('Données projet'!$B$12,Paramètres!$A$1:$I$89,3,0)*0.475*44/12</f>
        <v>5.9029709590047396E-8</v>
      </c>
      <c r="CN87" s="22">
        <f t="shared" si="66"/>
        <v>4.0532317091730503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319.22903094674564</v>
      </c>
      <c r="T88" s="59">
        <f t="shared" si="88"/>
        <v>254.58690973142848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350.90640000000008</v>
      </c>
      <c r="AK88" s="13">
        <f t="shared" si="89"/>
        <v>81.749120308346747</v>
      </c>
      <c r="AL88" s="20">
        <f t="shared" si="58"/>
        <v>753.54169787037063</v>
      </c>
      <c r="AM88" s="59">
        <f t="shared" si="59"/>
        <v>1046.8750312037039</v>
      </c>
      <c r="AN88" s="59">
        <f ca="1">AVERAGE(OFFSET($AM$3,0,0,'Données projet'!$E$10+1,1))-AVERAGE(OFFSET($H$3,0,0,'Données projet'!$E$10+1,1))</f>
        <v>475.01366239340246</v>
      </c>
      <c r="AO88" s="59">
        <f t="shared" si="90"/>
        <v>322.81767004794284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2.9254920166188123</v>
      </c>
      <c r="AV88" s="21">
        <f>EXP(-LN(2)/25)*AV87+(1-EXP(-LN(2)/25))/(LN(2)/25)*Calculateur!AQ88*Calculateur!AS88*VLOOKUP('Données projet'!$B$10,Paramètres!$A$1:$I$89,3,0)*0.475*44/12</f>
        <v>2.4246666702296777</v>
      </c>
      <c r="AW88" s="21">
        <f>EXP(-LN(2)/2)*AW87+(1-EXP(-LN(2)/2))/(LN(2)/2)*AQ88*AT88*VLOOKUP('Données projet'!$B$10,Paramètres!$A$1:$I$89,3,0)*0.475*44/12</f>
        <v>5.3492294048270238E-8</v>
      </c>
      <c r="AX88" s="21">
        <f t="shared" si="60"/>
        <v>5.3501587403407838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326</v>
      </c>
      <c r="BB88" s="12">
        <f>VLOOKUP(A88,'Données projet'!$A$87:$I$107,9,0)</f>
        <v>6.8</v>
      </c>
      <c r="BC88" s="12">
        <f t="array" ref="BC88">INDEX(BB:BB,MIN(IF(ISNUMBER(BB88:BB284),ROW(BB88:BB284),"")))</f>
        <v>6.8</v>
      </c>
      <c r="BD88" s="12">
        <f>IF('Données projet'!$A$88&gt;35,BD87+BC88-BL87,IF(A88&lt;'Données projet'!$A$88,$BA$205^A88,IF(A88='Données projet'!$A$88,'Données projet'!$B$88,BD87+BC88-BL87)))</f>
        <v>326.00000000000006</v>
      </c>
      <c r="BE88" s="13">
        <f>BD88*VLOOKUP('Données projet'!$B$11,Paramètres!$A$1:$I$89,3,0)*VLOOKUP('Données projet'!$B$11,Paramètres!$A$1:$I$89,5,0)</f>
        <v>330.56400000000008</v>
      </c>
      <c r="BF88" s="13">
        <f t="shared" si="91"/>
        <v>77.547227137682853</v>
      </c>
      <c r="BG88" s="20">
        <f t="shared" si="61"/>
        <v>710.79372059813113</v>
      </c>
      <c r="BH88" s="59">
        <f t="shared" si="62"/>
        <v>1004.1270539314644</v>
      </c>
      <c r="BI88" s="59">
        <f ca="1">AVERAGE(OFFSET($BH$3,0,0,'Données projet'!$E$11+1,1))-AVERAGE(OFFSET($H$3,0,0,'Données projet'!$E$11+1,1))</f>
        <v>449.84356201138451</v>
      </c>
      <c r="BJ88" s="59">
        <f t="shared" si="92"/>
        <v>306.61893266146666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28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2.7558982765249729</v>
      </c>
      <c r="BQ88" s="21">
        <f>EXP(-LN(2)/25)*BQ87+(1-EXP(-LN(2)/25))/(LN(2)/25)*Calculateur!BL88*Calculateur!BN88*VLOOKUP('Données projet'!$B$11,Paramètres!$A$1:$I$89,3,0)*0.475*44/12</f>
        <v>2.2841062835496988</v>
      </c>
      <c r="BR88" s="21">
        <f>EXP(-LN(2)/2)*BR87+(1-EXP(-LN(2)/2))/(LN(2)/2)*BL88*BO88*VLOOKUP('Données projet'!$B$11,Paramètres!$A$1:$I$89,3,0)*0.475*44/12</f>
        <v>5.0391291494747313E-8</v>
      </c>
      <c r="BS88" s="22">
        <f t="shared" si="63"/>
        <v>5.0400046104659628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370.12772664814923</v>
      </c>
      <c r="CE88" s="59">
        <f t="shared" si="94"/>
        <v>292.26503163353146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2.5164348493923621</v>
      </c>
      <c r="CL88" s="21">
        <f>EXP(-LN(2)/25)*CL87+(1-EXP(-LN(2)/25))/(LN(2)/25)*Calculateur!CG88*Calculateur!CI88*VLOOKUP('Données projet'!$B$12,Paramètres!$A$1:$I$89,3,0)*0.475*44/12</f>
        <v>1.4458166160397359</v>
      </c>
      <c r="CM88" s="21">
        <f>EXP(-LN(2)/2)*CM87+(1-EXP(-LN(2)/2))/(LN(2)/2)*CG88*CJ88*VLOOKUP('Données projet'!$B$12,Paramètres!$A$1:$I$89,3,0)*0.475*44/12</f>
        <v>4.1740307942595096E-8</v>
      </c>
      <c r="CN88" s="22">
        <f t="shared" si="66"/>
        <v>3.962251507172406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319.22903094674564</v>
      </c>
      <c r="T89" s="59">
        <f t="shared" si="88"/>
        <v>254.58690973142848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327.65616</v>
      </c>
      <c r="AK89" s="13">
        <f t="shared" si="89"/>
        <v>76.94416793638409</v>
      </c>
      <c r="AL89" s="20">
        <f t="shared" si="58"/>
        <v>704.67890448920218</v>
      </c>
      <c r="AM89" s="59">
        <f t="shared" si="59"/>
        <v>998.01223782253555</v>
      </c>
      <c r="AN89" s="59">
        <f ca="1">AVERAGE(OFFSET($AM$3,0,0,'Données projet'!$E$10+1,1))-AVERAGE(OFFSET($H$3,0,0,'Données projet'!$E$10+1,1))</f>
        <v>475.01366239340246</v>
      </c>
      <c r="AO89" s="59">
        <f t="shared" si="90"/>
        <v>322.81767004794284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2.8681249025468554</v>
      </c>
      <c r="AV89" s="21">
        <f>EXP(-LN(2)/25)*AV88+(1-EXP(-LN(2)/25))/(LN(2)/25)*Calculateur!AQ89*Calculateur!AS89*VLOOKUP('Données projet'!$B$10,Paramètres!$A$1:$I$89,3,0)*0.475*44/12</f>
        <v>2.3583640326245687</v>
      </c>
      <c r="AW89" s="21">
        <f>EXP(-LN(2)/2)*AW88+(1-EXP(-LN(2)/2))/(LN(2)/2)*AQ89*AT89*VLOOKUP('Données projet'!$B$10,Paramètres!$A$1:$I$89,3,0)*0.475*44/12</f>
        <v>3.7824763862756681E-8</v>
      </c>
      <c r="AX89" s="21">
        <f t="shared" si="60"/>
        <v>5.2264889729961883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6.4</v>
      </c>
      <c r="BD89" s="12">
        <f>IF('Données projet'!$A$88&gt;35,BD88+BC89-BL88,IF(A89&lt;'Données projet'!$A$88,$BA$205^A89,IF(A89='Données projet'!$A$88,'Données projet'!$B$88,BD88+BC89-BL88)))</f>
        <v>304.40000000000003</v>
      </c>
      <c r="BE89" s="13">
        <f>BD89*VLOOKUP('Données projet'!$B$11,Paramètres!$A$1:$I$89,3,0)*VLOOKUP('Données projet'!$B$11,Paramètres!$A$1:$I$89,5,0)</f>
        <v>308.66160000000008</v>
      </c>
      <c r="BF89" s="13">
        <f t="shared" si="91"/>
        <v>72.98924863505313</v>
      </c>
      <c r="BG89" s="20">
        <f t="shared" si="61"/>
        <v>664.70856137271755</v>
      </c>
      <c r="BH89" s="59">
        <f t="shared" si="62"/>
        <v>958.04189470605093</v>
      </c>
      <c r="BI89" s="59">
        <f ca="1">AVERAGE(OFFSET($BH$3,0,0,'Données projet'!$E$11+1,1))-AVERAGE(OFFSET($H$3,0,0,'Données projet'!$E$11+1,1))</f>
        <v>449.84356201138451</v>
      </c>
      <c r="BJ89" s="59">
        <f t="shared" si="92"/>
        <v>306.61893266146666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2.7018567922542887</v>
      </c>
      <c r="BQ89" s="21">
        <f>EXP(-LN(2)/25)*BQ88+(1-EXP(-LN(2)/25))/(LN(2)/25)*Calculateur!BL89*Calculateur!BN89*VLOOKUP('Données projet'!$B$11,Paramètres!$A$1:$I$89,3,0)*0.475*44/12</f>
        <v>2.2216472771101032</v>
      </c>
      <c r="BR89" s="21">
        <f>EXP(-LN(2)/2)*BR88+(1-EXP(-LN(2)/2))/(LN(2)/2)*BL89*BO89*VLOOKUP('Données projet'!$B$11,Paramètres!$A$1:$I$89,3,0)*0.475*44/12</f>
        <v>3.5632023928683822E-8</v>
      </c>
      <c r="BS89" s="22">
        <f t="shared" si="63"/>
        <v>4.9235041049964154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370.12772664814923</v>
      </c>
      <c r="CE89" s="59">
        <f t="shared" si="94"/>
        <v>292.26503163353146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2.4670890968694796</v>
      </c>
      <c r="CL89" s="21">
        <f>EXP(-LN(2)/25)*CL88+(1-EXP(-LN(2)/25))/(LN(2)/25)*Calculateur!CG89*Calculateur!CI89*VLOOKUP('Données projet'!$B$12,Paramètres!$A$1:$I$89,3,0)*0.475*44/12</f>
        <v>1.406280684641938</v>
      </c>
      <c r="CM89" s="21">
        <f>EXP(-LN(2)/2)*CM88+(1-EXP(-LN(2)/2))/(LN(2)/2)*CG89*CJ89*VLOOKUP('Données projet'!$B$12,Paramètres!$A$1:$I$89,3,0)*0.475*44/12</f>
        <v>2.9514854795023705E-8</v>
      </c>
      <c r="CN89" s="22">
        <f t="shared" si="66"/>
        <v>3.8733698110262726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319.22903094674564</v>
      </c>
      <c r="T90" s="59">
        <f t="shared" si="88"/>
        <v>254.58690973142848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334.54512</v>
      </c>
      <c r="AK90" s="13">
        <f t="shared" si="89"/>
        <v>78.37187499534933</v>
      </c>
      <c r="AL90" s="20">
        <f t="shared" si="58"/>
        <v>719.16376628356682</v>
      </c>
      <c r="AM90" s="59">
        <f t="shared" si="59"/>
        <v>1012.4970996169002</v>
      </c>
      <c r="AN90" s="59">
        <f ca="1">AVERAGE(OFFSET($AM$3,0,0,'Données projet'!$E$10+1,1))-AVERAGE(OFFSET($H$3,0,0,'Données projet'!$E$10+1,1))</f>
        <v>475.01366239340246</v>
      </c>
      <c r="AO90" s="59">
        <f t="shared" si="90"/>
        <v>322.81767004794284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2.8118827225913647</v>
      </c>
      <c r="AV90" s="21">
        <f>EXP(-LN(2)/25)*AV89+(1-EXP(-LN(2)/25))/(LN(2)/25)*Calculateur!AQ90*Calculateur!AS90*VLOOKUP('Données projet'!$B$10,Paramètres!$A$1:$I$89,3,0)*0.475*44/12</f>
        <v>2.2938744441314753</v>
      </c>
      <c r="AW90" s="21">
        <f>EXP(-LN(2)/2)*AW89+(1-EXP(-LN(2)/2))/(LN(2)/2)*AQ90*AT90*VLOOKUP('Données projet'!$B$10,Paramètres!$A$1:$I$89,3,0)*0.475*44/12</f>
        <v>2.6746147024135119E-8</v>
      </c>
      <c r="AX90" s="21">
        <f t="shared" si="60"/>
        <v>5.1057571934689872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6.4</v>
      </c>
      <c r="BD90" s="12">
        <f>IF('Données projet'!$A$88&gt;35,BD89+BC90-BL89,IF(A90&lt;'Données projet'!$A$88,$BA$205^A90,IF(A90='Données projet'!$A$88,'Données projet'!$B$88,BD89+BC90-BL89)))</f>
        <v>310.8</v>
      </c>
      <c r="BE90" s="13">
        <f>BD90*VLOOKUP('Données projet'!$B$11,Paramètres!$A$1:$I$89,3,0)*VLOOKUP('Données projet'!$B$11,Paramètres!$A$1:$I$89,5,0)</f>
        <v>315.15120000000002</v>
      </c>
      <c r="BF90" s="13">
        <f t="shared" si="91"/>
        <v>74.343571754005879</v>
      </c>
      <c r="BG90" s="20">
        <f t="shared" si="61"/>
        <v>678.37006080489357</v>
      </c>
      <c r="BH90" s="59">
        <f t="shared" si="62"/>
        <v>971.70339413822694</v>
      </c>
      <c r="BI90" s="59">
        <f ca="1">AVERAGE(OFFSET($BH$3,0,0,'Données projet'!$E$11+1,1))-AVERAGE(OFFSET($H$3,0,0,'Données projet'!$E$11+1,1))</f>
        <v>449.84356201138451</v>
      </c>
      <c r="BJ90" s="59">
        <f t="shared" si="92"/>
        <v>306.61893266146666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2.648875028528102</v>
      </c>
      <c r="BQ90" s="21">
        <f>EXP(-LN(2)/25)*BQ89+(1-EXP(-LN(2)/25))/(LN(2)/25)*Calculateur!BL90*Calculateur!BN90*VLOOKUP('Données projet'!$B$11,Paramètres!$A$1:$I$89,3,0)*0.475*44/12</f>
        <v>2.1608962154861748</v>
      </c>
      <c r="BR90" s="21">
        <f>EXP(-LN(2)/2)*BR89+(1-EXP(-LN(2)/2))/(LN(2)/2)*BL90*BO90*VLOOKUP('Données projet'!$B$11,Paramètres!$A$1:$I$89,3,0)*0.475*44/12</f>
        <v>2.5195645747373657E-8</v>
      </c>
      <c r="BS90" s="22">
        <f t="shared" si="63"/>
        <v>4.8097712692099224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370.12772664814923</v>
      </c>
      <c r="CE90" s="59">
        <f t="shared" si="94"/>
        <v>292.26503163353146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2.4187109844556338</v>
      </c>
      <c r="CL90" s="21">
        <f>EXP(-LN(2)/25)*CL89+(1-EXP(-LN(2)/25))/(LN(2)/25)*Calculateur!CG90*Calculateur!CI90*VLOOKUP('Données projet'!$B$12,Paramètres!$A$1:$I$89,3,0)*0.475*44/12</f>
        <v>1.3678258653673172</v>
      </c>
      <c r="CM90" s="21">
        <f>EXP(-LN(2)/2)*CM89+(1-EXP(-LN(2)/2))/(LN(2)/2)*CG90*CJ90*VLOOKUP('Données projet'!$B$12,Paramètres!$A$1:$I$89,3,0)*0.475*44/12</f>
        <v>2.0870153971297551E-8</v>
      </c>
      <c r="CN90" s="22">
        <f t="shared" si="66"/>
        <v>3.7865368706931051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319.22903094674564</v>
      </c>
      <c r="T91" s="59">
        <f t="shared" si="88"/>
        <v>254.58690973142848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341.43407999999994</v>
      </c>
      <c r="AK91" s="13">
        <f t="shared" si="89"/>
        <v>79.796163809870151</v>
      </c>
      <c r="AL91" s="20">
        <f t="shared" si="58"/>
        <v>733.64267463552369</v>
      </c>
      <c r="AM91" s="59">
        <f t="shared" si="59"/>
        <v>1026.9760079688569</v>
      </c>
      <c r="AN91" s="59">
        <f ca="1">AVERAGE(OFFSET($AM$3,0,0,'Données projet'!$E$10+1,1))-AVERAGE(OFFSET($H$3,0,0,'Données projet'!$E$10+1,1))</f>
        <v>475.01366239340246</v>
      </c>
      <c r="AO91" s="59">
        <f t="shared" si="90"/>
        <v>322.81767004794284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2.7567434174804588</v>
      </c>
      <c r="AV91" s="21">
        <f>EXP(-LN(2)/25)*AV90+(1-EXP(-LN(2)/25))/(LN(2)/25)*Calculateur!AQ91*Calculateur!AS91*VLOOKUP('Données projet'!$B$10,Paramètres!$A$1:$I$89,3,0)*0.475*44/12</f>
        <v>2.231148326827086</v>
      </c>
      <c r="AW91" s="21">
        <f>EXP(-LN(2)/2)*AW90+(1-EXP(-LN(2)/2))/(LN(2)/2)*AQ91*AT91*VLOOKUP('Données projet'!$B$10,Paramètres!$A$1:$I$89,3,0)*0.475*44/12</f>
        <v>1.8912381931378341E-8</v>
      </c>
      <c r="AX91" s="21">
        <f t="shared" si="60"/>
        <v>4.9878917632199267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6.4</v>
      </c>
      <c r="BD91" s="12">
        <f>IF('Données projet'!$A$88&gt;35,BD90+BC91-BL90,IF(A91&lt;'Données projet'!$A$88,$BA$205^A91,IF(A91='Données projet'!$A$88,'Données projet'!$B$88,BD90+BC91-BL90)))</f>
        <v>317.2</v>
      </c>
      <c r="BE91" s="13">
        <f>BD91*VLOOKUP('Données projet'!$B$11,Paramètres!$A$1:$I$89,3,0)*VLOOKUP('Données projet'!$B$11,Paramètres!$A$1:$I$89,5,0)</f>
        <v>321.64080000000001</v>
      </c>
      <c r="BF91" s="13">
        <f t="shared" si="91"/>
        <v>75.694652325793228</v>
      </c>
      <c r="BG91" s="20">
        <f t="shared" si="61"/>
        <v>692.0259128007566</v>
      </c>
      <c r="BH91" s="59">
        <f t="shared" si="62"/>
        <v>985.35924613408997</v>
      </c>
      <c r="BI91" s="59">
        <f ca="1">AVERAGE(OFFSET($BH$3,0,0,'Données projet'!$E$11+1,1))-AVERAGE(OFFSET($H$3,0,0,'Données projet'!$E$11+1,1))</f>
        <v>449.84356201138451</v>
      </c>
      <c r="BJ91" s="59">
        <f t="shared" si="92"/>
        <v>306.61893266146666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2.5969322048729007</v>
      </c>
      <c r="BQ91" s="21">
        <f>EXP(-LN(2)/25)*BQ90+(1-EXP(-LN(2)/25))/(LN(2)/25)*Calculateur!BL91*Calculateur!BN91*VLOOKUP('Données projet'!$B$11,Paramètres!$A$1:$I$89,3,0)*0.475*44/12</f>
        <v>2.1018063948371122</v>
      </c>
      <c r="BR91" s="21">
        <f>EXP(-LN(2)/2)*BR90+(1-EXP(-LN(2)/2))/(LN(2)/2)*BL91*BO91*VLOOKUP('Données projet'!$B$11,Paramètres!$A$1:$I$89,3,0)*0.475*44/12</f>
        <v>1.7816011964341911E-8</v>
      </c>
      <c r="BS91" s="22">
        <f t="shared" si="63"/>
        <v>4.6987386175260246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370.12772664814923</v>
      </c>
      <c r="CE91" s="59">
        <f t="shared" si="94"/>
        <v>292.26503163353146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2.3712815373184886</v>
      </c>
      <c r="CL91" s="21">
        <f>EXP(-LN(2)/25)*CL90+(1-EXP(-LN(2)/25))/(LN(2)/25)*Calculateur!CG91*Calculateur!CI91*VLOOKUP('Données projet'!$B$12,Paramètres!$A$1:$I$89,3,0)*0.475*44/12</f>
        <v>1.3304225951480118</v>
      </c>
      <c r="CM91" s="21">
        <f>EXP(-LN(2)/2)*CM90+(1-EXP(-LN(2)/2))/(LN(2)/2)*CG91*CJ91*VLOOKUP('Données projet'!$B$12,Paramètres!$A$1:$I$89,3,0)*0.475*44/12</f>
        <v>1.4757427397511854E-8</v>
      </c>
      <c r="CN91" s="22">
        <f t="shared" si="66"/>
        <v>3.7017041472239276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319.22903094674564</v>
      </c>
      <c r="T92" s="59">
        <f t="shared" si="88"/>
        <v>254.58690973142848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348.32303999999993</v>
      </c>
      <c r="AK92" s="13">
        <f t="shared" si="89"/>
        <v>81.217111296415496</v>
      </c>
      <c r="AL92" s="20">
        <f t="shared" si="58"/>
        <v>748.11576350792348</v>
      </c>
      <c r="AM92" s="59">
        <f t="shared" si="59"/>
        <v>1041.4490968412567</v>
      </c>
      <c r="AN92" s="59">
        <f ca="1">AVERAGE(OFFSET($AM$3,0,0,'Données projet'!$E$10+1,1))-AVERAGE(OFFSET($H$3,0,0,'Données projet'!$E$10+1,1))</f>
        <v>475.01366239340246</v>
      </c>
      <c r="AO92" s="59">
        <f t="shared" si="90"/>
        <v>322.81767004794284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2.7026853605111225</v>
      </c>
      <c r="AV92" s="21">
        <f>EXP(-LN(2)/25)*AV91+(1-EXP(-LN(2)/25))/(LN(2)/25)*Calculateur!AQ92*Calculateur!AS92*VLOOKUP('Données projet'!$B$10,Paramètres!$A$1:$I$89,3,0)*0.475*44/12</f>
        <v>2.1701374584990081</v>
      </c>
      <c r="AW92" s="21">
        <f>EXP(-LN(2)/2)*AW91+(1-EXP(-LN(2)/2))/(LN(2)/2)*AQ92*AT92*VLOOKUP('Données projet'!$B$10,Paramètres!$A$1:$I$89,3,0)*0.475*44/12</f>
        <v>1.337307351206756E-8</v>
      </c>
      <c r="AX92" s="21">
        <f t="shared" si="60"/>
        <v>4.8728228323832035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6.4</v>
      </c>
      <c r="BD92" s="12">
        <f>IF('Données projet'!$A$88&gt;35,BD91+BC92-BL91,IF(A92&lt;'Données projet'!$A$88,$BA$205^A92,IF(A92='Données projet'!$A$88,'Données projet'!$B$88,BD91+BC92-BL91)))</f>
        <v>323.59999999999997</v>
      </c>
      <c r="BE92" s="13">
        <f>BD92*VLOOKUP('Données projet'!$B$11,Paramètres!$A$1:$I$89,3,0)*VLOOKUP('Données projet'!$B$11,Paramètres!$A$1:$I$89,5,0)</f>
        <v>328.13039999999995</v>
      </c>
      <c r="BF92" s="13">
        <f t="shared" si="91"/>
        <v>77.042563313388285</v>
      </c>
      <c r="BG92" s="20">
        <f t="shared" si="61"/>
        <v>705.67624443748446</v>
      </c>
      <c r="BH92" s="59">
        <f t="shared" si="62"/>
        <v>999.00957777081771</v>
      </c>
      <c r="BI92" s="59">
        <f ca="1">AVERAGE(OFFSET($BH$3,0,0,'Données projet'!$E$11+1,1))-AVERAGE(OFFSET($H$3,0,0,'Données projet'!$E$11+1,1))</f>
        <v>449.84356201138451</v>
      </c>
      <c r="BJ92" s="59">
        <f t="shared" si="92"/>
        <v>306.61893266146666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2.5460079483075839</v>
      </c>
      <c r="BQ92" s="21">
        <f>EXP(-LN(2)/25)*BQ91+(1-EXP(-LN(2)/25))/(LN(2)/25)*Calculateur!BL92*Calculateur!BN92*VLOOKUP('Données projet'!$B$11,Paramètres!$A$1:$I$89,3,0)*0.475*44/12</f>
        <v>2.0443323884410969</v>
      </c>
      <c r="BR92" s="21">
        <f>EXP(-LN(2)/2)*BR91+(1-EXP(-LN(2)/2))/(LN(2)/2)*BL92*BO92*VLOOKUP('Données projet'!$B$11,Paramètres!$A$1:$I$89,3,0)*0.475*44/12</f>
        <v>1.2597822873686828E-8</v>
      </c>
      <c r="BS92" s="22">
        <f t="shared" si="63"/>
        <v>4.590340349346504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370.12772664814923</v>
      </c>
      <c r="CE92" s="59">
        <f t="shared" si="94"/>
        <v>292.26503163353146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2.3247821527105965</v>
      </c>
      <c r="CL92" s="21">
        <f>EXP(-LN(2)/25)*CL91+(1-EXP(-LN(2)/25))/(LN(2)/25)*Calculateur!CG92*Calculateur!CI92*VLOOKUP('Données projet'!$B$12,Paramètres!$A$1:$I$89,3,0)*0.475*44/12</f>
        <v>1.2940421193198057</v>
      </c>
      <c r="CM92" s="21">
        <f>EXP(-LN(2)/2)*CM91+(1-EXP(-LN(2)/2))/(LN(2)/2)*CG92*CJ92*VLOOKUP('Données projet'!$B$12,Paramètres!$A$1:$I$89,3,0)*0.475*44/12</f>
        <v>1.0435076985648777E-8</v>
      </c>
      <c r="CN92" s="22">
        <f t="shared" si="66"/>
        <v>3.618824282465479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319.22903094674564</v>
      </c>
      <c r="T93" s="59">
        <f t="shared" si="88"/>
        <v>254.58690973142848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355.21199999999993</v>
      </c>
      <c r="AK93" s="13">
        <f t="shared" si="89"/>
        <v>82.634791155027401</v>
      </c>
      <c r="AL93" s="20">
        <f t="shared" si="58"/>
        <v>762.58316126167256</v>
      </c>
      <c r="AM93" s="59">
        <f t="shared" si="59"/>
        <v>1055.9164945950058</v>
      </c>
      <c r="AN93" s="59">
        <f ca="1">AVERAGE(OFFSET($AM$3,0,0,'Données projet'!$E$10+1,1))-AVERAGE(OFFSET($H$3,0,0,'Données projet'!$E$10+1,1))</f>
        <v>475.01366239340246</v>
      </c>
      <c r="AO93" s="59">
        <f t="shared" si="90"/>
        <v>322.81767004794284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2.649687349066796</v>
      </c>
      <c r="AV93" s="21">
        <f>EXP(-LN(2)/25)*AV92+(1-EXP(-LN(2)/25))/(LN(2)/25)*Calculateur!AQ93*Calculateur!AS93*VLOOKUP('Données projet'!$B$10,Paramètres!$A$1:$I$89,3,0)*0.475*44/12</f>
        <v>2.1107949355737836</v>
      </c>
      <c r="AW93" s="21">
        <f>EXP(-LN(2)/2)*AW92+(1-EXP(-LN(2)/2))/(LN(2)/2)*AQ93*AT93*VLOOKUP('Données projet'!$B$10,Paramètres!$A$1:$I$89,3,0)*0.475*44/12</f>
        <v>9.4561909656891703E-9</v>
      </c>
      <c r="AX93" s="21">
        <f t="shared" si="60"/>
        <v>4.7604822940967706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330</v>
      </c>
      <c r="BB93" s="12">
        <f>VLOOKUP(A93,'Données projet'!$A$87:$I$107,9,0)</f>
        <v>6.4</v>
      </c>
      <c r="BC93" s="12">
        <f t="array" ref="BC93">INDEX(BB:BB,MIN(IF(ISNUMBER(BB93:BB289),ROW(BB93:BB289),"")))</f>
        <v>6.4</v>
      </c>
      <c r="BD93" s="12">
        <f>IF('Données projet'!$A$88&gt;35,BD92+BC93-BL92,IF(A93&lt;'Données projet'!$A$88,$BA$205^A93,IF(A93='Données projet'!$A$88,'Données projet'!$B$88,BD92+BC93-BL92)))</f>
        <v>329.99999999999994</v>
      </c>
      <c r="BE93" s="13">
        <f>BD93*VLOOKUP('Données projet'!$B$11,Paramètres!$A$1:$I$89,3,0)*VLOOKUP('Données projet'!$B$11,Paramètres!$A$1:$I$89,5,0)</f>
        <v>334.61999999999995</v>
      </c>
      <c r="BF93" s="13">
        <f t="shared" si="91"/>
        <v>78.387374628661505</v>
      </c>
      <c r="BG93" s="20">
        <f t="shared" si="61"/>
        <v>719.32117747825203</v>
      </c>
      <c r="BH93" s="59">
        <f t="shared" si="62"/>
        <v>1012.6545108115854</v>
      </c>
      <c r="BI93" s="59">
        <f ca="1">AVERAGE(OFFSET($BH$3,0,0,'Données projet'!$E$11+1,1))-AVERAGE(OFFSET($H$3,0,0,'Données projet'!$E$11+1,1))</f>
        <v>449.84356201138451</v>
      </c>
      <c r="BJ93" s="59">
        <f t="shared" si="92"/>
        <v>306.61893266146666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2.4960822853527835</v>
      </c>
      <c r="BQ93" s="21">
        <f>EXP(-LN(2)/25)*BQ92+(1-EXP(-LN(2)/25))/(LN(2)/25)*Calculateur!BL93*Calculateur!BN93*VLOOKUP('Données projet'!$B$11,Paramètres!$A$1:$I$89,3,0)*0.475*44/12</f>
        <v>1.9884300117724072</v>
      </c>
      <c r="BR93" s="21">
        <f>EXP(-LN(2)/2)*BR92+(1-EXP(-LN(2)/2))/(LN(2)/2)*BL93*BO93*VLOOKUP('Données projet'!$B$11,Paramètres!$A$1:$I$89,3,0)*0.475*44/12</f>
        <v>8.9080059821709554E-9</v>
      </c>
      <c r="BS93" s="22">
        <f t="shared" si="63"/>
        <v>4.4845123060331966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370.12772664814923</v>
      </c>
      <c r="CE93" s="59">
        <f t="shared" si="94"/>
        <v>292.26503163353146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2.2791945926730413</v>
      </c>
      <c r="CL93" s="21">
        <f>EXP(-LN(2)/25)*CL92+(1-EXP(-LN(2)/25))/(LN(2)/25)*Calculateur!CG93*Calculateur!CI93*VLOOKUP('Données projet'!$B$12,Paramètres!$A$1:$I$89,3,0)*0.475*44/12</f>
        <v>1.2586564695162881</v>
      </c>
      <c r="CM93" s="21">
        <f>EXP(-LN(2)/2)*CM92+(1-EXP(-LN(2)/2))/(LN(2)/2)*CG93*CJ93*VLOOKUP('Données projet'!$B$12,Paramètres!$A$1:$I$89,3,0)*0.475*44/12</f>
        <v>7.3787136987559286E-9</v>
      </c>
      <c r="CN93" s="22">
        <f t="shared" si="66"/>
        <v>3.5378510695680427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319.22903094674564</v>
      </c>
      <c r="T94" s="59">
        <f t="shared" si="88"/>
        <v>254.58690973142848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331.74647999999991</v>
      </c>
      <c r="AK94" s="13">
        <f t="shared" si="89"/>
        <v>77.792285724165268</v>
      </c>
      <c r="AL94" s="20">
        <f t="shared" si="58"/>
        <v>713.28001696958756</v>
      </c>
      <c r="AM94" s="59">
        <f t="shared" si="59"/>
        <v>1006.6133503029209</v>
      </c>
      <c r="AN94" s="59">
        <f ca="1">AVERAGE(OFFSET($AM$3,0,0,'Données projet'!$E$10+1,1))-AVERAGE(OFFSET($H$3,0,0,'Données projet'!$E$10+1,1))</f>
        <v>475.01366239340246</v>
      </c>
      <c r="AO94" s="59">
        <f t="shared" si="90"/>
        <v>322.81767004794284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2.5977285963012977</v>
      </c>
      <c r="AV94" s="21">
        <f>EXP(-LN(2)/25)*AV93+(1-EXP(-LN(2)/25))/(LN(2)/25)*Calculateur!AQ94*Calculateur!AS94*VLOOKUP('Données projet'!$B$10,Paramètres!$A$1:$I$89,3,0)*0.475*44/12</f>
        <v>2.0530751370586371</v>
      </c>
      <c r="AW94" s="21">
        <f>EXP(-LN(2)/2)*AW93+(1-EXP(-LN(2)/2))/(LN(2)/2)*AQ94*AT94*VLOOKUP('Données projet'!$B$10,Paramètres!$A$1:$I$89,3,0)*0.475*44/12</f>
        <v>6.6865367560337798E-9</v>
      </c>
      <c r="AX94" s="21">
        <f t="shared" si="60"/>
        <v>4.650803740046471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6.2</v>
      </c>
      <c r="BD94" s="12">
        <f>IF('Données projet'!$A$88&gt;35,BD93+BC94-BL93,IF(A94&lt;'Données projet'!$A$88,$BA$205^A94,IF(A94='Données projet'!$A$88,'Données projet'!$B$88,BD93+BC94-BL93)))</f>
        <v>308.19999999999993</v>
      </c>
      <c r="BE94" s="13">
        <f>BD94*VLOOKUP('Données projet'!$B$11,Paramètres!$A$1:$I$89,3,0)*VLOOKUP('Données projet'!$B$11,Paramètres!$A$1:$I$89,5,0)</f>
        <v>312.51479999999992</v>
      </c>
      <c r="BF94" s="13">
        <f t="shared" si="91"/>
        <v>73.793773289024969</v>
      </c>
      <c r="BG94" s="20">
        <f t="shared" si="61"/>
        <v>672.82076514505172</v>
      </c>
      <c r="BH94" s="59">
        <f t="shared" si="62"/>
        <v>966.15409847838509</v>
      </c>
      <c r="BI94" s="59">
        <f ca="1">AVERAGE(OFFSET($BH$3,0,0,'Données projet'!$E$11+1,1))-AVERAGE(OFFSET($H$3,0,0,'Données projet'!$E$11+1,1))</f>
        <v>449.84356201138451</v>
      </c>
      <c r="BJ94" s="59">
        <f t="shared" si="92"/>
        <v>306.61893266146666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2.4471356341968793</v>
      </c>
      <c r="BQ94" s="21">
        <f>EXP(-LN(2)/25)*BQ93+(1-EXP(-LN(2)/25))/(LN(2)/25)*Calculateur!BL94*Calculateur!BN94*VLOOKUP('Données projet'!$B$11,Paramètres!$A$1:$I$89,3,0)*0.475*44/12</f>
        <v>1.9340562885335011</v>
      </c>
      <c r="BR94" s="21">
        <f>EXP(-LN(2)/2)*BR93+(1-EXP(-LN(2)/2))/(LN(2)/2)*BL94*BO94*VLOOKUP('Données projet'!$B$11,Paramètres!$A$1:$I$89,3,0)*0.475*44/12</f>
        <v>6.2989114368434142E-9</v>
      </c>
      <c r="BS94" s="22">
        <f t="shared" si="63"/>
        <v>4.381191929029292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370.12772664814923</v>
      </c>
      <c r="CE94" s="59">
        <f t="shared" si="94"/>
        <v>292.26503163353146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2.2345009768821562</v>
      </c>
      <c r="CL94" s="21">
        <f>EXP(-LN(2)/25)*CL93+(1-EXP(-LN(2)/25))/(LN(2)/25)*Calculateur!CG94*Calculateur!CI94*VLOOKUP('Données projet'!$B$12,Paramètres!$A$1:$I$89,3,0)*0.475*44/12</f>
        <v>1.2242384421674981</v>
      </c>
      <c r="CM94" s="21">
        <f>EXP(-LN(2)/2)*CM93+(1-EXP(-LN(2)/2))/(LN(2)/2)*CG94*CJ94*VLOOKUP('Données projet'!$B$12,Paramètres!$A$1:$I$89,3,0)*0.475*44/12</f>
        <v>5.2175384928243894E-9</v>
      </c>
      <c r="CN94" s="22">
        <f t="shared" si="66"/>
        <v>3.4587394242671925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319.22903094674564</v>
      </c>
      <c r="T95" s="59">
        <f t="shared" si="88"/>
        <v>254.58690973142848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338.4201599999999</v>
      </c>
      <c r="AK95" s="13">
        <f t="shared" si="89"/>
        <v>79.173453052111782</v>
      </c>
      <c r="AL95" s="20">
        <f t="shared" si="58"/>
        <v>727.30887606576107</v>
      </c>
      <c r="AM95" s="59">
        <f t="shared" si="59"/>
        <v>1020.6422093990943</v>
      </c>
      <c r="AN95" s="59">
        <f ca="1">AVERAGE(OFFSET($AM$3,0,0,'Données projet'!$E$10+1,1))-AVERAGE(OFFSET($H$3,0,0,'Données projet'!$E$10+1,1))</f>
        <v>475.01366239340246</v>
      </c>
      <c r="AO95" s="59">
        <f t="shared" si="90"/>
        <v>322.81767004794284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2.5467887229858208</v>
      </c>
      <c r="AV95" s="21">
        <f>EXP(-LN(2)/25)*AV94+(1-EXP(-LN(2)/25))/(LN(2)/25)*Calculateur!AQ95*Calculateur!AS95*VLOOKUP('Données projet'!$B$10,Paramètres!$A$1:$I$89,3,0)*0.475*44/12</f>
        <v>1.9969336894692395</v>
      </c>
      <c r="AW95" s="21">
        <f>EXP(-LN(2)/2)*AW94+(1-EXP(-LN(2)/2))/(LN(2)/2)*AQ95*AT95*VLOOKUP('Données projet'!$B$10,Paramètres!$A$1:$I$89,3,0)*0.475*44/12</f>
        <v>4.7280954828445852E-9</v>
      </c>
      <c r="AX95" s="21">
        <f t="shared" si="60"/>
        <v>4.5437224171831554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6.2</v>
      </c>
      <c r="BD95" s="12">
        <f>IF('Données projet'!$A$88&gt;35,BD94+BC95-BL94,IF(A95&lt;'Données projet'!$A$88,$BA$205^A95,IF(A95='Données projet'!$A$88,'Données projet'!$B$88,BD94+BC95-BL94)))</f>
        <v>314.39999999999992</v>
      </c>
      <c r="BE95" s="13">
        <f>BD95*VLOOKUP('Données projet'!$B$11,Paramètres!$A$1:$I$89,3,0)*VLOOKUP('Données projet'!$B$11,Paramètres!$A$1:$I$89,5,0)</f>
        <v>318.80159999999995</v>
      </c>
      <c r="BF95" s="13">
        <f t="shared" si="91"/>
        <v>75.103948812522063</v>
      </c>
      <c r="BG95" s="20">
        <f t="shared" si="61"/>
        <v>686.05216418180908</v>
      </c>
      <c r="BH95" s="59">
        <f t="shared" si="62"/>
        <v>979.38549751514233</v>
      </c>
      <c r="BI95" s="59">
        <f ca="1">AVERAGE(OFFSET($BH$3,0,0,'Données projet'!$E$11+1,1))-AVERAGE(OFFSET($H$3,0,0,'Données projet'!$E$11+1,1))</f>
        <v>449.84356201138451</v>
      </c>
      <c r="BJ95" s="59">
        <f t="shared" si="92"/>
        <v>306.61893266146666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2.3991487970156329</v>
      </c>
      <c r="BQ95" s="21">
        <f>EXP(-LN(2)/25)*BQ94+(1-EXP(-LN(2)/25))/(LN(2)/25)*Calculateur!BL95*Calculateur!BN95*VLOOKUP('Données projet'!$B$11,Paramètres!$A$1:$I$89,3,0)*0.475*44/12</f>
        <v>1.8811694176159526</v>
      </c>
      <c r="BR95" s="21">
        <f>EXP(-LN(2)/2)*BR94+(1-EXP(-LN(2)/2))/(LN(2)/2)*BL95*BO95*VLOOKUP('Données projet'!$B$11,Paramètres!$A$1:$I$89,3,0)*0.475*44/12</f>
        <v>4.4540029910854777E-9</v>
      </c>
      <c r="BS95" s="22">
        <f t="shared" si="63"/>
        <v>4.2803182190855891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370.12772664814923</v>
      </c>
      <c r="CE95" s="59">
        <f t="shared" si="94"/>
        <v>292.26503163353146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2.1906837756365167</v>
      </c>
      <c r="CL95" s="21">
        <f>EXP(-LN(2)/25)*CL94+(1-EXP(-LN(2)/25))/(LN(2)/25)*Calculateur!CG95*Calculateur!CI95*VLOOKUP('Données projet'!$B$12,Paramètres!$A$1:$I$89,3,0)*0.475*44/12</f>
        <v>1.1907615775865263</v>
      </c>
      <c r="CM95" s="21">
        <f>EXP(-LN(2)/2)*CM94+(1-EXP(-LN(2)/2))/(LN(2)/2)*CG95*CJ95*VLOOKUP('Données projet'!$B$12,Paramètres!$A$1:$I$89,3,0)*0.475*44/12</f>
        <v>3.6893568493779647E-9</v>
      </c>
      <c r="CN95" s="22">
        <f t="shared" si="66"/>
        <v>3.3814453569123999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319.22903094674564</v>
      </c>
      <c r="T96" s="59">
        <f t="shared" si="88"/>
        <v>254.58690973142848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345.09383999999989</v>
      </c>
      <c r="AK96" s="13">
        <f t="shared" si="89"/>
        <v>80.551453440052555</v>
      </c>
      <c r="AL96" s="20">
        <f t="shared" si="58"/>
        <v>741.33221940809119</v>
      </c>
      <c r="AM96" s="59">
        <f t="shared" si="59"/>
        <v>1034.6655527414246</v>
      </c>
      <c r="AN96" s="59">
        <f ca="1">AVERAGE(OFFSET($AM$3,0,0,'Données projet'!$E$10+1,1))-AVERAGE(OFFSET($H$3,0,0,'Données projet'!$E$10+1,1))</f>
        <v>475.01366239340246</v>
      </c>
      <c r="AO96" s="59">
        <f t="shared" si="90"/>
        <v>322.81767004794284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2.4968477495158057</v>
      </c>
      <c r="AV96" s="21">
        <f>EXP(-LN(2)/25)*AV95+(1-EXP(-LN(2)/25))/(LN(2)/25)*Calculateur!AQ96*Calculateur!AS96*VLOOKUP('Données projet'!$B$10,Paramètres!$A$1:$I$89,3,0)*0.475*44/12</f>
        <v>1.9423274327165245</v>
      </c>
      <c r="AW96" s="21">
        <f>EXP(-LN(2)/2)*AW95+(1-EXP(-LN(2)/2))/(LN(2)/2)*AQ96*AT96*VLOOKUP('Données projet'!$B$10,Paramètres!$A$1:$I$89,3,0)*0.475*44/12</f>
        <v>3.3432683780168899E-9</v>
      </c>
      <c r="AX96" s="21">
        <f t="shared" si="60"/>
        <v>4.439175185575599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6.2</v>
      </c>
      <c r="BD96" s="12">
        <f>IF('Données projet'!$A$88&gt;35,BD95+BC96-BL95,IF(A96&lt;'Données projet'!$A$88,$BA$205^A96,IF(A96='Données projet'!$A$88,'Données projet'!$B$88,BD95+BC96-BL95)))</f>
        <v>320.59999999999991</v>
      </c>
      <c r="BE96" s="13">
        <f>BD96*VLOOKUP('Données projet'!$B$11,Paramètres!$A$1:$I$89,3,0)*VLOOKUP('Données projet'!$B$11,Paramètres!$A$1:$I$89,5,0)</f>
        <v>325.08839999999992</v>
      </c>
      <c r="BF96" s="13">
        <f t="shared" si="91"/>
        <v>76.411120176279823</v>
      </c>
      <c r="BG96" s="20">
        <f t="shared" si="61"/>
        <v>699.27833097368728</v>
      </c>
      <c r="BH96" s="59">
        <f t="shared" si="62"/>
        <v>992.61166430702065</v>
      </c>
      <c r="BI96" s="59">
        <f ca="1">AVERAGE(OFFSET($BH$3,0,0,'Données projet'!$E$11+1,1))-AVERAGE(OFFSET($H$3,0,0,'Données projet'!$E$11+1,1))</f>
        <v>449.84356201138451</v>
      </c>
      <c r="BJ96" s="59">
        <f t="shared" si="92"/>
        <v>306.61893266146666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2.3521029524424302</v>
      </c>
      <c r="BQ96" s="21">
        <f>EXP(-LN(2)/25)*BQ95+(1-EXP(-LN(2)/25))/(LN(2)/25)*Calculateur!BL96*Calculateur!BN96*VLOOKUP('Données projet'!$B$11,Paramètres!$A$1:$I$89,3,0)*0.475*44/12</f>
        <v>1.8297287409648442</v>
      </c>
      <c r="BR96" s="21">
        <f>EXP(-LN(2)/2)*BR95+(1-EXP(-LN(2)/2))/(LN(2)/2)*BL96*BO96*VLOOKUP('Données projet'!$B$11,Paramètres!$A$1:$I$89,3,0)*0.475*44/12</f>
        <v>3.1494557184217071E-9</v>
      </c>
      <c r="BS96" s="22">
        <f t="shared" si="63"/>
        <v>4.1818316965567304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370.12772664814923</v>
      </c>
      <c r="CE96" s="59">
        <f t="shared" si="94"/>
        <v>292.26503163353146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2.1477258029814505</v>
      </c>
      <c r="CL96" s="21">
        <f>EXP(-LN(2)/25)*CL95+(1-EXP(-LN(2)/25))/(LN(2)/25)*Calculateur!CG96*Calculateur!CI96*VLOOKUP('Données projet'!$B$12,Paramètres!$A$1:$I$89,3,0)*0.475*44/12</f>
        <v>1.1582001396279928</v>
      </c>
      <c r="CM96" s="21">
        <f>EXP(-LN(2)/2)*CM95+(1-EXP(-LN(2)/2))/(LN(2)/2)*CG96*CJ96*VLOOKUP('Données projet'!$B$12,Paramètres!$A$1:$I$89,3,0)*0.475*44/12</f>
        <v>2.6087692464121951E-9</v>
      </c>
      <c r="CN96" s="22">
        <f t="shared" si="66"/>
        <v>3.3059259452182124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319.22903094674564</v>
      </c>
      <c r="T97" s="59">
        <f t="shared" si="88"/>
        <v>254.58690973142848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351.76751999999988</v>
      </c>
      <c r="AK97" s="13">
        <f t="shared" si="89"/>
        <v>81.926355193183625</v>
      </c>
      <c r="AL97" s="20">
        <f t="shared" si="58"/>
        <v>755.35016596146124</v>
      </c>
      <c r="AM97" s="59">
        <f t="shared" si="59"/>
        <v>1048.6834992947945</v>
      </c>
      <c r="AN97" s="59">
        <f ca="1">AVERAGE(OFFSET($AM$3,0,0,'Données projet'!$E$10+1,1))-AVERAGE(OFFSET($H$3,0,0,'Données projet'!$E$10+1,1))</f>
        <v>475.01366239340246</v>
      </c>
      <c r="AO97" s="59">
        <f t="shared" si="90"/>
        <v>322.81767004794284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2.4478860880745512</v>
      </c>
      <c r="AV97" s="21">
        <f>EXP(-LN(2)/25)*AV96+(1-EXP(-LN(2)/25))/(LN(2)/25)*Calculateur!AQ97*Calculateur!AS97*VLOOKUP('Données projet'!$B$10,Paramètres!$A$1:$I$89,3,0)*0.475*44/12</f>
        <v>1.8892143869263307</v>
      </c>
      <c r="AW97" s="21">
        <f>EXP(-LN(2)/2)*AW96+(1-EXP(-LN(2)/2))/(LN(2)/2)*AQ97*AT97*VLOOKUP('Données projet'!$B$10,Paramètres!$A$1:$I$89,3,0)*0.475*44/12</f>
        <v>2.3640477414222926E-9</v>
      </c>
      <c r="AX97" s="21">
        <f t="shared" si="60"/>
        <v>4.3371004773649293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6.2</v>
      </c>
      <c r="BD97" s="12">
        <f>IF('Données projet'!$A$88&gt;35,BD96+BC97-BL96,IF(A97&lt;'Données projet'!$A$88,$BA$205^A97,IF(A97='Données projet'!$A$88,'Données projet'!$B$88,BD96+BC97-BL96)))</f>
        <v>326.7999999999999</v>
      </c>
      <c r="BE97" s="13">
        <f>BD97*VLOOKUP('Données projet'!$B$11,Paramètres!$A$1:$I$89,3,0)*VLOOKUP('Données projet'!$B$11,Paramètres!$A$1:$I$89,5,0)</f>
        <v>331.37519999999989</v>
      </c>
      <c r="BF97" s="13">
        <f t="shared" si="91"/>
        <v>77.715352174616896</v>
      </c>
      <c r="BG97" s="20">
        <f t="shared" si="61"/>
        <v>712.49937837079085</v>
      </c>
      <c r="BH97" s="59">
        <f t="shared" si="62"/>
        <v>1005.8327117041242</v>
      </c>
      <c r="BI97" s="59">
        <f ca="1">AVERAGE(OFFSET($BH$3,0,0,'Données projet'!$E$11+1,1))-AVERAGE(OFFSET($H$3,0,0,'Données projet'!$E$11+1,1))</f>
        <v>449.84356201138451</v>
      </c>
      <c r="BJ97" s="59">
        <f t="shared" si="92"/>
        <v>306.61893266146666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2.3059796481861761</v>
      </c>
      <c r="BQ97" s="21">
        <f>EXP(-LN(2)/25)*BQ96+(1-EXP(-LN(2)/25))/(LN(2)/25)*Calculateur!BL97*Calculateur!BN97*VLOOKUP('Données projet'!$B$11,Paramètres!$A$1:$I$89,3,0)*0.475*44/12</f>
        <v>1.779694712321908</v>
      </c>
      <c r="BR97" s="21">
        <f>EXP(-LN(2)/2)*BR96+(1-EXP(-LN(2)/2))/(LN(2)/2)*BL97*BO97*VLOOKUP('Données projet'!$B$11,Paramètres!$A$1:$I$89,3,0)*0.475*44/12</f>
        <v>2.2270014955427388E-9</v>
      </c>
      <c r="BS97" s="22">
        <f t="shared" si="63"/>
        <v>4.0856743627350856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370.12772664814923</v>
      </c>
      <c r="CE97" s="59">
        <f t="shared" si="94"/>
        <v>292.26503163353146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2.1056102099683742</v>
      </c>
      <c r="CL97" s="21">
        <f>EXP(-LN(2)/25)*CL96+(1-EXP(-LN(2)/25))/(LN(2)/25)*Calculateur!CG97*Calculateur!CI97*VLOOKUP('Données projet'!$B$12,Paramètres!$A$1:$I$89,3,0)*0.475*44/12</f>
        <v>1.1265290959027672</v>
      </c>
      <c r="CM97" s="21">
        <f>EXP(-LN(2)/2)*CM96+(1-EXP(-LN(2)/2))/(LN(2)/2)*CG97*CJ97*VLOOKUP('Données projet'!$B$12,Paramètres!$A$1:$I$89,3,0)*0.475*44/12</f>
        <v>1.8446784246889826E-9</v>
      </c>
      <c r="CN97" s="22">
        <f t="shared" si="66"/>
        <v>3.23213930771582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319.22903094674564</v>
      </c>
      <c r="T98" s="59">
        <f t="shared" si="88"/>
        <v>254.58690973142848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358.44119999999987</v>
      </c>
      <c r="AK98" s="13">
        <f t="shared" si="89"/>
        <v>83.298223876643164</v>
      </c>
      <c r="AL98" s="20">
        <f t="shared" si="58"/>
        <v>769.36282991848657</v>
      </c>
      <c r="AM98" s="59">
        <f t="shared" si="59"/>
        <v>1062.6961632518198</v>
      </c>
      <c r="AN98" s="59">
        <f ca="1">AVERAGE(OFFSET($AM$3,0,0,'Données projet'!$E$10+1,1))-AVERAGE(OFFSET($H$3,0,0,'Données projet'!$E$10+1,1))</f>
        <v>475.01366239340246</v>
      </c>
      <c r="AO98" s="59">
        <f t="shared" si="90"/>
        <v>322.81767004794284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2.3998845349504951</v>
      </c>
      <c r="AV98" s="21">
        <f>EXP(-LN(2)/25)*AV97+(1-EXP(-LN(2)/25))/(LN(2)/25)*Calculateur!AQ98*Calculateur!AS98*VLOOKUP('Données projet'!$B$10,Paramètres!$A$1:$I$89,3,0)*0.475*44/12</f>
        <v>1.8375537201663634</v>
      </c>
      <c r="AW98" s="21">
        <f>EXP(-LN(2)/2)*AW97+(1-EXP(-LN(2)/2))/(LN(2)/2)*AQ98*AT98*VLOOKUP('Données projet'!$B$10,Paramètres!$A$1:$I$89,3,0)*0.475*44/12</f>
        <v>1.6716341890084449E-9</v>
      </c>
      <c r="AX98" s="21">
        <f t="shared" si="60"/>
        <v>4.2374382567884927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333</v>
      </c>
      <c r="BB98" s="12">
        <f>VLOOKUP(A98,'Données projet'!$A$87:$I$107,9,0)</f>
        <v>6.2</v>
      </c>
      <c r="BC98" s="12">
        <f t="array" ref="BC98">INDEX(BB:BB,MIN(IF(ISNUMBER(BB98:BB294),ROW(BB98:BB294),"")))</f>
        <v>6.2</v>
      </c>
      <c r="BD98" s="12">
        <f>IF('Données projet'!$A$88&gt;35,BD97+BC98-BL97,IF(A98&lt;'Données projet'!$A$88,$BA$205^A98,IF(A98='Données projet'!$A$88,'Données projet'!$B$88,BD97+BC98-BL97)))</f>
        <v>332.99999999999989</v>
      </c>
      <c r="BE98" s="13">
        <f>BD98*VLOOKUP('Données projet'!$B$11,Paramètres!$A$1:$I$89,3,0)*VLOOKUP('Données projet'!$B$11,Paramètres!$A$1:$I$89,5,0)</f>
        <v>337.66199999999992</v>
      </c>
      <c r="BF98" s="13">
        <f t="shared" si="91"/>
        <v>79.016707002632685</v>
      </c>
      <c r="BG98" s="20">
        <f t="shared" si="61"/>
        <v>725.71541469625174</v>
      </c>
      <c r="BH98" s="59">
        <f t="shared" si="62"/>
        <v>1019.0487480295851</v>
      </c>
      <c r="BI98" s="59">
        <f ca="1">AVERAGE(OFFSET($BH$3,0,0,'Données projet'!$E$11+1,1))-AVERAGE(OFFSET($H$3,0,0,'Données projet'!$E$11+1,1))</f>
        <v>449.84356201138451</v>
      </c>
      <c r="BJ98" s="59">
        <f t="shared" si="92"/>
        <v>306.61893266146666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28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2.2607607937939496</v>
      </c>
      <c r="BQ98" s="21">
        <f>EXP(-LN(2)/25)*BQ97+(1-EXP(-LN(2)/25))/(LN(2)/25)*Calculateur!BL98*Calculateur!BN98*VLOOKUP('Données projet'!$B$11,Paramètres!$A$1:$I$89,3,0)*0.475*44/12</f>
        <v>1.731028866823388</v>
      </c>
      <c r="BR98" s="21">
        <f>EXP(-LN(2)/2)*BR97+(1-EXP(-LN(2)/2))/(LN(2)/2)*BL98*BO98*VLOOKUP('Données projet'!$B$11,Paramètres!$A$1:$I$89,3,0)*0.475*44/12</f>
        <v>1.5747278592108535E-9</v>
      </c>
      <c r="BS98" s="22">
        <f t="shared" si="63"/>
        <v>3.9917896621920654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370.12772664814923</v>
      </c>
      <c r="CE98" s="59">
        <f t="shared" si="94"/>
        <v>292.26503163353146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2.0643204780463087</v>
      </c>
      <c r="CL98" s="21">
        <f>EXP(-LN(2)/25)*CL97+(1-EXP(-LN(2)/25))/(LN(2)/25)*Calculateur!CG98*Calculateur!CI98*VLOOKUP('Données projet'!$B$12,Paramètres!$A$1:$I$89,3,0)*0.475*44/12</f>
        <v>1.0957240985337156</v>
      </c>
      <c r="CM98" s="21">
        <f>EXP(-LN(2)/2)*CM97+(1-EXP(-LN(2)/2))/(LN(2)/2)*CG98*CJ98*VLOOKUP('Données projet'!$B$12,Paramètres!$A$1:$I$89,3,0)*0.475*44/12</f>
        <v>1.3043846232060978E-9</v>
      </c>
      <c r="CN98" s="22">
        <f t="shared" si="66"/>
        <v>3.1600445778844088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319.22903094674564</v>
      </c>
      <c r="T99" s="59">
        <f t="shared" si="88"/>
        <v>254.58690973142848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334.32983999999988</v>
      </c>
      <c r="AK99" s="13">
        <f t="shared" si="89"/>
        <v>78.327311299804165</v>
      </c>
      <c r="AL99" s="20">
        <f t="shared" si="58"/>
        <v>718.71120518049202</v>
      </c>
      <c r="AM99" s="59">
        <f t="shared" si="59"/>
        <v>1012.0445385138253</v>
      </c>
      <c r="AN99" s="59">
        <f ca="1">AVERAGE(OFFSET($AM$3,0,0,'Données projet'!$E$10+1,1))-AVERAGE(OFFSET($H$3,0,0,'Données projet'!$E$10+1,1))</f>
        <v>475.01366239340246</v>
      </c>
      <c r="AO99" s="59">
        <f t="shared" si="90"/>
        <v>322.81767004794284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2.3528242630051457</v>
      </c>
      <c r="AV99" s="21">
        <f>EXP(-LN(2)/25)*AV98+(1-EXP(-LN(2)/25))/(LN(2)/25)*Calculateur!AQ99*Calculateur!AS99*VLOOKUP('Données projet'!$B$10,Paramètres!$A$1:$I$89,3,0)*0.475*44/12</f>
        <v>1.7873057170556639</v>
      </c>
      <c r="AW99" s="21">
        <f>EXP(-LN(2)/2)*AW98+(1-EXP(-LN(2)/2))/(LN(2)/2)*AQ99*AT99*VLOOKUP('Données projet'!$B$10,Paramètres!$A$1:$I$89,3,0)*0.475*44/12</f>
        <v>1.1820238707111463E-9</v>
      </c>
      <c r="AX99" s="21">
        <f t="shared" si="60"/>
        <v>4.1401299812428336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5.6</v>
      </c>
      <c r="BD99" s="12">
        <f>IF('Données projet'!$A$88&gt;35,BD98+BC99-BL98,IF(A99&lt;'Données projet'!$A$88,$BA$205^A99,IF(A99='Données projet'!$A$88,'Données projet'!$B$88,BD98+BC99-BL98)))</f>
        <v>310.59999999999991</v>
      </c>
      <c r="BE99" s="13">
        <f>BD99*VLOOKUP('Données projet'!$B$11,Paramètres!$A$1:$I$89,3,0)*VLOOKUP('Données projet'!$B$11,Paramètres!$A$1:$I$89,5,0)</f>
        <v>314.94839999999994</v>
      </c>
      <c r="BF99" s="13">
        <f t="shared" si="91"/>
        <v>74.301298626081149</v>
      </c>
      <c r="BG99" s="20">
        <f t="shared" si="61"/>
        <v>677.94322510709128</v>
      </c>
      <c r="BH99" s="59">
        <f t="shared" si="62"/>
        <v>971.27655844042465</v>
      </c>
      <c r="BI99" s="59">
        <f ca="1">AVERAGE(OFFSET($BH$3,0,0,'Données projet'!$E$11+1,1))-AVERAGE(OFFSET($H$3,0,0,'Données projet'!$E$11+1,1))</f>
        <v>449.84356201138451</v>
      </c>
      <c r="BJ99" s="59">
        <f t="shared" si="92"/>
        <v>306.61893266146666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2.2164286535555764</v>
      </c>
      <c r="BQ99" s="21">
        <f>EXP(-LN(2)/25)*BQ98+(1-EXP(-LN(2)/25))/(LN(2)/25)*Calculateur!BL99*Calculateur!BN99*VLOOKUP('Données projet'!$B$11,Paramètres!$A$1:$I$89,3,0)*0.475*44/12</f>
        <v>1.6836937914292507</v>
      </c>
      <c r="BR99" s="21">
        <f>EXP(-LN(2)/2)*BR98+(1-EXP(-LN(2)/2))/(LN(2)/2)*BL99*BO99*VLOOKUP('Données projet'!$B$11,Paramètres!$A$1:$I$89,3,0)*0.475*44/12</f>
        <v>1.1135007477713694E-9</v>
      </c>
      <c r="BS99" s="22">
        <f t="shared" si="63"/>
        <v>3.9001224460983281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370.12772664814923</v>
      </c>
      <c r="CE99" s="59">
        <f t="shared" si="94"/>
        <v>292.26503163353146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2.0238404125829854</v>
      </c>
      <c r="CL99" s="21">
        <f>EXP(-LN(2)/25)*CL98+(1-EXP(-LN(2)/25))/(LN(2)/25)*Calculateur!CG99*Calculateur!CI99*VLOOKUP('Données projet'!$B$12,Paramètres!$A$1:$I$89,3,0)*0.475*44/12</f>
        <v>1.065761465437685</v>
      </c>
      <c r="CM99" s="21">
        <f>EXP(-LN(2)/2)*CM98+(1-EXP(-LN(2)/2))/(LN(2)/2)*CG99*CJ99*VLOOKUP('Données projet'!$B$12,Paramètres!$A$1:$I$89,3,0)*0.475*44/12</f>
        <v>9.2233921234449149E-10</v>
      </c>
      <c r="CN99" s="22">
        <f t="shared" si="66"/>
        <v>3.0896018789430095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319.22903094674564</v>
      </c>
      <c r="T100" s="59">
        <f t="shared" si="88"/>
        <v>254.58690973142848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340.3576799999999</v>
      </c>
      <c r="AK100" s="13">
        <f t="shared" si="89"/>
        <v>79.573840851595449</v>
      </c>
      <c r="AL100" s="20">
        <f t="shared" si="58"/>
        <v>731.38073214986196</v>
      </c>
      <c r="AM100" s="59">
        <f t="shared" si="59"/>
        <v>1024.7140654831953</v>
      </c>
      <c r="AN100" s="59">
        <f ca="1">AVERAGE(OFFSET($AM$3,0,0,'Données projet'!$E$10+1,1))-AVERAGE(OFFSET($H$3,0,0,'Données projet'!$E$10+1,1))</f>
        <v>475.01366239340246</v>
      </c>
      <c r="AO100" s="59">
        <f t="shared" si="90"/>
        <v>322.81767004794284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2.3066868142887129</v>
      </c>
      <c r="AV100" s="21">
        <f>EXP(-LN(2)/25)*AV99+(1-EXP(-LN(2)/25))/(LN(2)/25)*Calculateur!AQ100*Calculateur!AS100*VLOOKUP('Données projet'!$B$10,Paramètres!$A$1:$I$89,3,0)*0.475*44/12</f>
        <v>1.7384317482324541</v>
      </c>
      <c r="AW100" s="21">
        <f>EXP(-LN(2)/2)*AW99+(1-EXP(-LN(2)/2))/(LN(2)/2)*AQ100*AT100*VLOOKUP('Données projet'!$B$10,Paramètres!$A$1:$I$89,3,0)*0.475*44/12</f>
        <v>8.3581709450422247E-10</v>
      </c>
      <c r="AX100" s="21">
        <f t="shared" si="60"/>
        <v>4.0451185633569837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5.6</v>
      </c>
      <c r="BD100" s="12">
        <f>IF('Données projet'!$A$88&gt;35,BD99+BC100-BL99,IF(A100&lt;'Données projet'!$A$88,$BA$205^A100,IF(A100='Données projet'!$A$88,'Données projet'!$B$88,BD99+BC100-BL99)))</f>
        <v>316.19999999999993</v>
      </c>
      <c r="BE100" s="13">
        <f>BD100*VLOOKUP('Données projet'!$B$11,Paramètres!$A$1:$I$89,3,0)*VLOOKUP('Données projet'!$B$11,Paramètres!$A$1:$I$89,5,0)</f>
        <v>320.62679999999995</v>
      </c>
      <c r="BF100" s="13">
        <f t="shared" si="91"/>
        <v>75.483756735990909</v>
      </c>
      <c r="BG100" s="20">
        <f t="shared" si="61"/>
        <v>689.89255298185071</v>
      </c>
      <c r="BH100" s="59">
        <f t="shared" si="62"/>
        <v>983.22588631518397</v>
      </c>
      <c r="BI100" s="59">
        <f ca="1">AVERAGE(OFFSET($BH$3,0,0,'Données projet'!$E$11+1,1))-AVERAGE(OFFSET($H$3,0,0,'Données projet'!$E$11+1,1))</f>
        <v>449.84356201138451</v>
      </c>
      <c r="BJ100" s="59">
        <f t="shared" si="92"/>
        <v>306.61893266146666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2.1729658395473423</v>
      </c>
      <c r="BQ100" s="21">
        <f>EXP(-LN(2)/25)*BQ99+(1-EXP(-LN(2)/25))/(LN(2)/25)*Calculateur!BL100*Calculateur!BN100*VLOOKUP('Données projet'!$B$11,Paramètres!$A$1:$I$89,3,0)*0.475*44/12</f>
        <v>1.6376530961610094</v>
      </c>
      <c r="BR100" s="21">
        <f>EXP(-LN(2)/2)*BR99+(1-EXP(-LN(2)/2))/(LN(2)/2)*BL100*BO100*VLOOKUP('Données projet'!$B$11,Paramètres!$A$1:$I$89,3,0)*0.475*44/12</f>
        <v>7.8736392960542677E-10</v>
      </c>
      <c r="BS100" s="22">
        <f t="shared" si="63"/>
        <v>3.8106189364957155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370.12772664814923</v>
      </c>
      <c r="CE100" s="59">
        <f t="shared" si="94"/>
        <v>292.26503163353146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1.9841541365129958</v>
      </c>
      <c r="CL100" s="21">
        <f>EXP(-LN(2)/25)*CL99+(1-EXP(-LN(2)/25))/(LN(2)/25)*Calculateur!CG100*Calculateur!CI100*VLOOKUP('Données projet'!$B$12,Paramètres!$A$1:$I$89,3,0)*0.475*44/12</f>
        <v>1.0366181621193318</v>
      </c>
      <c r="CM100" s="21">
        <f>EXP(-LN(2)/2)*CM99+(1-EXP(-LN(2)/2))/(LN(2)/2)*CG100*CJ100*VLOOKUP('Données projet'!$B$12,Paramètres!$A$1:$I$89,3,0)*0.475*44/12</f>
        <v>6.5219231160304899E-10</v>
      </c>
      <c r="CN100" s="22">
        <f t="shared" si="66"/>
        <v>3.0207722992845203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319.22903094674564</v>
      </c>
      <c r="T101" s="59">
        <f t="shared" si="88"/>
        <v>254.58690973142848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346.38551999999993</v>
      </c>
      <c r="AK101" s="13">
        <f t="shared" si="89"/>
        <v>80.817803212543794</v>
      </c>
      <c r="AL101" s="20">
        <f t="shared" si="58"/>
        <v>744.04578792851362</v>
      </c>
      <c r="AM101" s="59">
        <f t="shared" si="59"/>
        <v>1037.3791212618469</v>
      </c>
      <c r="AN101" s="59">
        <f ca="1">AVERAGE(OFFSET($AM$3,0,0,'Données projet'!$E$10+1,1))-AVERAGE(OFFSET($H$3,0,0,'Données projet'!$E$10+1,1))</f>
        <v>475.01366239340246</v>
      </c>
      <c r="AO101" s="59">
        <f t="shared" si="90"/>
        <v>322.81767004794284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2.2614540928005442</v>
      </c>
      <c r="AV101" s="21">
        <f>EXP(-LN(2)/25)*AV100+(1-EXP(-LN(2)/25))/(LN(2)/25)*Calculateur!AQ101*Calculateur!AS101*VLOOKUP('Données projet'!$B$10,Paramètres!$A$1:$I$89,3,0)*0.475*44/12</f>
        <v>1.6908942406568852</v>
      </c>
      <c r="AW101" s="21">
        <f>EXP(-LN(2)/2)*AW100+(1-EXP(-LN(2)/2))/(LN(2)/2)*AQ101*AT101*VLOOKUP('Données projet'!$B$10,Paramètres!$A$1:$I$89,3,0)*0.475*44/12</f>
        <v>5.9101193535557315E-10</v>
      </c>
      <c r="AX101" s="21">
        <f t="shared" si="60"/>
        <v>3.9523483340484415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5.6</v>
      </c>
      <c r="BD101" s="12">
        <f>IF('Données projet'!$A$88&gt;35,BD100+BC101-BL100,IF(A101&lt;'Données projet'!$A$88,$BA$205^A101,IF(A101='Données projet'!$A$88,'Données projet'!$B$88,BD100+BC101-BL100)))</f>
        <v>321.79999999999995</v>
      </c>
      <c r="BE101" s="13">
        <f>BD101*VLOOKUP('Données projet'!$B$11,Paramètres!$A$1:$I$89,3,0)*VLOOKUP('Données projet'!$B$11,Paramètres!$A$1:$I$89,5,0)</f>
        <v>326.30520000000001</v>
      </c>
      <c r="BF101" s="13">
        <f t="shared" si="91"/>
        <v>76.663779608302349</v>
      </c>
      <c r="BG101" s="20">
        <f t="shared" si="61"/>
        <v>701.83763948445983</v>
      </c>
      <c r="BH101" s="59">
        <f t="shared" si="62"/>
        <v>995.1709728177932</v>
      </c>
      <c r="BI101" s="59">
        <f ca="1">AVERAGE(OFFSET($BH$3,0,0,'Données projet'!$E$11+1,1))-AVERAGE(OFFSET($H$3,0,0,'Données projet'!$E$11+1,1))</f>
        <v>449.84356201138451</v>
      </c>
      <c r="BJ101" s="59">
        <f t="shared" si="92"/>
        <v>306.61893266146666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2.1303553048121109</v>
      </c>
      <c r="BQ101" s="21">
        <f>EXP(-LN(2)/25)*BQ100+(1-EXP(-LN(2)/25))/(LN(2)/25)*Calculateur!BL101*Calculateur!BN101*VLOOKUP('Données projet'!$B$11,Paramètres!$A$1:$I$89,3,0)*0.475*44/12</f>
        <v>1.5928713861260533</v>
      </c>
      <c r="BR101" s="21">
        <f>EXP(-LN(2)/2)*BR100+(1-EXP(-LN(2)/2))/(LN(2)/2)*BL101*BO101*VLOOKUP('Données projet'!$B$11,Paramètres!$A$1:$I$89,3,0)*0.475*44/12</f>
        <v>5.5675037388568471E-10</v>
      </c>
      <c r="BS101" s="22">
        <f t="shared" si="63"/>
        <v>3.7232266914949141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370.12772664814923</v>
      </c>
      <c r="CE101" s="59">
        <f t="shared" si="94"/>
        <v>292.26503163353146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1.9452460841105004</v>
      </c>
      <c r="CL101" s="21">
        <f>EXP(-LN(2)/25)*CL100+(1-EXP(-LN(2)/25))/(LN(2)/25)*Calculateur!CG101*Calculateur!CI101*VLOOKUP('Données projet'!$B$12,Paramètres!$A$1:$I$89,3,0)*0.475*44/12</f>
        <v>1.0082717839627988</v>
      </c>
      <c r="CM101" s="21">
        <f>EXP(-LN(2)/2)*CM100+(1-EXP(-LN(2)/2))/(LN(2)/2)*CG101*CJ101*VLOOKUP('Données projet'!$B$12,Paramètres!$A$1:$I$89,3,0)*0.475*44/12</f>
        <v>4.611696061722458E-10</v>
      </c>
      <c r="CN101" s="22">
        <f t="shared" si="66"/>
        <v>2.953517868534469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319.22903094674564</v>
      </c>
      <c r="T102" s="59">
        <f t="shared" si="88"/>
        <v>254.58690973142848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352.41335999999995</v>
      </c>
      <c r="AK102" s="13">
        <f t="shared" si="89"/>
        <v>82.059248211902457</v>
      </c>
      <c r="AL102" s="20">
        <f t="shared" si="58"/>
        <v>756.70645930239664</v>
      </c>
      <c r="AM102" s="59">
        <f t="shared" si="59"/>
        <v>1050.03979263573</v>
      </c>
      <c r="AN102" s="59">
        <f ca="1">AVERAGE(OFFSET($AM$3,0,0,'Données projet'!$E$10+1,1))-AVERAGE(OFFSET($H$3,0,0,'Données projet'!$E$10+1,1))</f>
        <v>475.01366239340246</v>
      </c>
      <c r="AO102" s="59">
        <f t="shared" si="90"/>
        <v>322.81767004794284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2.2171083573915227</v>
      </c>
      <c r="AV102" s="21">
        <f>EXP(-LN(2)/25)*AV101+(1-EXP(-LN(2)/25))/(LN(2)/25)*Calculateur!AQ102*Calculateur!AS102*VLOOKUP('Données projet'!$B$10,Paramètres!$A$1:$I$89,3,0)*0.475*44/12</f>
        <v>1.6446566487258591</v>
      </c>
      <c r="AW102" s="21">
        <f>EXP(-LN(2)/2)*AW101+(1-EXP(-LN(2)/2))/(LN(2)/2)*AQ102*AT102*VLOOKUP('Données projet'!$B$10,Paramètres!$A$1:$I$89,3,0)*0.475*44/12</f>
        <v>4.1790854725211124E-10</v>
      </c>
      <c r="AX102" s="21">
        <f t="shared" si="60"/>
        <v>3.8617650065352902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5.6</v>
      </c>
      <c r="BD102" s="12">
        <f>IF('Données projet'!$A$88&gt;35,BD101+BC102-BL101,IF(A102&lt;'Données projet'!$A$88,$BA$205^A102,IF(A102='Données projet'!$A$88,'Données projet'!$B$88,BD101+BC102-BL101)))</f>
        <v>327.39999999999998</v>
      </c>
      <c r="BE102" s="13">
        <f>BD102*VLOOKUP('Données projet'!$B$11,Paramètres!$A$1:$I$89,3,0)*VLOOKUP('Données projet'!$B$11,Paramètres!$A$1:$I$89,5,0)</f>
        <v>331.98360000000002</v>
      </c>
      <c r="BF102" s="13">
        <f t="shared" si="91"/>
        <v>77.841414511052207</v>
      </c>
      <c r="BG102" s="20">
        <f t="shared" si="61"/>
        <v>713.77856694008267</v>
      </c>
      <c r="BH102" s="59">
        <f t="shared" si="62"/>
        <v>1007.111900273416</v>
      </c>
      <c r="BI102" s="59">
        <f ca="1">AVERAGE(OFFSET($BH$3,0,0,'Données projet'!$E$11+1,1))-AVERAGE(OFFSET($H$3,0,0,'Données projet'!$E$11+1,1))</f>
        <v>449.84356201138451</v>
      </c>
      <c r="BJ102" s="59">
        <f t="shared" si="92"/>
        <v>306.61893266146666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2.0885803366731772</v>
      </c>
      <c r="BQ102" s="21">
        <f>EXP(-LN(2)/25)*BQ101+(1-EXP(-LN(2)/25))/(LN(2)/25)*Calculateur!BL102*Calculateur!BN102*VLOOKUP('Données projet'!$B$11,Paramètres!$A$1:$I$89,3,0)*0.475*44/12</f>
        <v>1.5493142343069708</v>
      </c>
      <c r="BR102" s="21">
        <f>EXP(-LN(2)/2)*BR101+(1-EXP(-LN(2)/2))/(LN(2)/2)*BL102*BO102*VLOOKUP('Données projet'!$B$11,Paramètres!$A$1:$I$89,3,0)*0.475*44/12</f>
        <v>3.9368196480271339E-10</v>
      </c>
      <c r="BS102" s="22">
        <f t="shared" si="63"/>
        <v>3.6378945713738298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370.12772664814923</v>
      </c>
      <c r="CE102" s="59">
        <f t="shared" si="94"/>
        <v>292.26503163353146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1.9071009948840494</v>
      </c>
      <c r="CL102" s="21">
        <f>EXP(-LN(2)/25)*CL101+(1-EXP(-LN(2)/25))/(LN(2)/25)*Calculateur!CG102*Calculateur!CI102*VLOOKUP('Données projet'!$B$12,Paramètres!$A$1:$I$89,3,0)*0.475*44/12</f>
        <v>0.98070053900762744</v>
      </c>
      <c r="CM102" s="21">
        <f>EXP(-LN(2)/2)*CM101+(1-EXP(-LN(2)/2))/(LN(2)/2)*CG102*CJ102*VLOOKUP('Données projet'!$B$12,Paramètres!$A$1:$I$89,3,0)*0.475*44/12</f>
        <v>3.2609615580152455E-10</v>
      </c>
      <c r="CN102" s="22">
        <f t="shared" si="66"/>
        <v>2.8878015342177727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319.22903094674564</v>
      </c>
      <c r="T103" s="59">
        <f t="shared" si="88"/>
        <v>254.58690973142848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675.5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358.44119999999998</v>
      </c>
      <c r="AK103" s="13">
        <f t="shared" si="89"/>
        <v>83.298223876643164</v>
      </c>
      <c r="AL103" s="20">
        <f t="shared" si="58"/>
        <v>769.36282991848668</v>
      </c>
      <c r="AM103" s="59">
        <f t="shared" si="59"/>
        <v>1062.6961632518201</v>
      </c>
      <c r="AN103" s="59">
        <f ca="1">AVERAGE(OFFSET($AM$3,0,0,'Données projet'!$E$10+1,1))-AVERAGE(OFFSET($H$3,0,0,'Données projet'!$E$10+1,1))</f>
        <v>475.01366239340246</v>
      </c>
      <c r="AO103" s="59">
        <f t="shared" si="90"/>
        <v>322.81767004794284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333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2.1736322148056439</v>
      </c>
      <c r="AV103" s="21">
        <f>EXP(-LN(2)/25)*AV102+(1-EXP(-LN(2)/25))/(LN(2)/25)*Calculateur!AQ103*Calculateur!AS103*VLOOKUP('Données projet'!$B$10,Paramètres!$A$1:$I$89,3,0)*0.475*44/12</f>
        <v>1.5996834261777162</v>
      </c>
      <c r="AW103" s="21">
        <f>EXP(-LN(2)/2)*AW102+(1-EXP(-LN(2)/2))/(LN(2)/2)*AQ103*AT103*VLOOKUP('Données projet'!$B$10,Paramètres!$A$1:$I$89,3,0)*0.475*44/12</f>
        <v>2.9550596767778657E-10</v>
      </c>
      <c r="AX103" s="21">
        <f t="shared" si="60"/>
        <v>3.7733156412788658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333</v>
      </c>
      <c r="BB103" s="12">
        <f>VLOOKUP(A103,'Données projet'!$A$87:$I$107,9,0)</f>
        <v>5.6</v>
      </c>
      <c r="BC103" s="12">
        <f t="array" ref="BC103">INDEX(BB:BB,MIN(IF(ISNUMBER(BB103:BB299),ROW(BB103:BB299),"")))</f>
        <v>5.6</v>
      </c>
      <c r="BD103" s="12">
        <f>IF('Données projet'!$A$88&gt;35,BD102+BC103-BL102,IF(A103&lt;'Données projet'!$A$88,$BA$205^A103,IF(A103='Données projet'!$A$88,'Données projet'!$B$88,BD102+BC103-BL102)))</f>
        <v>333</v>
      </c>
      <c r="BE103" s="13">
        <f>BD103*VLOOKUP('Données projet'!$B$11,Paramètres!$A$1:$I$89,3,0)*VLOOKUP('Données projet'!$B$11,Paramètres!$A$1:$I$89,5,0)</f>
        <v>337.66200000000003</v>
      </c>
      <c r="BF103" s="13">
        <f t="shared" si="91"/>
        <v>79.016707002632685</v>
      </c>
      <c r="BG103" s="20">
        <f t="shared" si="61"/>
        <v>725.71541469625208</v>
      </c>
      <c r="BH103" s="59">
        <f t="shared" si="62"/>
        <v>1019.0487480295853</v>
      </c>
      <c r="BI103" s="59">
        <f ca="1">AVERAGE(OFFSET($BH$3,0,0,'Données projet'!$E$11+1,1))-AVERAGE(OFFSET($H$3,0,0,'Données projet'!$E$11+1,1))</f>
        <v>449.84356201138451</v>
      </c>
      <c r="BJ103" s="59">
        <f t="shared" si="92"/>
        <v>306.61893266146666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333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2.0476245501792336</v>
      </c>
      <c r="BQ103" s="21">
        <f>EXP(-LN(2)/25)*BQ102+(1-EXP(-LN(2)/25))/(LN(2)/25)*Calculateur!BL103*Calculateur!BN103*VLOOKUP('Données projet'!$B$11,Paramètres!$A$1:$I$89,3,0)*0.475*44/12</f>
        <v>1.5069481550949522</v>
      </c>
      <c r="BR103" s="21">
        <f>EXP(-LN(2)/2)*BR102+(1-EXP(-LN(2)/2))/(LN(2)/2)*BL103*BO103*VLOOKUP('Données projet'!$B$11,Paramètres!$A$1:$I$89,3,0)*0.475*44/12</f>
        <v>2.7837518694284236E-10</v>
      </c>
      <c r="BS103" s="22">
        <f t="shared" si="63"/>
        <v>3.5545727055525611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370.12772664814923</v>
      </c>
      <c r="CE103" s="59">
        <f t="shared" si="94"/>
        <v>292.26503163353146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1.8697039075911219</v>
      </c>
      <c r="CL103" s="21">
        <f>EXP(-LN(2)/25)*CL102+(1-EXP(-LN(2)/25))/(LN(2)/25)*Calculateur!CG103*Calculateur!CI103*VLOOKUP('Données projet'!$B$12,Paramètres!$A$1:$I$89,3,0)*0.475*44/12</f>
        <v>0.95388323119566398</v>
      </c>
      <c r="CM103" s="21">
        <f>EXP(-LN(2)/2)*CM102+(1-EXP(-LN(2)/2))/(LN(2)/2)*CG103*CJ103*VLOOKUP('Données projet'!$B$12,Paramètres!$A$1:$I$89,3,0)*0.475*44/12</f>
        <v>2.3058480308612295E-10</v>
      </c>
      <c r="CN103" s="22">
        <f t="shared" si="66"/>
        <v>2.8235871390173708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319.22903094674564</v>
      </c>
      <c r="T104" s="59">
        <f t="shared" si="88"/>
        <v>254.58690973142848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475.01366239340246</v>
      </c>
      <c r="AO104" s="59">
        <f t="shared" si="90"/>
        <v>322.81767004794284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2.1310086128580461</v>
      </c>
      <c r="AV104" s="21">
        <f>EXP(-LN(2)/25)*AV103+(1-EXP(-LN(2)/25))/(LN(2)/25)*Calculateur!AQ104*Calculateur!AS104*VLOOKUP('Données projet'!$B$10,Paramètres!$A$1:$I$89,3,0)*0.475*44/12</f>
        <v>1.5559399987651912</v>
      </c>
      <c r="AW104" s="21">
        <f>EXP(-LN(2)/2)*AW103+(1-EXP(-LN(2)/2))/(LN(2)/2)*AQ104*AT104*VLOOKUP('Données projet'!$B$10,Paramètres!$A$1:$I$89,3,0)*0.475*44/12</f>
        <v>2.0895427362605562E-10</v>
      </c>
      <c r="AX104" s="21">
        <f t="shared" si="60"/>
        <v>3.6869486118321917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449.84356201138451</v>
      </c>
      <c r="BJ104" s="59">
        <f t="shared" si="92"/>
        <v>306.61893266146666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2.0074718816778732</v>
      </c>
      <c r="BQ104" s="21">
        <f>EXP(-LN(2)/25)*BQ103+(1-EXP(-LN(2)/25))/(LN(2)/25)*Calculateur!BL104*Calculateur!BN104*VLOOKUP('Données projet'!$B$11,Paramètres!$A$1:$I$89,3,0)*0.475*44/12</f>
        <v>1.4657405785469213</v>
      </c>
      <c r="BR104" s="21">
        <f>EXP(-LN(2)/2)*BR103+(1-EXP(-LN(2)/2))/(LN(2)/2)*BL104*BO104*VLOOKUP('Données projet'!$B$11,Paramètres!$A$1:$I$89,3,0)*0.475*44/12</f>
        <v>1.9684098240135669E-10</v>
      </c>
      <c r="BS104" s="22">
        <f t="shared" si="63"/>
        <v>3.4732124604216352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370.12772664814923</v>
      </c>
      <c r="CE104" s="59">
        <f t="shared" si="94"/>
        <v>292.26503163353146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1.8330401543700379</v>
      </c>
      <c r="CL104" s="21">
        <f>EXP(-LN(2)/25)*CL103+(1-EXP(-LN(2)/25))/(LN(2)/25)*Calculateur!CG104*Calculateur!CI104*VLOOKUP('Données projet'!$B$12,Paramètres!$A$1:$I$89,3,0)*0.475*44/12</f>
        <v>0.9277992440760795</v>
      </c>
      <c r="CM104" s="21">
        <f>EXP(-LN(2)/2)*CM103+(1-EXP(-LN(2)/2))/(LN(2)/2)*CG104*CJ104*VLOOKUP('Données projet'!$B$12,Paramètres!$A$1:$I$89,3,0)*0.475*44/12</f>
        <v>1.630480779007623E-10</v>
      </c>
      <c r="CN104" s="22">
        <f t="shared" si="66"/>
        <v>2.7608393986091655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319.22903094674564</v>
      </c>
      <c r="T105" s="59">
        <f t="shared" si="88"/>
        <v>254.58690973142848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475.01366239340246</v>
      </c>
      <c r="AO105" s="59">
        <f t="shared" si="90"/>
        <v>322.81767004794284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2.0892208337468103</v>
      </c>
      <c r="AV105" s="21">
        <f>EXP(-LN(2)/25)*AV104+(1-EXP(-LN(2)/25))/(LN(2)/25)*Calculateur!AQ105*Calculateur!AS105*VLOOKUP('Données projet'!$B$10,Paramètres!$A$1:$I$89,3,0)*0.475*44/12</f>
        <v>1.5133927376756287</v>
      </c>
      <c r="AW105" s="21">
        <f>EXP(-LN(2)/2)*AW104+(1-EXP(-LN(2)/2))/(LN(2)/2)*AQ105*AT105*VLOOKUP('Données projet'!$B$10,Paramètres!$A$1:$I$89,3,0)*0.475*44/12</f>
        <v>1.4775298383889329E-10</v>
      </c>
      <c r="AX105" s="21">
        <f t="shared" si="60"/>
        <v>3.6026135715701919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449.84356201138451</v>
      </c>
      <c r="BJ105" s="59">
        <f t="shared" si="92"/>
        <v>306.61893266146666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1.9681065825151147</v>
      </c>
      <c r="BQ105" s="21">
        <f>EXP(-LN(2)/25)*BQ104+(1-EXP(-LN(2)/25))/(LN(2)/25)*Calculateur!BL105*Calculateur!BN105*VLOOKUP('Données projet'!$B$11,Paramètres!$A$1:$I$89,3,0)*0.475*44/12</f>
        <v>1.4256598253466086</v>
      </c>
      <c r="BR105" s="21">
        <f>EXP(-LN(2)/2)*BR104+(1-EXP(-LN(2)/2))/(LN(2)/2)*BL105*BO105*VLOOKUP('Données projet'!$B$11,Paramètres!$A$1:$I$89,3,0)*0.475*44/12</f>
        <v>1.3918759347142118E-10</v>
      </c>
      <c r="BS105" s="22">
        <f t="shared" si="63"/>
        <v>3.3937664080009111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370.12772664814923</v>
      </c>
      <c r="CE105" s="59">
        <f t="shared" si="94"/>
        <v>292.26503163353146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1.797095354986938</v>
      </c>
      <c r="CL105" s="21">
        <f>EXP(-LN(2)/25)*CL104+(1-EXP(-LN(2)/25))/(LN(2)/25)*Calculateur!CG105*Calculateur!CI105*VLOOKUP('Données projet'!$B$12,Paramètres!$A$1:$I$89,3,0)*0.475*44/12</f>
        <v>0.90242852495597736</v>
      </c>
      <c r="CM105" s="21">
        <f>EXP(-LN(2)/2)*CM104+(1-EXP(-LN(2)/2))/(LN(2)/2)*CG105*CJ105*VLOOKUP('Données projet'!$B$12,Paramètres!$A$1:$I$89,3,0)*0.475*44/12</f>
        <v>1.1529240154306149E-10</v>
      </c>
      <c r="CN105" s="22">
        <f t="shared" si="66"/>
        <v>2.6995238800582073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319.22903094674564</v>
      </c>
      <c r="T106" s="59">
        <f t="shared" si="88"/>
        <v>254.58690973142848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475.01366239340246</v>
      </c>
      <c r="AO106" s="59">
        <f t="shared" si="90"/>
        <v>322.81767004794284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2.0482524874959176</v>
      </c>
      <c r="AV106" s="21">
        <f>EXP(-LN(2)/25)*AV105+(1-EXP(-LN(2)/25))/(LN(2)/25)*Calculateur!AQ106*Calculateur!AS106*VLOOKUP('Données projet'!$B$10,Paramètres!$A$1:$I$89,3,0)*0.475*44/12</f>
        <v>1.4720089336780233</v>
      </c>
      <c r="AW106" s="21">
        <f>EXP(-LN(2)/2)*AW105+(1-EXP(-LN(2)/2))/(LN(2)/2)*AQ106*AT106*VLOOKUP('Données projet'!$B$10,Paramètres!$A$1:$I$89,3,0)*0.475*44/12</f>
        <v>1.0447713681302781E-10</v>
      </c>
      <c r="AX106" s="21">
        <f t="shared" si="60"/>
        <v>3.520261421278418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449.84356201138451</v>
      </c>
      <c r="BJ106" s="59">
        <f t="shared" si="92"/>
        <v>306.61893266146666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1.9295132128584764</v>
      </c>
      <c r="BQ106" s="21">
        <f>EXP(-LN(2)/25)*BQ105+(1-EXP(-LN(2)/25))/(LN(2)/25)*Calculateur!BL106*Calculateur!BN106*VLOOKUP('Données projet'!$B$11,Paramètres!$A$1:$I$89,3,0)*0.475*44/12</f>
        <v>1.3866750824503138</v>
      </c>
      <c r="BR106" s="21">
        <f>EXP(-LN(2)/2)*BR105+(1-EXP(-LN(2)/2))/(LN(2)/2)*BL106*BO106*VLOOKUP('Données projet'!$B$11,Paramètres!$A$1:$I$89,3,0)*0.475*44/12</f>
        <v>9.8420491200678347E-11</v>
      </c>
      <c r="BS106" s="22">
        <f t="shared" si="63"/>
        <v>3.3161882954072106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370.12772664814923</v>
      </c>
      <c r="CE106" s="59">
        <f t="shared" si="94"/>
        <v>292.26503163353146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1.7618554111955778</v>
      </c>
      <c r="CL106" s="21">
        <f>EXP(-LN(2)/25)*CL105+(1-EXP(-LN(2)/25))/(LN(2)/25)*Calculateur!CG106*Calculateur!CI106*VLOOKUP('Données projet'!$B$12,Paramètres!$A$1:$I$89,3,0)*0.475*44/12</f>
        <v>0.87775156948440258</v>
      </c>
      <c r="CM106" s="21">
        <f>EXP(-LN(2)/2)*CM105+(1-EXP(-LN(2)/2))/(LN(2)/2)*CG106*CJ106*VLOOKUP('Données projet'!$B$12,Paramètres!$A$1:$I$89,3,0)*0.475*44/12</f>
        <v>8.1524038950381162E-11</v>
      </c>
      <c r="CN106" s="22">
        <f t="shared" si="66"/>
        <v>2.6396069807615046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319.22903094674564</v>
      </c>
      <c r="T107" s="59">
        <f t="shared" si="88"/>
        <v>254.58690973142848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475.01366239340246</v>
      </c>
      <c r="AO107" s="59">
        <f t="shared" si="90"/>
        <v>322.81767004794284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2.0080875055267811</v>
      </c>
      <c r="AV107" s="21">
        <f>EXP(-LN(2)/25)*AV106+(1-EXP(-LN(2)/25))/(LN(2)/25)*Calculateur!AQ107*Calculateur!AS107*VLOOKUP('Données projet'!$B$10,Paramètres!$A$1:$I$89,3,0)*0.475*44/12</f>
        <v>1.4317567719770123</v>
      </c>
      <c r="AW107" s="21">
        <f>EXP(-LN(2)/2)*AW106+(1-EXP(-LN(2)/2))/(LN(2)/2)*AQ107*AT107*VLOOKUP('Données projet'!$B$10,Paramètres!$A$1:$I$89,3,0)*0.475*44/12</f>
        <v>7.3876491919446643E-11</v>
      </c>
      <c r="AX107" s="21">
        <f t="shared" si="60"/>
        <v>3.4398442775776696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449.84356201138451</v>
      </c>
      <c r="BJ107" s="59">
        <f t="shared" si="92"/>
        <v>306.61893266146666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1.8916766356411736</v>
      </c>
      <c r="BQ107" s="21">
        <f>EXP(-LN(2)/25)*BQ106+(1-EXP(-LN(2)/25))/(LN(2)/25)*Calculateur!BL107*Calculateur!BN107*VLOOKUP('Données projet'!$B$11,Paramètres!$A$1:$I$89,3,0)*0.475*44/12</f>
        <v>1.3487563793986366</v>
      </c>
      <c r="BR107" s="21">
        <f>EXP(-LN(2)/2)*BR106+(1-EXP(-LN(2)/2))/(LN(2)/2)*BL107*BO107*VLOOKUP('Données projet'!$B$11,Paramètres!$A$1:$I$89,3,0)*0.475*44/12</f>
        <v>6.9593796735710589E-11</v>
      </c>
      <c r="BS107" s="22">
        <f t="shared" si="63"/>
        <v>3.2404330151094038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370.12772664814923</v>
      </c>
      <c r="CE107" s="59">
        <f t="shared" si="94"/>
        <v>292.26503163353146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1.7273065012077229</v>
      </c>
      <c r="CL107" s="21">
        <f>EXP(-LN(2)/25)*CL106+(1-EXP(-LN(2)/25))/(LN(2)/25)*Calculateur!CG107*Calculateur!CI107*VLOOKUP('Données projet'!$B$12,Paramètres!$A$1:$I$89,3,0)*0.475*44/12</f>
        <v>0.85374940665790267</v>
      </c>
      <c r="CM107" s="21">
        <f>EXP(-LN(2)/2)*CM106+(1-EXP(-LN(2)/2))/(LN(2)/2)*CG107*CJ107*VLOOKUP('Données projet'!$B$12,Paramètres!$A$1:$I$89,3,0)*0.475*44/12</f>
        <v>5.7646200771530757E-11</v>
      </c>
      <c r="CN107" s="22">
        <f t="shared" si="66"/>
        <v>2.5810559079232718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319.22903094674564</v>
      </c>
      <c r="T108" s="59">
        <f t="shared" si="88"/>
        <v>254.58690973142848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475.01366239340246</v>
      </c>
      <c r="AO108" s="59">
        <f t="shared" si="90"/>
        <v>322.81767004794284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1.9687101343558391</v>
      </c>
      <c r="AV108" s="21">
        <f>EXP(-LN(2)/25)*AV107+(1-EXP(-LN(2)/25))/(LN(2)/25)*Calculateur!AQ108*Calculateur!AS108*VLOOKUP('Données projet'!$B$10,Paramètres!$A$1:$I$89,3,0)*0.475*44/12</f>
        <v>1.3926053077544847</v>
      </c>
      <c r="AW108" s="21">
        <f>EXP(-LN(2)/2)*AW107+(1-EXP(-LN(2)/2))/(LN(2)/2)*AQ108*AT108*VLOOKUP('Données projet'!$B$10,Paramètres!$A$1:$I$89,3,0)*0.475*44/12</f>
        <v>5.2238568406513905E-11</v>
      </c>
      <c r="AX108" s="21">
        <f t="shared" si="60"/>
        <v>3.3613154421625624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449.84356201138451</v>
      </c>
      <c r="BJ108" s="59">
        <f t="shared" si="92"/>
        <v>306.61893266146666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1.8545820106250688</v>
      </c>
      <c r="BQ108" s="21">
        <f>EXP(-LN(2)/25)*BQ107+(1-EXP(-LN(2)/25))/(LN(2)/25)*Calculateur!BL108*Calculateur!BN108*VLOOKUP('Données projet'!$B$11,Paramètres!$A$1:$I$89,3,0)*0.475*44/12</f>
        <v>1.3118745652759656</v>
      </c>
      <c r="BR108" s="21">
        <f>EXP(-LN(2)/2)*BR107+(1-EXP(-LN(2)/2))/(LN(2)/2)*BL108*BO108*VLOOKUP('Données projet'!$B$11,Paramètres!$A$1:$I$89,3,0)*0.475*44/12</f>
        <v>4.9210245600339173E-11</v>
      </c>
      <c r="BS108" s="22">
        <f t="shared" si="63"/>
        <v>3.166456575950245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370.12772664814923</v>
      </c>
      <c r="CE108" s="59">
        <f t="shared" si="94"/>
        <v>292.26503163353146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1.6934350742719755</v>
      </c>
      <c r="CL108" s="21">
        <f>EXP(-LN(2)/25)*CL107+(1-EXP(-LN(2)/25))/(LN(2)/25)*Calculateur!CG108*Calculateur!CI108*VLOOKUP('Données projet'!$B$12,Paramètres!$A$1:$I$89,3,0)*0.475*44/12</f>
        <v>0.83040358423611227</v>
      </c>
      <c r="CM108" s="21">
        <f>EXP(-LN(2)/2)*CM107+(1-EXP(-LN(2)/2))/(LN(2)/2)*CG108*CJ108*VLOOKUP('Données projet'!$B$12,Paramètres!$A$1:$I$89,3,0)*0.475*44/12</f>
        <v>4.0762019475190588E-11</v>
      </c>
      <c r="CN108" s="22">
        <f t="shared" si="66"/>
        <v>2.5238386585488497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319.22903094674564</v>
      </c>
      <c r="T109" s="59">
        <f t="shared" si="88"/>
        <v>254.58690973142848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475.01366239340246</v>
      </c>
      <c r="AO109" s="59">
        <f t="shared" si="90"/>
        <v>322.81767004794284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1.9301049294157344</v>
      </c>
      <c r="AV109" s="21">
        <f>EXP(-LN(2)/25)*AV108+(1-EXP(-LN(2)/25))/(LN(2)/25)*Calculateur!AQ109*Calculateur!AS109*VLOOKUP('Données projet'!$B$10,Paramètres!$A$1:$I$89,3,0)*0.475*44/12</f>
        <v>1.354524442380008</v>
      </c>
      <c r="AW109" s="21">
        <f>EXP(-LN(2)/2)*AW108+(1-EXP(-LN(2)/2))/(LN(2)/2)*AQ109*AT109*VLOOKUP('Données projet'!$B$10,Paramètres!$A$1:$I$89,3,0)*0.475*44/12</f>
        <v>3.6938245959723322E-11</v>
      </c>
      <c r="AX109" s="21">
        <f t="shared" si="60"/>
        <v>3.2846293718326809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449.84356201138451</v>
      </c>
      <c r="BJ109" s="59">
        <f t="shared" si="92"/>
        <v>306.61893266146666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1.8182147885800426</v>
      </c>
      <c r="BQ109" s="21">
        <f>EXP(-LN(2)/25)*BQ108+(1-EXP(-LN(2)/25))/(LN(2)/25)*Calculateur!BL109*Calculateur!BN109*VLOOKUP('Données projet'!$B$11,Paramètres!$A$1:$I$89,3,0)*0.475*44/12</f>
        <v>1.2760012863000092</v>
      </c>
      <c r="BR109" s="21">
        <f>EXP(-LN(2)/2)*BR108+(1-EXP(-LN(2)/2))/(LN(2)/2)*BL109*BO109*VLOOKUP('Données projet'!$B$11,Paramètres!$A$1:$I$89,3,0)*0.475*44/12</f>
        <v>3.4796898367855294E-11</v>
      </c>
      <c r="BS109" s="22">
        <f t="shared" si="63"/>
        <v>3.0942160749148488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370.12772664814923</v>
      </c>
      <c r="CE109" s="59">
        <f t="shared" si="94"/>
        <v>292.26503163353146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1.6602278453589077</v>
      </c>
      <c r="CL109" s="21">
        <f>EXP(-LN(2)/25)*CL108+(1-EXP(-LN(2)/25))/(LN(2)/25)*Calculateur!CG109*Calculateur!CI109*VLOOKUP('Données projet'!$B$12,Paramètres!$A$1:$I$89,3,0)*0.475*44/12</f>
        <v>0.80769615455614918</v>
      </c>
      <c r="CM109" s="21">
        <f>EXP(-LN(2)/2)*CM108+(1-EXP(-LN(2)/2))/(LN(2)/2)*CG109*CJ109*VLOOKUP('Données projet'!$B$12,Paramètres!$A$1:$I$89,3,0)*0.475*44/12</f>
        <v>2.8823100385765382E-11</v>
      </c>
      <c r="CN109" s="22">
        <f t="shared" si="66"/>
        <v>2.46792399994388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319.22903094674564</v>
      </c>
      <c r="T110" s="59">
        <f t="shared" si="88"/>
        <v>254.58690973142848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475.01366239340246</v>
      </c>
      <c r="AO110" s="59">
        <f t="shared" si="90"/>
        <v>322.81767004794284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1.8922567489976552</v>
      </c>
      <c r="AV110" s="21">
        <f>EXP(-LN(2)/25)*AV109+(1-EXP(-LN(2)/25))/(LN(2)/25)*Calculateur!AQ110*Calculateur!AS110*VLOOKUP('Données projet'!$B$10,Paramètres!$A$1:$I$89,3,0)*0.475*44/12</f>
        <v>1.3174849002717821</v>
      </c>
      <c r="AW110" s="21">
        <f>EXP(-LN(2)/2)*AW109+(1-EXP(-LN(2)/2))/(LN(2)/2)*AQ110*AT110*VLOOKUP('Données projet'!$B$10,Paramètres!$A$1:$I$89,3,0)*0.475*44/12</f>
        <v>2.6119284203256952E-11</v>
      </c>
      <c r="AX110" s="21">
        <f t="shared" si="60"/>
        <v>3.2097416492955566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449.84356201138451</v>
      </c>
      <c r="BJ110" s="59">
        <f t="shared" si="92"/>
        <v>306.61893266146666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1.7825607055775041</v>
      </c>
      <c r="BQ110" s="21">
        <f>EXP(-LN(2)/25)*BQ109+(1-EXP(-LN(2)/25))/(LN(2)/25)*Calculateur!BL110*Calculateur!BN110*VLOOKUP('Données projet'!$B$11,Paramètres!$A$1:$I$89,3,0)*0.475*44/12</f>
        <v>1.2411089640241442</v>
      </c>
      <c r="BR110" s="21">
        <f>EXP(-LN(2)/2)*BR109+(1-EXP(-LN(2)/2))/(LN(2)/2)*BL110*BO110*VLOOKUP('Données projet'!$B$11,Paramètres!$A$1:$I$89,3,0)*0.475*44/12</f>
        <v>2.4605122800169587E-11</v>
      </c>
      <c r="BS110" s="22">
        <f t="shared" si="63"/>
        <v>3.0236696696262535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370.12772664814923</v>
      </c>
      <c r="CE110" s="59">
        <f t="shared" si="94"/>
        <v>292.26503163353146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1.6276717899504154</v>
      </c>
      <c r="CL110" s="21">
        <f>EXP(-LN(2)/25)*CL109+(1-EXP(-LN(2)/25))/(LN(2)/25)*Calculateur!CG110*Calculateur!CI110*VLOOKUP('Données projet'!$B$12,Paramètres!$A$1:$I$89,3,0)*0.475*44/12</f>
        <v>0.78560966073491656</v>
      </c>
      <c r="CM110" s="21">
        <f>EXP(-LN(2)/2)*CM109+(1-EXP(-LN(2)/2))/(LN(2)/2)*CG110*CJ110*VLOOKUP('Données projet'!$B$12,Paramètres!$A$1:$I$89,3,0)*0.475*44/12</f>
        <v>2.0381009737595297E-11</v>
      </c>
      <c r="CN110" s="22">
        <f t="shared" si="66"/>
        <v>2.4132814507057132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319.22903094674564</v>
      </c>
      <c r="T111" s="59">
        <f t="shared" si="88"/>
        <v>254.58690973142848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475.01366239340246</v>
      </c>
      <c r="AO111" s="59">
        <f t="shared" si="90"/>
        <v>322.81767004794284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1.8551507483124638</v>
      </c>
      <c r="AV111" s="21">
        <f>EXP(-LN(2)/25)*AV110+(1-EXP(-LN(2)/25))/(LN(2)/25)*Calculateur!AQ111*Calculateur!AS111*VLOOKUP('Données projet'!$B$10,Paramètres!$A$1:$I$89,3,0)*0.475*44/12</f>
        <v>1.2814582063903304</v>
      </c>
      <c r="AW111" s="21">
        <f>EXP(-LN(2)/2)*AW110+(1-EXP(-LN(2)/2))/(LN(2)/2)*AQ111*AT111*VLOOKUP('Données projet'!$B$10,Paramètres!$A$1:$I$89,3,0)*0.475*44/12</f>
        <v>1.8469122979861661E-11</v>
      </c>
      <c r="AX111" s="21">
        <f t="shared" si="60"/>
        <v>3.1366089547212632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449.84356201138451</v>
      </c>
      <c r="BJ111" s="59">
        <f t="shared" si="92"/>
        <v>306.61893266146666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1.7476057773958023</v>
      </c>
      <c r="BQ111" s="21">
        <f>EXP(-LN(2)/25)*BQ110+(1-EXP(-LN(2)/25))/(LN(2)/25)*Calculateur!BL111*Calculateur!BN111*VLOOKUP('Données projet'!$B$11,Paramètres!$A$1:$I$89,3,0)*0.475*44/12</f>
        <v>1.2071707741358202</v>
      </c>
      <c r="BR111" s="21">
        <f>EXP(-LN(2)/2)*BR110+(1-EXP(-LN(2)/2))/(LN(2)/2)*BL111*BO111*VLOOKUP('Données projet'!$B$11,Paramètres!$A$1:$I$89,3,0)*0.475*44/12</f>
        <v>1.7398449183927647E-11</v>
      </c>
      <c r="BS111" s="22">
        <f t="shared" si="63"/>
        <v>2.954776551549021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370.12772664814923</v>
      </c>
      <c r="CE111" s="59">
        <f t="shared" si="94"/>
        <v>292.26503163353146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1.5957541389312506</v>
      </c>
      <c r="CL111" s="21">
        <f>EXP(-LN(2)/25)*CL110+(1-EXP(-LN(2)/25))/(LN(2)/25)*Calculateur!CG111*Calculateur!CI111*VLOOKUP('Données projet'!$B$12,Paramètres!$A$1:$I$89,3,0)*0.475*44/12</f>
        <v>0.76412712324870369</v>
      </c>
      <c r="CM111" s="21">
        <f>EXP(-LN(2)/2)*CM110+(1-EXP(-LN(2)/2))/(LN(2)/2)*CG111*CJ111*VLOOKUP('Données projet'!$B$12,Paramètres!$A$1:$I$89,3,0)*0.475*44/12</f>
        <v>1.4411550192882692E-11</v>
      </c>
      <c r="CN111" s="22">
        <f t="shared" si="66"/>
        <v>2.3598812621943659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319.22903094674564</v>
      </c>
      <c r="T112" s="59">
        <f t="shared" si="88"/>
        <v>254.58690973142848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475.01366239340246</v>
      </c>
      <c r="AO112" s="59">
        <f t="shared" si="90"/>
        <v>322.81767004794284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1.8187723736682835</v>
      </c>
      <c r="AV112" s="21">
        <f>EXP(-LN(2)/25)*AV111+(1-EXP(-LN(2)/25))/(LN(2)/25)*Calculateur!AQ112*Calculateur!AS112*VLOOKUP('Données projet'!$B$10,Paramètres!$A$1:$I$89,3,0)*0.475*44/12</f>
        <v>1.2464166643476284</v>
      </c>
      <c r="AW112" s="21">
        <f>EXP(-LN(2)/2)*AW111+(1-EXP(-LN(2)/2))/(LN(2)/2)*AQ112*AT112*VLOOKUP('Données projet'!$B$10,Paramètres!$A$1:$I$89,3,0)*0.475*44/12</f>
        <v>1.3059642101628476E-11</v>
      </c>
      <c r="AX112" s="21">
        <f t="shared" si="60"/>
        <v>3.0651890380289717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449.84356201138451</v>
      </c>
      <c r="BJ112" s="59">
        <f t="shared" si="92"/>
        <v>306.61893266146666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1.7133362940353425</v>
      </c>
      <c r="BQ112" s="21">
        <f>EXP(-LN(2)/25)*BQ111+(1-EXP(-LN(2)/25))/(LN(2)/25)*Calculateur!BL112*Calculateur!BN112*VLOOKUP('Données projet'!$B$11,Paramètres!$A$1:$I$89,3,0)*0.475*44/12</f>
        <v>1.1741606258347241</v>
      </c>
      <c r="BR112" s="21">
        <f>EXP(-LN(2)/2)*BR111+(1-EXP(-LN(2)/2))/(LN(2)/2)*BL112*BO112*VLOOKUP('Données projet'!$B$11,Paramètres!$A$1:$I$89,3,0)*0.475*44/12</f>
        <v>1.2302561400084793E-11</v>
      </c>
      <c r="BS112" s="22">
        <f t="shared" si="63"/>
        <v>2.8874969198823695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370.12772664814923</v>
      </c>
      <c r="CE112" s="59">
        <f t="shared" si="94"/>
        <v>292.26503163353146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1.5644623735807268</v>
      </c>
      <c r="CL112" s="21">
        <f>EXP(-LN(2)/25)*CL111+(1-EXP(-LN(2)/25))/(LN(2)/25)*Calculateur!CG112*Calculateur!CI112*VLOOKUP('Données projet'!$B$12,Paramètres!$A$1:$I$89,3,0)*0.475*44/12</f>
        <v>0.74323202687976886</v>
      </c>
      <c r="CM112" s="21">
        <f>EXP(-LN(2)/2)*CM111+(1-EXP(-LN(2)/2))/(LN(2)/2)*CG112*CJ112*VLOOKUP('Données projet'!$B$12,Paramètres!$A$1:$I$89,3,0)*0.475*44/12</f>
        <v>1.019050486879765E-11</v>
      </c>
      <c r="CN112" s="22">
        <f t="shared" si="66"/>
        <v>2.3076944004706861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319.22903094674564</v>
      </c>
      <c r="T113" s="59">
        <f t="shared" si="88"/>
        <v>254.58690973142848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475.01366239340246</v>
      </c>
      <c r="AO113" s="59">
        <f t="shared" si="90"/>
        <v>322.81767004794284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1.783107356762258</v>
      </c>
      <c r="AV113" s="21">
        <f>EXP(-LN(2)/25)*AV112+(1-EXP(-LN(2)/25))/(LN(2)/25)*Calculateur!AQ113*Calculateur!AS113*VLOOKUP('Données projet'!$B$10,Paramètres!$A$1:$I$89,3,0)*0.475*44/12</f>
        <v>1.2123333351148389</v>
      </c>
      <c r="AW113" s="21">
        <f>EXP(-LN(2)/2)*AW112+(1-EXP(-LN(2)/2))/(LN(2)/2)*AQ113*AT113*VLOOKUP('Données projet'!$B$10,Paramètres!$A$1:$I$89,3,0)*0.475*44/12</f>
        <v>9.2345614899308304E-12</v>
      </c>
      <c r="AX113" s="21">
        <f t="shared" si="60"/>
        <v>2.9954406918863312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449.84356201138451</v>
      </c>
      <c r="BJ113" s="59">
        <f t="shared" si="92"/>
        <v>306.61893266146666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1.6797388143412604</v>
      </c>
      <c r="BQ113" s="21">
        <f>EXP(-LN(2)/25)*BQ112+(1-EXP(-LN(2)/25))/(LN(2)/25)*Calculateur!BL113*Calculateur!BN113*VLOOKUP('Données projet'!$B$11,Paramètres!$A$1:$I$89,3,0)*0.475*44/12</f>
        <v>1.1420531417748498</v>
      </c>
      <c r="BR113" s="21">
        <f>EXP(-LN(2)/2)*BR112+(1-EXP(-LN(2)/2))/(LN(2)/2)*BL113*BO113*VLOOKUP('Données projet'!$B$11,Paramètres!$A$1:$I$89,3,0)*0.475*44/12</f>
        <v>8.6992245919638236E-12</v>
      </c>
      <c r="BS113" s="22">
        <f t="shared" si="63"/>
        <v>2.8217919561248093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370.12772664814923</v>
      </c>
      <c r="CE113" s="59">
        <f t="shared" si="94"/>
        <v>292.26503163353146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1.5337842206626344</v>
      </c>
      <c r="CL113" s="21">
        <f>EXP(-LN(2)/25)*CL112+(1-EXP(-LN(2)/25))/(LN(2)/25)*Calculateur!CG113*Calculateur!CI113*VLOOKUP('Données projet'!$B$12,Paramètres!$A$1:$I$89,3,0)*0.475*44/12</f>
        <v>0.72290830801986794</v>
      </c>
      <c r="CM113" s="21">
        <f>EXP(-LN(2)/2)*CM112+(1-EXP(-LN(2)/2))/(LN(2)/2)*CG113*CJ113*VLOOKUP('Données projet'!$B$12,Paramètres!$A$1:$I$89,3,0)*0.475*44/12</f>
        <v>7.2057750964413479E-12</v>
      </c>
      <c r="CN113" s="22">
        <f t="shared" si="66"/>
        <v>2.2566925286897082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319.22903094674564</v>
      </c>
      <c r="T114" s="59">
        <f t="shared" si="88"/>
        <v>254.58690973142848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475.01366239340246</v>
      </c>
      <c r="AO114" s="59">
        <f t="shared" si="90"/>
        <v>322.81767004794284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1.7481417090842473</v>
      </c>
      <c r="AV114" s="21">
        <f>EXP(-LN(2)/25)*AV113+(1-EXP(-LN(2)/25))/(LN(2)/25)*Calculateur!AQ114*Calculateur!AS114*VLOOKUP('Données projet'!$B$10,Paramètres!$A$1:$I$89,3,0)*0.475*44/12</f>
        <v>1.1791820163122844</v>
      </c>
      <c r="AW114" s="21">
        <f>EXP(-LN(2)/2)*AW113+(1-EXP(-LN(2)/2))/(LN(2)/2)*AQ114*AT114*VLOOKUP('Données projet'!$B$10,Paramètres!$A$1:$I$89,3,0)*0.475*44/12</f>
        <v>6.5298210508142381E-12</v>
      </c>
      <c r="AX114" s="21">
        <f t="shared" si="60"/>
        <v>2.9273237254030615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449.84356201138451</v>
      </c>
      <c r="BJ114" s="59">
        <f t="shared" si="92"/>
        <v>306.61893266146666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1.6468001607315401</v>
      </c>
      <c r="BQ114" s="21">
        <f>EXP(-LN(2)/25)*BQ113+(1-EXP(-LN(2)/25))/(LN(2)/25)*Calculateur!BL114*Calculateur!BN114*VLOOKUP('Données projet'!$B$11,Paramètres!$A$1:$I$89,3,0)*0.475*44/12</f>
        <v>1.1108236385550521</v>
      </c>
      <c r="BR114" s="21">
        <f>EXP(-LN(2)/2)*BR113+(1-EXP(-LN(2)/2))/(LN(2)/2)*BL114*BO114*VLOOKUP('Données projet'!$B$11,Paramètres!$A$1:$I$89,3,0)*0.475*44/12</f>
        <v>6.1512807000423967E-12</v>
      </c>
      <c r="BS114" s="22">
        <f t="shared" si="63"/>
        <v>2.7576237992927433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370.12772664814923</v>
      </c>
      <c r="CE114" s="59">
        <f t="shared" si="94"/>
        <v>292.26503163353146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1.5037076476114402</v>
      </c>
      <c r="CL114" s="21">
        <f>EXP(-LN(2)/25)*CL113+(1-EXP(-LN(2)/25))/(LN(2)/25)*Calculateur!CG114*Calculateur!CI114*VLOOKUP('Données projet'!$B$12,Paramètres!$A$1:$I$89,3,0)*0.475*44/12</f>
        <v>0.703140342320969</v>
      </c>
      <c r="CM114" s="21">
        <f>EXP(-LN(2)/2)*CM113+(1-EXP(-LN(2)/2))/(LN(2)/2)*CG114*CJ114*VLOOKUP('Données projet'!$B$12,Paramètres!$A$1:$I$89,3,0)*0.475*44/12</f>
        <v>5.0952524343988259E-12</v>
      </c>
      <c r="CN114" s="22">
        <f t="shared" si="66"/>
        <v>2.2068479899375042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319.22903094674564</v>
      </c>
      <c r="T115" s="59">
        <f t="shared" si="88"/>
        <v>254.58690973142848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475.01366239340246</v>
      </c>
      <c r="AO115" s="59">
        <f t="shared" si="90"/>
        <v>322.81767004794284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1.7138617164302632</v>
      </c>
      <c r="AV115" s="21">
        <f>EXP(-LN(2)/25)*AV114+(1-EXP(-LN(2)/25))/(LN(2)/25)*Calculateur!AQ115*Calculateur!AS115*VLOOKUP('Données projet'!$B$10,Paramètres!$A$1:$I$89,3,0)*0.475*44/12</f>
        <v>1.1469372220657377</v>
      </c>
      <c r="AW115" s="21">
        <f>EXP(-LN(2)/2)*AW114+(1-EXP(-LN(2)/2))/(LN(2)/2)*AQ115*AT115*VLOOKUP('Données projet'!$B$10,Paramètres!$A$1:$I$89,3,0)*0.475*44/12</f>
        <v>4.6172807449654152E-12</v>
      </c>
      <c r="AX115" s="21">
        <f t="shared" si="60"/>
        <v>2.8607989385006181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449.84356201138451</v>
      </c>
      <c r="BJ115" s="59">
        <f t="shared" si="92"/>
        <v>306.61893266146666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1.6145074140285116</v>
      </c>
      <c r="BQ115" s="21">
        <f>EXP(-LN(2)/25)*BQ114+(1-EXP(-LN(2)/25))/(LN(2)/25)*Calculateur!BL115*Calculateur!BN115*VLOOKUP('Données projet'!$B$11,Paramètres!$A$1:$I$89,3,0)*0.475*44/12</f>
        <v>1.0804481077430879</v>
      </c>
      <c r="BR115" s="21">
        <f>EXP(-LN(2)/2)*BR114+(1-EXP(-LN(2)/2))/(LN(2)/2)*BL115*BO115*VLOOKUP('Données projet'!$B$11,Paramètres!$A$1:$I$89,3,0)*0.475*44/12</f>
        <v>4.3496122959819118E-12</v>
      </c>
      <c r="BS115" s="22">
        <f t="shared" si="63"/>
        <v>2.6949555217759489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370.12772664814923</v>
      </c>
      <c r="CE115" s="59">
        <f t="shared" si="94"/>
        <v>292.26503163353146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1.4742208578128817</v>
      </c>
      <c r="CL115" s="21">
        <f>EXP(-LN(2)/25)*CL114+(1-EXP(-LN(2)/25))/(LN(2)/25)*Calculateur!CG115*Calculateur!CI115*VLOOKUP('Données projet'!$B$12,Paramètres!$A$1:$I$89,3,0)*0.475*44/12</f>
        <v>0.6839129326836586</v>
      </c>
      <c r="CM115" s="21">
        <f>EXP(-LN(2)/2)*CM114+(1-EXP(-LN(2)/2))/(LN(2)/2)*CG115*CJ115*VLOOKUP('Données projet'!$B$12,Paramètres!$A$1:$I$89,3,0)*0.475*44/12</f>
        <v>3.6028875482206743E-12</v>
      </c>
      <c r="CN115" s="22">
        <f t="shared" si="66"/>
        <v>2.1581337905001434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319.22903094674564</v>
      </c>
      <c r="T116" s="59">
        <f t="shared" si="88"/>
        <v>254.58690973142848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475.01366239340246</v>
      </c>
      <c r="AO116" s="59">
        <f t="shared" si="90"/>
        <v>322.81767004794284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1.6802539335234927</v>
      </c>
      <c r="AV116" s="21">
        <f>EXP(-LN(2)/25)*AV115+(1-EXP(-LN(2)/25))/(LN(2)/25)*Calculateur!AQ116*Calculateur!AS116*VLOOKUP('Données projet'!$B$10,Paramètres!$A$1:$I$89,3,0)*0.475*44/12</f>
        <v>1.115574163413543</v>
      </c>
      <c r="AW116" s="21">
        <f>EXP(-LN(2)/2)*AW115+(1-EXP(-LN(2)/2))/(LN(2)/2)*AQ116*AT116*VLOOKUP('Données projet'!$B$10,Paramètres!$A$1:$I$89,3,0)*0.475*44/12</f>
        <v>3.264910525407119E-12</v>
      </c>
      <c r="AX116" s="21">
        <f t="shared" si="60"/>
        <v>2.7958280969403004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449.84356201138451</v>
      </c>
      <c r="BJ116" s="59">
        <f t="shared" si="92"/>
        <v>306.61893266146666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1.5828479083916989</v>
      </c>
      <c r="BQ116" s="21">
        <f>EXP(-LN(2)/25)*BQ115+(1-EXP(-LN(2)/25))/(LN(2)/25)*Calculateur!BL116*Calculateur!BN116*VLOOKUP('Données projet'!$B$11,Paramètres!$A$1:$I$89,3,0)*0.475*44/12</f>
        <v>1.0509031974185565</v>
      </c>
      <c r="BR116" s="21">
        <f>EXP(-LN(2)/2)*BR115+(1-EXP(-LN(2)/2))/(LN(2)/2)*BL116*BO116*VLOOKUP('Données projet'!$B$11,Paramètres!$A$1:$I$89,3,0)*0.475*44/12</f>
        <v>3.0756403500211983E-12</v>
      </c>
      <c r="BS116" s="22">
        <f t="shared" si="63"/>
        <v>2.6337511058133312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370.12772664814923</v>
      </c>
      <c r="CE116" s="59">
        <f t="shared" si="94"/>
        <v>292.26503163353146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1.445312285977107</v>
      </c>
      <c r="CL116" s="21">
        <f>EXP(-LN(2)/25)*CL115+(1-EXP(-LN(2)/25))/(LN(2)/25)*Calculateur!CG116*Calculateur!CI116*VLOOKUP('Données projet'!$B$12,Paramètres!$A$1:$I$89,3,0)*0.475*44/12</f>
        <v>0.66521129757400588</v>
      </c>
      <c r="CM116" s="21">
        <f>EXP(-LN(2)/2)*CM115+(1-EXP(-LN(2)/2))/(LN(2)/2)*CG116*CJ116*VLOOKUP('Données projet'!$B$12,Paramètres!$A$1:$I$89,3,0)*0.475*44/12</f>
        <v>2.5476262171994133E-12</v>
      </c>
      <c r="CN116" s="22">
        <f t="shared" si="66"/>
        <v>2.1105235835536607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319.22903094674564</v>
      </c>
      <c r="T117" s="59">
        <f t="shared" si="88"/>
        <v>254.58690973142848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475.01366239340246</v>
      </c>
      <c r="AO117" s="59">
        <f t="shared" si="90"/>
        <v>322.81767004794284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1.6473051787408006</v>
      </c>
      <c r="AV117" s="21">
        <f>EXP(-LN(2)/25)*AV116+(1-EXP(-LN(2)/25))/(LN(2)/25)*Calculateur!AQ117*Calculateur!AS117*VLOOKUP('Données projet'!$B$10,Paramètres!$A$1:$I$89,3,0)*0.475*44/12</f>
        <v>1.085068729249504</v>
      </c>
      <c r="AW117" s="21">
        <f>EXP(-LN(2)/2)*AW116+(1-EXP(-LN(2)/2))/(LN(2)/2)*AQ117*AT117*VLOOKUP('Données projet'!$B$10,Paramètres!$A$1:$I$89,3,0)*0.475*44/12</f>
        <v>2.3086403724827076E-12</v>
      </c>
      <c r="AX117" s="21">
        <f t="shared" si="60"/>
        <v>2.7323739079926135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449.84356201138451</v>
      </c>
      <c r="BJ117" s="59">
        <f t="shared" si="92"/>
        <v>306.61893266146666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1.5518092263500323</v>
      </c>
      <c r="BQ117" s="21">
        <f>EXP(-LN(2)/25)*BQ116+(1-EXP(-LN(2)/25))/(LN(2)/25)*Calculateur!BL117*Calculateur!BN117*VLOOKUP('Données projet'!$B$11,Paramètres!$A$1:$I$89,3,0)*0.475*44/12</f>
        <v>1.0221661942205489</v>
      </c>
      <c r="BR117" s="21">
        <f>EXP(-LN(2)/2)*BR116+(1-EXP(-LN(2)/2))/(LN(2)/2)*BL117*BO117*VLOOKUP('Données projet'!$B$11,Paramètres!$A$1:$I$89,3,0)*0.475*44/12</f>
        <v>2.1748061479909559E-12</v>
      </c>
      <c r="BS117" s="22">
        <f t="shared" si="63"/>
        <v>2.5739754205727556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370.12772664814923</v>
      </c>
      <c r="CE117" s="59">
        <f t="shared" si="94"/>
        <v>292.26503163353146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1.4169705936025443</v>
      </c>
      <c r="CL117" s="21">
        <f>EXP(-LN(2)/25)*CL116+(1-EXP(-LN(2)/25))/(LN(2)/25)*Calculateur!CG117*Calculateur!CI117*VLOOKUP('Données projet'!$B$12,Paramètres!$A$1:$I$89,3,0)*0.475*44/12</f>
        <v>0.64702105965990286</v>
      </c>
      <c r="CM117" s="21">
        <f>EXP(-LN(2)/2)*CM116+(1-EXP(-LN(2)/2))/(LN(2)/2)*CG117*CJ117*VLOOKUP('Données projet'!$B$12,Paramètres!$A$1:$I$89,3,0)*0.475*44/12</f>
        <v>1.8014437741103376E-12</v>
      </c>
      <c r="CN117" s="22">
        <f t="shared" si="66"/>
        <v>2.0639916532642486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319.22903094674564</v>
      </c>
      <c r="T118" s="59">
        <f t="shared" si="88"/>
        <v>254.58690973142848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475.01366239340246</v>
      </c>
      <c r="AO118" s="59">
        <f t="shared" si="90"/>
        <v>322.81767004794284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1.6150025289426411</v>
      </c>
      <c r="AV118" s="21">
        <f>EXP(-LN(2)/25)*AV117+(1-EXP(-LN(2)/25))/(LN(2)/25)*Calculateur!AQ118*Calculateur!AS118*VLOOKUP('Données projet'!$B$10,Paramètres!$A$1:$I$89,3,0)*0.475*44/12</f>
        <v>1.0553974677868918</v>
      </c>
      <c r="AW118" s="21">
        <f>EXP(-LN(2)/2)*AW117+(1-EXP(-LN(2)/2))/(LN(2)/2)*AQ118*AT118*VLOOKUP('Données projet'!$B$10,Paramètres!$A$1:$I$89,3,0)*0.475*44/12</f>
        <v>1.6324552627035595E-12</v>
      </c>
      <c r="AX118" s="21">
        <f t="shared" si="60"/>
        <v>2.6703999967311653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449.84356201138451</v>
      </c>
      <c r="BJ118" s="59">
        <f t="shared" si="92"/>
        <v>306.61893266146666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1.521379193931476</v>
      </c>
      <c r="BQ118" s="21">
        <f>EXP(-LN(2)/25)*BQ117+(1-EXP(-LN(2)/25))/(LN(2)/25)*Calculateur!BL118*Calculateur!BN118*VLOOKUP('Données projet'!$B$11,Paramètres!$A$1:$I$89,3,0)*0.475*44/12</f>
        <v>0.99421500588620404</v>
      </c>
      <c r="BR118" s="21">
        <f>EXP(-LN(2)/2)*BR117+(1-EXP(-LN(2)/2))/(LN(2)/2)*BL118*BO118*VLOOKUP('Données projet'!$B$11,Paramètres!$A$1:$I$89,3,0)*0.475*44/12</f>
        <v>1.5378201750105992E-12</v>
      </c>
      <c r="BS118" s="22">
        <f t="shared" si="63"/>
        <v>2.5155941998192177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370.12772664814923</v>
      </c>
      <c r="CE118" s="59">
        <f t="shared" si="94"/>
        <v>292.26503163353146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1.3891846645287211</v>
      </c>
      <c r="CL118" s="21">
        <f>EXP(-LN(2)/25)*CL117+(1-EXP(-LN(2)/25))/(LN(2)/25)*Calculateur!CG118*Calculateur!CI118*VLOOKUP('Données projet'!$B$12,Paramètres!$A$1:$I$89,3,0)*0.475*44/12</f>
        <v>0.62932823475814403</v>
      </c>
      <c r="CM118" s="21">
        <f>EXP(-LN(2)/2)*CM117+(1-EXP(-LN(2)/2))/(LN(2)/2)*CG118*CJ118*VLOOKUP('Données projet'!$B$12,Paramètres!$A$1:$I$89,3,0)*0.475*44/12</f>
        <v>1.2738131085997069E-12</v>
      </c>
      <c r="CN118" s="22">
        <f t="shared" si="66"/>
        <v>2.0185128992881389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319.22903094674564</v>
      </c>
      <c r="T119" s="59">
        <f t="shared" si="88"/>
        <v>254.58690973142848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475.01366239340246</v>
      </c>
      <c r="AO119" s="59">
        <f t="shared" si="90"/>
        <v>322.81767004794284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1.5833333144043524</v>
      </c>
      <c r="AV119" s="21">
        <f>EXP(-LN(2)/25)*AV118+(1-EXP(-LN(2)/25))/(LN(2)/25)*Calculateur!AQ119*Calculateur!AS119*VLOOKUP('Données projet'!$B$10,Paramètres!$A$1:$I$89,3,0)*0.475*44/12</f>
        <v>1.0265375685293185</v>
      </c>
      <c r="AW119" s="21">
        <f>EXP(-LN(2)/2)*AW118+(1-EXP(-LN(2)/2))/(LN(2)/2)*AQ119*AT119*VLOOKUP('Données projet'!$B$10,Paramètres!$A$1:$I$89,3,0)*0.475*44/12</f>
        <v>1.1543201862413538E-12</v>
      </c>
      <c r="AX119" s="21">
        <f t="shared" si="60"/>
        <v>2.6098708829348252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449.84356201138451</v>
      </c>
      <c r="BJ119" s="59">
        <f t="shared" si="92"/>
        <v>306.61893266146666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1.4915458758881606</v>
      </c>
      <c r="BQ119" s="21">
        <f>EXP(-LN(2)/25)*BQ118+(1-EXP(-LN(2)/25))/(LN(2)/25)*Calculateur!BL119*Calculateur!BN119*VLOOKUP('Données projet'!$B$11,Paramètres!$A$1:$I$89,3,0)*0.475*44/12</f>
        <v>0.96702814426675099</v>
      </c>
      <c r="BR119" s="21">
        <f>EXP(-LN(2)/2)*BR118+(1-EXP(-LN(2)/2))/(LN(2)/2)*BL119*BO119*VLOOKUP('Données projet'!$B$11,Paramètres!$A$1:$I$89,3,0)*0.475*44/12</f>
        <v>1.087403073995478E-12</v>
      </c>
      <c r="BS119" s="22">
        <f t="shared" si="63"/>
        <v>2.4585740201559991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370.12772664814923</v>
      </c>
      <c r="CE119" s="59">
        <f t="shared" si="94"/>
        <v>292.26503163353146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1.3619436005762924</v>
      </c>
      <c r="CL119" s="21">
        <f>EXP(-LN(2)/25)*CL118+(1-EXP(-LN(2)/25))/(LN(2)/25)*Calculateur!CG119*Calculateur!CI119*VLOOKUP('Données projet'!$B$12,Paramètres!$A$1:$I$89,3,0)*0.475*44/12</f>
        <v>0.61211922108374905</v>
      </c>
      <c r="CM119" s="21">
        <f>EXP(-LN(2)/2)*CM118+(1-EXP(-LN(2)/2))/(LN(2)/2)*CG119*CJ119*VLOOKUP('Données projet'!$B$12,Paramètres!$A$1:$I$89,3,0)*0.475*44/12</f>
        <v>9.0072188705516889E-13</v>
      </c>
      <c r="CN119" s="22">
        <f t="shared" si="66"/>
        <v>1.9740628216609419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319.22903094674564</v>
      </c>
      <c r="T120" s="59">
        <f t="shared" si="88"/>
        <v>254.58690973142848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475.01366239340246</v>
      </c>
      <c r="AO120" s="59">
        <f t="shared" si="90"/>
        <v>322.81767004794284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1.5522851138468461</v>
      </c>
      <c r="AV120" s="21">
        <f>EXP(-LN(2)/25)*AV119+(1-EXP(-LN(2)/25))/(LN(2)/25)*Calculateur!AQ120*Calculateur!AS120*VLOOKUP('Données projet'!$B$10,Paramètres!$A$1:$I$89,3,0)*0.475*44/12</f>
        <v>0.99846684473461977</v>
      </c>
      <c r="AW120" s="21">
        <f>EXP(-LN(2)/2)*AW119+(1-EXP(-LN(2)/2))/(LN(2)/2)*AQ120*AT120*VLOOKUP('Données projet'!$B$10,Paramètres!$A$1:$I$89,3,0)*0.475*44/12</f>
        <v>8.1622763135177976E-13</v>
      </c>
      <c r="AX120" s="21">
        <f t="shared" si="60"/>
        <v>2.550751958582282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449.84356201138451</v>
      </c>
      <c r="BJ120" s="59">
        <f t="shared" si="92"/>
        <v>306.61893266146666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1.4622975710151473</v>
      </c>
      <c r="BQ120" s="21">
        <f>EXP(-LN(2)/25)*BQ119+(1-EXP(-LN(2)/25))/(LN(2)/25)*Calculateur!BL120*Calculateur!BN120*VLOOKUP('Données projet'!$B$11,Paramètres!$A$1:$I$89,3,0)*0.475*44/12</f>
        <v>0.94058470880797673</v>
      </c>
      <c r="BR120" s="21">
        <f>EXP(-LN(2)/2)*BR119+(1-EXP(-LN(2)/2))/(LN(2)/2)*BL120*BO120*VLOOKUP('Données projet'!$B$11,Paramètres!$A$1:$I$89,3,0)*0.475*44/12</f>
        <v>7.6891008750529958E-13</v>
      </c>
      <c r="BS120" s="22">
        <f t="shared" si="63"/>
        <v>2.4028822798238929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370.12772664814923</v>
      </c>
      <c r="CE120" s="59">
        <f t="shared" si="94"/>
        <v>292.26503163353146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1.3352367172725625</v>
      </c>
      <c r="CL120" s="21">
        <f>EXP(-LN(2)/25)*CL119+(1-EXP(-LN(2)/25))/(LN(2)/25)*Calculateur!CG120*Calculateur!CI120*VLOOKUP('Données projet'!$B$12,Paramètres!$A$1:$I$89,3,0)*0.475*44/12</f>
        <v>0.59538078879326317</v>
      </c>
      <c r="CM120" s="21">
        <f>EXP(-LN(2)/2)*CM119+(1-EXP(-LN(2)/2))/(LN(2)/2)*CG120*CJ120*VLOOKUP('Données projet'!$B$12,Paramètres!$A$1:$I$89,3,0)*0.475*44/12</f>
        <v>6.3690655429985354E-13</v>
      </c>
      <c r="CN120" s="22">
        <f t="shared" si="66"/>
        <v>1.9306175060664625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319.22903094674564</v>
      </c>
      <c r="T121" s="59">
        <f t="shared" si="88"/>
        <v>254.58690973142848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475.01366239340246</v>
      </c>
      <c r="AO121" s="59">
        <f t="shared" si="90"/>
        <v>322.81767004794284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1.5218457495647402</v>
      </c>
      <c r="AV121" s="21">
        <f>EXP(-LN(2)/25)*AV120+(1-EXP(-LN(2)/25))/(LN(2)/25)*Calculateur!AQ121*Calculateur!AS121*VLOOKUP('Données projet'!$B$10,Paramètres!$A$1:$I$89,3,0)*0.475*44/12</f>
        <v>0.97116371635826226</v>
      </c>
      <c r="AW121" s="21">
        <f>EXP(-LN(2)/2)*AW120+(1-EXP(-LN(2)/2))/(LN(2)/2)*AQ121*AT121*VLOOKUP('Données projet'!$B$10,Paramètres!$A$1:$I$89,3,0)*0.475*44/12</f>
        <v>5.771600931206769E-13</v>
      </c>
      <c r="AX121" s="21">
        <f t="shared" si="60"/>
        <v>2.4930094659235795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449.84356201138451</v>
      </c>
      <c r="BJ121" s="59">
        <f t="shared" si="92"/>
        <v>306.61893266146666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1.4336228075609896</v>
      </c>
      <c r="BQ121" s="21">
        <f>EXP(-LN(2)/25)*BQ120+(1-EXP(-LN(2)/25))/(LN(2)/25)*Calculateur!BL121*Calculateur!BN121*VLOOKUP('Données projet'!$B$11,Paramètres!$A$1:$I$89,3,0)*0.475*44/12</f>
        <v>0.91486437048242253</v>
      </c>
      <c r="BR121" s="21">
        <f>EXP(-LN(2)/2)*BR120+(1-EXP(-LN(2)/2))/(LN(2)/2)*BL121*BO121*VLOOKUP('Données projet'!$B$11,Paramètres!$A$1:$I$89,3,0)*0.475*44/12</f>
        <v>5.4370153699773898E-13</v>
      </c>
      <c r="BS121" s="22">
        <f t="shared" si="63"/>
        <v>2.3484871780439556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370.12772664814923</v>
      </c>
      <c r="CE121" s="59">
        <f t="shared" si="94"/>
        <v>292.26503163353146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1.3090535396608285</v>
      </c>
      <c r="CL121" s="21">
        <f>EXP(-LN(2)/25)*CL120+(1-EXP(-LN(2)/25))/(LN(2)/25)*Calculateur!CG121*Calculateur!CI121*VLOOKUP('Données projet'!$B$12,Paramètres!$A$1:$I$89,3,0)*0.475*44/12</f>
        <v>0.57910006981399642</v>
      </c>
      <c r="CM121" s="21">
        <f>EXP(-LN(2)/2)*CM120+(1-EXP(-LN(2)/2))/(LN(2)/2)*CG121*CJ121*VLOOKUP('Données projet'!$B$12,Paramètres!$A$1:$I$89,3,0)*0.475*44/12</f>
        <v>4.5036094352758449E-13</v>
      </c>
      <c r="CN121" s="22">
        <f t="shared" si="66"/>
        <v>1.8881536094752751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319.22903094674564</v>
      </c>
      <c r="T122" s="59">
        <f t="shared" si="88"/>
        <v>254.58690973142848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475.01366239340246</v>
      </c>
      <c r="AO122" s="59">
        <f t="shared" si="90"/>
        <v>322.81767004794284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1.4920032826500274</v>
      </c>
      <c r="AV122" s="21">
        <f>EXP(-LN(2)/25)*AV121+(1-EXP(-LN(2)/25))/(LN(2)/25)*Calculateur!AQ122*Calculateur!AS122*VLOOKUP('Données projet'!$B$10,Paramètres!$A$1:$I$89,3,0)*0.475*44/12</f>
        <v>0.94460719346316535</v>
      </c>
      <c r="AW122" s="21">
        <f>EXP(-LN(2)/2)*AW121+(1-EXP(-LN(2)/2))/(LN(2)/2)*AQ122*AT122*VLOOKUP('Données projet'!$B$10,Paramètres!$A$1:$I$89,3,0)*0.475*44/12</f>
        <v>4.0811381567588988E-13</v>
      </c>
      <c r="AX122" s="21">
        <f t="shared" si="60"/>
        <v>2.4366104761136009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449.84356201138451</v>
      </c>
      <c r="BJ122" s="59">
        <f t="shared" si="92"/>
        <v>306.61893266146666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1.405510338728289</v>
      </c>
      <c r="BQ122" s="21">
        <f>EXP(-LN(2)/25)*BQ121+(1-EXP(-LN(2)/25))/(LN(2)/25)*Calculateur!BL122*Calculateur!BN122*VLOOKUP('Données projet'!$B$11,Paramètres!$A$1:$I$89,3,0)*0.475*44/12</f>
        <v>0.88984735616095434</v>
      </c>
      <c r="BR122" s="21">
        <f>EXP(-LN(2)/2)*BR121+(1-EXP(-LN(2)/2))/(LN(2)/2)*BL122*BO122*VLOOKUP('Données projet'!$B$11,Paramètres!$A$1:$I$89,3,0)*0.475*44/12</f>
        <v>3.8445504375264979E-13</v>
      </c>
      <c r="BS122" s="22">
        <f t="shared" si="63"/>
        <v>2.2953576948896277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370.12772664814923</v>
      </c>
      <c r="CE122" s="59">
        <f t="shared" si="94"/>
        <v>292.26503163353146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1.283383798191899</v>
      </c>
      <c r="CL122" s="21">
        <f>EXP(-LN(2)/25)*CL121+(1-EXP(-LN(2)/25))/(LN(2)/25)*Calculateur!CG122*Calculateur!CI122*VLOOKUP('Données projet'!$B$12,Paramètres!$A$1:$I$89,3,0)*0.475*44/12</f>
        <v>0.56326454795138359</v>
      </c>
      <c r="CM122" s="21">
        <f>EXP(-LN(2)/2)*CM121+(1-EXP(-LN(2)/2))/(LN(2)/2)*CG122*CJ122*VLOOKUP('Données projet'!$B$12,Paramètres!$A$1:$I$89,3,0)*0.475*44/12</f>
        <v>3.1845327714992682E-13</v>
      </c>
      <c r="CN122" s="22">
        <f t="shared" si="66"/>
        <v>1.846648346143601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319.22903094674564</v>
      </c>
      <c r="T123" s="59">
        <f t="shared" si="88"/>
        <v>254.58690973142848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475.01366239340246</v>
      </c>
      <c r="AO123" s="59">
        <f t="shared" si="90"/>
        <v>322.81767004794284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1.4627460083094046</v>
      </c>
      <c r="AV123" s="21">
        <f>EXP(-LN(2)/25)*AV122+(1-EXP(-LN(2)/25))/(LN(2)/25)*Calculateur!AQ123*Calculateur!AS123*VLOOKUP('Données projet'!$B$10,Paramètres!$A$1:$I$89,3,0)*0.475*44/12</f>
        <v>0.91877686008318171</v>
      </c>
      <c r="AW123" s="21">
        <f>EXP(-LN(2)/2)*AW122+(1-EXP(-LN(2)/2))/(LN(2)/2)*AQ123*AT123*VLOOKUP('Données projet'!$B$10,Paramètres!$A$1:$I$89,3,0)*0.475*44/12</f>
        <v>2.8858004656033845E-13</v>
      </c>
      <c r="AX123" s="21">
        <f t="shared" si="60"/>
        <v>2.3815228683928749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449.84356201138451</v>
      </c>
      <c r="BJ123" s="59">
        <f t="shared" si="92"/>
        <v>306.61893266146666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1.3779491382624849</v>
      </c>
      <c r="BQ123" s="21">
        <f>EXP(-LN(2)/25)*BQ122+(1-EXP(-LN(2)/25))/(LN(2)/25)*Calculateur!BL123*Calculateur!BN123*VLOOKUP('Données projet'!$B$11,Paramètres!$A$1:$I$89,3,0)*0.475*44/12</f>
        <v>0.86551443341169432</v>
      </c>
      <c r="BR123" s="21">
        <f>EXP(-LN(2)/2)*BR122+(1-EXP(-LN(2)/2))/(LN(2)/2)*BL123*BO123*VLOOKUP('Données projet'!$B$11,Paramètres!$A$1:$I$89,3,0)*0.475*44/12</f>
        <v>2.7185076849886949E-13</v>
      </c>
      <c r="BS123" s="22">
        <f t="shared" si="63"/>
        <v>2.2434635716744511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370.12772664814923</v>
      </c>
      <c r="CE123" s="59">
        <f t="shared" si="94"/>
        <v>292.26503163353146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1.258217424696179</v>
      </c>
      <c r="CL123" s="21">
        <f>EXP(-LN(2)/25)*CL122+(1-EXP(-LN(2)/25))/(LN(2)/25)*Calculateur!CG123*Calculateur!CI123*VLOOKUP('Données projet'!$B$12,Paramètres!$A$1:$I$89,3,0)*0.475*44/12</f>
        <v>0.54786204926685778</v>
      </c>
      <c r="CM123" s="21">
        <f>EXP(-LN(2)/2)*CM122+(1-EXP(-LN(2)/2))/(LN(2)/2)*CG123*CJ123*VLOOKUP('Données projet'!$B$12,Paramètres!$A$1:$I$89,3,0)*0.475*44/12</f>
        <v>2.251804717637923E-13</v>
      </c>
      <c r="CN123" s="22">
        <f t="shared" si="66"/>
        <v>1.806079473963262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319.22903094674564</v>
      </c>
      <c r="T124" s="59">
        <f t="shared" si="88"/>
        <v>254.58690973142848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475.01366239340246</v>
      </c>
      <c r="AO124" s="59">
        <f t="shared" si="90"/>
        <v>322.81767004794284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1.4340624512734261</v>
      </c>
      <c r="AV124" s="21">
        <f>EXP(-LN(2)/25)*AV123+(1-EXP(-LN(2)/25))/(LN(2)/25)*Calculateur!AQ124*Calculateur!AS124*VLOOKUP('Données projet'!$B$10,Paramètres!$A$1:$I$89,3,0)*0.475*44/12</f>
        <v>0.89365285852783194</v>
      </c>
      <c r="AW124" s="21">
        <f>EXP(-LN(2)/2)*AW123+(1-EXP(-LN(2)/2))/(LN(2)/2)*AQ124*AT124*VLOOKUP('Données projet'!$B$10,Paramètres!$A$1:$I$89,3,0)*0.475*44/12</f>
        <v>2.0405690783794494E-13</v>
      </c>
      <c r="AX124" s="21">
        <f t="shared" si="60"/>
        <v>2.3277153098014618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449.84356201138451</v>
      </c>
      <c r="BJ124" s="59">
        <f t="shared" si="92"/>
        <v>306.61893266146666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1.3509283961271428</v>
      </c>
      <c r="BQ124" s="21">
        <f>EXP(-LN(2)/25)*BQ123+(1-EXP(-LN(2)/25))/(LN(2)/25)*Calculateur!BL124*Calculateur!BN124*VLOOKUP('Données projet'!$B$11,Paramètres!$A$1:$I$89,3,0)*0.475*44/12</f>
        <v>0.84184689571462568</v>
      </c>
      <c r="BR124" s="21">
        <f>EXP(-LN(2)/2)*BR123+(1-EXP(-LN(2)/2))/(LN(2)/2)*BL124*BO124*VLOOKUP('Données projet'!$B$11,Paramètres!$A$1:$I$89,3,0)*0.475*44/12</f>
        <v>1.922275218763249E-13</v>
      </c>
      <c r="BS124" s="22">
        <f t="shared" si="63"/>
        <v>2.192775291841961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370.12772664814923</v>
      </c>
      <c r="CE124" s="59">
        <f t="shared" si="94"/>
        <v>292.26503163353146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1.233544548434738</v>
      </c>
      <c r="CL124" s="21">
        <f>EXP(-LN(2)/25)*CL123+(1-EXP(-LN(2)/25))/(LN(2)/25)*Calculateur!CG124*Calculateur!CI124*VLOOKUP('Données projet'!$B$12,Paramètres!$A$1:$I$89,3,0)*0.475*44/12</f>
        <v>0.53288073271884251</v>
      </c>
      <c r="CM124" s="21">
        <f>EXP(-LN(2)/2)*CM123+(1-EXP(-LN(2)/2))/(LN(2)/2)*CG124*CJ124*VLOOKUP('Données projet'!$B$12,Paramètres!$A$1:$I$89,3,0)*0.475*44/12</f>
        <v>1.5922663857496344E-13</v>
      </c>
      <c r="CN124" s="22">
        <f t="shared" si="66"/>
        <v>1.7664252811537398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319.22903094674564</v>
      </c>
      <c r="T125" s="59">
        <f t="shared" si="88"/>
        <v>254.58690973142848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475.01366239340246</v>
      </c>
      <c r="AO125" s="59">
        <f t="shared" si="90"/>
        <v>322.81767004794284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1.4059413612956808</v>
      </c>
      <c r="AV125" s="21">
        <f>EXP(-LN(2)/25)*AV124+(1-EXP(-LN(2)/25))/(LN(2)/25)*Calculateur!AQ125*Calculateur!AS125*VLOOKUP('Données projet'!$B$10,Paramètres!$A$1:$I$89,3,0)*0.475*44/12</f>
        <v>0.86921587411622703</v>
      </c>
      <c r="AW125" s="21">
        <f>EXP(-LN(2)/2)*AW124+(1-EXP(-LN(2)/2))/(LN(2)/2)*AQ125*AT125*VLOOKUP('Données projet'!$B$10,Paramètres!$A$1:$I$89,3,0)*0.475*44/12</f>
        <v>1.4429002328016923E-13</v>
      </c>
      <c r="AX125" s="21">
        <f t="shared" si="60"/>
        <v>2.2751572354120522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449.84356201138451</v>
      </c>
      <c r="BJ125" s="59">
        <f t="shared" si="92"/>
        <v>306.61893266146666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1.3244375142640494</v>
      </c>
      <c r="BQ125" s="21">
        <f>EXP(-LN(2)/25)*BQ124+(1-EXP(-LN(2)/25))/(LN(2)/25)*Calculateur!BL125*Calculateur!BN125*VLOOKUP('Données projet'!$B$11,Paramètres!$A$1:$I$89,3,0)*0.475*44/12</f>
        <v>0.81882654808050503</v>
      </c>
      <c r="BR125" s="21">
        <f>EXP(-LN(2)/2)*BR124+(1-EXP(-LN(2)/2))/(LN(2)/2)*BL125*BO125*VLOOKUP('Données projet'!$B$11,Paramètres!$A$1:$I$89,3,0)*0.475*44/12</f>
        <v>1.3592538424943474E-13</v>
      </c>
      <c r="BS125" s="22">
        <f t="shared" si="63"/>
        <v>2.1432640623446906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370.12772664814923</v>
      </c>
      <c r="CE125" s="59">
        <f t="shared" si="94"/>
        <v>292.26503163353146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1.2093554922278151</v>
      </c>
      <c r="CL125" s="21">
        <f>EXP(-LN(2)/25)*CL124+(1-EXP(-LN(2)/25))/(LN(2)/25)*Calculateur!CG125*Calculateur!CI125*VLOOKUP('Données projet'!$B$12,Paramètres!$A$1:$I$89,3,0)*0.475*44/12</f>
        <v>0.51830908105966589</v>
      </c>
      <c r="CM125" s="21">
        <f>EXP(-LN(2)/2)*CM124+(1-EXP(-LN(2)/2))/(LN(2)/2)*CG125*CJ125*VLOOKUP('Données projet'!$B$12,Paramètres!$A$1:$I$89,3,0)*0.475*44/12</f>
        <v>1.1259023588189616E-13</v>
      </c>
      <c r="CN125" s="22">
        <f t="shared" si="66"/>
        <v>1.7276645732875935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319.22903094674564</v>
      </c>
      <c r="T126" s="59">
        <f t="shared" si="88"/>
        <v>254.58690973142848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475.01366239340246</v>
      </c>
      <c r="AO126" s="59">
        <f t="shared" si="90"/>
        <v>322.81767004794284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1.3783717087402279</v>
      </c>
      <c r="AV126" s="21">
        <f>EXP(-LN(2)/25)*AV125+(1-EXP(-LN(2)/25))/(LN(2)/25)*Calculateur!AQ126*Calculateur!AS126*VLOOKUP('Données projet'!$B$10,Paramètres!$A$1:$I$89,3,0)*0.475*44/12</f>
        <v>0.8454471203284426</v>
      </c>
      <c r="AW126" s="21">
        <f>EXP(-LN(2)/2)*AW125+(1-EXP(-LN(2)/2))/(LN(2)/2)*AQ126*AT126*VLOOKUP('Données projet'!$B$10,Paramètres!$A$1:$I$89,3,0)*0.475*44/12</f>
        <v>1.0202845391897247E-13</v>
      </c>
      <c r="AX126" s="21">
        <f t="shared" si="60"/>
        <v>2.2238188290687724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449.84356201138451</v>
      </c>
      <c r="BJ126" s="59">
        <f t="shared" si="92"/>
        <v>306.61893266146666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1.2984661024364488</v>
      </c>
      <c r="BQ126" s="21">
        <f>EXP(-LN(2)/25)*BQ125+(1-EXP(-LN(2)/25))/(LN(2)/25)*Calculateur!BL126*Calculateur!BN126*VLOOKUP('Données projet'!$B$11,Paramètres!$A$1:$I$89,3,0)*0.475*44/12</f>
        <v>0.79643569306302686</v>
      </c>
      <c r="BR126" s="21">
        <f>EXP(-LN(2)/2)*BR125+(1-EXP(-LN(2)/2))/(LN(2)/2)*BL126*BO126*VLOOKUP('Données projet'!$B$11,Paramètres!$A$1:$I$89,3,0)*0.475*44/12</f>
        <v>9.6113760938162448E-14</v>
      </c>
      <c r="BS126" s="22">
        <f t="shared" si="63"/>
        <v>2.0949017954995717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370.12772664814923</v>
      </c>
      <c r="CE126" s="59">
        <f t="shared" si="94"/>
        <v>292.26503163353146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1.1856407686592427</v>
      </c>
      <c r="CL126" s="21">
        <f>EXP(-LN(2)/25)*CL125+(1-EXP(-LN(2)/25))/(LN(2)/25)*Calculateur!CG126*Calculateur!CI126*VLOOKUP('Données projet'!$B$12,Paramètres!$A$1:$I$89,3,0)*0.475*44/12</f>
        <v>0.50413589198139941</v>
      </c>
      <c r="CM126" s="21">
        <f>EXP(-LN(2)/2)*CM125+(1-EXP(-LN(2)/2))/(LN(2)/2)*CG126*CJ126*VLOOKUP('Données projet'!$B$12,Paramètres!$A$1:$I$89,3,0)*0.475*44/12</f>
        <v>7.961331928748173E-14</v>
      </c>
      <c r="CN126" s="22">
        <f t="shared" si="66"/>
        <v>1.6897766606407219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319.22903094674564</v>
      </c>
      <c r="T127" s="59">
        <f t="shared" si="88"/>
        <v>254.58690973142848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475.01366239340246</v>
      </c>
      <c r="AO127" s="59">
        <f t="shared" si="90"/>
        <v>322.81767004794284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1.3513426802555597</v>
      </c>
      <c r="AV127" s="21">
        <f>EXP(-LN(2)/25)*AV126+(1-EXP(-LN(2)/25))/(LN(2)/25)*Calculateur!AQ127*Calculateur!AS127*VLOOKUP('Données projet'!$B$10,Paramètres!$A$1:$I$89,3,0)*0.475*44/12</f>
        <v>0.82232832436292957</v>
      </c>
      <c r="AW127" s="21">
        <f>EXP(-LN(2)/2)*AW126+(1-EXP(-LN(2)/2))/(LN(2)/2)*AQ127*AT127*VLOOKUP('Données projet'!$B$10,Paramètres!$A$1:$I$89,3,0)*0.475*44/12</f>
        <v>7.2145011640084613E-14</v>
      </c>
      <c r="AX127" s="21">
        <f t="shared" si="60"/>
        <v>2.1736710046185612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449.84356201138451</v>
      </c>
      <c r="BJ127" s="59">
        <f t="shared" si="92"/>
        <v>306.61893266146666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1.2730039741537904</v>
      </c>
      <c r="BQ127" s="21">
        <f>EXP(-LN(2)/25)*BQ126+(1-EXP(-LN(2)/25))/(LN(2)/25)*Calculateur!BL127*Calculateur!BN127*VLOOKUP('Données projet'!$B$11,Paramètres!$A$1:$I$89,3,0)*0.475*44/12</f>
        <v>0.77465711715348562</v>
      </c>
      <c r="BR127" s="21">
        <f>EXP(-LN(2)/2)*BR126+(1-EXP(-LN(2)/2))/(LN(2)/2)*BL127*BO127*VLOOKUP('Données projet'!$B$11,Paramètres!$A$1:$I$89,3,0)*0.475*44/12</f>
        <v>6.7962692124717372E-14</v>
      </c>
      <c r="BS127" s="22">
        <f t="shared" si="63"/>
        <v>2.0476610913073441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370.12772664814923</v>
      </c>
      <c r="CE127" s="59">
        <f t="shared" si="94"/>
        <v>292.26503163353146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1.1623910763552967</v>
      </c>
      <c r="CL127" s="21">
        <f>EXP(-LN(2)/25)*CL126+(1-EXP(-LN(2)/25))/(LN(2)/25)*Calculateur!CG127*Calculateur!CI127*VLOOKUP('Données projet'!$B$12,Paramètres!$A$1:$I$89,3,0)*0.475*44/12</f>
        <v>0.49035026950381372</v>
      </c>
      <c r="CM127" s="21">
        <f>EXP(-LN(2)/2)*CM126+(1-EXP(-LN(2)/2))/(LN(2)/2)*CG127*CJ127*VLOOKUP('Données projet'!$B$12,Paramètres!$A$1:$I$89,3,0)*0.475*44/12</f>
        <v>5.6295117940948093E-14</v>
      </c>
      <c r="CN127" s="22">
        <f t="shared" si="66"/>
        <v>1.6527413458591669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319.22903094674564</v>
      </c>
      <c r="T128" s="59">
        <f t="shared" si="88"/>
        <v>254.58690973142848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475.01366239340246</v>
      </c>
      <c r="AO128" s="59">
        <f t="shared" si="90"/>
        <v>322.81767004794284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1.3248436745333965</v>
      </c>
      <c r="AV128" s="21">
        <f>EXP(-LN(2)/25)*AV127+(1-EXP(-LN(2)/25))/(LN(2)/25)*Calculateur!AQ128*Calculateur!AS128*VLOOKUP('Données projet'!$B$10,Paramètres!$A$1:$I$89,3,0)*0.475*44/12</f>
        <v>0.7998417130888581</v>
      </c>
      <c r="AW128" s="21">
        <f>EXP(-LN(2)/2)*AW127+(1-EXP(-LN(2)/2))/(LN(2)/2)*AQ128*AT128*VLOOKUP('Données projet'!$B$10,Paramètres!$A$1:$I$89,3,0)*0.475*44/12</f>
        <v>5.1014226959486235E-14</v>
      </c>
      <c r="AX128" s="21">
        <f t="shared" si="60"/>
        <v>2.1246853876223057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449.84356201138451</v>
      </c>
      <c r="BJ128" s="59">
        <f t="shared" si="92"/>
        <v>306.61893266146666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1.2480411426763902</v>
      </c>
      <c r="BQ128" s="21">
        <f>EXP(-LN(2)/25)*BQ127+(1-EXP(-LN(2)/25))/(LN(2)/25)*Calculateur!BL128*Calculateur!BN128*VLOOKUP('Données projet'!$B$11,Paramètres!$A$1:$I$89,3,0)*0.475*44/12</f>
        <v>0.75347407754747631</v>
      </c>
      <c r="BR128" s="21">
        <f>EXP(-LN(2)/2)*BR127+(1-EXP(-LN(2)/2))/(LN(2)/2)*BL128*BO128*VLOOKUP('Données projet'!$B$11,Paramètres!$A$1:$I$89,3,0)*0.475*44/12</f>
        <v>4.8056880469081224E-14</v>
      </c>
      <c r="BS128" s="22">
        <f t="shared" si="63"/>
        <v>2.0015152202239146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370.12772664814923</v>
      </c>
      <c r="CE128" s="59">
        <f t="shared" si="94"/>
        <v>292.26503163353146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1.1395972963365191</v>
      </c>
      <c r="CL128" s="21">
        <f>EXP(-LN(2)/25)*CL127+(1-EXP(-LN(2)/25))/(LN(2)/25)*Calculateur!CG128*Calculateur!CI128*VLOOKUP('Données projet'!$B$12,Paramètres!$A$1:$I$89,3,0)*0.475*44/12</f>
        <v>0.47694161559783199</v>
      </c>
      <c r="CM128" s="21">
        <f>EXP(-LN(2)/2)*CM127+(1-EXP(-LN(2)/2))/(LN(2)/2)*CG128*CJ128*VLOOKUP('Données projet'!$B$12,Paramètres!$A$1:$I$89,3,0)*0.475*44/12</f>
        <v>3.9806659643740871E-14</v>
      </c>
      <c r="CN128" s="22">
        <f t="shared" si="66"/>
        <v>1.6165389119343907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319.22903094674564</v>
      </c>
      <c r="T129" s="59">
        <f t="shared" si="88"/>
        <v>254.58690973142848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475.01366239340246</v>
      </c>
      <c r="AO129" s="59">
        <f t="shared" si="90"/>
        <v>322.81767004794284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1.2988642981506473</v>
      </c>
      <c r="AV129" s="21">
        <f>EXP(-LN(2)/25)*AV128+(1-EXP(-LN(2)/25))/(LN(2)/25)*Calculateur!AQ129*Calculateur!AS129*VLOOKUP('Données projet'!$B$10,Paramètres!$A$1:$I$89,3,0)*0.475*44/12</f>
        <v>0.77796999938259559</v>
      </c>
      <c r="AW129" s="21">
        <f>EXP(-LN(2)/2)*AW128+(1-EXP(-LN(2)/2))/(LN(2)/2)*AQ129*AT129*VLOOKUP('Données projet'!$B$10,Paramètres!$A$1:$I$89,3,0)*0.475*44/12</f>
        <v>3.6072505820042306E-14</v>
      </c>
      <c r="AX129" s="21">
        <f t="shared" si="60"/>
        <v>2.0768342975332788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449.84356201138451</v>
      </c>
      <c r="BJ129" s="59">
        <f t="shared" si="92"/>
        <v>306.61893266146666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1.2235678170984381</v>
      </c>
      <c r="BQ129" s="21">
        <f>EXP(-LN(2)/25)*BQ128+(1-EXP(-LN(2)/25))/(LN(2)/25)*Calculateur!BL129*Calculateur!BN129*VLOOKUP('Données projet'!$B$11,Paramètres!$A$1:$I$89,3,0)*0.475*44/12</f>
        <v>0.73287028927346087</v>
      </c>
      <c r="BR129" s="21">
        <f>EXP(-LN(2)/2)*BR128+(1-EXP(-LN(2)/2))/(LN(2)/2)*BL129*BO129*VLOOKUP('Données projet'!$B$11,Paramètres!$A$1:$I$89,3,0)*0.475*44/12</f>
        <v>3.3981346062358686E-14</v>
      </c>
      <c r="BS129" s="22">
        <f t="shared" si="63"/>
        <v>1.9564381063719329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370.12772664814923</v>
      </c>
      <c r="CE129" s="59">
        <f t="shared" si="94"/>
        <v>292.26503163353146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1.1172504884410768</v>
      </c>
      <c r="CL129" s="21">
        <f>EXP(-LN(2)/25)*CL128+(1-EXP(-LN(2)/25))/(LN(2)/25)*Calculateur!CG129*Calculateur!CI129*VLOOKUP('Données projet'!$B$12,Paramètres!$A$1:$I$89,3,0)*0.475*44/12</f>
        <v>0.46389962203803975</v>
      </c>
      <c r="CM129" s="21">
        <f>EXP(-LN(2)/2)*CM128+(1-EXP(-LN(2)/2))/(LN(2)/2)*CG129*CJ129*VLOOKUP('Données projet'!$B$12,Paramètres!$A$1:$I$89,3,0)*0.475*44/12</f>
        <v>2.814755897047405E-14</v>
      </c>
      <c r="CN129" s="22">
        <f t="shared" si="66"/>
        <v>1.5811501104791448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319.22903094674564</v>
      </c>
      <c r="T130" s="59">
        <f t="shared" si="88"/>
        <v>254.58690973142848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475.01366239340246</v>
      </c>
      <c r="AO130" s="59">
        <f t="shared" si="90"/>
        <v>322.81767004794284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1.2733943614929089</v>
      </c>
      <c r="AV130" s="21">
        <f>EXP(-LN(2)/25)*AV129+(1-EXP(-LN(2)/25))/(LN(2)/25)*Calculateur!AQ130*Calculateur!AS130*VLOOKUP('Données projet'!$B$10,Paramètres!$A$1:$I$89,3,0)*0.475*44/12</f>
        <v>0.75669636883781433</v>
      </c>
      <c r="AW130" s="21">
        <f>EXP(-LN(2)/2)*AW129+(1-EXP(-LN(2)/2))/(LN(2)/2)*AQ130*AT130*VLOOKUP('Données projet'!$B$10,Paramètres!$A$1:$I$89,3,0)*0.475*44/12</f>
        <v>2.5507113479743118E-14</v>
      </c>
      <c r="AX130" s="21">
        <f t="shared" si="60"/>
        <v>2.0300907303307487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449.84356201138451</v>
      </c>
      <c r="BJ130" s="59">
        <f t="shared" si="92"/>
        <v>306.61893266146666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1.1995743985078149</v>
      </c>
      <c r="BQ130" s="21">
        <f>EXP(-LN(2)/25)*BQ129+(1-EXP(-LN(2)/25))/(LN(2)/25)*Calculateur!BL130*Calculateur!BN130*VLOOKUP('Données projet'!$B$11,Paramètres!$A$1:$I$89,3,0)*0.475*44/12</f>
        <v>0.71282991267330453</v>
      </c>
      <c r="BR130" s="21">
        <f>EXP(-LN(2)/2)*BR129+(1-EXP(-LN(2)/2))/(LN(2)/2)*BL130*BO130*VLOOKUP('Données projet'!$B$11,Paramètres!$A$1:$I$89,3,0)*0.475*44/12</f>
        <v>2.4028440234540612E-14</v>
      </c>
      <c r="BS130" s="22">
        <f t="shared" si="63"/>
        <v>1.9124043111811435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370.12772664814923</v>
      </c>
      <c r="CE130" s="59">
        <f t="shared" si="94"/>
        <v>292.26503163353146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1.095341887818257</v>
      </c>
      <c r="CL130" s="21">
        <f>EXP(-LN(2)/25)*CL129+(1-EXP(-LN(2)/25))/(LN(2)/25)*Calculateur!CG130*Calculateur!CI130*VLOOKUP('Données projet'!$B$12,Paramètres!$A$1:$I$89,3,0)*0.475*44/12</f>
        <v>0.45121426247798868</v>
      </c>
      <c r="CM130" s="21">
        <f>EXP(-LN(2)/2)*CM129+(1-EXP(-LN(2)/2))/(LN(2)/2)*CG130*CJ130*VLOOKUP('Données projet'!$B$12,Paramètres!$A$1:$I$89,3,0)*0.475*44/12</f>
        <v>1.9903329821870439E-14</v>
      </c>
      <c r="CN130" s="22">
        <f t="shared" si="66"/>
        <v>1.5465561502962657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319.22903094674564</v>
      </c>
      <c r="T131" s="59">
        <f t="shared" si="88"/>
        <v>254.58690973142848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475.01366239340246</v>
      </c>
      <c r="AO131" s="59">
        <f t="shared" si="90"/>
        <v>322.81767004794284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1.2484238747579013</v>
      </c>
      <c r="AV131" s="21">
        <f>EXP(-LN(2)/25)*AV130+(1-EXP(-LN(2)/25))/(LN(2)/25)*Calculateur!AQ131*Calculateur!AS131*VLOOKUP('Données projet'!$B$10,Paramètres!$A$1:$I$89,3,0)*0.475*44/12</f>
        <v>0.73600446683901166</v>
      </c>
      <c r="AW131" s="21">
        <f>EXP(-LN(2)/2)*AW130+(1-EXP(-LN(2)/2))/(LN(2)/2)*AQ131*AT131*VLOOKUP('Données projet'!$B$10,Paramètres!$A$1:$I$89,3,0)*0.475*44/12</f>
        <v>1.8036252910021153E-14</v>
      </c>
      <c r="AX131" s="21">
        <f t="shared" si="60"/>
        <v>1.9844283415969308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449.84356201138451</v>
      </c>
      <c r="BJ131" s="59">
        <f t="shared" si="92"/>
        <v>306.61893266146666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1.1760514762212135</v>
      </c>
      <c r="BQ131" s="21">
        <f>EXP(-LN(2)/25)*BQ130+(1-EXP(-LN(2)/25))/(LN(2)/25)*Calculateur!BL131*Calculateur!BN131*VLOOKUP('Données projet'!$B$11,Paramètres!$A$1:$I$89,3,0)*0.475*44/12</f>
        <v>0.69333754122515712</v>
      </c>
      <c r="BR131" s="21">
        <f>EXP(-LN(2)/2)*BR130+(1-EXP(-LN(2)/2))/(LN(2)/2)*BL131*BO131*VLOOKUP('Données projet'!$B$11,Paramètres!$A$1:$I$89,3,0)*0.475*44/12</f>
        <v>1.6990673031179343E-14</v>
      </c>
      <c r="BS131" s="22">
        <f t="shared" si="63"/>
        <v>1.8693890174463876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370.12772664814923</v>
      </c>
      <c r="CE131" s="59">
        <f t="shared" si="94"/>
        <v>292.26503163353146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1.0738629014907239</v>
      </c>
      <c r="CL131" s="21">
        <f>EXP(-LN(2)/25)*CL130+(1-EXP(-LN(2)/25))/(LN(2)/25)*Calculateur!CG131*Calculateur!CI131*VLOOKUP('Données projet'!$B$12,Paramètres!$A$1:$I$89,3,0)*0.475*44/12</f>
        <v>0.43887578474220129</v>
      </c>
      <c r="CM131" s="21">
        <f>EXP(-LN(2)/2)*CM130+(1-EXP(-LN(2)/2))/(LN(2)/2)*CG131*CJ131*VLOOKUP('Données projet'!$B$12,Paramètres!$A$1:$I$89,3,0)*0.475*44/12</f>
        <v>1.4073779485237028E-14</v>
      </c>
      <c r="CN131" s="22">
        <f t="shared" si="66"/>
        <v>1.5127386862329393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319.22903094674564</v>
      </c>
      <c r="T132" s="59">
        <f t="shared" si="88"/>
        <v>254.58690973142848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475.01366239340246</v>
      </c>
      <c r="AO132" s="59">
        <f t="shared" si="90"/>
        <v>322.81767004794284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1.2239430440372743</v>
      </c>
      <c r="AV132" s="21">
        <f>EXP(-LN(2)/25)*AV131+(1-EXP(-LN(2)/25))/(LN(2)/25)*Calculateur!AQ132*Calculateur!AS132*VLOOKUP('Données projet'!$B$10,Paramètres!$A$1:$I$89,3,0)*0.475*44/12</f>
        <v>0.71587838598850617</v>
      </c>
      <c r="AW132" s="21">
        <f>EXP(-LN(2)/2)*AW131+(1-EXP(-LN(2)/2))/(LN(2)/2)*AQ132*AT132*VLOOKUP('Données projet'!$B$10,Paramètres!$A$1:$I$89,3,0)*0.475*44/12</f>
        <v>1.2753556739871559E-14</v>
      </c>
      <c r="AX132" s="21">
        <f t="shared" ref="AX132:AX153" si="114">SUM(AU132:AW132)</f>
        <v>1.9398214300257932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449.84356201138451</v>
      </c>
      <c r="BJ132" s="59">
        <f t="shared" si="92"/>
        <v>306.61893266146666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1.1529898240930865</v>
      </c>
      <c r="BQ132" s="21">
        <f>EXP(-LN(2)/25)*BQ131+(1-EXP(-LN(2)/25))/(LN(2)/25)*Calculateur!BL132*Calculateur!BN132*VLOOKUP('Données projet'!$B$11,Paramètres!$A$1:$I$89,3,0)*0.475*44/12</f>
        <v>0.67437818969931851</v>
      </c>
      <c r="BR132" s="21">
        <f>EXP(-LN(2)/2)*BR131+(1-EXP(-LN(2)/2))/(LN(2)/2)*BL132*BO132*VLOOKUP('Données projet'!$B$11,Paramètres!$A$1:$I$89,3,0)*0.475*44/12</f>
        <v>1.2014220117270306E-14</v>
      </c>
      <c r="BS132" s="22">
        <f t="shared" ref="BS132:BS153" si="117">SUM(BP132:BR132)</f>
        <v>1.8273680137924169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370.12772664814923</v>
      </c>
      <c r="CE132" s="59">
        <f t="shared" si="94"/>
        <v>292.26503163353146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1.0528051049841858</v>
      </c>
      <c r="CL132" s="21">
        <f>EXP(-LN(2)/25)*CL131+(1-EXP(-LN(2)/25))/(LN(2)/25)*Calculateur!CG132*Calculateur!CI132*VLOOKUP('Données projet'!$B$12,Paramètres!$A$1:$I$89,3,0)*0.475*44/12</f>
        <v>0.42687470332895133</v>
      </c>
      <c r="CM132" s="21">
        <f>EXP(-LN(2)/2)*CM131+(1-EXP(-LN(2)/2))/(LN(2)/2)*CG132*CJ132*VLOOKUP('Données projet'!$B$12,Paramètres!$A$1:$I$89,3,0)*0.475*44/12</f>
        <v>9.951664910935221E-15</v>
      </c>
      <c r="CN132" s="22">
        <f t="shared" ref="CN132:CN153" si="120">SUM(CK132:CM132)</f>
        <v>1.479679808313147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319.22903094674564</v>
      </c>
      <c r="T133" s="59">
        <f t="shared" ref="T133:T196" si="142">$T$3</f>
        <v>254.58690973142848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475.01366239340246</v>
      </c>
      <c r="AO133" s="59">
        <f t="shared" ref="AO133:AO196" si="144">$AO$3</f>
        <v>322.81767004794284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1.1999422674752462</v>
      </c>
      <c r="AV133" s="21">
        <f>EXP(-LN(2)/25)*AV132+(1-EXP(-LN(2)/25))/(LN(2)/25)*Calculateur!AQ133*Calculateur!AS133*VLOOKUP('Données projet'!$B$10,Paramètres!$A$1:$I$89,3,0)*0.475*44/12</f>
        <v>0.69630265387724233</v>
      </c>
      <c r="AW133" s="21">
        <f>EXP(-LN(2)/2)*AW132+(1-EXP(-LN(2)/2))/(LN(2)/2)*AQ133*AT133*VLOOKUP('Données projet'!$B$10,Paramètres!$A$1:$I$89,3,0)*0.475*44/12</f>
        <v>9.0181264550105766E-15</v>
      </c>
      <c r="AX133" s="21">
        <f t="shared" si="114"/>
        <v>1.8962449213524977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449.84356201138451</v>
      </c>
      <c r="BJ133" s="59">
        <f t="shared" ref="BJ133:BJ196" si="146">$BJ$3</f>
        <v>306.61893266146666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1.1303803968969732</v>
      </c>
      <c r="BQ133" s="21">
        <f>EXP(-LN(2)/25)*BQ132+(1-EXP(-LN(2)/25))/(LN(2)/25)*Calculateur!BL133*Calculateur!BN133*VLOOKUP('Données projet'!$B$11,Paramètres!$A$1:$I$89,3,0)*0.475*44/12</f>
        <v>0.65593728263798301</v>
      </c>
      <c r="BR133" s="21">
        <f>EXP(-LN(2)/2)*BR132+(1-EXP(-LN(2)/2))/(LN(2)/2)*BL133*BO133*VLOOKUP('Données projet'!$B$11,Paramètres!$A$1:$I$89,3,0)*0.475*44/12</f>
        <v>8.4953365155896715E-15</v>
      </c>
      <c r="BS133" s="22">
        <f t="shared" si="117"/>
        <v>1.7863176795349647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370.12772664814923</v>
      </c>
      <c r="CE133" s="59">
        <f t="shared" ref="CE133:CE196" si="148">$CE$3</f>
        <v>292.26503163353146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1.032160239023153</v>
      </c>
      <c r="CL133" s="21">
        <f>EXP(-LN(2)/25)*CL132+(1-EXP(-LN(2)/25))/(LN(2)/25)*Calculateur!CG133*Calculateur!CI133*VLOOKUP('Données projet'!$B$12,Paramètres!$A$1:$I$89,3,0)*0.475*44/12</f>
        <v>0.41520179211805613</v>
      </c>
      <c r="CM133" s="21">
        <f>EXP(-LN(2)/2)*CM132+(1-EXP(-LN(2)/2))/(LN(2)/2)*CG133*CJ133*VLOOKUP('Données projet'!$B$12,Paramètres!$A$1:$I$89,3,0)*0.475*44/12</f>
        <v>7.0368897426185148E-15</v>
      </c>
      <c r="CN133" s="22">
        <f t="shared" si="120"/>
        <v>1.4473620311412163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319.22903094674564</v>
      </c>
      <c r="T134" s="59">
        <f t="shared" si="142"/>
        <v>254.58690973142848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475.01366239340246</v>
      </c>
      <c r="AO134" s="59">
        <f t="shared" si="144"/>
        <v>322.81767004794284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1.1764121315025715</v>
      </c>
      <c r="AV134" s="21">
        <f>EXP(-LN(2)/25)*AV133+(1-EXP(-LN(2)/25))/(LN(2)/25)*Calculateur!AQ134*Calculateur!AS134*VLOOKUP('Données projet'!$B$10,Paramètres!$A$1:$I$89,3,0)*0.475*44/12</f>
        <v>0.67726222119000401</v>
      </c>
      <c r="AW134" s="21">
        <f>EXP(-LN(2)/2)*AW133+(1-EXP(-LN(2)/2))/(LN(2)/2)*AQ134*AT134*VLOOKUP('Données projet'!$B$10,Paramètres!$A$1:$I$89,3,0)*0.475*44/12</f>
        <v>6.3767783699357794E-15</v>
      </c>
      <c r="AX134" s="21">
        <f t="shared" si="114"/>
        <v>1.8536743526925819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449.84356201138451</v>
      </c>
      <c r="BJ134" s="59">
        <f t="shared" si="146"/>
        <v>306.61893266146666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1.1082143267777869</v>
      </c>
      <c r="BQ134" s="21">
        <f>EXP(-LN(2)/25)*BQ133+(1-EXP(-LN(2)/25))/(LN(2)/25)*Calculateur!BL134*Calculateur!BN134*VLOOKUP('Données projet'!$B$11,Paramètres!$A$1:$I$89,3,0)*0.475*44/12</f>
        <v>0.63800064315000482</v>
      </c>
      <c r="BR134" s="21">
        <f>EXP(-LN(2)/2)*BR133+(1-EXP(-LN(2)/2))/(LN(2)/2)*BL134*BO134*VLOOKUP('Données projet'!$B$11,Paramètres!$A$1:$I$89,3,0)*0.475*44/12</f>
        <v>6.007110058635153E-15</v>
      </c>
      <c r="BS134" s="22">
        <f t="shared" si="117"/>
        <v>1.7462149699277976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370.12772664814923</v>
      </c>
      <c r="CE134" s="59">
        <f t="shared" si="148"/>
        <v>292.26503163353146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1.0119202062914914</v>
      </c>
      <c r="CL134" s="21">
        <f>EXP(-LN(2)/25)*CL133+(1-EXP(-LN(2)/25))/(LN(2)/25)*Calculateur!CG134*Calculateur!CI134*VLOOKUP('Données projet'!$B$12,Paramètres!$A$1:$I$89,3,0)*0.475*44/12</f>
        <v>0.40384807727807459</v>
      </c>
      <c r="CM134" s="21">
        <f>EXP(-LN(2)/2)*CM133+(1-EXP(-LN(2)/2))/(LN(2)/2)*CG134*CJ134*VLOOKUP('Données projet'!$B$12,Paramètres!$A$1:$I$89,3,0)*0.475*44/12</f>
        <v>4.9758324554676113E-15</v>
      </c>
      <c r="CN134" s="22">
        <f t="shared" si="120"/>
        <v>1.4157682835695709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319.22903094674564</v>
      </c>
      <c r="T135" s="59">
        <f t="shared" si="142"/>
        <v>254.58690973142848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475.01366239340246</v>
      </c>
      <c r="AO135" s="59">
        <f t="shared" si="144"/>
        <v>322.81767004794284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1.1533434071443551</v>
      </c>
      <c r="AV135" s="21">
        <f>EXP(-LN(2)/25)*AV134+(1-EXP(-LN(2)/25))/(LN(2)/25)*Calculateur!AQ135*Calculateur!AS135*VLOOKUP('Données projet'!$B$10,Paramètres!$A$1:$I$89,3,0)*0.475*44/12</f>
        <v>0.65874245013589106</v>
      </c>
      <c r="AW135" s="21">
        <f>EXP(-LN(2)/2)*AW134+(1-EXP(-LN(2)/2))/(LN(2)/2)*AQ135*AT135*VLOOKUP('Données projet'!$B$10,Paramètres!$A$1:$I$89,3,0)*0.475*44/12</f>
        <v>4.5090632275052883E-15</v>
      </c>
      <c r="AX135" s="21">
        <f t="shared" si="114"/>
        <v>1.8120858572802505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449.84356201138451</v>
      </c>
      <c r="BJ135" s="59">
        <f t="shared" si="146"/>
        <v>306.61893266146666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1.0864829197736698</v>
      </c>
      <c r="BQ135" s="21">
        <f>EXP(-LN(2)/25)*BQ134+(1-EXP(-LN(2)/25))/(LN(2)/25)*Calculateur!BL135*Calculateur!BN135*VLOOKUP('Données projet'!$B$11,Paramètres!$A$1:$I$89,3,0)*0.475*44/12</f>
        <v>0.62055448201207231</v>
      </c>
      <c r="BR135" s="21">
        <f>EXP(-LN(2)/2)*BR134+(1-EXP(-LN(2)/2))/(LN(2)/2)*BL135*BO135*VLOOKUP('Données projet'!$B$11,Paramètres!$A$1:$I$89,3,0)*0.475*44/12</f>
        <v>4.2476682577948358E-15</v>
      </c>
      <c r="BS135" s="22">
        <f t="shared" si="117"/>
        <v>1.7070374017857464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370.12772664814923</v>
      </c>
      <c r="CE135" s="59">
        <f t="shared" si="148"/>
        <v>292.26503163353146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0.99207706825649655</v>
      </c>
      <c r="CL135" s="21">
        <f>EXP(-LN(2)/25)*CL134+(1-EXP(-LN(2)/25))/(LN(2)/25)*Calculateur!CG135*Calculateur!CI135*VLOOKUP('Données projet'!$B$12,Paramètres!$A$1:$I$89,3,0)*0.475*44/12</f>
        <v>0.39280483036745828</v>
      </c>
      <c r="CM135" s="21">
        <f>EXP(-LN(2)/2)*CM134+(1-EXP(-LN(2)/2))/(LN(2)/2)*CG135*CJ135*VLOOKUP('Données projet'!$B$12,Paramètres!$A$1:$I$89,3,0)*0.475*44/12</f>
        <v>3.5184448713092578E-15</v>
      </c>
      <c r="CN135" s="22">
        <f t="shared" si="120"/>
        <v>1.3848818986239584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319.22903094674564</v>
      </c>
      <c r="T136" s="59">
        <f t="shared" si="142"/>
        <v>254.58690973142848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475.01366239340246</v>
      </c>
      <c r="AO136" s="59">
        <f t="shared" si="144"/>
        <v>322.81767004794284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1.1307270464002708</v>
      </c>
      <c r="AV136" s="21">
        <f>EXP(-LN(2)/25)*AV135+(1-EXP(-LN(2)/25))/(LN(2)/25)*Calculateur!AQ136*Calculateur!AS136*VLOOKUP('Données projet'!$B$10,Paramètres!$A$1:$I$89,3,0)*0.475*44/12</f>
        <v>0.64072910319516518</v>
      </c>
      <c r="AW136" s="21">
        <f>EXP(-LN(2)/2)*AW135+(1-EXP(-LN(2)/2))/(LN(2)/2)*AQ136*AT136*VLOOKUP('Données projet'!$B$10,Paramètres!$A$1:$I$89,3,0)*0.475*44/12</f>
        <v>3.1883891849678897E-15</v>
      </c>
      <c r="AX136" s="21">
        <f t="shared" si="114"/>
        <v>1.7714561495954391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449.84356201138451</v>
      </c>
      <c r="BJ136" s="59">
        <f t="shared" si="146"/>
        <v>306.61893266146666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1.0651776524060541</v>
      </c>
      <c r="BQ136" s="21">
        <f>EXP(-LN(2)/25)*BQ135+(1-EXP(-LN(2)/25))/(LN(2)/25)*Calculateur!BL136*Calculateur!BN136*VLOOKUP('Données projet'!$B$11,Paramètres!$A$1:$I$89,3,0)*0.475*44/12</f>
        <v>0.60358538706791032</v>
      </c>
      <c r="BR136" s="21">
        <f>EXP(-LN(2)/2)*BR135+(1-EXP(-LN(2)/2))/(LN(2)/2)*BL136*BO136*VLOOKUP('Données projet'!$B$11,Paramètres!$A$1:$I$89,3,0)*0.475*44/12</f>
        <v>3.0035550293175765E-15</v>
      </c>
      <c r="BS136" s="22">
        <f t="shared" si="117"/>
        <v>1.6687630394739674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370.12772664814923</v>
      </c>
      <c r="CE136" s="59">
        <f t="shared" si="148"/>
        <v>292.26503163353146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0.97262304205524897</v>
      </c>
      <c r="CL136" s="21">
        <f>EXP(-LN(2)/25)*CL135+(1-EXP(-LN(2)/25))/(LN(2)/25)*Calculateur!CG136*Calculateur!CI136*VLOOKUP('Données projet'!$B$12,Paramètres!$A$1:$I$89,3,0)*0.475*44/12</f>
        <v>0.38206356162435184</v>
      </c>
      <c r="CM136" s="21">
        <f>EXP(-LN(2)/2)*CM135+(1-EXP(-LN(2)/2))/(LN(2)/2)*CG136*CJ136*VLOOKUP('Données projet'!$B$12,Paramètres!$A$1:$I$89,3,0)*0.475*44/12</f>
        <v>2.487916227733806E-15</v>
      </c>
      <c r="CN136" s="22">
        <f t="shared" si="120"/>
        <v>1.3546866036796033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319.22903094674564</v>
      </c>
      <c r="T137" s="59">
        <f t="shared" si="142"/>
        <v>254.58690973142848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475.01366239340246</v>
      </c>
      <c r="AO137" s="59">
        <f t="shared" si="144"/>
        <v>322.81767004794284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1.10855417869576</v>
      </c>
      <c r="AV137" s="21">
        <f>EXP(-LN(2)/25)*AV136+(1-EXP(-LN(2)/25))/(LN(2)/25)*Calculateur!AQ137*Calculateur!AS137*VLOOKUP('Données projet'!$B$10,Paramètres!$A$1:$I$89,3,0)*0.475*44/12</f>
        <v>0.62320833217381422</v>
      </c>
      <c r="AW137" s="21">
        <f>EXP(-LN(2)/2)*AW136+(1-EXP(-LN(2)/2))/(LN(2)/2)*AQ137*AT137*VLOOKUP('Données projet'!$B$10,Paramètres!$A$1:$I$89,3,0)*0.475*44/12</f>
        <v>2.2545316137526441E-15</v>
      </c>
      <c r="AX137" s="21">
        <f t="shared" si="114"/>
        <v>1.7317625108695764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449.84356201138451</v>
      </c>
      <c r="BJ137" s="59">
        <f t="shared" si="146"/>
        <v>306.61893266146666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1.0442901683365873</v>
      </c>
      <c r="BQ137" s="21">
        <f>EXP(-LN(2)/25)*BQ136+(1-EXP(-LN(2)/25))/(LN(2)/25)*Calculateur!BL137*Calculateur!BN137*VLOOKUP('Données projet'!$B$11,Paramètres!$A$1:$I$89,3,0)*0.475*44/12</f>
        <v>0.58708031291736229</v>
      </c>
      <c r="BR137" s="21">
        <f>EXP(-LN(2)/2)*BR136+(1-EXP(-LN(2)/2))/(LN(2)/2)*BL137*BO137*VLOOKUP('Données projet'!$B$11,Paramètres!$A$1:$I$89,3,0)*0.475*44/12</f>
        <v>2.1238341288974179E-15</v>
      </c>
      <c r="BS137" s="22">
        <f t="shared" si="117"/>
        <v>1.6313704812539518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370.12772664814923</v>
      </c>
      <c r="CE137" s="59">
        <f t="shared" si="148"/>
        <v>292.26503163353146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0.95355049744202347</v>
      </c>
      <c r="CL137" s="21">
        <f>EXP(-LN(2)/25)*CL136+(1-EXP(-LN(2)/25))/(LN(2)/25)*Calculateur!CG137*Calculateur!CI137*VLOOKUP('Données projet'!$B$12,Paramètres!$A$1:$I$89,3,0)*0.475*44/12</f>
        <v>0.37161601343988443</v>
      </c>
      <c r="CM137" s="21">
        <f>EXP(-LN(2)/2)*CM136+(1-EXP(-LN(2)/2))/(LN(2)/2)*CG137*CJ137*VLOOKUP('Données projet'!$B$12,Paramètres!$A$1:$I$89,3,0)*0.475*44/12</f>
        <v>1.7592224356546293E-15</v>
      </c>
      <c r="CN137" s="22">
        <f t="shared" si="120"/>
        <v>1.3251665108819097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319.22903094674564</v>
      </c>
      <c r="T138" s="59">
        <f t="shared" si="142"/>
        <v>254.58690973142848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475.01366239340246</v>
      </c>
      <c r="AO138" s="59">
        <f t="shared" si="144"/>
        <v>322.81767004794284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1.0868161074028209</v>
      </c>
      <c r="AV138" s="21">
        <f>EXP(-LN(2)/25)*AV137+(1-EXP(-LN(2)/25))/(LN(2)/25)*Calculateur!AQ138*Calculateur!AS138*VLOOKUP('Données projet'!$B$10,Paramètres!$A$1:$I$89,3,0)*0.475*44/12</f>
        <v>0.60616666755741944</v>
      </c>
      <c r="AW138" s="21">
        <f>EXP(-LN(2)/2)*AW137+(1-EXP(-LN(2)/2))/(LN(2)/2)*AQ138*AT138*VLOOKUP('Données projet'!$B$10,Paramètres!$A$1:$I$89,3,0)*0.475*44/12</f>
        <v>1.5941945924839448E-15</v>
      </c>
      <c r="AX138" s="21">
        <f t="shared" si="114"/>
        <v>1.6929827749602417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449.84356201138451</v>
      </c>
      <c r="BJ138" s="59">
        <f t="shared" si="146"/>
        <v>306.61893266146666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1.0238122750896155</v>
      </c>
      <c r="BQ138" s="21">
        <f>EXP(-LN(2)/25)*BQ137+(1-EXP(-LN(2)/25))/(LN(2)/25)*Calculateur!BL138*Calculateur!BN138*VLOOKUP('Données projet'!$B$11,Paramètres!$A$1:$I$89,3,0)*0.475*44/12</f>
        <v>0.57102657088742514</v>
      </c>
      <c r="BR138" s="21">
        <f>EXP(-LN(2)/2)*BR137+(1-EXP(-LN(2)/2))/(LN(2)/2)*BL138*BO138*VLOOKUP('Données projet'!$B$11,Paramètres!$A$1:$I$89,3,0)*0.475*44/12</f>
        <v>1.5017775146587882E-15</v>
      </c>
      <c r="BS138" s="22">
        <f t="shared" si="117"/>
        <v>1.5948388459770422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370.12772664814923</v>
      </c>
      <c r="CE138" s="59">
        <f t="shared" si="148"/>
        <v>292.26503163353146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0.93485195379555974</v>
      </c>
      <c r="CL138" s="21">
        <f>EXP(-LN(2)/25)*CL137+(1-EXP(-LN(2)/25))/(LN(2)/25)*Calculateur!CG138*Calculateur!CI138*VLOOKUP('Données projet'!$B$12,Paramètres!$A$1:$I$89,3,0)*0.475*44/12</f>
        <v>0.36145415400993397</v>
      </c>
      <c r="CM138" s="21">
        <f>EXP(-LN(2)/2)*CM137+(1-EXP(-LN(2)/2))/(LN(2)/2)*CG138*CJ138*VLOOKUP('Données projet'!$B$12,Paramètres!$A$1:$I$89,3,0)*0.475*44/12</f>
        <v>1.2439581138669032E-15</v>
      </c>
      <c r="CN138" s="22">
        <f t="shared" si="120"/>
        <v>1.2963061078054952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319.22903094674564</v>
      </c>
      <c r="T139" s="59">
        <f t="shared" si="142"/>
        <v>254.58690973142848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475.01366239340246</v>
      </c>
      <c r="AO139" s="59">
        <f t="shared" si="144"/>
        <v>322.81767004794284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1.0655043064290219</v>
      </c>
      <c r="AV139" s="21">
        <f>EXP(-LN(2)/25)*AV138+(1-EXP(-LN(2)/25))/(LN(2)/25)*Calculateur!AQ139*Calculateur!AS139*VLOOKUP('Données projet'!$B$10,Paramètres!$A$1:$I$89,3,0)*0.475*44/12</f>
        <v>0.58959100815614218</v>
      </c>
      <c r="AW139" s="21">
        <f>EXP(-LN(2)/2)*AW138+(1-EXP(-LN(2)/2))/(LN(2)/2)*AQ139*AT139*VLOOKUP('Données projet'!$B$10,Paramètres!$A$1:$I$89,3,0)*0.475*44/12</f>
        <v>1.1272658068763221E-15</v>
      </c>
      <c r="AX139" s="21">
        <f t="shared" si="114"/>
        <v>1.6550953145851652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449.84356201138451</v>
      </c>
      <c r="BJ139" s="59">
        <f t="shared" si="146"/>
        <v>306.61893266146666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1.0037359408389352</v>
      </c>
      <c r="BQ139" s="21">
        <f>EXP(-LN(2)/25)*BQ138+(1-EXP(-LN(2)/25))/(LN(2)/25)*Calculateur!BL139*Calculateur!BN139*VLOOKUP('Données projet'!$B$11,Paramètres!$A$1:$I$89,3,0)*0.475*44/12</f>
        <v>0.55541181927752625</v>
      </c>
      <c r="BR139" s="21">
        <f>EXP(-LN(2)/2)*BR138+(1-EXP(-LN(2)/2))/(LN(2)/2)*BL139*BO139*VLOOKUP('Données projet'!$B$11,Paramètres!$A$1:$I$89,3,0)*0.475*44/12</f>
        <v>1.0619170644487089E-15</v>
      </c>
      <c r="BS139" s="22">
        <f t="shared" si="117"/>
        <v>1.5591477601164627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370.12772664814923</v>
      </c>
      <c r="CE139" s="59">
        <f t="shared" si="148"/>
        <v>292.26503163353146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0.91652007718501771</v>
      </c>
      <c r="CL139" s="21">
        <f>EXP(-LN(2)/25)*CL138+(1-EXP(-LN(2)/25))/(LN(2)/25)*Calculateur!CG139*Calculateur!CI139*VLOOKUP('Données projet'!$B$12,Paramètres!$A$1:$I$89,3,0)*0.475*44/12</f>
        <v>0.3515701711604845</v>
      </c>
      <c r="CM139" s="21">
        <f>EXP(-LN(2)/2)*CM138+(1-EXP(-LN(2)/2))/(LN(2)/2)*CG139*CJ139*VLOOKUP('Données projet'!$B$12,Paramètres!$A$1:$I$89,3,0)*0.475*44/12</f>
        <v>8.7961121782731475E-16</v>
      </c>
      <c r="CN139" s="22">
        <f t="shared" si="120"/>
        <v>1.2680902483455032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319.22903094674564</v>
      </c>
      <c r="T140" s="59">
        <f t="shared" si="142"/>
        <v>254.58690973142848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475.01366239340246</v>
      </c>
      <c r="AO140" s="59">
        <f t="shared" si="144"/>
        <v>322.81767004794284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1.0446104168734041</v>
      </c>
      <c r="AV140" s="21">
        <f>EXP(-LN(2)/25)*AV139+(1-EXP(-LN(2)/25))/(LN(2)/25)*Calculateur!AQ140*Calculateur!AS140*VLOOKUP('Données projet'!$B$10,Paramètres!$A$1:$I$89,3,0)*0.475*44/12</f>
        <v>0.57346861103286884</v>
      </c>
      <c r="AW140" s="21">
        <f>EXP(-LN(2)/2)*AW139+(1-EXP(-LN(2)/2))/(LN(2)/2)*AQ140*AT140*VLOOKUP('Données projet'!$B$10,Paramètres!$A$1:$I$89,3,0)*0.475*44/12</f>
        <v>7.9709729624197242E-16</v>
      </c>
      <c r="AX140" s="21">
        <f t="shared" si="114"/>
        <v>1.6180790279062738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449.84356201138451</v>
      </c>
      <c r="BJ140" s="59">
        <f t="shared" si="146"/>
        <v>306.61893266146666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0.98405329125755614</v>
      </c>
      <c r="BQ140" s="21">
        <f>EXP(-LN(2)/25)*BQ139+(1-EXP(-LN(2)/25))/(LN(2)/25)*Calculateur!BL140*Calculateur!BN140*VLOOKUP('Données projet'!$B$11,Paramètres!$A$1:$I$89,3,0)*0.475*44/12</f>
        <v>0.54022405387154415</v>
      </c>
      <c r="BR140" s="21">
        <f>EXP(-LN(2)/2)*BR139+(1-EXP(-LN(2)/2))/(LN(2)/2)*BL140*BO140*VLOOKUP('Données projet'!$B$11,Paramètres!$A$1:$I$89,3,0)*0.475*44/12</f>
        <v>7.5088875732939412E-16</v>
      </c>
      <c r="BS140" s="22">
        <f t="shared" si="117"/>
        <v>1.524277345129101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370.12772664814923</v>
      </c>
      <c r="CE140" s="59">
        <f t="shared" si="148"/>
        <v>292.26503163353146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0.89854767749346776</v>
      </c>
      <c r="CL140" s="21">
        <f>EXP(-LN(2)/25)*CL139+(1-EXP(-LN(2)/25))/(LN(2)/25)*Calculateur!CG140*Calculateur!CI140*VLOOKUP('Données projet'!$B$12,Paramètres!$A$1:$I$89,3,0)*0.475*44/12</f>
        <v>0.3419564663418293</v>
      </c>
      <c r="CM140" s="21">
        <f>EXP(-LN(2)/2)*CM139+(1-EXP(-LN(2)/2))/(LN(2)/2)*CG140*CJ140*VLOOKUP('Données projet'!$B$12,Paramètres!$A$1:$I$89,3,0)*0.475*44/12</f>
        <v>6.2197905693345171E-16</v>
      </c>
      <c r="CN140" s="22">
        <f t="shared" si="120"/>
        <v>1.2405041438352977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319.22903094674564</v>
      </c>
      <c r="T141" s="59">
        <f t="shared" si="142"/>
        <v>254.58690973142848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475.01366239340246</v>
      </c>
      <c r="AO141" s="59">
        <f t="shared" si="144"/>
        <v>322.81767004794284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1.0241262437479577</v>
      </c>
      <c r="AV141" s="21">
        <f>EXP(-LN(2)/25)*AV140+(1-EXP(-LN(2)/25))/(LN(2)/25)*Calculateur!AQ141*Calculateur!AS141*VLOOKUP('Données projet'!$B$10,Paramètres!$A$1:$I$89,3,0)*0.475*44/12</f>
        <v>0.55778708170677149</v>
      </c>
      <c r="AW141" s="21">
        <f>EXP(-LN(2)/2)*AW140+(1-EXP(-LN(2)/2))/(LN(2)/2)*AQ141*AT141*VLOOKUP('Données projet'!$B$10,Paramètres!$A$1:$I$89,3,0)*0.475*44/12</f>
        <v>5.6363290343816104E-16</v>
      </c>
      <c r="AX141" s="21">
        <f t="shared" si="114"/>
        <v>1.5819133254547297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449.84356201138451</v>
      </c>
      <c r="BJ141" s="59">
        <f t="shared" si="146"/>
        <v>306.61893266146666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0.964756606429237</v>
      </c>
      <c r="BQ141" s="21">
        <f>EXP(-LN(2)/25)*BQ140+(1-EXP(-LN(2)/25))/(LN(2)/25)*Calculateur!BL141*Calculateur!BN141*VLOOKUP('Données projet'!$B$11,Paramètres!$A$1:$I$89,3,0)*0.475*44/12</f>
        <v>0.52545159870927849</v>
      </c>
      <c r="BR141" s="21">
        <f>EXP(-LN(2)/2)*BR140+(1-EXP(-LN(2)/2))/(LN(2)/2)*BL141*BO141*VLOOKUP('Données projet'!$B$11,Paramètres!$A$1:$I$89,3,0)*0.475*44/12</f>
        <v>5.3095853222435447E-16</v>
      </c>
      <c r="BS141" s="22">
        <f t="shared" si="117"/>
        <v>1.4902082051385159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370.12772664814923</v>
      </c>
      <c r="CE141" s="59">
        <f t="shared" si="148"/>
        <v>292.26503163353146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0.88092770559778766</v>
      </c>
      <c r="CL141" s="21">
        <f>EXP(-LN(2)/25)*CL140+(1-EXP(-LN(2)/25))/(LN(2)/25)*Calculateur!CG141*Calculateur!CI141*VLOOKUP('Données projet'!$B$12,Paramètres!$A$1:$I$89,3,0)*0.475*44/12</f>
        <v>0.33260564878700294</v>
      </c>
      <c r="CM141" s="21">
        <f>EXP(-LN(2)/2)*CM140+(1-EXP(-LN(2)/2))/(LN(2)/2)*CG141*CJ141*VLOOKUP('Données projet'!$B$12,Paramètres!$A$1:$I$89,3,0)*0.475*44/12</f>
        <v>4.3980560891365747E-16</v>
      </c>
      <c r="CN141" s="22">
        <f t="shared" si="120"/>
        <v>1.213533354384791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319.22903094674564</v>
      </c>
      <c r="T142" s="59">
        <f t="shared" si="142"/>
        <v>254.58690973142848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475.01366239340246</v>
      </c>
      <c r="AO142" s="59">
        <f t="shared" si="144"/>
        <v>322.81767004794284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1.0040437527633894</v>
      </c>
      <c r="AV142" s="21">
        <f>EXP(-LN(2)/25)*AV141+(1-EXP(-LN(2)/25))/(LN(2)/25)*Calculateur!AQ142*Calculateur!AS142*VLOOKUP('Données projet'!$B$10,Paramètres!$A$1:$I$89,3,0)*0.475*44/12</f>
        <v>0.54253436462475202</v>
      </c>
      <c r="AW142" s="21">
        <f>EXP(-LN(2)/2)*AW141+(1-EXP(-LN(2)/2))/(LN(2)/2)*AQ142*AT142*VLOOKUP('Données projet'!$B$10,Paramètres!$A$1:$I$89,3,0)*0.475*44/12</f>
        <v>3.9854864812098621E-16</v>
      </c>
      <c r="AX142" s="21">
        <f t="shared" si="114"/>
        <v>1.5465781173881419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449.84356201138451</v>
      </c>
      <c r="BJ142" s="59">
        <f t="shared" si="146"/>
        <v>306.61893266146666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0.94583831782058558</v>
      </c>
      <c r="BQ142" s="21">
        <f>EXP(-LN(2)/25)*BQ141+(1-EXP(-LN(2)/25))/(LN(2)/25)*Calculateur!BL142*Calculateur!BN142*VLOOKUP('Données projet'!$B$11,Paramètres!$A$1:$I$89,3,0)*0.475*44/12</f>
        <v>0.51108309711027466</v>
      </c>
      <c r="BR142" s="21">
        <f>EXP(-LN(2)/2)*BR141+(1-EXP(-LN(2)/2))/(LN(2)/2)*BL142*BO142*VLOOKUP('Données projet'!$B$11,Paramètres!$A$1:$I$89,3,0)*0.475*44/12</f>
        <v>3.7544437866469706E-16</v>
      </c>
      <c r="BS142" s="22">
        <f t="shared" si="117"/>
        <v>1.4569214149308607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370.12772664814923</v>
      </c>
      <c r="CE142" s="59">
        <f t="shared" si="148"/>
        <v>292.26503163353146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0.86365325060386022</v>
      </c>
      <c r="CL142" s="21">
        <f>EXP(-LN(2)/25)*CL141+(1-EXP(-LN(2)/25))/(LN(2)/25)*Calculateur!CG142*Calculateur!CI142*VLOOKUP('Données projet'!$B$12,Paramètres!$A$1:$I$89,3,0)*0.475*44/12</f>
        <v>0.32351052982995143</v>
      </c>
      <c r="CM142" s="21">
        <f>EXP(-LN(2)/2)*CM141+(1-EXP(-LN(2)/2))/(LN(2)/2)*CG142*CJ142*VLOOKUP('Données projet'!$B$12,Paramètres!$A$1:$I$89,3,0)*0.475*44/12</f>
        <v>3.109895284667259E-16</v>
      </c>
      <c r="CN142" s="22">
        <f t="shared" si="120"/>
        <v>1.187163780433812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319.22903094674564</v>
      </c>
      <c r="T143" s="59">
        <f t="shared" si="142"/>
        <v>254.58690973142848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475.01366239340246</v>
      </c>
      <c r="AO143" s="59">
        <f t="shared" si="144"/>
        <v>322.81767004794284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0.98435506717791843</v>
      </c>
      <c r="AV143" s="21">
        <f>EXP(-LN(2)/25)*AV142+(1-EXP(-LN(2)/25))/(LN(2)/25)*Calculateur!AQ143*Calculateur!AS143*VLOOKUP('Données projet'!$B$10,Paramètres!$A$1:$I$89,3,0)*0.475*44/12</f>
        <v>0.5276987338934459</v>
      </c>
      <c r="AW143" s="21">
        <f>EXP(-LN(2)/2)*AW142+(1-EXP(-LN(2)/2))/(LN(2)/2)*AQ143*AT143*VLOOKUP('Données projet'!$B$10,Paramètres!$A$1:$I$89,3,0)*0.475*44/12</f>
        <v>2.8181645171908052E-16</v>
      </c>
      <c r="AX143" s="21">
        <f t="shared" si="114"/>
        <v>1.5120538010713644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449.84356201138451</v>
      </c>
      <c r="BJ143" s="59">
        <f t="shared" si="146"/>
        <v>306.61893266146666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0.92729100531253317</v>
      </c>
      <c r="BQ143" s="21">
        <f>EXP(-LN(2)/25)*BQ142+(1-EXP(-LN(2)/25))/(LN(2)/25)*Calculateur!BL143*Calculateur!BN143*VLOOKUP('Données projet'!$B$11,Paramètres!$A$1:$I$89,3,0)*0.475*44/12</f>
        <v>0.49710750294310224</v>
      </c>
      <c r="BR143" s="21">
        <f>EXP(-LN(2)/2)*BR142+(1-EXP(-LN(2)/2))/(LN(2)/2)*BL143*BO143*VLOOKUP('Données projet'!$B$11,Paramètres!$A$1:$I$89,3,0)*0.475*44/12</f>
        <v>2.6547926611217723E-16</v>
      </c>
      <c r="BS143" s="22">
        <f t="shared" si="117"/>
        <v>1.4243985082556356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370.12772664814923</v>
      </c>
      <c r="CE143" s="59">
        <f t="shared" si="148"/>
        <v>292.26503163353146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0.84671753713598652</v>
      </c>
      <c r="CL143" s="21">
        <f>EXP(-LN(2)/25)*CL142+(1-EXP(-LN(2)/25))/(LN(2)/25)*Calculateur!CG143*Calculateur!CI143*VLOOKUP('Données projet'!$B$12,Paramètres!$A$1:$I$89,3,0)*0.475*44/12</f>
        <v>0.31466411737907202</v>
      </c>
      <c r="CM143" s="21">
        <f>EXP(-LN(2)/2)*CM142+(1-EXP(-LN(2)/2))/(LN(2)/2)*CG143*CJ143*VLOOKUP('Données projet'!$B$12,Paramètres!$A$1:$I$89,3,0)*0.475*44/12</f>
        <v>2.1990280445682876E-16</v>
      </c>
      <c r="CN143" s="22">
        <f t="shared" si="120"/>
        <v>1.1613816545150588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319.22903094674564</v>
      </c>
      <c r="T144" s="59">
        <f t="shared" si="142"/>
        <v>254.58690973142848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475.01366239340246</v>
      </c>
      <c r="AO144" s="59">
        <f t="shared" si="144"/>
        <v>322.81767004794284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0.9650524647078661</v>
      </c>
      <c r="AV144" s="21">
        <f>EXP(-LN(2)/25)*AV143+(1-EXP(-LN(2)/25))/(LN(2)/25)*Calculateur!AQ144*Calculateur!AS144*VLOOKUP('Données projet'!$B$10,Paramètres!$A$1:$I$89,3,0)*0.475*44/12</f>
        <v>0.51326878426465927</v>
      </c>
      <c r="AW144" s="21">
        <f>EXP(-LN(2)/2)*AW143+(1-EXP(-LN(2)/2))/(LN(2)/2)*AQ144*AT144*VLOOKUP('Données projet'!$B$10,Paramètres!$A$1:$I$89,3,0)*0.475*44/12</f>
        <v>1.9927432406049311E-16</v>
      </c>
      <c r="AX144" s="21">
        <f t="shared" si="114"/>
        <v>1.4783212489725257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449.84356201138451</v>
      </c>
      <c r="BJ144" s="59">
        <f t="shared" si="146"/>
        <v>306.61893266146666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0.90910739429002008</v>
      </c>
      <c r="BQ144" s="21">
        <f>EXP(-LN(2)/25)*BQ143+(1-EXP(-LN(2)/25))/(LN(2)/25)*Calculateur!BL144*Calculateur!BN144*VLOOKUP('Données projet'!$B$11,Paramètres!$A$1:$I$89,3,0)*0.475*44/12</f>
        <v>0.48351407213337566</v>
      </c>
      <c r="BR144" s="21">
        <f>EXP(-LN(2)/2)*BR143+(1-EXP(-LN(2)/2))/(LN(2)/2)*BL144*BO144*VLOOKUP('Données projet'!$B$11,Paramètres!$A$1:$I$89,3,0)*0.475*44/12</f>
        <v>1.8772218933234853E-16</v>
      </c>
      <c r="BS144" s="22">
        <f t="shared" si="117"/>
        <v>1.392621466423396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370.12772664814923</v>
      </c>
      <c r="CE144" s="59">
        <f t="shared" si="148"/>
        <v>292.26503163353146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0.83011392267945261</v>
      </c>
      <c r="CL144" s="21">
        <f>EXP(-LN(2)/25)*CL143+(1-EXP(-LN(2)/25))/(LN(2)/25)*Calculateur!CG144*Calculateur!CI144*VLOOKUP('Données projet'!$B$12,Paramètres!$A$1:$I$89,3,0)*0.475*44/12</f>
        <v>0.30605961054187453</v>
      </c>
      <c r="CM144" s="21">
        <f>EXP(-LN(2)/2)*CM143+(1-EXP(-LN(2)/2))/(LN(2)/2)*CG144*CJ144*VLOOKUP('Données projet'!$B$12,Paramètres!$A$1:$I$89,3,0)*0.475*44/12</f>
        <v>1.5549476423336298E-16</v>
      </c>
      <c r="CN144" s="22">
        <f t="shared" si="120"/>
        <v>1.1361735332213274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319.22903094674564</v>
      </c>
      <c r="T145" s="59">
        <f t="shared" si="142"/>
        <v>254.58690973142848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475.01366239340246</v>
      </c>
      <c r="AO145" s="59">
        <f t="shared" si="144"/>
        <v>322.81767004794284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0.94612837449882659</v>
      </c>
      <c r="AV145" s="21">
        <f>EXP(-LN(2)/25)*AV144+(1-EXP(-LN(2)/25))/(LN(2)/25)*Calculateur!AQ145*Calculateur!AS145*VLOOKUP('Données projet'!$B$10,Paramètres!$A$1:$I$89,3,0)*0.475*44/12</f>
        <v>0.49923342236730989</v>
      </c>
      <c r="AW145" s="21">
        <f>EXP(-LN(2)/2)*AW144+(1-EXP(-LN(2)/2))/(LN(2)/2)*AQ145*AT145*VLOOKUP('Données projet'!$B$10,Paramètres!$A$1:$I$89,3,0)*0.475*44/12</f>
        <v>1.4090822585954026E-16</v>
      </c>
      <c r="AX145" s="21">
        <f t="shared" si="114"/>
        <v>1.4453617968661367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449.84356201138451</v>
      </c>
      <c r="BJ145" s="59">
        <f t="shared" si="146"/>
        <v>306.61893266146666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0.89128035278875095</v>
      </c>
      <c r="BQ145" s="21">
        <f>EXP(-LN(2)/25)*BQ144+(1-EXP(-LN(2)/25))/(LN(2)/25)*Calculateur!BL145*Calculateur!BN145*VLOOKUP('Données projet'!$B$11,Paramètres!$A$1:$I$89,3,0)*0.475*44/12</f>
        <v>0.47029235440398853</v>
      </c>
      <c r="BR145" s="21">
        <f>EXP(-LN(2)/2)*BR144+(1-EXP(-LN(2)/2))/(LN(2)/2)*BL145*BO145*VLOOKUP('Données projet'!$B$11,Paramètres!$A$1:$I$89,3,0)*0.475*44/12</f>
        <v>1.3273963305608862E-16</v>
      </c>
      <c r="BS145" s="22">
        <f t="shared" si="117"/>
        <v>1.3615727071927397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370.12772664814923</v>
      </c>
      <c r="CE145" s="59">
        <f t="shared" si="148"/>
        <v>292.26503163353146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0.81383589497520648</v>
      </c>
      <c r="CL145" s="21">
        <f>EXP(-LN(2)/25)*CL144+(1-EXP(-LN(2)/25))/(LN(2)/25)*Calculateur!CG145*Calculateur!CI145*VLOOKUP('Données projet'!$B$12,Paramètres!$A$1:$I$89,3,0)*0.475*44/12</f>
        <v>0.29769039439663159</v>
      </c>
      <c r="CM145" s="21">
        <f>EXP(-LN(2)/2)*CM144+(1-EXP(-LN(2)/2))/(LN(2)/2)*CG145*CJ145*VLOOKUP('Données projet'!$B$12,Paramètres!$A$1:$I$89,3,0)*0.475*44/12</f>
        <v>1.0995140222841439E-16</v>
      </c>
      <c r="CN145" s="22">
        <f t="shared" si="120"/>
        <v>1.1115262893718381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319.22903094674564</v>
      </c>
      <c r="T146" s="59">
        <f t="shared" si="142"/>
        <v>254.58690973142848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475.01366239340246</v>
      </c>
      <c r="AO146" s="59">
        <f t="shared" si="144"/>
        <v>322.81767004794284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0.92757537415623104</v>
      </c>
      <c r="AV146" s="21">
        <f>EXP(-LN(2)/25)*AV145+(1-EXP(-LN(2)/25))/(LN(2)/25)*Calculateur!AQ146*Calculateur!AS146*VLOOKUP('Données projet'!$B$10,Paramètres!$A$1:$I$89,3,0)*0.475*44/12</f>
        <v>0.48558185817913113</v>
      </c>
      <c r="AW146" s="21">
        <f>EXP(-LN(2)/2)*AW145+(1-EXP(-LN(2)/2))/(LN(2)/2)*AQ146*AT146*VLOOKUP('Données projet'!$B$10,Paramètres!$A$1:$I$89,3,0)*0.475*44/12</f>
        <v>9.9637162030246553E-17</v>
      </c>
      <c r="AX146" s="21">
        <f t="shared" si="114"/>
        <v>1.4131572323353621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449.84356201138451</v>
      </c>
      <c r="BJ146" s="59">
        <f t="shared" si="146"/>
        <v>306.61893266146666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0.87380288869790002</v>
      </c>
      <c r="BQ146" s="21">
        <f>EXP(-LN(2)/25)*BQ145+(1-EXP(-LN(2)/25))/(LN(2)/25)*Calculateur!BL146*Calculateur!BN146*VLOOKUP('Données projet'!$B$11,Paramètres!$A$1:$I$89,3,0)*0.475*44/12</f>
        <v>0.45743218524121143</v>
      </c>
      <c r="BR146" s="21">
        <f>EXP(-LN(2)/2)*BR145+(1-EXP(-LN(2)/2))/(LN(2)/2)*BL146*BO146*VLOOKUP('Données projet'!$B$11,Paramètres!$A$1:$I$89,3,0)*0.475*44/12</f>
        <v>9.3861094666174265E-17</v>
      </c>
      <c r="BS146" s="22">
        <f t="shared" si="117"/>
        <v>1.3312350739391114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370.12772664814923</v>
      </c>
      <c r="CE146" s="59">
        <f t="shared" si="148"/>
        <v>292.26503163353146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0.79787706946562409</v>
      </c>
      <c r="CL146" s="21">
        <f>EXP(-LN(2)/25)*CL145+(1-EXP(-LN(2)/25))/(LN(2)/25)*Calculateur!CG146*Calculateur!CI146*VLOOKUP('Données projet'!$B$12,Paramètres!$A$1:$I$89,3,0)*0.475*44/12</f>
        <v>0.28955003490699821</v>
      </c>
      <c r="CM146" s="21">
        <f>EXP(-LN(2)/2)*CM145+(1-EXP(-LN(2)/2))/(LN(2)/2)*CG146*CJ146*VLOOKUP('Données projet'!$B$12,Paramètres!$A$1:$I$89,3,0)*0.475*44/12</f>
        <v>7.77473821166815E-17</v>
      </c>
      <c r="CN146" s="22">
        <f t="shared" si="120"/>
        <v>1.0874271043726222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319.22903094674564</v>
      </c>
      <c r="T147" s="59">
        <f t="shared" si="142"/>
        <v>254.58690973142848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475.01366239340246</v>
      </c>
      <c r="AO147" s="59">
        <f t="shared" si="144"/>
        <v>322.81767004794284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0.90938618683414096</v>
      </c>
      <c r="AV147" s="21">
        <f>EXP(-LN(2)/25)*AV146+(1-EXP(-LN(2)/25))/(LN(2)/25)*Calculateur!AQ147*Calculateur!AS147*VLOOKUP('Données projet'!$B$10,Paramètres!$A$1:$I$89,3,0)*0.475*44/12</f>
        <v>0.47230359673158268</v>
      </c>
      <c r="AW147" s="21">
        <f>EXP(-LN(2)/2)*AW146+(1-EXP(-LN(2)/2))/(LN(2)/2)*AQ147*AT147*VLOOKUP('Données projet'!$B$10,Paramètres!$A$1:$I$89,3,0)*0.475*44/12</f>
        <v>7.0454112929770129E-17</v>
      </c>
      <c r="AX147" s="21">
        <f t="shared" si="114"/>
        <v>1.3816897835657236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449.84356201138451</v>
      </c>
      <c r="BJ147" s="59">
        <f t="shared" si="146"/>
        <v>306.61893266146666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0.85666814701767013</v>
      </c>
      <c r="BQ147" s="21">
        <f>EXP(-LN(2)/25)*BQ146+(1-EXP(-LN(2)/25))/(LN(2)/25)*Calculateur!BL147*Calculateur!BN147*VLOOKUP('Données projet'!$B$11,Paramètres!$A$1:$I$89,3,0)*0.475*44/12</f>
        <v>0.44492367808047734</v>
      </c>
      <c r="BR147" s="21">
        <f>EXP(-LN(2)/2)*BR146+(1-EXP(-LN(2)/2))/(LN(2)/2)*BL147*BO147*VLOOKUP('Données projet'!$B$11,Paramètres!$A$1:$I$89,3,0)*0.475*44/12</f>
        <v>6.6369816528044309E-17</v>
      </c>
      <c r="BS147" s="22">
        <f t="shared" si="117"/>
        <v>1.3015918250981475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370.12772664814923</v>
      </c>
      <c r="CE147" s="59">
        <f t="shared" si="148"/>
        <v>292.26503163353146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0.78223118679036219</v>
      </c>
      <c r="CL147" s="21">
        <f>EXP(-LN(2)/25)*CL146+(1-EXP(-LN(2)/25))/(LN(2)/25)*Calculateur!CG147*Calculateur!CI147*VLOOKUP('Données projet'!$B$12,Paramètres!$A$1:$I$89,3,0)*0.475*44/12</f>
        <v>0.28163227397569179</v>
      </c>
      <c r="CM147" s="21">
        <f>EXP(-LN(2)/2)*CM146+(1-EXP(-LN(2)/2))/(LN(2)/2)*CG147*CJ147*VLOOKUP('Données projet'!$B$12,Paramètres!$A$1:$I$89,3,0)*0.475*44/12</f>
        <v>5.4975701114207209E-17</v>
      </c>
      <c r="CN147" s="22">
        <f t="shared" si="120"/>
        <v>1.063863460766054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319.22903094674564</v>
      </c>
      <c r="T148" s="59">
        <f t="shared" si="142"/>
        <v>254.58690973142848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475.01366239340246</v>
      </c>
      <c r="AO148" s="59">
        <f t="shared" si="144"/>
        <v>322.81767004794284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0.8915536783811282</v>
      </c>
      <c r="AV148" s="21">
        <f>EXP(-LN(2)/25)*AV147+(1-EXP(-LN(2)/25))/(LN(2)/25)*Calculateur!AQ148*Calculateur!AS148*VLOOKUP('Données projet'!$B$10,Paramètres!$A$1:$I$89,3,0)*0.475*44/12</f>
        <v>0.45938843004159086</v>
      </c>
      <c r="AW148" s="21">
        <f>EXP(-LN(2)/2)*AW147+(1-EXP(-LN(2)/2))/(LN(2)/2)*AQ148*AT148*VLOOKUP('Données projet'!$B$10,Paramètres!$A$1:$I$89,3,0)*0.475*44/12</f>
        <v>4.9818581015123276E-17</v>
      </c>
      <c r="AX148" s="21">
        <f t="shared" si="114"/>
        <v>1.3509421084227191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449.84356201138451</v>
      </c>
      <c r="BJ148" s="59">
        <f t="shared" si="146"/>
        <v>306.61893266146666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0.83986940717062919</v>
      </c>
      <c r="BQ148" s="21">
        <f>EXP(-LN(2)/25)*BQ147+(1-EXP(-LN(2)/25))/(LN(2)/25)*Calculateur!BL148*Calculateur!BN148*VLOOKUP('Données projet'!$B$11,Paramètres!$A$1:$I$89,3,0)*0.475*44/12</f>
        <v>0.43275721670584733</v>
      </c>
      <c r="BR148" s="21">
        <f>EXP(-LN(2)/2)*BR147+(1-EXP(-LN(2)/2))/(LN(2)/2)*BL148*BO148*VLOOKUP('Données projet'!$B$11,Paramètres!$A$1:$I$89,3,0)*0.475*44/12</f>
        <v>4.6930547333087133E-17</v>
      </c>
      <c r="BS148" s="22">
        <f t="shared" si="117"/>
        <v>1.2726266238764765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370.12772664814923</v>
      </c>
      <c r="CE148" s="59">
        <f t="shared" si="148"/>
        <v>292.26503163353146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0.76689211033131599</v>
      </c>
      <c r="CL148" s="21">
        <f>EXP(-LN(2)/25)*CL147+(1-EXP(-LN(2)/25))/(LN(2)/25)*Calculateur!CG148*Calculateur!CI148*VLOOKUP('Données projet'!$B$12,Paramètres!$A$1:$I$89,3,0)*0.475*44/12</f>
        <v>0.27393102463342889</v>
      </c>
      <c r="CM148" s="21">
        <f>EXP(-LN(2)/2)*CM147+(1-EXP(-LN(2)/2))/(LN(2)/2)*CG148*CJ148*VLOOKUP('Données projet'!$B$12,Paramètres!$A$1:$I$89,3,0)*0.475*44/12</f>
        <v>3.8873691058340756E-17</v>
      </c>
      <c r="CN148" s="22">
        <f t="shared" si="120"/>
        <v>1.0408231349647448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319.22903094674564</v>
      </c>
      <c r="T149" s="59">
        <f t="shared" si="142"/>
        <v>254.58690973142848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475.01366239340246</v>
      </c>
      <c r="AO149" s="59">
        <f t="shared" si="144"/>
        <v>322.81767004794284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0.87407085454212285</v>
      </c>
      <c r="AV149" s="21">
        <f>EXP(-LN(2)/25)*AV148+(1-EXP(-LN(2)/25))/(LN(2)/25)*Calculateur!AQ149*Calculateur!AS149*VLOOKUP('Données projet'!$B$10,Paramètres!$A$1:$I$89,3,0)*0.475*44/12</f>
        <v>0.44682642926391597</v>
      </c>
      <c r="AW149" s="21">
        <f>EXP(-LN(2)/2)*AW148+(1-EXP(-LN(2)/2))/(LN(2)/2)*AQ149*AT149*VLOOKUP('Données projet'!$B$10,Paramètres!$A$1:$I$89,3,0)*0.475*44/12</f>
        <v>3.5227056464885065E-17</v>
      </c>
      <c r="AX149" s="21">
        <f t="shared" si="114"/>
        <v>1.3208972838060389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449.84356201138451</v>
      </c>
      <c r="BJ149" s="59">
        <f t="shared" si="146"/>
        <v>306.61893266146666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0.82340008036576906</v>
      </c>
      <c r="BQ149" s="21">
        <f>EXP(-LN(2)/25)*BQ148+(1-EXP(-LN(2)/25))/(LN(2)/25)*Calculateur!BL149*Calculateur!BN149*VLOOKUP('Données projet'!$B$11,Paramètres!$A$1:$I$89,3,0)*0.475*44/12</f>
        <v>0.420923447857313</v>
      </c>
      <c r="BR149" s="21">
        <f>EXP(-LN(2)/2)*BR148+(1-EXP(-LN(2)/2))/(LN(2)/2)*BL149*BO149*VLOOKUP('Données projet'!$B$11,Paramètres!$A$1:$I$89,3,0)*0.475*44/12</f>
        <v>3.3184908264022154E-17</v>
      </c>
      <c r="BS149" s="22">
        <f t="shared" si="117"/>
        <v>1.244323528223082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370.12772664814923</v>
      </c>
      <c r="CE149" s="59">
        <f t="shared" si="148"/>
        <v>292.26503163353146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0.75185382380571897</v>
      </c>
      <c r="CL149" s="21">
        <f>EXP(-LN(2)/25)*CL148+(1-EXP(-LN(2)/25))/(LN(2)/25)*Calculateur!CG149*Calculateur!CI149*VLOOKUP('Données projet'!$B$12,Paramètres!$A$1:$I$89,3,0)*0.475*44/12</f>
        <v>0.26644036635942125</v>
      </c>
      <c r="CM149" s="21">
        <f>EXP(-LN(2)/2)*CM148+(1-EXP(-LN(2)/2))/(LN(2)/2)*CG149*CJ149*VLOOKUP('Données projet'!$B$12,Paramètres!$A$1:$I$89,3,0)*0.475*44/12</f>
        <v>2.7487850557103607E-17</v>
      </c>
      <c r="CN149" s="22">
        <f t="shared" si="120"/>
        <v>1.0182941901651401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319.22903094674564</v>
      </c>
      <c r="T150" s="59">
        <f t="shared" si="142"/>
        <v>254.58690973142848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475.01366239340246</v>
      </c>
      <c r="AO150" s="59">
        <f t="shared" si="144"/>
        <v>322.81767004794284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0.85693085821513082</v>
      </c>
      <c r="AV150" s="21">
        <f>EXP(-LN(2)/25)*AV149+(1-EXP(-LN(2)/25))/(LN(2)/25)*Calculateur!AQ150*Calculateur!AS150*VLOOKUP('Données projet'!$B$10,Paramètres!$A$1:$I$89,3,0)*0.475*44/12</f>
        <v>0.43460793705811351</v>
      </c>
      <c r="AW150" s="21">
        <f>EXP(-LN(2)/2)*AW149+(1-EXP(-LN(2)/2))/(LN(2)/2)*AQ150*AT150*VLOOKUP('Données projet'!$B$10,Paramètres!$A$1:$I$89,3,0)*0.475*44/12</f>
        <v>2.4909290507561638E-17</v>
      </c>
      <c r="AX150" s="21">
        <f t="shared" si="114"/>
        <v>1.2915387952732442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449.84356201138451</v>
      </c>
      <c r="BJ150" s="59">
        <f t="shared" si="146"/>
        <v>306.61893266146666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0.80725370701425481</v>
      </c>
      <c r="BQ150" s="21">
        <f>EXP(-LN(2)/25)*BQ149+(1-EXP(-LN(2)/25))/(LN(2)/25)*Calculateur!BL150*Calculateur!BN150*VLOOKUP('Données projet'!$B$11,Paramètres!$A$1:$I$89,3,0)*0.475*44/12</f>
        <v>0.40941327404025268</v>
      </c>
      <c r="BR150" s="21">
        <f>EXP(-LN(2)/2)*BR149+(1-EXP(-LN(2)/2))/(LN(2)/2)*BL150*BO150*VLOOKUP('Données projet'!$B$11,Paramètres!$A$1:$I$89,3,0)*0.475*44/12</f>
        <v>2.3465273666543566E-17</v>
      </c>
      <c r="BS150" s="22">
        <f t="shared" si="117"/>
        <v>1.2166669810545074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370.12772664814923</v>
      </c>
      <c r="CE150" s="59">
        <f t="shared" si="148"/>
        <v>292.26503163353146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0.73711042890643974</v>
      </c>
      <c r="CL150" s="21">
        <f>EXP(-LN(2)/25)*CL149+(1-EXP(-LN(2)/25))/(LN(2)/25)*Calculateur!CG150*Calculateur!CI150*VLOOKUP('Données projet'!$B$12,Paramètres!$A$1:$I$89,3,0)*0.475*44/12</f>
        <v>0.25915454052983294</v>
      </c>
      <c r="CM150" s="21">
        <f>EXP(-LN(2)/2)*CM149+(1-EXP(-LN(2)/2))/(LN(2)/2)*CG150*CJ150*VLOOKUP('Données projet'!$B$12,Paramètres!$A$1:$I$89,3,0)*0.475*44/12</f>
        <v>1.9436845529170381E-17</v>
      </c>
      <c r="CN150" s="22">
        <f t="shared" si="120"/>
        <v>0.99626496943627263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319.22903094674564</v>
      </c>
      <c r="T151" s="59">
        <f t="shared" si="142"/>
        <v>254.58690973142848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475.01366239340246</v>
      </c>
      <c r="AO151" s="59">
        <f t="shared" si="144"/>
        <v>322.81767004794284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0.84012696676174559</v>
      </c>
      <c r="AV151" s="21">
        <f>EXP(-LN(2)/25)*AV150+(1-EXP(-LN(2)/25))/(LN(2)/25)*Calculateur!AQ151*Calculateur!AS151*VLOOKUP('Données projet'!$B$10,Paramètres!$A$1:$I$89,3,0)*0.475*44/12</f>
        <v>0.4227235601642213</v>
      </c>
      <c r="AW151" s="21">
        <f>EXP(-LN(2)/2)*AW150+(1-EXP(-LN(2)/2))/(LN(2)/2)*AQ151*AT151*VLOOKUP('Données projet'!$B$10,Paramètres!$A$1:$I$89,3,0)*0.475*44/12</f>
        <v>1.7613528232442532E-17</v>
      </c>
      <c r="AX151" s="21">
        <f t="shared" si="114"/>
        <v>1.2628505269259669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449.84356201138451</v>
      </c>
      <c r="BJ151" s="59">
        <f t="shared" si="146"/>
        <v>306.61893266146666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0.79142395419584843</v>
      </c>
      <c r="BQ151" s="21">
        <f>EXP(-LN(2)/25)*BQ150+(1-EXP(-LN(2)/25))/(LN(2)/25)*Calculateur!BL151*Calculateur!BN151*VLOOKUP('Données projet'!$B$11,Paramètres!$A$1:$I$89,3,0)*0.475*44/12</f>
        <v>0.3982178465315136</v>
      </c>
      <c r="BR151" s="21">
        <f>EXP(-LN(2)/2)*BR150+(1-EXP(-LN(2)/2))/(LN(2)/2)*BL151*BO151*VLOOKUP('Données projet'!$B$11,Paramètres!$A$1:$I$89,3,0)*0.475*44/12</f>
        <v>1.6592454132011077E-17</v>
      </c>
      <c r="BS151" s="22">
        <f t="shared" si="117"/>
        <v>1.1896418007273621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370.12772664814923</v>
      </c>
      <c r="CE151" s="59">
        <f t="shared" si="148"/>
        <v>292.26503163353146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0.72265614298855252</v>
      </c>
      <c r="CL151" s="21">
        <f>EXP(-LN(2)/25)*CL150+(1-EXP(-LN(2)/25))/(LN(2)/25)*Calculateur!CG151*Calculateur!CI151*VLOOKUP('Données projet'!$B$12,Paramètres!$A$1:$I$89,3,0)*0.475*44/12</f>
        <v>0.2520679459906997</v>
      </c>
      <c r="CM151" s="21">
        <f>EXP(-LN(2)/2)*CM150+(1-EXP(-LN(2)/2))/(LN(2)/2)*CG151*CJ151*VLOOKUP('Données projet'!$B$12,Paramètres!$A$1:$I$89,3,0)*0.475*44/12</f>
        <v>1.3743925278551807E-17</v>
      </c>
      <c r="CN151" s="22">
        <f t="shared" si="120"/>
        <v>0.97472408897925222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319.22903094674564</v>
      </c>
      <c r="T152" s="59">
        <f t="shared" si="142"/>
        <v>254.58690973142848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475.01366239340246</v>
      </c>
      <c r="AO152" s="59">
        <f t="shared" si="144"/>
        <v>322.81767004794284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0.82365258937039953</v>
      </c>
      <c r="AV152" s="21">
        <f>EXP(-LN(2)/25)*AV151+(1-EXP(-LN(2)/25))/(LN(2)/25)*Calculateur!AQ152*Calculateur!AS152*VLOOKUP('Données projet'!$B$10,Paramètres!$A$1:$I$89,3,0)*0.475*44/12</f>
        <v>0.41116416218146479</v>
      </c>
      <c r="AW152" s="21">
        <f>EXP(-LN(2)/2)*AW151+(1-EXP(-LN(2)/2))/(LN(2)/2)*AQ152*AT152*VLOOKUP('Données projet'!$B$10,Paramètres!$A$1:$I$89,3,0)*0.475*44/12</f>
        <v>1.2454645253780819E-17</v>
      </c>
      <c r="AX152" s="21">
        <f t="shared" si="114"/>
        <v>1.2348167515518642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449.84356201138451</v>
      </c>
      <c r="BJ152" s="59">
        <f t="shared" si="146"/>
        <v>306.61893266146666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0.77590461317501513</v>
      </c>
      <c r="BQ152" s="21">
        <f>EXP(-LN(2)/25)*BQ151+(1-EXP(-LN(2)/25))/(LN(2)/25)*Calculateur!BL152*Calculateur!BN152*VLOOKUP('Données projet'!$B$11,Paramètres!$A$1:$I$89,3,0)*0.475*44/12</f>
        <v>0.38732855857674292</v>
      </c>
      <c r="BR152" s="21">
        <f>EXP(-LN(2)/2)*BR151+(1-EXP(-LN(2)/2))/(LN(2)/2)*BL152*BO152*VLOOKUP('Données projet'!$B$11,Paramètres!$A$1:$I$89,3,0)*0.475*44/12</f>
        <v>1.1732636833271783E-17</v>
      </c>
      <c r="BS152" s="22">
        <f t="shared" si="117"/>
        <v>1.1632331717517581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370.12772664814923</v>
      </c>
      <c r="CE152" s="59">
        <f t="shared" si="148"/>
        <v>292.26503163353146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0.70848529680127115</v>
      </c>
      <c r="CL152" s="21">
        <f>EXP(-LN(2)/25)*CL151+(1-EXP(-LN(2)/25))/(LN(2)/25)*Calculateur!CG152*Calculateur!CI152*VLOOKUP('Données projet'!$B$12,Paramètres!$A$1:$I$89,3,0)*0.475*44/12</f>
        <v>0.24517513475190686</v>
      </c>
      <c r="CM152" s="21">
        <f>EXP(-LN(2)/2)*CM151+(1-EXP(-LN(2)/2))/(LN(2)/2)*CG152*CJ152*VLOOKUP('Données projet'!$B$12,Paramètres!$A$1:$I$89,3,0)*0.475*44/12</f>
        <v>9.7184227645851922E-18</v>
      </c>
      <c r="CN152" s="22">
        <f t="shared" si="120"/>
        <v>0.95366043155317803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319.22903094674564</v>
      </c>
      <c r="T153" s="59">
        <f t="shared" si="142"/>
        <v>254.58690973142848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475.01366239340246</v>
      </c>
      <c r="AO153" s="59">
        <f t="shared" si="144"/>
        <v>322.81767004794284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0.80750126447131976</v>
      </c>
      <c r="AV153" s="21">
        <f>EXP(-LN(2)/25)*AV152+(1-EXP(-LN(2)/25))/(LN(2)/25)*Calculateur!AQ153*Calculateur!AS153*VLOOKUP('Données projet'!$B$10,Paramètres!$A$1:$I$89,3,0)*0.475*44/12</f>
        <v>0.39992085654442905</v>
      </c>
      <c r="AW153" s="21">
        <f>EXP(-LN(2)/2)*AW152+(1-EXP(-LN(2)/2))/(LN(2)/2)*AQ153*AT153*VLOOKUP('Données projet'!$B$10,Paramètres!$A$1:$I$89,3,0)*0.475*44/12</f>
        <v>8.8067641162212662E-18</v>
      </c>
      <c r="AX153" s="21">
        <f t="shared" si="114"/>
        <v>1.2074221210157488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449.84356201138451</v>
      </c>
      <c r="BJ153" s="59">
        <f t="shared" si="146"/>
        <v>306.61893266146666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0.76068959696573701</v>
      </c>
      <c r="BQ153" s="21">
        <f>EXP(-LN(2)/25)*BQ152+(1-EXP(-LN(2)/25))/(LN(2)/25)*Calculateur!BL153*Calculateur!BN153*VLOOKUP('Données projet'!$B$11,Paramètres!$A$1:$I$89,3,0)*0.475*44/12</f>
        <v>0.37673703877373826</v>
      </c>
      <c r="BR153" s="21">
        <f>EXP(-LN(2)/2)*BR152+(1-EXP(-LN(2)/2))/(LN(2)/2)*BL153*BO153*VLOOKUP('Données projet'!$B$11,Paramètres!$A$1:$I$89,3,0)*0.475*44/12</f>
        <v>8.2962270660055386E-18</v>
      </c>
      <c r="BS153" s="22">
        <f t="shared" si="117"/>
        <v>1.1374266357394753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370.12772664814923</v>
      </c>
      <c r="CE153" s="59">
        <f t="shared" si="148"/>
        <v>292.26503163353146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0.69459233226435968</v>
      </c>
      <c r="CL153" s="21">
        <f>EXP(-LN(2)/25)*CL152+(1-EXP(-LN(2)/25))/(LN(2)/25)*Calculateur!CG153*Calculateur!CI153*VLOOKUP('Données projet'!$B$12,Paramètres!$A$1:$I$89,3,0)*0.475*44/12</f>
        <v>0.238470807798916</v>
      </c>
      <c r="CM153" s="21">
        <f>EXP(-LN(2)/2)*CM152+(1-EXP(-LN(2)/2))/(LN(2)/2)*CG153*CJ153*VLOOKUP('Données projet'!$B$12,Paramètres!$A$1:$I$89,3,0)*0.475*44/12</f>
        <v>6.8719626392759042E-18</v>
      </c>
      <c r="CN153" s="22">
        <f t="shared" si="120"/>
        <v>0.93306314006327562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319.22903094674564</v>
      </c>
      <c r="T154" s="59">
        <f t="shared" si="142"/>
        <v>254.58690973142848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475.01366239340246</v>
      </c>
      <c r="AO154" s="59">
        <f t="shared" si="144"/>
        <v>322.81767004794284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0.79166665720217544</v>
      </c>
      <c r="AV154" s="21">
        <f>EXP(-LN(2)/25)*AV153+(1-EXP(-LN(2)/25))/(LN(2)/25)*Calculateur!AQ154*Calculateur!AS154*VLOOKUP('Données projet'!$B$10,Paramètres!$A$1:$I$89,3,0)*0.475*44/12</f>
        <v>0.38898499969129779</v>
      </c>
      <c r="AW154" s="21">
        <f>EXP(-LN(2)/2)*AW153+(1-EXP(-LN(2)/2))/(LN(2)/2)*AQ154*AT154*VLOOKUP('Données projet'!$B$10,Paramètres!$A$1:$I$89,3,0)*0.475*44/12</f>
        <v>6.2273226268904095E-18</v>
      </c>
      <c r="AX154" s="21">
        <f t="shared" ref="AX154:AX203" si="166">SUM(AU154:AW154)</f>
        <v>1.1806516568934733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449.84356201138451</v>
      </c>
      <c r="BJ154" s="59">
        <f t="shared" si="146"/>
        <v>306.61893266146666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0.74577293794407939</v>
      </c>
      <c r="BQ154" s="21">
        <f>EXP(-LN(2)/25)*BQ153+(1-EXP(-LN(2)/25))/(LN(2)/25)*Calculateur!BL154*Calculateur!BN154*VLOOKUP('Données projet'!$B$11,Paramètres!$A$1:$I$89,3,0)*0.475*44/12</f>
        <v>0.36643514463673055</v>
      </c>
      <c r="BR154" s="21">
        <f>EXP(-LN(2)/2)*BR153+(1-EXP(-LN(2)/2))/(LN(2)/2)*BL154*BO154*VLOOKUP('Données projet'!$B$11,Paramètres!$A$1:$I$89,3,0)*0.475*44/12</f>
        <v>5.8663184166358916E-18</v>
      </c>
      <c r="BS154" s="22">
        <f t="shared" ref="BS154:BS203" si="169">SUM(BP154:BR154)</f>
        <v>1.1122080825808101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370.12772664814923</v>
      </c>
      <c r="CE154" s="59">
        <f t="shared" si="148"/>
        <v>292.26503163353146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0.68097180028814541</v>
      </c>
      <c r="CL154" s="21">
        <f>EXP(-LN(2)/25)*CL153+(1-EXP(-LN(2)/25))/(LN(2)/25)*Calculateur!CG154*Calculateur!CI154*VLOOKUP('Données projet'!$B$12,Paramètres!$A$1:$I$89,3,0)*0.475*44/12</f>
        <v>0.23194981101901987</v>
      </c>
      <c r="CM154" s="21">
        <f>EXP(-LN(2)/2)*CM153+(1-EXP(-LN(2)/2))/(LN(2)/2)*CG154*CJ154*VLOOKUP('Données projet'!$B$12,Paramètres!$A$1:$I$89,3,0)*0.475*44/12</f>
        <v>4.8592113822925969E-18</v>
      </c>
      <c r="CN154" s="22">
        <f t="shared" ref="CN154:CN203" si="172">SUM(CK154:CM154)</f>
        <v>0.91292161130716531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319.22903094674564</v>
      </c>
      <c r="T155" s="59">
        <f t="shared" si="142"/>
        <v>254.58690973142848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475.01366239340246</v>
      </c>
      <c r="AO155" s="59">
        <f t="shared" si="144"/>
        <v>322.81767004794284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0.77614255692342227</v>
      </c>
      <c r="AV155" s="21">
        <f>EXP(-LN(2)/25)*AV154+(1-EXP(-LN(2)/25))/(LN(2)/25)*Calculateur!AQ155*Calculateur!AS155*VLOOKUP('Données projet'!$B$10,Paramètres!$A$1:$I$89,3,0)*0.475*44/12</f>
        <v>0.37834818441890716</v>
      </c>
      <c r="AW155" s="21">
        <f>EXP(-LN(2)/2)*AW154+(1-EXP(-LN(2)/2))/(LN(2)/2)*AQ155*AT155*VLOOKUP('Données projet'!$B$10,Paramètres!$A$1:$I$89,3,0)*0.475*44/12</f>
        <v>4.4033820581106331E-18</v>
      </c>
      <c r="AX155" s="21">
        <f t="shared" si="166"/>
        <v>1.1544907413423293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449.84356201138451</v>
      </c>
      <c r="BJ155" s="59">
        <f t="shared" si="146"/>
        <v>306.61893266146666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0.73114878550757278</v>
      </c>
      <c r="BQ155" s="21">
        <f>EXP(-LN(2)/25)*BQ154+(1-EXP(-LN(2)/25))/(LN(2)/25)*Calculateur!BL155*Calculateur!BN155*VLOOKUP('Données projet'!$B$11,Paramètres!$A$1:$I$89,3,0)*0.475*44/12</f>
        <v>0.35641495633665238</v>
      </c>
      <c r="BR155" s="21">
        <f>EXP(-LN(2)/2)*BR154+(1-EXP(-LN(2)/2))/(LN(2)/2)*BL155*BO155*VLOOKUP('Données projet'!$B$11,Paramètres!$A$1:$I$89,3,0)*0.475*44/12</f>
        <v>4.1481135330027693E-18</v>
      </c>
      <c r="BS155" s="22">
        <f t="shared" si="169"/>
        <v>1.0875637418442252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370.12772664814923</v>
      </c>
      <c r="CE155" s="59">
        <f t="shared" si="148"/>
        <v>292.26503163353146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0.6676183586362805</v>
      </c>
      <c r="CL155" s="21">
        <f>EXP(-LN(2)/25)*CL154+(1-EXP(-LN(2)/25))/(LN(2)/25)*Calculateur!CG155*Calculateur!CI155*VLOOKUP('Données projet'!$B$12,Paramètres!$A$1:$I$89,3,0)*0.475*44/12</f>
        <v>0.22560713123899434</v>
      </c>
      <c r="CM155" s="21">
        <f>EXP(-LN(2)/2)*CM154+(1-EXP(-LN(2)/2))/(LN(2)/2)*CG155*CJ155*VLOOKUP('Données projet'!$B$12,Paramètres!$A$1:$I$89,3,0)*0.475*44/12</f>
        <v>3.4359813196379525E-18</v>
      </c>
      <c r="CN155" s="22">
        <f t="shared" si="172"/>
        <v>0.89322548987527484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319.22903094674564</v>
      </c>
      <c r="T156" s="59">
        <f t="shared" si="142"/>
        <v>254.58690973142848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475.01366239340246</v>
      </c>
      <c r="AO156" s="59">
        <f t="shared" si="144"/>
        <v>322.81767004794284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0.76092287478236931</v>
      </c>
      <c r="AV156" s="21">
        <f>EXP(-LN(2)/25)*AV155+(1-EXP(-LN(2)/25))/(LN(2)/25)*Calculateur!AQ156*Calculateur!AS156*VLOOKUP('Données projet'!$B$10,Paramètres!$A$1:$I$89,3,0)*0.475*44/12</f>
        <v>0.36800223341950583</v>
      </c>
      <c r="AW156" s="21">
        <f>EXP(-LN(2)/2)*AW155+(1-EXP(-LN(2)/2))/(LN(2)/2)*AQ156*AT156*VLOOKUP('Données projet'!$B$10,Paramètres!$A$1:$I$89,3,0)*0.475*44/12</f>
        <v>3.1136613134452048E-18</v>
      </c>
      <c r="AX156" s="21">
        <f t="shared" si="166"/>
        <v>1.1289251082018752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449.84356201138451</v>
      </c>
      <c r="BJ156" s="59">
        <f t="shared" si="146"/>
        <v>306.61893266146666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0.71681140378049391</v>
      </c>
      <c r="BQ156" s="21">
        <f>EXP(-LN(2)/25)*BQ155+(1-EXP(-LN(2)/25))/(LN(2)/25)*Calculateur!BL156*Calculateur!BN156*VLOOKUP('Données projet'!$B$11,Paramètres!$A$1:$I$89,3,0)*0.475*44/12</f>
        <v>0.34666877061257867</v>
      </c>
      <c r="BR156" s="21">
        <f>EXP(-LN(2)/2)*BR155+(1-EXP(-LN(2)/2))/(LN(2)/2)*BL156*BO156*VLOOKUP('Données projet'!$B$11,Paramètres!$A$1:$I$89,3,0)*0.475*44/12</f>
        <v>2.9331592083179458E-18</v>
      </c>
      <c r="BS156" s="22">
        <f t="shared" si="169"/>
        <v>1.0634801743930726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370.12772664814923</v>
      </c>
      <c r="CE156" s="59">
        <f t="shared" si="148"/>
        <v>292.26503163353146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0.65452676983041347</v>
      </c>
      <c r="CL156" s="21">
        <f>EXP(-LN(2)/25)*CL155+(1-EXP(-LN(2)/25))/(LN(2)/25)*Calculateur!CG156*Calculateur!CI156*VLOOKUP('Données projet'!$B$12,Paramètres!$A$1:$I$89,3,0)*0.475*44/12</f>
        <v>0.21943789237110065</v>
      </c>
      <c r="CM156" s="21">
        <f>EXP(-LN(2)/2)*CM155+(1-EXP(-LN(2)/2))/(LN(2)/2)*CG156*CJ156*VLOOKUP('Données projet'!$B$12,Paramètres!$A$1:$I$89,3,0)*0.475*44/12</f>
        <v>2.4296056911462988E-18</v>
      </c>
      <c r="CN156" s="22">
        <f t="shared" si="172"/>
        <v>0.87396466220151414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319.22903094674564</v>
      </c>
      <c r="T157" s="59">
        <f t="shared" si="142"/>
        <v>254.58690973142848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475.01366239340246</v>
      </c>
      <c r="AO157" s="59">
        <f t="shared" si="144"/>
        <v>322.81767004794284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0.7460016413250129</v>
      </c>
      <c r="AV157" s="21">
        <f>EXP(-LN(2)/25)*AV156+(1-EXP(-LN(2)/25))/(LN(2)/25)*Calculateur!AQ157*Calculateur!AS157*VLOOKUP('Données projet'!$B$10,Paramètres!$A$1:$I$89,3,0)*0.475*44/12</f>
        <v>0.35793919299425309</v>
      </c>
      <c r="AW157" s="21">
        <f>EXP(-LN(2)/2)*AW156+(1-EXP(-LN(2)/2))/(LN(2)/2)*AQ157*AT157*VLOOKUP('Données projet'!$B$10,Paramètres!$A$1:$I$89,3,0)*0.475*44/12</f>
        <v>2.2016910290553165E-18</v>
      </c>
      <c r="AX157" s="21">
        <f t="shared" si="166"/>
        <v>1.103940834319266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449.84356201138451</v>
      </c>
      <c r="BJ157" s="59">
        <f t="shared" si="146"/>
        <v>306.61893266146666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0.70275516936414362</v>
      </c>
      <c r="BQ157" s="21">
        <f>EXP(-LN(2)/25)*BQ156+(1-EXP(-LN(2)/25))/(LN(2)/25)*Calculateur!BL157*Calculateur!BN157*VLOOKUP('Données projet'!$B$11,Paramètres!$A$1:$I$89,3,0)*0.475*44/12</f>
        <v>0.33718909484965937</v>
      </c>
      <c r="BR157" s="21">
        <f>EXP(-LN(2)/2)*BR156+(1-EXP(-LN(2)/2))/(LN(2)/2)*BL157*BO157*VLOOKUP('Données projet'!$B$11,Paramètres!$A$1:$I$89,3,0)*0.475*44/12</f>
        <v>2.0740567665013846E-18</v>
      </c>
      <c r="BS157" s="22">
        <f t="shared" si="169"/>
        <v>1.039944264213803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370.12772664814923</v>
      </c>
      <c r="CE157" s="59">
        <f t="shared" si="148"/>
        <v>292.26503163353146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0.64169189909594881</v>
      </c>
      <c r="CL157" s="21">
        <f>EXP(-LN(2)/25)*CL156+(1-EXP(-LN(2)/25))/(LN(2)/25)*Calculateur!CG157*Calculateur!CI157*VLOOKUP('Données projet'!$B$12,Paramètres!$A$1:$I$89,3,0)*0.475*44/12</f>
        <v>0.21343735166447567</v>
      </c>
      <c r="CM157" s="21">
        <f>EXP(-LN(2)/2)*CM156+(1-EXP(-LN(2)/2))/(LN(2)/2)*CG157*CJ157*VLOOKUP('Données projet'!$B$12,Paramètres!$A$1:$I$89,3,0)*0.475*44/12</f>
        <v>1.7179906598189766E-18</v>
      </c>
      <c r="CN157" s="22">
        <f t="shared" si="172"/>
        <v>0.85512925076042445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319.22903094674564</v>
      </c>
      <c r="T158" s="59">
        <f t="shared" si="142"/>
        <v>254.58690973142848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475.01366239340246</v>
      </c>
      <c r="AO158" s="59">
        <f t="shared" si="144"/>
        <v>322.81767004794284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0.73137300415470152</v>
      </c>
      <c r="AV158" s="21">
        <f>EXP(-LN(2)/25)*AV157+(1-EXP(-LN(2)/25))/(LN(2)/25)*Calculateur!AQ158*Calculateur!AS158*VLOOKUP('Données projet'!$B$10,Paramètres!$A$1:$I$89,3,0)*0.475*44/12</f>
        <v>0.34815132693862116</v>
      </c>
      <c r="AW158" s="21">
        <f>EXP(-LN(2)/2)*AW157+(1-EXP(-LN(2)/2))/(LN(2)/2)*AQ158*AT158*VLOOKUP('Données projet'!$B$10,Paramètres!$A$1:$I$89,3,0)*0.475*44/12</f>
        <v>1.5568306567226024E-18</v>
      </c>
      <c r="AX158" s="21">
        <f t="shared" si="166"/>
        <v>1.0795243310933227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449.84356201138451</v>
      </c>
      <c r="BJ158" s="59">
        <f t="shared" si="146"/>
        <v>306.61893266146666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0.68897456913124155</v>
      </c>
      <c r="BQ158" s="21">
        <f>EXP(-LN(2)/25)*BQ157+(1-EXP(-LN(2)/25))/(LN(2)/25)*Calculateur!BL158*Calculateur!BN158*VLOOKUP('Données projet'!$B$11,Paramètres!$A$1:$I$89,3,0)*0.475*44/12</f>
        <v>0.32796864131899156</v>
      </c>
      <c r="BR158" s="21">
        <f>EXP(-LN(2)/2)*BR157+(1-EXP(-LN(2)/2))/(LN(2)/2)*BL158*BO158*VLOOKUP('Données projet'!$B$11,Paramètres!$A$1:$I$89,3,0)*0.475*44/12</f>
        <v>1.4665796041589729E-18</v>
      </c>
      <c r="BS158" s="22">
        <f t="shared" si="169"/>
        <v>1.0169432104502332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370.12772664814923</v>
      </c>
      <c r="CE158" s="59">
        <f t="shared" si="148"/>
        <v>292.26503163353146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0.62910871234808885</v>
      </c>
      <c r="CL158" s="21">
        <f>EXP(-LN(2)/25)*CL157+(1-EXP(-LN(2)/25))/(LN(2)/25)*Calculateur!CG158*Calculateur!CI158*VLOOKUP('Données projet'!$B$12,Paramètres!$A$1:$I$89,3,0)*0.475*44/12</f>
        <v>0.20760089605902807</v>
      </c>
      <c r="CM158" s="21">
        <f>EXP(-LN(2)/2)*CM157+(1-EXP(-LN(2)/2))/(LN(2)/2)*CG158*CJ158*VLOOKUP('Données projet'!$B$12,Paramètres!$A$1:$I$89,3,0)*0.475*44/12</f>
        <v>1.2148028455731496E-18</v>
      </c>
      <c r="CN158" s="22">
        <f t="shared" si="172"/>
        <v>0.83670960840711694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319.22903094674564</v>
      </c>
      <c r="T159" s="59">
        <f t="shared" si="142"/>
        <v>254.58690973142848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475.01366239340246</v>
      </c>
      <c r="AO159" s="59">
        <f t="shared" si="144"/>
        <v>322.81767004794284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0.71703122563671229</v>
      </c>
      <c r="AV159" s="21">
        <f>EXP(-LN(2)/25)*AV158+(1-EXP(-LN(2)/25))/(LN(2)/25)*Calculateur!AQ159*Calculateur!AS159*VLOOKUP('Données projet'!$B$10,Paramètres!$A$1:$I$89,3,0)*0.475*44/12</f>
        <v>0.33863111059500201</v>
      </c>
      <c r="AW159" s="21">
        <f>EXP(-LN(2)/2)*AW158+(1-EXP(-LN(2)/2))/(LN(2)/2)*AQ159*AT159*VLOOKUP('Données projet'!$B$10,Paramètres!$A$1:$I$89,3,0)*0.475*44/12</f>
        <v>1.1008455145276583E-18</v>
      </c>
      <c r="AX159" s="21">
        <f t="shared" si="166"/>
        <v>1.0556623362317143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449.84356201138451</v>
      </c>
      <c r="BJ159" s="59">
        <f t="shared" si="146"/>
        <v>306.61893266146666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0.6754641980635705</v>
      </c>
      <c r="BQ159" s="21">
        <f>EXP(-LN(2)/25)*BQ158+(1-EXP(-LN(2)/25))/(LN(2)/25)*Calculateur!BL159*Calculateur!BN159*VLOOKUP('Données projet'!$B$11,Paramètres!$A$1:$I$89,3,0)*0.475*44/12</f>
        <v>0.31900032157500247</v>
      </c>
      <c r="BR159" s="21">
        <f>EXP(-LN(2)/2)*BR158+(1-EXP(-LN(2)/2))/(LN(2)/2)*BL159*BO159*VLOOKUP('Données projet'!$B$11,Paramètres!$A$1:$I$89,3,0)*0.475*44/12</f>
        <v>1.0370283832506923E-18</v>
      </c>
      <c r="BS159" s="22">
        <f t="shared" si="169"/>
        <v>0.99446451963857296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370.12772664814923</v>
      </c>
      <c r="CE159" s="59">
        <f t="shared" si="148"/>
        <v>292.26503163353146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0.61677227421736835</v>
      </c>
      <c r="CL159" s="21">
        <f>EXP(-LN(2)/25)*CL158+(1-EXP(-LN(2)/25))/(LN(2)/25)*Calculateur!CG159*Calculateur!CI159*VLOOKUP('Données projet'!$B$12,Paramètres!$A$1:$I$89,3,0)*0.475*44/12</f>
        <v>0.2019240386390373</v>
      </c>
      <c r="CM159" s="21">
        <f>EXP(-LN(2)/2)*CM158+(1-EXP(-LN(2)/2))/(LN(2)/2)*CG159*CJ159*VLOOKUP('Données projet'!$B$12,Paramètres!$A$1:$I$89,3,0)*0.475*44/12</f>
        <v>8.589953299094884E-19</v>
      </c>
      <c r="CN159" s="22">
        <f t="shared" si="172"/>
        <v>0.81869631285640565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319.22903094674564</v>
      </c>
      <c r="T160" s="59">
        <f t="shared" si="142"/>
        <v>254.58690973142848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475.01366239340246</v>
      </c>
      <c r="AO160" s="59">
        <f t="shared" si="144"/>
        <v>322.81767004794284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0.70297068064783963</v>
      </c>
      <c r="AV160" s="21">
        <f>EXP(-LN(2)/25)*AV159+(1-EXP(-LN(2)/25))/(LN(2)/25)*Calculateur!AQ160*Calculateur!AS160*VLOOKUP('Données projet'!$B$10,Paramètres!$A$1:$I$89,3,0)*0.475*44/12</f>
        <v>0.32937122506794553</v>
      </c>
      <c r="AW160" s="21">
        <f>EXP(-LN(2)/2)*AW159+(1-EXP(-LN(2)/2))/(LN(2)/2)*AQ160*AT160*VLOOKUP('Données projet'!$B$10,Paramètres!$A$1:$I$89,3,0)*0.475*44/12</f>
        <v>7.7841532836130119E-19</v>
      </c>
      <c r="AX160" s="21">
        <f t="shared" si="166"/>
        <v>1.0323419057157852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449.84356201138451</v>
      </c>
      <c r="BJ160" s="59">
        <f t="shared" si="146"/>
        <v>306.61893266146666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0.66221875713202383</v>
      </c>
      <c r="BQ160" s="21">
        <f>EXP(-LN(2)/25)*BQ159+(1-EXP(-LN(2)/25))/(LN(2)/25)*Calculateur!BL160*Calculateur!BN160*VLOOKUP('Données projet'!$B$11,Paramètres!$A$1:$I$89,3,0)*0.475*44/12</f>
        <v>0.31027724100603621</v>
      </c>
      <c r="BR160" s="21">
        <f>EXP(-LN(2)/2)*BR159+(1-EXP(-LN(2)/2))/(LN(2)/2)*BL160*BO160*VLOOKUP('Données projet'!$B$11,Paramètres!$A$1:$I$89,3,0)*0.475*44/12</f>
        <v>7.3328980207948645E-19</v>
      </c>
      <c r="BS160" s="22">
        <f t="shared" si="169"/>
        <v>0.97249599813806009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370.12772664814923</v>
      </c>
      <c r="CE160" s="59">
        <f t="shared" si="148"/>
        <v>292.26503163353146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0.60467774611390701</v>
      </c>
      <c r="CL160" s="21">
        <f>EXP(-LN(2)/25)*CL159+(1-EXP(-LN(2)/25))/(LN(2)/25)*Calculateur!CG160*Calculateur!CI160*VLOOKUP('Données projet'!$B$12,Paramètres!$A$1:$I$89,3,0)*0.475*44/12</f>
        <v>0.19640241518372914</v>
      </c>
      <c r="CM160" s="21">
        <f>EXP(-LN(2)/2)*CM159+(1-EXP(-LN(2)/2))/(LN(2)/2)*CG160*CJ160*VLOOKUP('Données projet'!$B$12,Paramètres!$A$1:$I$89,3,0)*0.475*44/12</f>
        <v>6.074014227865749E-19</v>
      </c>
      <c r="CN160" s="22">
        <f t="shared" si="172"/>
        <v>0.80108016129763615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319.22903094674564</v>
      </c>
      <c r="T161" s="59">
        <f t="shared" si="142"/>
        <v>254.58690973142848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475.01366239340246</v>
      </c>
      <c r="AO161" s="59">
        <f t="shared" si="144"/>
        <v>322.81767004794284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0.68918585437011315</v>
      </c>
      <c r="AV161" s="21">
        <f>EXP(-LN(2)/25)*AV160+(1-EXP(-LN(2)/25))/(LN(2)/25)*Calculateur!AQ161*Calculateur!AS161*VLOOKUP('Données projet'!$B$10,Paramètres!$A$1:$I$89,3,0)*0.475*44/12</f>
        <v>0.32036455159758259</v>
      </c>
      <c r="AW161" s="21">
        <f>EXP(-LN(2)/2)*AW160+(1-EXP(-LN(2)/2))/(LN(2)/2)*AQ161*AT161*VLOOKUP('Données projet'!$B$10,Paramètres!$A$1:$I$89,3,0)*0.475*44/12</f>
        <v>5.5042275726382914E-19</v>
      </c>
      <c r="AX161" s="21">
        <f t="shared" si="166"/>
        <v>1.0095504059676959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449.84356201138451</v>
      </c>
      <c r="BJ161" s="59">
        <f t="shared" si="146"/>
        <v>306.61893266146666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0.6492330512182235</v>
      </c>
      <c r="BQ161" s="21">
        <f>EXP(-LN(2)/25)*BQ160+(1-EXP(-LN(2)/25))/(LN(2)/25)*Calculateur!BL161*Calculateur!BN161*VLOOKUP('Données projet'!$B$11,Paramètres!$A$1:$I$89,3,0)*0.475*44/12</f>
        <v>0.30179269353395521</v>
      </c>
      <c r="BR161" s="21">
        <f>EXP(-LN(2)/2)*BR160+(1-EXP(-LN(2)/2))/(LN(2)/2)*BL161*BO161*VLOOKUP('Données projet'!$B$11,Paramètres!$A$1:$I$89,3,0)*0.475*44/12</f>
        <v>5.1851419162534616E-19</v>
      </c>
      <c r="BS161" s="22">
        <f t="shared" si="169"/>
        <v>0.95102574475217871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370.12772664814923</v>
      </c>
      <c r="CE161" s="59">
        <f t="shared" si="148"/>
        <v>292.26503163353146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0.59282038432962081</v>
      </c>
      <c r="CL161" s="21">
        <f>EXP(-LN(2)/25)*CL160+(1-EXP(-LN(2)/25))/(LN(2)/25)*Calculateur!CG161*Calculateur!CI161*VLOOKUP('Données projet'!$B$12,Paramètres!$A$1:$I$89,3,0)*0.475*44/12</f>
        <v>0.19103178081217592</v>
      </c>
      <c r="CM161" s="21">
        <f>EXP(-LN(2)/2)*CM160+(1-EXP(-LN(2)/2))/(LN(2)/2)*CG161*CJ161*VLOOKUP('Données projet'!$B$12,Paramètres!$A$1:$I$89,3,0)*0.475*44/12</f>
        <v>4.294976649547443E-19</v>
      </c>
      <c r="CN161" s="22">
        <f t="shared" si="172"/>
        <v>0.78385216514179668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319.22903094674564</v>
      </c>
      <c r="T162" s="59">
        <f t="shared" si="142"/>
        <v>254.58690973142848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475.01366239340246</v>
      </c>
      <c r="AO162" s="59">
        <f t="shared" si="144"/>
        <v>322.81767004794284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0.67567134012777907</v>
      </c>
      <c r="AV162" s="21">
        <f>EXP(-LN(2)/25)*AV161+(1-EXP(-LN(2)/25))/(LN(2)/25)*Calculateur!AQ162*Calculateur!AS162*VLOOKUP('Données projet'!$B$10,Paramètres!$A$1:$I$89,3,0)*0.475*44/12</f>
        <v>0.31160416608690711</v>
      </c>
      <c r="AW162" s="21">
        <f>EXP(-LN(2)/2)*AW161+(1-EXP(-LN(2)/2))/(LN(2)/2)*AQ162*AT162*VLOOKUP('Données projet'!$B$10,Paramètres!$A$1:$I$89,3,0)*0.475*44/12</f>
        <v>3.892076641806506E-19</v>
      </c>
      <c r="AX162" s="21">
        <f t="shared" si="166"/>
        <v>0.98727550621468618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449.84356201138451</v>
      </c>
      <c r="BJ162" s="59">
        <f t="shared" si="146"/>
        <v>306.61893266146666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0.63650198707689432</v>
      </c>
      <c r="BQ162" s="21">
        <f>EXP(-LN(2)/25)*BQ161+(1-EXP(-LN(2)/25))/(LN(2)/25)*Calculateur!BL162*Calculateur!BN162*VLOOKUP('Données projet'!$B$11,Paramètres!$A$1:$I$89,3,0)*0.475*44/12</f>
        <v>0.2935401564586812</v>
      </c>
      <c r="BR162" s="21">
        <f>EXP(-LN(2)/2)*BR161+(1-EXP(-LN(2)/2))/(LN(2)/2)*BL162*BO162*VLOOKUP('Données projet'!$B$11,Paramètres!$A$1:$I$89,3,0)*0.475*44/12</f>
        <v>3.6664490103974322E-19</v>
      </c>
      <c r="BS162" s="22">
        <f t="shared" si="169"/>
        <v>0.93004214353557546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370.12772664814923</v>
      </c>
      <c r="CE162" s="59">
        <f t="shared" si="148"/>
        <v>292.26503163353146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0.58119553817764791</v>
      </c>
      <c r="CL162" s="21">
        <f>EXP(-LN(2)/25)*CL161+(1-EXP(-LN(2)/25))/(LN(2)/25)*Calculateur!CG162*Calculateur!CI162*VLOOKUP('Données projet'!$B$12,Paramètres!$A$1:$I$89,3,0)*0.475*44/12</f>
        <v>0.18580800671994221</v>
      </c>
      <c r="CM162" s="21">
        <f>EXP(-LN(2)/2)*CM161+(1-EXP(-LN(2)/2))/(LN(2)/2)*CG162*CJ162*VLOOKUP('Données projet'!$B$12,Paramètres!$A$1:$I$89,3,0)*0.475*44/12</f>
        <v>3.037007113932875E-19</v>
      </c>
      <c r="CN162" s="22">
        <f t="shared" si="172"/>
        <v>0.76700354489759015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319.22903094674564</v>
      </c>
      <c r="T163" s="59">
        <f t="shared" si="142"/>
        <v>254.58690973142848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475.01366239340246</v>
      </c>
      <c r="AO163" s="59">
        <f t="shared" si="144"/>
        <v>322.81767004794284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0.66242183726669746</v>
      </c>
      <c r="AV163" s="21">
        <f>EXP(-LN(2)/25)*AV162+(1-EXP(-LN(2)/25))/(LN(2)/25)*Calculateur!AQ163*Calculateur!AS163*VLOOKUP('Données projet'!$B$10,Paramètres!$A$1:$I$89,3,0)*0.475*44/12</f>
        <v>0.30308333377870972</v>
      </c>
      <c r="AW163" s="21">
        <f>EXP(-LN(2)/2)*AW162+(1-EXP(-LN(2)/2))/(LN(2)/2)*AQ163*AT163*VLOOKUP('Données projet'!$B$10,Paramètres!$A$1:$I$89,3,0)*0.475*44/12</f>
        <v>2.7521137863191457E-19</v>
      </c>
      <c r="AX163" s="21">
        <f t="shared" si="166"/>
        <v>0.96550517104540723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449.84356201138451</v>
      </c>
      <c r="BJ163" s="59">
        <f t="shared" si="146"/>
        <v>306.61893266146666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0.62402057133819422</v>
      </c>
      <c r="BQ163" s="21">
        <f>EXP(-LN(2)/25)*BQ162+(1-EXP(-LN(2)/25))/(LN(2)/25)*Calculateur!BL163*Calculateur!BN163*VLOOKUP('Données projet'!$B$11,Paramètres!$A$1:$I$89,3,0)*0.475*44/12</f>
        <v>0.28551328544371263</v>
      </c>
      <c r="BR163" s="21">
        <f>EXP(-LN(2)/2)*BR162+(1-EXP(-LN(2)/2))/(LN(2)/2)*BL163*BO163*VLOOKUP('Données projet'!$B$11,Paramètres!$A$1:$I$89,3,0)*0.475*44/12</f>
        <v>2.5925709581267308E-19</v>
      </c>
      <c r="BS163" s="22">
        <f t="shared" si="169"/>
        <v>0.9095338567819069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370.12772664814923</v>
      </c>
      <c r="CE163" s="59">
        <f t="shared" si="148"/>
        <v>292.26503163353146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0.56979864816825909</v>
      </c>
      <c r="CL163" s="21">
        <f>EXP(-LN(2)/25)*CL162+(1-EXP(-LN(2)/25))/(LN(2)/25)*Calculateur!CG163*Calculateur!CI163*VLOOKUP('Données projet'!$B$12,Paramètres!$A$1:$I$89,3,0)*0.475*44/12</f>
        <v>0.18072707700496699</v>
      </c>
      <c r="CM163" s="21">
        <f>EXP(-LN(2)/2)*CM162+(1-EXP(-LN(2)/2))/(LN(2)/2)*CG163*CJ163*VLOOKUP('Données projet'!$B$12,Paramètres!$A$1:$I$89,3,0)*0.475*44/12</f>
        <v>2.1474883247737217E-19</v>
      </c>
      <c r="CN163" s="22">
        <f t="shared" si="172"/>
        <v>0.75052572517322602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319.22903094674564</v>
      </c>
      <c r="T164" s="59">
        <f t="shared" si="142"/>
        <v>254.58690973142848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475.01366239340246</v>
      </c>
      <c r="AO164" s="59">
        <f t="shared" si="144"/>
        <v>322.81767004794284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0.64943214907532287</v>
      </c>
      <c r="AV164" s="21">
        <f>EXP(-LN(2)/25)*AV163+(1-EXP(-LN(2)/25))/(LN(2)/25)*Calculateur!AQ164*Calculateur!AS164*VLOOKUP('Données projet'!$B$10,Paramètres!$A$1:$I$89,3,0)*0.475*44/12</f>
        <v>0.29479550407807109</v>
      </c>
      <c r="AW164" s="21">
        <f>EXP(-LN(2)/2)*AW163+(1-EXP(-LN(2)/2))/(LN(2)/2)*AQ164*AT164*VLOOKUP('Données projet'!$B$10,Paramètres!$A$1:$I$89,3,0)*0.475*44/12</f>
        <v>1.946038320903253E-19</v>
      </c>
      <c r="AX164" s="21">
        <f t="shared" si="166"/>
        <v>0.94422765315339396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449.84356201138451</v>
      </c>
      <c r="BJ164" s="59">
        <f t="shared" si="146"/>
        <v>306.61893266146666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0.61178390854921816</v>
      </c>
      <c r="BQ164" s="21">
        <f>EXP(-LN(2)/25)*BQ163+(1-EXP(-LN(2)/25))/(LN(2)/25)*Calculateur!BL164*Calculateur!BN164*VLOOKUP('Données projet'!$B$11,Paramètres!$A$1:$I$89,3,0)*0.475*44/12</f>
        <v>0.27770590963876318</v>
      </c>
      <c r="BR164" s="21">
        <f>EXP(-LN(2)/2)*BR163+(1-EXP(-LN(2)/2))/(LN(2)/2)*BL164*BO164*VLOOKUP('Données projet'!$B$11,Paramètres!$A$1:$I$89,3,0)*0.475*44/12</f>
        <v>1.8332245051987161E-19</v>
      </c>
      <c r="BS164" s="22">
        <f t="shared" si="169"/>
        <v>0.88948981818798134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370.12772664814923</v>
      </c>
      <c r="CE164" s="59">
        <f t="shared" si="148"/>
        <v>292.26503163353146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0.55862524422053794</v>
      </c>
      <c r="CL164" s="21">
        <f>EXP(-LN(2)/25)*CL163+(1-EXP(-LN(2)/25))/(LN(2)/25)*Calculateur!CG164*Calculateur!CI164*VLOOKUP('Données projet'!$B$12,Paramètres!$A$1:$I$89,3,0)*0.475*44/12</f>
        <v>0.17578508558024225</v>
      </c>
      <c r="CM164" s="21">
        <f>EXP(-LN(2)/2)*CM163+(1-EXP(-LN(2)/2))/(LN(2)/2)*CG164*CJ164*VLOOKUP('Données projet'!$B$12,Paramètres!$A$1:$I$89,3,0)*0.475*44/12</f>
        <v>1.5185035569664377E-19</v>
      </c>
      <c r="CN164" s="22">
        <f t="shared" si="172"/>
        <v>0.73441032980078025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319.22903094674564</v>
      </c>
      <c r="T165" s="59">
        <f t="shared" si="142"/>
        <v>254.58690973142848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475.01366239340246</v>
      </c>
      <c r="AO165" s="59">
        <f t="shared" si="144"/>
        <v>322.81767004794284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0.63669718074645365</v>
      </c>
      <c r="AV165" s="21">
        <f>EXP(-LN(2)/25)*AV164+(1-EXP(-LN(2)/25))/(LN(2)/25)*Calculateur!AQ165*Calculateur!AS165*VLOOKUP('Données projet'!$B$10,Paramètres!$A$1:$I$89,3,0)*0.475*44/12</f>
        <v>0.28673430551643442</v>
      </c>
      <c r="AW165" s="21">
        <f>EXP(-LN(2)/2)*AW164+(1-EXP(-LN(2)/2))/(LN(2)/2)*AQ165*AT165*VLOOKUP('Données projet'!$B$10,Paramètres!$A$1:$I$89,3,0)*0.475*44/12</f>
        <v>1.3760568931595728E-19</v>
      </c>
      <c r="AX165" s="21">
        <f t="shared" si="166"/>
        <v>0.92343148626288807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449.84356201138451</v>
      </c>
      <c r="BJ165" s="59">
        <f t="shared" si="146"/>
        <v>306.61893266146666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0.59978719925390656</v>
      </c>
      <c r="BQ165" s="21">
        <f>EXP(-LN(2)/25)*BQ164+(1-EXP(-LN(2)/25))/(LN(2)/25)*Calculateur!BL165*Calculateur!BN165*VLOOKUP('Données projet'!$B$11,Paramètres!$A$1:$I$89,3,0)*0.475*44/12</f>
        <v>0.27011202693577213</v>
      </c>
      <c r="BR165" s="21">
        <f>EXP(-LN(2)/2)*BR164+(1-EXP(-LN(2)/2))/(LN(2)/2)*BL165*BO165*VLOOKUP('Données projet'!$B$11,Paramètres!$A$1:$I$89,3,0)*0.475*44/12</f>
        <v>1.2962854790633654E-19</v>
      </c>
      <c r="BS165" s="22">
        <f t="shared" si="169"/>
        <v>0.86989922618967874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370.12772664814923</v>
      </c>
      <c r="CE165" s="59">
        <f t="shared" si="148"/>
        <v>292.26503163353146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0.54767094390912807</v>
      </c>
      <c r="CL165" s="21">
        <f>EXP(-LN(2)/25)*CL164+(1-EXP(-LN(2)/25))/(LN(2)/25)*Calculateur!CG165*Calculateur!CI165*VLOOKUP('Données projet'!$B$12,Paramètres!$A$1:$I$89,3,0)*0.475*44/12</f>
        <v>0.17097823317091465</v>
      </c>
      <c r="CM165" s="21">
        <f>EXP(-LN(2)/2)*CM164+(1-EXP(-LN(2)/2))/(LN(2)/2)*CG165*CJ165*VLOOKUP('Données projet'!$B$12,Paramètres!$A$1:$I$89,3,0)*0.475*44/12</f>
        <v>1.0737441623868611E-19</v>
      </c>
      <c r="CN165" s="22">
        <f t="shared" si="172"/>
        <v>0.71864917708004272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319.22903094674564</v>
      </c>
      <c r="T166" s="59">
        <f t="shared" si="142"/>
        <v>254.58690973142848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475.01366239340246</v>
      </c>
      <c r="AO166" s="59">
        <f t="shared" si="144"/>
        <v>322.81767004794284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0.62421193737894987</v>
      </c>
      <c r="AV166" s="21">
        <f>EXP(-LN(2)/25)*AV165+(1-EXP(-LN(2)/25))/(LN(2)/25)*Calculateur!AQ166*Calculateur!AS166*VLOOKUP('Données projet'!$B$10,Paramètres!$A$1:$I$89,3,0)*0.475*44/12</f>
        <v>0.27889354085338575</v>
      </c>
      <c r="AW166" s="21">
        <f>EXP(-LN(2)/2)*AW165+(1-EXP(-LN(2)/2))/(LN(2)/2)*AQ166*AT166*VLOOKUP('Données projet'!$B$10,Paramètres!$A$1:$I$89,3,0)*0.475*44/12</f>
        <v>9.7301916045162649E-20</v>
      </c>
      <c r="AX166" s="21">
        <f t="shared" si="166"/>
        <v>0.90310547823233556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449.84356201138451</v>
      </c>
      <c r="BJ166" s="59">
        <f t="shared" si="146"/>
        <v>306.61893266146666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0.58802573811060588</v>
      </c>
      <c r="BQ166" s="21">
        <f>EXP(-LN(2)/25)*BQ165+(1-EXP(-LN(2)/25))/(LN(2)/25)*Calculateur!BL166*Calculateur!BN166*VLOOKUP('Données projet'!$B$11,Paramètres!$A$1:$I$89,3,0)*0.475*44/12</f>
        <v>0.2627257993546393</v>
      </c>
      <c r="BR166" s="21">
        <f>EXP(-LN(2)/2)*BR165+(1-EXP(-LN(2)/2))/(LN(2)/2)*BL166*BO166*VLOOKUP('Données projet'!$B$11,Paramètres!$A$1:$I$89,3,0)*0.475*44/12</f>
        <v>9.1661225259935806E-20</v>
      </c>
      <c r="BS166" s="22">
        <f t="shared" si="169"/>
        <v>0.85075153746524523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370.12772664814923</v>
      </c>
      <c r="CE166" s="59">
        <f t="shared" si="148"/>
        <v>292.26503163353146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0.53693145074536153</v>
      </c>
      <c r="CL166" s="21">
        <f>EXP(-LN(2)/25)*CL165+(1-EXP(-LN(2)/25))/(LN(2)/25)*Calculateur!CG166*Calculateur!CI166*VLOOKUP('Données projet'!$B$12,Paramètres!$A$1:$I$89,3,0)*0.475*44/12</f>
        <v>0.16630282439350147</v>
      </c>
      <c r="CM166" s="21">
        <f>EXP(-LN(2)/2)*CM165+(1-EXP(-LN(2)/2))/(LN(2)/2)*CG166*CJ166*VLOOKUP('Données projet'!$B$12,Paramètres!$A$1:$I$89,3,0)*0.475*44/12</f>
        <v>7.5925177848321898E-20</v>
      </c>
      <c r="CN166" s="22">
        <f t="shared" si="172"/>
        <v>0.70323427513886294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319.22903094674564</v>
      </c>
      <c r="T167" s="59">
        <f t="shared" si="142"/>
        <v>254.58690973142848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475.01366239340246</v>
      </c>
      <c r="AO167" s="59">
        <f t="shared" si="144"/>
        <v>322.81767004794284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0.61197152201863636</v>
      </c>
      <c r="AV167" s="21">
        <f>EXP(-LN(2)/25)*AV166+(1-EXP(-LN(2)/25))/(LN(2)/25)*Calculateur!AQ167*Calculateur!AS167*VLOOKUP('Données projet'!$B$10,Paramètres!$A$1:$I$89,3,0)*0.475*44/12</f>
        <v>0.27126718231237601</v>
      </c>
      <c r="AW167" s="21">
        <f>EXP(-LN(2)/2)*AW166+(1-EXP(-LN(2)/2))/(LN(2)/2)*AQ167*AT167*VLOOKUP('Données projet'!$B$10,Paramètres!$A$1:$I$89,3,0)*0.475*44/12</f>
        <v>6.8802844657978642E-20</v>
      </c>
      <c r="AX167" s="21">
        <f t="shared" si="166"/>
        <v>0.88323870433101237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449.84356201138451</v>
      </c>
      <c r="BJ167" s="59">
        <f t="shared" si="146"/>
        <v>306.61893266146666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0.57649491204654235</v>
      </c>
      <c r="BQ167" s="21">
        <f>EXP(-LN(2)/25)*BQ166+(1-EXP(-LN(2)/25))/(LN(2)/25)*Calculateur!BL167*Calculateur!BN167*VLOOKUP('Données projet'!$B$11,Paramètres!$A$1:$I$89,3,0)*0.475*44/12</f>
        <v>0.25554154855513739</v>
      </c>
      <c r="BR167" s="21">
        <f>EXP(-LN(2)/2)*BR166+(1-EXP(-LN(2)/2))/(LN(2)/2)*BL167*BO167*VLOOKUP('Données projet'!$B$11,Paramètres!$A$1:$I$89,3,0)*0.475*44/12</f>
        <v>6.481427395316827E-20</v>
      </c>
      <c r="BS167" s="22">
        <f t="shared" si="169"/>
        <v>0.83203646060167968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370.12772664814923</v>
      </c>
      <c r="CE167" s="59">
        <f t="shared" si="148"/>
        <v>292.26503163353146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0.52640255249209245</v>
      </c>
      <c r="CL167" s="21">
        <f>EXP(-LN(2)/25)*CL166+(1-EXP(-LN(2)/25))/(LN(2)/25)*Calculateur!CG167*Calculateur!CI167*VLOOKUP('Données projet'!$B$12,Paramètres!$A$1:$I$89,3,0)*0.475*44/12</f>
        <v>0.16175526491497572</v>
      </c>
      <c r="CM167" s="21">
        <f>EXP(-LN(2)/2)*CM166+(1-EXP(-LN(2)/2))/(LN(2)/2)*CG167*CJ167*VLOOKUP('Données projet'!$B$12,Paramètres!$A$1:$I$89,3,0)*0.475*44/12</f>
        <v>5.3687208119343061E-20</v>
      </c>
      <c r="CN167" s="22">
        <f t="shared" si="172"/>
        <v>0.68815781740706816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319.22903094674564</v>
      </c>
      <c r="T168" s="59">
        <f t="shared" si="142"/>
        <v>254.58690973142848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475.01366239340246</v>
      </c>
      <c r="AO168" s="59">
        <f t="shared" si="144"/>
        <v>322.81767004794284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0.59997113373762245</v>
      </c>
      <c r="AV168" s="21">
        <f>EXP(-LN(2)/25)*AV167+(1-EXP(-LN(2)/25))/(LN(2)/25)*Calculateur!AQ168*Calculateur!AS168*VLOOKUP('Données projet'!$B$10,Paramètres!$A$1:$I$89,3,0)*0.475*44/12</f>
        <v>0.26384936694672295</v>
      </c>
      <c r="AW168" s="21">
        <f>EXP(-LN(2)/2)*AW167+(1-EXP(-LN(2)/2))/(LN(2)/2)*AQ168*AT168*VLOOKUP('Données projet'!$B$10,Paramètres!$A$1:$I$89,3,0)*0.475*44/12</f>
        <v>4.8650958022581325E-20</v>
      </c>
      <c r="AX168" s="21">
        <f t="shared" si="166"/>
        <v>0.86382050068434535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449.84356201138451</v>
      </c>
      <c r="BJ168" s="59">
        <f t="shared" si="146"/>
        <v>306.61893266146666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0.56519019844848573</v>
      </c>
      <c r="BQ168" s="21">
        <f>EXP(-LN(2)/25)*BQ167+(1-EXP(-LN(2)/25))/(LN(2)/25)*Calculateur!BL168*Calculateur!BN168*VLOOKUP('Données projet'!$B$11,Paramètres!$A$1:$I$89,3,0)*0.475*44/12</f>
        <v>0.24855375147155118</v>
      </c>
      <c r="BR168" s="21">
        <f>EXP(-LN(2)/2)*BR167+(1-EXP(-LN(2)/2))/(LN(2)/2)*BL168*BO168*VLOOKUP('Données projet'!$B$11,Paramètres!$A$1:$I$89,3,0)*0.475*44/12</f>
        <v>4.5830612629967903E-20</v>
      </c>
      <c r="BS168" s="22">
        <f t="shared" si="169"/>
        <v>0.81374394992003696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370.12772664814923</v>
      </c>
      <c r="CE168" s="59">
        <f t="shared" si="148"/>
        <v>292.26503163353146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0.51608011951157617</v>
      </c>
      <c r="CL168" s="21">
        <f>EXP(-LN(2)/25)*CL167+(1-EXP(-LN(2)/25))/(LN(2)/25)*Calculateur!CG168*Calculateur!CI168*VLOOKUP('Données projet'!$B$12,Paramètres!$A$1:$I$89,3,0)*0.475*44/12</f>
        <v>0.15733205868953601</v>
      </c>
      <c r="CM168" s="21">
        <f>EXP(-LN(2)/2)*CM167+(1-EXP(-LN(2)/2))/(LN(2)/2)*CG168*CJ168*VLOOKUP('Données projet'!$B$12,Paramètres!$A$1:$I$89,3,0)*0.475*44/12</f>
        <v>3.7962588924160955E-20</v>
      </c>
      <c r="CN168" s="22">
        <f t="shared" si="172"/>
        <v>0.67341217820111221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319.22903094674564</v>
      </c>
      <c r="T169" s="59">
        <f t="shared" si="142"/>
        <v>254.58690973142848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475.01366239340246</v>
      </c>
      <c r="AO169" s="59">
        <f t="shared" si="144"/>
        <v>322.81767004794284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0.58820606575128509</v>
      </c>
      <c r="AV169" s="21">
        <f>EXP(-LN(2)/25)*AV168+(1-EXP(-LN(2)/25))/(LN(2)/25)*Calculateur!AQ169*Calculateur!AS169*VLOOKUP('Données projet'!$B$10,Paramètres!$A$1:$I$89,3,0)*0.475*44/12</f>
        <v>0.25663439213232964</v>
      </c>
      <c r="AW169" s="21">
        <f>EXP(-LN(2)/2)*AW168+(1-EXP(-LN(2)/2))/(LN(2)/2)*AQ169*AT169*VLOOKUP('Données projet'!$B$10,Paramètres!$A$1:$I$89,3,0)*0.475*44/12</f>
        <v>3.4401422328989321E-20</v>
      </c>
      <c r="AX169" s="21">
        <f t="shared" si="166"/>
        <v>0.84484045788361473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449.84356201138451</v>
      </c>
      <c r="BJ169" s="59">
        <f t="shared" si="146"/>
        <v>306.61893266146666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0.55410716338889254</v>
      </c>
      <c r="BQ169" s="21">
        <f>EXP(-LN(2)/25)*BQ168+(1-EXP(-LN(2)/25))/(LN(2)/25)*Calculateur!BL169*Calculateur!BN169*VLOOKUP('Données projet'!$B$11,Paramètres!$A$1:$I$89,3,0)*0.475*44/12</f>
        <v>0.24175703606668789</v>
      </c>
      <c r="BR169" s="21">
        <f>EXP(-LN(2)/2)*BR168+(1-EXP(-LN(2)/2))/(LN(2)/2)*BL169*BO169*VLOOKUP('Données projet'!$B$11,Paramètres!$A$1:$I$89,3,0)*0.475*44/12</f>
        <v>3.2407136976584135E-20</v>
      </c>
      <c r="BS169" s="22">
        <f t="shared" si="169"/>
        <v>0.7958641994555804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370.12772664814923</v>
      </c>
      <c r="CE169" s="59">
        <f t="shared" si="148"/>
        <v>292.26503163353146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0.50596010314574535</v>
      </c>
      <c r="CL169" s="21">
        <f>EXP(-LN(2)/25)*CL168+(1-EXP(-LN(2)/25))/(LN(2)/25)*Calculateur!CG169*Calculateur!CI169*VLOOKUP('Données projet'!$B$12,Paramètres!$A$1:$I$89,3,0)*0.475*44/12</f>
        <v>0.15302980527093726</v>
      </c>
      <c r="CM169" s="21">
        <f>EXP(-LN(2)/2)*CM168+(1-EXP(-LN(2)/2))/(LN(2)/2)*CG169*CJ169*VLOOKUP('Données projet'!$B$12,Paramètres!$A$1:$I$89,3,0)*0.475*44/12</f>
        <v>2.6843604059671534E-20</v>
      </c>
      <c r="CN169" s="22">
        <f t="shared" si="172"/>
        <v>0.65898990841668259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319.22903094674564</v>
      </c>
      <c r="T170" s="59">
        <f t="shared" si="142"/>
        <v>254.58690973142848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475.01366239340246</v>
      </c>
      <c r="AO170" s="59">
        <f t="shared" si="144"/>
        <v>322.81767004794284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0.5766717035721769</v>
      </c>
      <c r="AV170" s="21">
        <f>EXP(-LN(2)/25)*AV169+(1-EXP(-LN(2)/25))/(LN(2)/25)*Calculateur!AQ170*Calculateur!AS170*VLOOKUP('Données projet'!$B$10,Paramètres!$A$1:$I$89,3,0)*0.475*44/12</f>
        <v>0.24961671118365494</v>
      </c>
      <c r="AW170" s="21">
        <f>EXP(-LN(2)/2)*AW169+(1-EXP(-LN(2)/2))/(LN(2)/2)*AQ170*AT170*VLOOKUP('Données projet'!$B$10,Paramètres!$A$1:$I$89,3,0)*0.475*44/12</f>
        <v>2.4325479011290662E-20</v>
      </c>
      <c r="AX170" s="21">
        <f t="shared" si="166"/>
        <v>0.82628841475583181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449.84356201138451</v>
      </c>
      <c r="BJ170" s="59">
        <f t="shared" si="146"/>
        <v>306.61893266146666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0.54324145988683403</v>
      </c>
      <c r="BQ170" s="21">
        <f>EXP(-LN(2)/25)*BQ169+(1-EXP(-LN(2)/25))/(LN(2)/25)*Calculateur!BL170*Calculateur!BN170*VLOOKUP('Données projet'!$B$11,Paramètres!$A$1:$I$89,3,0)*0.475*44/12</f>
        <v>0.23514617720199432</v>
      </c>
      <c r="BR170" s="21">
        <f>EXP(-LN(2)/2)*BR169+(1-EXP(-LN(2)/2))/(LN(2)/2)*BL170*BO170*VLOOKUP('Données projet'!$B$11,Paramètres!$A$1:$I$89,3,0)*0.475*44/12</f>
        <v>2.2915306314983952E-20</v>
      </c>
      <c r="BS170" s="22">
        <f t="shared" si="169"/>
        <v>0.7783876370888283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370.12772664814923</v>
      </c>
      <c r="CE170" s="59">
        <f t="shared" si="148"/>
        <v>292.26503163353146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0.496038534128248</v>
      </c>
      <c r="CL170" s="21">
        <f>EXP(-LN(2)/25)*CL169+(1-EXP(-LN(2)/25))/(LN(2)/25)*Calculateur!CG170*Calculateur!CI170*VLOOKUP('Données projet'!$B$12,Paramètres!$A$1:$I$89,3,0)*0.475*44/12</f>
        <v>0.14884519719831579</v>
      </c>
      <c r="CM170" s="21">
        <f>EXP(-LN(2)/2)*CM169+(1-EXP(-LN(2)/2))/(LN(2)/2)*CG170*CJ170*VLOOKUP('Données projet'!$B$12,Paramètres!$A$1:$I$89,3,0)*0.475*44/12</f>
        <v>1.8981294462080481E-20</v>
      </c>
      <c r="CN170" s="22">
        <f t="shared" si="172"/>
        <v>0.64488373132656385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319.22903094674564</v>
      </c>
      <c r="T171" s="59">
        <f t="shared" si="142"/>
        <v>254.58690973142848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475.01366239340246</v>
      </c>
      <c r="AO171" s="59">
        <f t="shared" si="144"/>
        <v>322.81767004794284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0.56536352320013472</v>
      </c>
      <c r="AV171" s="21">
        <f>EXP(-LN(2)/25)*AV170+(1-EXP(-LN(2)/25))/(LN(2)/25)*Calculateur!AQ171*Calculateur!AS171*VLOOKUP('Données projet'!$B$10,Paramètres!$A$1:$I$89,3,0)*0.475*44/12</f>
        <v>0.24279092908956557</v>
      </c>
      <c r="AW171" s="21">
        <f>EXP(-LN(2)/2)*AW170+(1-EXP(-LN(2)/2))/(LN(2)/2)*AQ171*AT171*VLOOKUP('Données projet'!$B$10,Paramètres!$A$1:$I$89,3,0)*0.475*44/12</f>
        <v>1.7200711164494661E-20</v>
      </c>
      <c r="AX171" s="21">
        <f t="shared" si="166"/>
        <v>0.80815445228970029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449.84356201138451</v>
      </c>
      <c r="BJ171" s="59">
        <f t="shared" si="146"/>
        <v>306.61893266146666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0.53258882620302617</v>
      </c>
      <c r="BQ171" s="21">
        <f>EXP(-LN(2)/25)*BQ170+(1-EXP(-LN(2)/25))/(LN(2)/25)*Calculateur!BL171*Calculateur!BN171*VLOOKUP('Données projet'!$B$11,Paramètres!$A$1:$I$89,3,0)*0.475*44/12</f>
        <v>0.22871609262060577</v>
      </c>
      <c r="BR171" s="21">
        <f>EXP(-LN(2)/2)*BR170+(1-EXP(-LN(2)/2))/(LN(2)/2)*BL171*BO171*VLOOKUP('Données projet'!$B$11,Paramètres!$A$1:$I$89,3,0)*0.475*44/12</f>
        <v>1.6203568488292068E-20</v>
      </c>
      <c r="BS171" s="22">
        <f t="shared" si="169"/>
        <v>0.76130491882363194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370.12772664814923</v>
      </c>
      <c r="CE171" s="59">
        <f t="shared" si="148"/>
        <v>292.26503163353146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0.48631152102762421</v>
      </c>
      <c r="CL171" s="21">
        <f>EXP(-LN(2)/25)*CL170+(1-EXP(-LN(2)/25))/(LN(2)/25)*Calculateur!CG171*Calculateur!CI171*VLOOKUP('Données projet'!$B$12,Paramètres!$A$1:$I$89,3,0)*0.475*44/12</f>
        <v>0.14477501745349911</v>
      </c>
      <c r="CM171" s="21">
        <f>EXP(-LN(2)/2)*CM170+(1-EXP(-LN(2)/2))/(LN(2)/2)*CG171*CJ171*VLOOKUP('Données projet'!$B$12,Paramètres!$A$1:$I$89,3,0)*0.475*44/12</f>
        <v>1.342180202983577E-20</v>
      </c>
      <c r="CN171" s="22">
        <f t="shared" si="172"/>
        <v>0.63108653848112328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319.22903094674564</v>
      </c>
      <c r="T172" s="59">
        <f t="shared" si="142"/>
        <v>254.58690973142848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475.01366239340246</v>
      </c>
      <c r="AO172" s="59">
        <f t="shared" si="144"/>
        <v>322.81767004794284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0.55427708934787934</v>
      </c>
      <c r="AV172" s="21">
        <f>EXP(-LN(2)/25)*AV171+(1-EXP(-LN(2)/25))/(LN(2)/25)*Calculateur!AQ172*Calculateur!AS172*VLOOKUP('Données projet'!$B$10,Paramètres!$A$1:$I$89,3,0)*0.475*44/12</f>
        <v>0.23615179836579134</v>
      </c>
      <c r="AW172" s="21">
        <f>EXP(-LN(2)/2)*AW171+(1-EXP(-LN(2)/2))/(LN(2)/2)*AQ172*AT172*VLOOKUP('Données projet'!$B$10,Paramètres!$A$1:$I$89,3,0)*0.475*44/12</f>
        <v>1.2162739505645331E-20</v>
      </c>
      <c r="AX172" s="21">
        <f t="shared" si="166"/>
        <v>0.7904288877136707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449.84356201138451</v>
      </c>
      <c r="BJ172" s="59">
        <f t="shared" si="146"/>
        <v>306.61893266146666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0.52214508416829286</v>
      </c>
      <c r="BQ172" s="21">
        <f>EXP(-LN(2)/25)*BQ171+(1-EXP(-LN(2)/25))/(LN(2)/25)*Calculateur!BL172*Calculateur!BN172*VLOOKUP('Données projet'!$B$11,Paramètres!$A$1:$I$89,3,0)*0.475*44/12</f>
        <v>0.22246183904023872</v>
      </c>
      <c r="BR172" s="21">
        <f>EXP(-LN(2)/2)*BR171+(1-EXP(-LN(2)/2))/(LN(2)/2)*BL172*BO172*VLOOKUP('Données projet'!$B$11,Paramètres!$A$1:$I$89,3,0)*0.475*44/12</f>
        <v>1.1457653157491976E-20</v>
      </c>
      <c r="BS172" s="22">
        <f t="shared" si="169"/>
        <v>0.74460692320853161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370.12772664814923</v>
      </c>
      <c r="CE172" s="59">
        <f t="shared" si="148"/>
        <v>292.26503163353146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0.47677524872101146</v>
      </c>
      <c r="CL172" s="21">
        <f>EXP(-LN(2)/25)*CL171+(1-EXP(-LN(2)/25))/(LN(2)/25)*Calculateur!CG172*Calculateur!CI172*VLOOKUP('Données projet'!$B$12,Paramètres!$A$1:$I$89,3,0)*0.475*44/12</f>
        <v>0.1408161369878459</v>
      </c>
      <c r="CM172" s="21">
        <f>EXP(-LN(2)/2)*CM171+(1-EXP(-LN(2)/2))/(LN(2)/2)*CG172*CJ172*VLOOKUP('Données projet'!$B$12,Paramètres!$A$1:$I$89,3,0)*0.475*44/12</f>
        <v>9.4906472310402418E-21</v>
      </c>
      <c r="CN172" s="22">
        <f t="shared" si="172"/>
        <v>0.6175913857088573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319.22903094674564</v>
      </c>
      <c r="T173" s="59">
        <f t="shared" si="142"/>
        <v>254.58690973142848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475.01366239340246</v>
      </c>
      <c r="AO173" s="59">
        <f t="shared" si="144"/>
        <v>322.81767004794284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0.54340805370140977</v>
      </c>
      <c r="AV173" s="21">
        <f>EXP(-LN(2)/25)*AV172+(1-EXP(-LN(2)/25))/(LN(2)/25)*Calculateur!AQ173*Calculateur!AS173*VLOOKUP('Données projet'!$B$10,Paramètres!$A$1:$I$89,3,0)*0.475*44/12</f>
        <v>0.22969421502079543</v>
      </c>
      <c r="AW173" s="21">
        <f>EXP(-LN(2)/2)*AW172+(1-EXP(-LN(2)/2))/(LN(2)/2)*AQ173*AT173*VLOOKUP('Données projet'!$B$10,Paramètres!$A$1:$I$89,3,0)*0.475*44/12</f>
        <v>8.6003555822473303E-21</v>
      </c>
      <c r="AX173" s="21">
        <f t="shared" si="166"/>
        <v>0.77310226872220522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449.84356201138451</v>
      </c>
      <c r="BJ173" s="59">
        <f t="shared" si="146"/>
        <v>306.61893266146666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0.51190613754480696</v>
      </c>
      <c r="BQ173" s="21">
        <f>EXP(-LN(2)/25)*BQ172+(1-EXP(-LN(2)/25))/(LN(2)/25)*Calculateur!BL173*Calculateur!BN173*VLOOKUP('Données projet'!$B$11,Paramètres!$A$1:$I$89,3,0)*0.475*44/12</f>
        <v>0.21637860835292372</v>
      </c>
      <c r="BR173" s="21">
        <f>EXP(-LN(2)/2)*BR172+(1-EXP(-LN(2)/2))/(LN(2)/2)*BL173*BO173*VLOOKUP('Données projet'!$B$11,Paramètres!$A$1:$I$89,3,0)*0.475*44/12</f>
        <v>8.1017842441460338E-21</v>
      </c>
      <c r="BS173" s="22">
        <f t="shared" si="169"/>
        <v>0.72828474589773062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370.12772664814923</v>
      </c>
      <c r="CE173" s="59">
        <f t="shared" si="148"/>
        <v>292.26503163353146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0.46742597689777959</v>
      </c>
      <c r="CL173" s="21">
        <f>EXP(-LN(2)/25)*CL172+(1-EXP(-LN(2)/25))/(LN(2)/25)*Calculateur!CG173*Calculateur!CI173*VLOOKUP('Données projet'!$B$12,Paramètres!$A$1:$I$89,3,0)*0.475*44/12</f>
        <v>0.13696551231671444</v>
      </c>
      <c r="CM173" s="21">
        <f>EXP(-LN(2)/2)*CM172+(1-EXP(-LN(2)/2))/(LN(2)/2)*CG173*CJ173*VLOOKUP('Données projet'!$B$12,Paramètres!$A$1:$I$89,3,0)*0.475*44/12</f>
        <v>6.7109010149178857E-21</v>
      </c>
      <c r="CN173" s="22">
        <f t="shared" si="172"/>
        <v>0.60439148921449404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319.22903094674564</v>
      </c>
      <c r="T174" s="59">
        <f t="shared" si="142"/>
        <v>254.58690973142848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475.01366239340246</v>
      </c>
      <c r="AO174" s="59">
        <f t="shared" si="144"/>
        <v>322.81767004794284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0.5327521532145103</v>
      </c>
      <c r="AV174" s="21">
        <f>EXP(-LN(2)/25)*AV173+(1-EXP(-LN(2)/25))/(LN(2)/25)*Calculateur!AQ174*Calculateur!AS174*VLOOKUP('Données projet'!$B$10,Paramètres!$A$1:$I$89,3,0)*0.475*44/12</f>
        <v>0.22341321463195798</v>
      </c>
      <c r="AW174" s="21">
        <f>EXP(-LN(2)/2)*AW173+(1-EXP(-LN(2)/2))/(LN(2)/2)*AQ174*AT174*VLOOKUP('Données projet'!$B$10,Paramètres!$A$1:$I$89,3,0)*0.475*44/12</f>
        <v>6.0813697528226656E-21</v>
      </c>
      <c r="AX174" s="21">
        <f t="shared" si="166"/>
        <v>0.75616536784646826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449.84356201138451</v>
      </c>
      <c r="BJ174" s="59">
        <f t="shared" si="146"/>
        <v>306.61893266146666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0.50186797041946685</v>
      </c>
      <c r="BQ174" s="21">
        <f>EXP(-LN(2)/25)*BQ173+(1-EXP(-LN(2)/25))/(LN(2)/25)*Calculateur!BL174*Calculateur!BN174*VLOOKUP('Données projet'!$B$11,Paramètres!$A$1:$I$89,3,0)*0.475*44/12</f>
        <v>0.21046172392865656</v>
      </c>
      <c r="BR174" s="21">
        <f>EXP(-LN(2)/2)*BR173+(1-EXP(-LN(2)/2))/(LN(2)/2)*BL174*BO174*VLOOKUP('Données projet'!$B$11,Paramètres!$A$1:$I$89,3,0)*0.475*44/12</f>
        <v>5.7288265787459879E-21</v>
      </c>
      <c r="BS174" s="22">
        <f t="shared" si="169"/>
        <v>0.71232969434812343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370.12772664814923</v>
      </c>
      <c r="CE174" s="59">
        <f t="shared" si="148"/>
        <v>292.26503163353146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0.45826003859250858</v>
      </c>
      <c r="CL174" s="21">
        <f>EXP(-LN(2)/25)*CL173+(1-EXP(-LN(2)/25))/(LN(2)/25)*Calculateur!CG174*Calculateur!CI174*VLOOKUP('Données projet'!$B$12,Paramètres!$A$1:$I$89,3,0)*0.475*44/12</f>
        <v>0.13322018317971063</v>
      </c>
      <c r="CM174" s="21">
        <f>EXP(-LN(2)/2)*CM173+(1-EXP(-LN(2)/2))/(LN(2)/2)*CG174*CJ174*VLOOKUP('Données projet'!$B$12,Paramètres!$A$1:$I$89,3,0)*0.475*44/12</f>
        <v>4.7453236155201216E-21</v>
      </c>
      <c r="CN174" s="22">
        <f t="shared" si="172"/>
        <v>0.59148022177221926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319.22903094674564</v>
      </c>
      <c r="T175" s="59">
        <f t="shared" si="142"/>
        <v>254.58690973142848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475.01366239340246</v>
      </c>
      <c r="AO175" s="59">
        <f t="shared" si="144"/>
        <v>322.81767004794284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0.52230520843670136</v>
      </c>
      <c r="AV175" s="21">
        <f>EXP(-LN(2)/25)*AV174+(1-EXP(-LN(2)/25))/(LN(2)/25)*Calculateur!AQ175*Calculateur!AS175*VLOOKUP('Données projet'!$B$10,Paramètres!$A$1:$I$89,3,0)*0.475*44/12</f>
        <v>0.21730396852905676</v>
      </c>
      <c r="AW175" s="21">
        <f>EXP(-LN(2)/2)*AW174+(1-EXP(-LN(2)/2))/(LN(2)/2)*AQ175*AT175*VLOOKUP('Données projet'!$B$10,Paramètres!$A$1:$I$89,3,0)*0.475*44/12</f>
        <v>4.3001777911236651E-21</v>
      </c>
      <c r="AX175" s="21">
        <f t="shared" si="166"/>
        <v>0.73960917696575812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449.84356201138451</v>
      </c>
      <c r="BJ175" s="59">
        <f t="shared" si="146"/>
        <v>306.61893266146666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0.49202664562877729</v>
      </c>
      <c r="BQ175" s="21">
        <f>EXP(-LN(2)/25)*BQ174+(1-EXP(-LN(2)/25))/(LN(2)/25)*Calculateur!BL175*Calculateur!BN175*VLOOKUP('Données projet'!$B$11,Paramètres!$A$1:$I$89,3,0)*0.475*44/12</f>
        <v>0.2047066370201264</v>
      </c>
      <c r="BR175" s="21">
        <f>EXP(-LN(2)/2)*BR174+(1-EXP(-LN(2)/2))/(LN(2)/2)*BL175*BO175*VLOOKUP('Données projet'!$B$11,Paramètres!$A$1:$I$89,3,0)*0.475*44/12</f>
        <v>4.0508921220730169E-21</v>
      </c>
      <c r="BS175" s="22">
        <f t="shared" si="169"/>
        <v>0.69673328264890366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370.12772664814923</v>
      </c>
      <c r="CE175" s="59">
        <f t="shared" si="148"/>
        <v>292.26503163353146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0.4492738387467336</v>
      </c>
      <c r="CL175" s="21">
        <f>EXP(-LN(2)/25)*CL174+(1-EXP(-LN(2)/25))/(LN(2)/25)*Calculateur!CG175*Calculateur!CI175*VLOOKUP('Données projet'!$B$12,Paramètres!$A$1:$I$89,3,0)*0.475*44/12</f>
        <v>0.12957727026491647</v>
      </c>
      <c r="CM175" s="21">
        <f>EXP(-LN(2)/2)*CM174+(1-EXP(-LN(2)/2))/(LN(2)/2)*CG175*CJ175*VLOOKUP('Données projet'!$B$12,Paramètres!$A$1:$I$89,3,0)*0.475*44/12</f>
        <v>3.3554505074589436E-21</v>
      </c>
      <c r="CN175" s="22">
        <f t="shared" si="172"/>
        <v>0.57885110901165004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319.22903094674564</v>
      </c>
      <c r="T176" s="59">
        <f t="shared" si="142"/>
        <v>254.58690973142848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475.01366239340246</v>
      </c>
      <c r="AO176" s="59">
        <f t="shared" si="144"/>
        <v>322.81767004794284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0.51206312187397818</v>
      </c>
      <c r="AV176" s="21">
        <f>EXP(-LN(2)/25)*AV175+(1-EXP(-LN(2)/25))/(LN(2)/25)*Calculateur!AQ176*Calculateur!AS176*VLOOKUP('Données projet'!$B$10,Paramètres!$A$1:$I$89,3,0)*0.475*44/12</f>
        <v>0.21136178008211065</v>
      </c>
      <c r="AW176" s="21">
        <f>EXP(-LN(2)/2)*AW175+(1-EXP(-LN(2)/2))/(LN(2)/2)*AQ176*AT176*VLOOKUP('Données projet'!$B$10,Paramètres!$A$1:$I$89,3,0)*0.475*44/12</f>
        <v>3.0406848764113328E-21</v>
      </c>
      <c r="AX176" s="21">
        <f t="shared" si="166"/>
        <v>0.72342490195608877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449.84356201138451</v>
      </c>
      <c r="BJ176" s="59">
        <f t="shared" si="146"/>
        <v>306.61893266146666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0.48237830321461772</v>
      </c>
      <c r="BQ176" s="21">
        <f>EXP(-LN(2)/25)*BQ175+(1-EXP(-LN(2)/25))/(LN(2)/25)*Calculateur!BL176*Calculateur!BN176*VLOOKUP('Données projet'!$B$11,Paramètres!$A$1:$I$89,3,0)*0.475*44/12</f>
        <v>0.19910892326575685</v>
      </c>
      <c r="BR176" s="21">
        <f>EXP(-LN(2)/2)*BR175+(1-EXP(-LN(2)/2))/(LN(2)/2)*BL176*BO176*VLOOKUP('Données projet'!$B$11,Paramètres!$A$1:$I$89,3,0)*0.475*44/12</f>
        <v>2.8644132893729939E-21</v>
      </c>
      <c r="BS176" s="22">
        <f t="shared" si="169"/>
        <v>0.68148722648037463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370.12772664814923</v>
      </c>
      <c r="CE176" s="59">
        <f t="shared" si="148"/>
        <v>292.26503163353146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0.44046385279889355</v>
      </c>
      <c r="CL176" s="21">
        <f>EXP(-LN(2)/25)*CL175+(1-EXP(-LN(2)/25))/(LN(2)/25)*Calculateur!CG176*Calculateur!CI176*VLOOKUP('Données projet'!$B$12,Paramètres!$A$1:$I$89,3,0)*0.475*44/12</f>
        <v>0.12603397299534985</v>
      </c>
      <c r="CM176" s="21">
        <f>EXP(-LN(2)/2)*CM175+(1-EXP(-LN(2)/2))/(LN(2)/2)*CG176*CJ176*VLOOKUP('Données projet'!$B$12,Paramètres!$A$1:$I$89,3,0)*0.475*44/12</f>
        <v>2.3726618077600612E-21</v>
      </c>
      <c r="CN176" s="22">
        <f t="shared" si="172"/>
        <v>0.56649782579424346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319.22903094674564</v>
      </c>
      <c r="T177" s="59">
        <f t="shared" si="142"/>
        <v>254.58690973142848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475.01366239340246</v>
      </c>
      <c r="AO177" s="59">
        <f t="shared" si="144"/>
        <v>322.81767004794284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0.50202187638169404</v>
      </c>
      <c r="AV177" s="21">
        <f>EXP(-LN(2)/25)*AV176+(1-EXP(-LN(2)/25))/(LN(2)/25)*Calculateur!AQ177*Calculateur!AS177*VLOOKUP('Données projet'!$B$10,Paramètres!$A$1:$I$89,3,0)*0.475*44/12</f>
        <v>0.20558208109073239</v>
      </c>
      <c r="AW177" s="21">
        <f>EXP(-LN(2)/2)*AW176+(1-EXP(-LN(2)/2))/(LN(2)/2)*AQ177*AT177*VLOOKUP('Données projet'!$B$10,Paramètres!$A$1:$I$89,3,0)*0.475*44/12</f>
        <v>2.1500888955618326E-21</v>
      </c>
      <c r="AX177" s="21">
        <f t="shared" si="166"/>
        <v>0.70760395747242644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449.84356201138451</v>
      </c>
      <c r="BJ177" s="59">
        <f t="shared" si="146"/>
        <v>306.61893266146666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0.47291915891029207</v>
      </c>
      <c r="BQ177" s="21">
        <f>EXP(-LN(2)/25)*BQ176+(1-EXP(-LN(2)/25))/(LN(2)/25)*Calculateur!BL177*Calculateur!BN177*VLOOKUP('Données projet'!$B$11,Paramètres!$A$1:$I$89,3,0)*0.475*44/12</f>
        <v>0.19366427928837152</v>
      </c>
      <c r="BR177" s="21">
        <f>EXP(-LN(2)/2)*BR176+(1-EXP(-LN(2)/2))/(LN(2)/2)*BL177*BO177*VLOOKUP('Données projet'!$B$11,Paramètres!$A$1:$I$89,3,0)*0.475*44/12</f>
        <v>2.0254460610365084E-21</v>
      </c>
      <c r="BS177" s="22">
        <f t="shared" si="169"/>
        <v>0.66658343819866361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370.12772664814923</v>
      </c>
      <c r="CE177" s="59">
        <f t="shared" si="148"/>
        <v>292.26503163353146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0.43182662530192983</v>
      </c>
      <c r="CL177" s="21">
        <f>EXP(-LN(2)/25)*CL176+(1-EXP(-LN(2)/25))/(LN(2)/25)*Calculateur!CG177*Calculateur!CI177*VLOOKUP('Données projet'!$B$12,Paramètres!$A$1:$I$89,3,0)*0.475*44/12</f>
        <v>0.12258756737595343</v>
      </c>
      <c r="CM177" s="21">
        <f>EXP(-LN(2)/2)*CM176+(1-EXP(-LN(2)/2))/(LN(2)/2)*CG177*CJ177*VLOOKUP('Données projet'!$B$12,Paramètres!$A$1:$I$89,3,0)*0.475*44/12</f>
        <v>1.677725253729472E-21</v>
      </c>
      <c r="CN177" s="22">
        <f t="shared" si="172"/>
        <v>0.55441419267788328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319.22903094674564</v>
      </c>
      <c r="T178" s="59">
        <f t="shared" si="142"/>
        <v>254.58690973142848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475.01366239340246</v>
      </c>
      <c r="AO178" s="59">
        <f t="shared" si="144"/>
        <v>322.81767004794284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0.49217753358895855</v>
      </c>
      <c r="AV178" s="21">
        <f>EXP(-LN(2)/25)*AV177+(1-EXP(-LN(2)/25))/(LN(2)/25)*Calculateur!AQ178*Calculateur!AS178*VLOOKUP('Données projet'!$B$10,Paramètres!$A$1:$I$89,3,0)*0.475*44/12</f>
        <v>0.19996042827221452</v>
      </c>
      <c r="AW178" s="21">
        <f>EXP(-LN(2)/2)*AW177+(1-EXP(-LN(2)/2))/(LN(2)/2)*AQ178*AT178*VLOOKUP('Données projet'!$B$10,Paramètres!$A$1:$I$89,3,0)*0.475*44/12</f>
        <v>1.5203424382056664E-21</v>
      </c>
      <c r="AX178" s="21">
        <f t="shared" si="166"/>
        <v>0.69213796186117305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449.84356201138451</v>
      </c>
      <c r="BJ178" s="59">
        <f t="shared" si="146"/>
        <v>306.61893266146666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0.46364550265626586</v>
      </c>
      <c r="BQ178" s="21">
        <f>EXP(-LN(2)/25)*BQ177+(1-EXP(-LN(2)/25))/(LN(2)/25)*Calculateur!BL178*Calculateur!BN178*VLOOKUP('Données projet'!$B$11,Paramètres!$A$1:$I$89,3,0)*0.475*44/12</f>
        <v>0.18836851938686919</v>
      </c>
      <c r="BR178" s="21">
        <f>EXP(-LN(2)/2)*BR177+(1-EXP(-LN(2)/2))/(LN(2)/2)*BL178*BO178*VLOOKUP('Données projet'!$B$11,Paramètres!$A$1:$I$89,3,0)*0.475*44/12</f>
        <v>1.432206644686497E-21</v>
      </c>
      <c r="BS178" s="22">
        <f t="shared" si="169"/>
        <v>0.65201402204313508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370.12772664814923</v>
      </c>
      <c r="CE178" s="59">
        <f t="shared" si="148"/>
        <v>292.26503163353146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0.42335876856799298</v>
      </c>
      <c r="CL178" s="21">
        <f>EXP(-LN(2)/25)*CL177+(1-EXP(-LN(2)/25))/(LN(2)/25)*Calculateur!CG178*Calculateur!CI178*VLOOKUP('Données projet'!$B$12,Paramètres!$A$1:$I$89,3,0)*0.475*44/12</f>
        <v>0.119235403899458</v>
      </c>
      <c r="CM178" s="21">
        <f>EXP(-LN(2)/2)*CM177+(1-EXP(-LN(2)/2))/(LN(2)/2)*CG178*CJ178*VLOOKUP('Données projet'!$B$12,Paramètres!$A$1:$I$89,3,0)*0.475*44/12</f>
        <v>1.1863309038800308E-21</v>
      </c>
      <c r="CN178" s="22">
        <f t="shared" si="172"/>
        <v>0.54259417246745101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319.22903094674564</v>
      </c>
      <c r="T179" s="59">
        <f t="shared" si="142"/>
        <v>254.58690973142848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475.01366239340246</v>
      </c>
      <c r="AO179" s="59">
        <f t="shared" si="144"/>
        <v>322.81767004794284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0.48252623235393238</v>
      </c>
      <c r="AV179" s="21">
        <f>EXP(-LN(2)/25)*AV178+(1-EXP(-LN(2)/25))/(LN(2)/25)*Calculateur!AQ179*Calculateur!AS179*VLOOKUP('Données projet'!$B$10,Paramètres!$A$1:$I$89,3,0)*0.475*44/12</f>
        <v>0.1944924998456489</v>
      </c>
      <c r="AW179" s="21">
        <f>EXP(-LN(2)/2)*AW178+(1-EXP(-LN(2)/2))/(LN(2)/2)*AQ179*AT179*VLOOKUP('Données projet'!$B$10,Paramètres!$A$1:$I$89,3,0)*0.475*44/12</f>
        <v>1.0750444477809163E-21</v>
      </c>
      <c r="AX179" s="21">
        <f t="shared" si="166"/>
        <v>0.67701873219958131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449.84356201138451</v>
      </c>
      <c r="BJ179" s="59">
        <f t="shared" si="146"/>
        <v>306.61893266146666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0.45455369714500932</v>
      </c>
      <c r="BQ179" s="21">
        <f>EXP(-LN(2)/25)*BQ178+(1-EXP(-LN(2)/25))/(LN(2)/25)*Calculateur!BL179*Calculateur!BN179*VLOOKUP('Données projet'!$B$11,Paramètres!$A$1:$I$89,3,0)*0.475*44/12</f>
        <v>0.18321757231836533</v>
      </c>
      <c r="BR179" s="21">
        <f>EXP(-LN(2)/2)*BR178+(1-EXP(-LN(2)/2))/(LN(2)/2)*BL179*BO179*VLOOKUP('Données projet'!$B$11,Paramètres!$A$1:$I$89,3,0)*0.475*44/12</f>
        <v>1.0127230305182542E-21</v>
      </c>
      <c r="BS179" s="22">
        <f t="shared" si="169"/>
        <v>0.63777126946337459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370.12772664814923</v>
      </c>
      <c r="CE179" s="59">
        <f t="shared" si="148"/>
        <v>292.26503163353146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0.41505696133972603</v>
      </c>
      <c r="CL179" s="21">
        <f>EXP(-LN(2)/25)*CL178+(1-EXP(-LN(2)/25))/(LN(2)/25)*Calculateur!CG179*Calculateur!CI179*VLOOKUP('Données projet'!$B$12,Paramètres!$A$1:$I$89,3,0)*0.475*44/12</f>
        <v>0.11597490550950994</v>
      </c>
      <c r="CM179" s="21">
        <f>EXP(-LN(2)/2)*CM178+(1-EXP(-LN(2)/2))/(LN(2)/2)*CG179*CJ179*VLOOKUP('Données projet'!$B$12,Paramètres!$A$1:$I$89,3,0)*0.475*44/12</f>
        <v>8.3886262686473609E-22</v>
      </c>
      <c r="CN179" s="22">
        <f t="shared" si="172"/>
        <v>0.53103186684923598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319.22903094674564</v>
      </c>
      <c r="T180" s="59">
        <f t="shared" si="142"/>
        <v>254.58690973142848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475.01366239340246</v>
      </c>
      <c r="AO180" s="59">
        <f t="shared" si="144"/>
        <v>322.81767004794284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0.47306418724941263</v>
      </c>
      <c r="AV180" s="21">
        <f>EXP(-LN(2)/25)*AV179+(1-EXP(-LN(2)/25))/(LN(2)/25)*Calculateur!AQ180*Calculateur!AS180*VLOOKUP('Données projet'!$B$10,Paramètres!$A$1:$I$89,3,0)*0.475*44/12</f>
        <v>0.18917409220945358</v>
      </c>
      <c r="AW180" s="21">
        <f>EXP(-LN(2)/2)*AW179+(1-EXP(-LN(2)/2))/(LN(2)/2)*AQ180*AT180*VLOOKUP('Données projet'!$B$10,Paramètres!$A$1:$I$89,3,0)*0.475*44/12</f>
        <v>7.601712191028332E-22</v>
      </c>
      <c r="AX180" s="21">
        <f t="shared" si="166"/>
        <v>0.66223827945886615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449.84356201138451</v>
      </c>
      <c r="BJ180" s="59">
        <f t="shared" si="146"/>
        <v>306.61893266146666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0.44564017639437475</v>
      </c>
      <c r="BQ180" s="21">
        <f>EXP(-LN(2)/25)*BQ179+(1-EXP(-LN(2)/25))/(LN(2)/25)*Calculateur!BL180*Calculateur!BN180*VLOOKUP('Données projet'!$B$11,Paramètres!$A$1:$I$89,3,0)*0.475*44/12</f>
        <v>0.17820747816832624</v>
      </c>
      <c r="BR180" s="21">
        <f>EXP(-LN(2)/2)*BR179+(1-EXP(-LN(2)/2))/(LN(2)/2)*BL180*BO180*VLOOKUP('Données projet'!$B$11,Paramètres!$A$1:$I$89,3,0)*0.475*44/12</f>
        <v>7.1610332234324849E-22</v>
      </c>
      <c r="BS180" s="22">
        <f t="shared" si="169"/>
        <v>0.62384765456270097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370.12772664814923</v>
      </c>
      <c r="CE180" s="59">
        <f t="shared" si="148"/>
        <v>292.26503163353146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0.40691794748760296</v>
      </c>
      <c r="CL180" s="21">
        <f>EXP(-LN(2)/25)*CL179+(1-EXP(-LN(2)/25))/(LN(2)/25)*Calculateur!CG180*Calculateur!CI180*VLOOKUP('Données projet'!$B$12,Paramètres!$A$1:$I$89,3,0)*0.475*44/12</f>
        <v>0.11280356561949717</v>
      </c>
      <c r="CM180" s="21">
        <f>EXP(-LN(2)/2)*CM179+(1-EXP(-LN(2)/2))/(LN(2)/2)*CG180*CJ180*VLOOKUP('Données projet'!$B$12,Paramètres!$A$1:$I$89,3,0)*0.475*44/12</f>
        <v>5.9316545194001549E-22</v>
      </c>
      <c r="CN180" s="22">
        <f t="shared" si="172"/>
        <v>0.51972151310710013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319.22903094674564</v>
      </c>
      <c r="T181" s="59">
        <f t="shared" si="142"/>
        <v>254.58690973142848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475.01366239340246</v>
      </c>
      <c r="AO181" s="59">
        <f t="shared" si="144"/>
        <v>322.81767004794284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0.46378768707811485</v>
      </c>
      <c r="AV181" s="21">
        <f>EXP(-LN(2)/25)*AV180+(1-EXP(-LN(2)/25))/(LN(2)/25)*Calculateur!AQ181*Calculateur!AS181*VLOOKUP('Données projet'!$B$10,Paramètres!$A$1:$I$89,3,0)*0.475*44/12</f>
        <v>0.18400111670975292</v>
      </c>
      <c r="AW181" s="21">
        <f>EXP(-LN(2)/2)*AW180+(1-EXP(-LN(2)/2))/(LN(2)/2)*AQ181*AT181*VLOOKUP('Données projet'!$B$10,Paramètres!$A$1:$I$89,3,0)*0.475*44/12</f>
        <v>5.3752222389045814E-22</v>
      </c>
      <c r="AX181" s="21">
        <f t="shared" si="166"/>
        <v>0.64778880378786774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449.84356201138451</v>
      </c>
      <c r="BJ181" s="59">
        <f t="shared" si="146"/>
        <v>306.61893266146666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0.43690144434894929</v>
      </c>
      <c r="BQ181" s="21">
        <f>EXP(-LN(2)/25)*BQ180+(1-EXP(-LN(2)/25))/(LN(2)/25)*Calculateur!BL181*Calculateur!BN181*VLOOKUP('Données projet'!$B$11,Paramètres!$A$1:$I$89,3,0)*0.475*44/12</f>
        <v>0.17333438530628939</v>
      </c>
      <c r="BR181" s="21">
        <f>EXP(-LN(2)/2)*BR180+(1-EXP(-LN(2)/2))/(LN(2)/2)*BL181*BO181*VLOOKUP('Données projet'!$B$11,Paramètres!$A$1:$I$89,3,0)*0.475*44/12</f>
        <v>5.0636151525912711E-22</v>
      </c>
      <c r="BS181" s="22">
        <f t="shared" si="169"/>
        <v>0.6102358296552387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370.12772664814923</v>
      </c>
      <c r="CE181" s="59">
        <f t="shared" si="148"/>
        <v>292.26503163353146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0.39893853473281177</v>
      </c>
      <c r="CL181" s="21">
        <f>EXP(-LN(2)/25)*CL180+(1-EXP(-LN(2)/25))/(LN(2)/25)*Calculateur!CG181*Calculateur!CI181*VLOOKUP('Données projet'!$B$12,Paramètres!$A$1:$I$89,3,0)*0.475*44/12</f>
        <v>0.10971894618555032</v>
      </c>
      <c r="CM181" s="21">
        <f>EXP(-LN(2)/2)*CM180+(1-EXP(-LN(2)/2))/(LN(2)/2)*CG181*CJ181*VLOOKUP('Données projet'!$B$12,Paramètres!$A$1:$I$89,3,0)*0.475*44/12</f>
        <v>4.1943131343236814E-22</v>
      </c>
      <c r="CN181" s="22">
        <f t="shared" si="172"/>
        <v>0.50865748091836205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319.22903094674564</v>
      </c>
      <c r="T182" s="59">
        <f t="shared" si="142"/>
        <v>254.58690973142848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475.01366239340246</v>
      </c>
      <c r="AO182" s="59">
        <f t="shared" si="144"/>
        <v>322.81767004794284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0.45469309341706982</v>
      </c>
      <c r="AV182" s="21">
        <f>EXP(-LN(2)/25)*AV181+(1-EXP(-LN(2)/25))/(LN(2)/25)*Calculateur!AQ182*Calculateur!AS182*VLOOKUP('Données projet'!$B$10,Paramètres!$A$1:$I$89,3,0)*0.475*44/12</f>
        <v>0.17896959649712654</v>
      </c>
      <c r="AW182" s="21">
        <f>EXP(-LN(2)/2)*AW181+(1-EXP(-LN(2)/2))/(LN(2)/2)*AQ182*AT182*VLOOKUP('Données projet'!$B$10,Paramètres!$A$1:$I$89,3,0)*0.475*44/12</f>
        <v>3.800856095514166E-22</v>
      </c>
      <c r="AX182" s="21">
        <f t="shared" si="166"/>
        <v>0.63366268991419639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449.84356201138451</v>
      </c>
      <c r="BJ182" s="59">
        <f t="shared" si="146"/>
        <v>306.61893266146666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0.4283340735088344</v>
      </c>
      <c r="BQ182" s="21">
        <f>EXP(-LN(2)/25)*BQ181+(1-EXP(-LN(2)/25))/(LN(2)/25)*Calculateur!BL182*Calculateur!BN182*VLOOKUP('Données projet'!$B$11,Paramètres!$A$1:$I$89,3,0)*0.475*44/12</f>
        <v>0.16859454742482974</v>
      </c>
      <c r="BR182" s="21">
        <f>EXP(-LN(2)/2)*BR181+(1-EXP(-LN(2)/2))/(LN(2)/2)*BL182*BO182*VLOOKUP('Données projet'!$B$11,Paramètres!$A$1:$I$89,3,0)*0.475*44/12</f>
        <v>3.5805166117162424E-22</v>
      </c>
      <c r="BS182" s="22">
        <f t="shared" si="169"/>
        <v>0.59692862093366417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370.12772664814923</v>
      </c>
      <c r="CE182" s="59">
        <f t="shared" si="148"/>
        <v>292.26503163353146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0.39111559339518082</v>
      </c>
      <c r="CL182" s="21">
        <f>EXP(-LN(2)/25)*CL181+(1-EXP(-LN(2)/25))/(LN(2)/25)*Calculateur!CG182*Calculateur!CI182*VLOOKUP('Données projet'!$B$12,Paramètres!$A$1:$I$89,3,0)*0.475*44/12</f>
        <v>0.10671867583223783</v>
      </c>
      <c r="CM182" s="21">
        <f>EXP(-LN(2)/2)*CM181+(1-EXP(-LN(2)/2))/(LN(2)/2)*CG182*CJ182*VLOOKUP('Données projet'!$B$12,Paramètres!$A$1:$I$89,3,0)*0.475*44/12</f>
        <v>2.9658272597000779E-22</v>
      </c>
      <c r="CN182" s="22">
        <f t="shared" si="172"/>
        <v>0.49783426922741864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319.22903094674564</v>
      </c>
      <c r="T183" s="59">
        <f t="shared" si="142"/>
        <v>254.58690973142848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475.01366239340246</v>
      </c>
      <c r="AO183" s="59">
        <f t="shared" si="144"/>
        <v>322.81767004794284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0.44577683919056349</v>
      </c>
      <c r="AV183" s="21">
        <f>EXP(-LN(2)/25)*AV182+(1-EXP(-LN(2)/25))/(LN(2)/25)*Calculateur!AQ183*Calculateur!AS183*VLOOKUP('Données projet'!$B$10,Paramètres!$A$1:$I$89,3,0)*0.475*44/12</f>
        <v>0.17407566346931058</v>
      </c>
      <c r="AW183" s="21">
        <f>EXP(-LN(2)/2)*AW182+(1-EXP(-LN(2)/2))/(LN(2)/2)*AQ183*AT183*VLOOKUP('Données projet'!$B$10,Paramètres!$A$1:$I$89,3,0)*0.475*44/12</f>
        <v>2.6876111194522907E-22</v>
      </c>
      <c r="AX183" s="21">
        <f t="shared" si="166"/>
        <v>0.61985250265987402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449.84356201138451</v>
      </c>
      <c r="BJ183" s="59">
        <f t="shared" si="146"/>
        <v>306.61893266146666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0.41993470358531393</v>
      </c>
      <c r="BQ183" s="21">
        <f>EXP(-LN(2)/25)*BQ182+(1-EXP(-LN(2)/25))/(LN(2)/25)*Calculateur!BL183*Calculateur!BN183*VLOOKUP('Données projet'!$B$11,Paramètres!$A$1:$I$89,3,0)*0.475*44/12</f>
        <v>0.16398432065949584</v>
      </c>
      <c r="BR183" s="21">
        <f>EXP(-LN(2)/2)*BR182+(1-EXP(-LN(2)/2))/(LN(2)/2)*BL183*BO183*VLOOKUP('Données projet'!$B$11,Paramètres!$A$1:$I$89,3,0)*0.475*44/12</f>
        <v>2.5318075762956356E-22</v>
      </c>
      <c r="BS183" s="22">
        <f t="shared" si="169"/>
        <v>0.58391902424480979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370.12772664814923</v>
      </c>
      <c r="CE183" s="59">
        <f t="shared" si="148"/>
        <v>292.26503163353146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0.38344605516565777</v>
      </c>
      <c r="CL183" s="21">
        <f>EXP(-LN(2)/25)*CL182+(1-EXP(-LN(2)/25))/(LN(2)/25)*Calculateur!CG183*Calculateur!CI183*VLOOKUP('Données projet'!$B$12,Paramètres!$A$1:$I$89,3,0)*0.475*44/12</f>
        <v>0.10380044802951403</v>
      </c>
      <c r="CM183" s="21">
        <f>EXP(-LN(2)/2)*CM182+(1-EXP(-LN(2)/2))/(LN(2)/2)*CG183*CJ183*VLOOKUP('Données projet'!$B$12,Paramètres!$A$1:$I$89,3,0)*0.475*44/12</f>
        <v>2.0971565671618409E-22</v>
      </c>
      <c r="CN183" s="22">
        <f t="shared" si="172"/>
        <v>0.48724650319517182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319.22903094674564</v>
      </c>
      <c r="T184" s="59">
        <f t="shared" si="142"/>
        <v>254.58690973142848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475.01366239340246</v>
      </c>
      <c r="AO184" s="59">
        <f t="shared" si="144"/>
        <v>322.81767004794284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0.43703542727106087</v>
      </c>
      <c r="AV184" s="21">
        <f>EXP(-LN(2)/25)*AV183+(1-EXP(-LN(2)/25))/(LN(2)/25)*Calculateur!AQ184*Calculateur!AS184*VLOOKUP('Données projet'!$B$10,Paramètres!$A$1:$I$89,3,0)*0.475*44/12</f>
        <v>0.169315555297501</v>
      </c>
      <c r="AW184" s="21">
        <f>EXP(-LN(2)/2)*AW183+(1-EXP(-LN(2)/2))/(LN(2)/2)*AQ184*AT184*VLOOKUP('Données projet'!$B$10,Paramètres!$A$1:$I$89,3,0)*0.475*44/12</f>
        <v>1.900428047757083E-22</v>
      </c>
      <c r="AX184" s="21">
        <f t="shared" si="166"/>
        <v>0.6063509825685619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449.84356201138451</v>
      </c>
      <c r="BJ184" s="59">
        <f t="shared" si="146"/>
        <v>306.61893266146666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0.41170004018288386</v>
      </c>
      <c r="BQ184" s="21">
        <f>EXP(-LN(2)/25)*BQ183+(1-EXP(-LN(2)/25))/(LN(2)/25)*Calculateur!BL184*Calculateur!BN184*VLOOKUP('Données projet'!$B$11,Paramètres!$A$1:$I$89,3,0)*0.475*44/12</f>
        <v>0.15950016078750129</v>
      </c>
      <c r="BR184" s="21">
        <f>EXP(-LN(2)/2)*BR183+(1-EXP(-LN(2)/2))/(LN(2)/2)*BL184*BO184*VLOOKUP('Données projet'!$B$11,Paramètres!$A$1:$I$89,3,0)*0.475*44/12</f>
        <v>1.7902583058581212E-22</v>
      </c>
      <c r="BS184" s="22">
        <f t="shared" si="169"/>
        <v>0.57120020097038515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370.12772664814923</v>
      </c>
      <c r="CE184" s="59">
        <f t="shared" si="148"/>
        <v>292.26503163353146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0.37592691190285926</v>
      </c>
      <c r="CL184" s="21">
        <f>EXP(-LN(2)/25)*CL183+(1-EXP(-LN(2)/25))/(LN(2)/25)*Calculateur!CG184*Calculateur!CI184*VLOOKUP('Données projet'!$B$12,Paramètres!$A$1:$I$89,3,0)*0.475*44/12</f>
        <v>0.10096201931951865</v>
      </c>
      <c r="CM184" s="21">
        <f>EXP(-LN(2)/2)*CM183+(1-EXP(-LN(2)/2))/(LN(2)/2)*CG184*CJ184*VLOOKUP('Données projet'!$B$12,Paramètres!$A$1:$I$89,3,0)*0.475*44/12</f>
        <v>1.4829136298500392E-22</v>
      </c>
      <c r="CN184" s="22">
        <f t="shared" si="172"/>
        <v>0.47688893122237791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319.22903094674564</v>
      </c>
      <c r="T185" s="59">
        <f t="shared" si="142"/>
        <v>254.58690973142848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475.01366239340246</v>
      </c>
      <c r="AO185" s="59">
        <f t="shared" si="144"/>
        <v>322.81767004794284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0.42846542910756485</v>
      </c>
      <c r="AV185" s="21">
        <f>EXP(-LN(2)/25)*AV184+(1-EXP(-LN(2)/25))/(LN(2)/25)*Calculateur!AQ185*Calculateur!AS185*VLOOKUP('Données projet'!$B$10,Paramètres!$A$1:$I$89,3,0)*0.475*44/12</f>
        <v>0.16468561253397276</v>
      </c>
      <c r="AW185" s="21">
        <f>EXP(-LN(2)/2)*AW184+(1-EXP(-LN(2)/2))/(LN(2)/2)*AQ185*AT185*VLOOKUP('Données projet'!$B$10,Paramètres!$A$1:$I$89,3,0)*0.475*44/12</f>
        <v>1.3438055597261454E-22</v>
      </c>
      <c r="AX185" s="21">
        <f t="shared" si="166"/>
        <v>0.59315104164153765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449.84356201138451</v>
      </c>
      <c r="BJ185" s="59">
        <f t="shared" si="146"/>
        <v>306.61893266146666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0.40362685350712674</v>
      </c>
      <c r="BQ185" s="21">
        <f>EXP(-LN(2)/25)*BQ184+(1-EXP(-LN(2)/25))/(LN(2)/25)*Calculateur!BL185*Calculateur!BN185*VLOOKUP('Données projet'!$B$11,Paramètres!$A$1:$I$89,3,0)*0.475*44/12</f>
        <v>0.15513862050301816</v>
      </c>
      <c r="BR185" s="21">
        <f>EXP(-LN(2)/2)*BR184+(1-EXP(-LN(2)/2))/(LN(2)/2)*BL185*BO185*VLOOKUP('Données projet'!$B$11,Paramètres!$A$1:$I$89,3,0)*0.475*44/12</f>
        <v>1.2659037881478178E-22</v>
      </c>
      <c r="BS185" s="22">
        <f t="shared" si="169"/>
        <v>0.55876547401014487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370.12772664814923</v>
      </c>
      <c r="CE185" s="59">
        <f t="shared" si="148"/>
        <v>292.26503163353146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0.36855521445321965</v>
      </c>
      <c r="CL185" s="21">
        <f>EXP(-LN(2)/25)*CL184+(1-EXP(-LN(2)/25))/(LN(2)/25)*Calculateur!CG185*Calculateur!CI185*VLOOKUP('Données projet'!$B$12,Paramètres!$A$1:$I$89,3,0)*0.475*44/12</f>
        <v>9.820120759186457E-2</v>
      </c>
      <c r="CM185" s="21">
        <f>EXP(-LN(2)/2)*CM184+(1-EXP(-LN(2)/2))/(LN(2)/2)*CG185*CJ185*VLOOKUP('Données projet'!$B$12,Paramètres!$A$1:$I$89,3,0)*0.475*44/12</f>
        <v>1.0485782835809207E-22</v>
      </c>
      <c r="CN185" s="22">
        <f t="shared" si="172"/>
        <v>0.46675642204508422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319.22903094674564</v>
      </c>
      <c r="T186" s="59">
        <f t="shared" si="142"/>
        <v>254.58690973142848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475.01366239340246</v>
      </c>
      <c r="AO186" s="59">
        <f t="shared" si="144"/>
        <v>322.81767004794284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0.42006348338087229</v>
      </c>
      <c r="AV186" s="21">
        <f>EXP(-LN(2)/25)*AV185+(1-EXP(-LN(2)/25))/(LN(2)/25)*Calculateur!AQ186*Calculateur!AS186*VLOOKUP('Données projet'!$B$10,Paramètres!$A$1:$I$89,3,0)*0.475*44/12</f>
        <v>0.1601822757987913</v>
      </c>
      <c r="AW186" s="21">
        <f>EXP(-LN(2)/2)*AW185+(1-EXP(-LN(2)/2))/(LN(2)/2)*AQ186*AT186*VLOOKUP('Données projet'!$B$10,Paramètres!$A$1:$I$89,3,0)*0.475*44/12</f>
        <v>9.502140238785415E-23</v>
      </c>
      <c r="AX186" s="21">
        <f t="shared" si="166"/>
        <v>0.58024575917966359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449.84356201138451</v>
      </c>
      <c r="BJ186" s="59">
        <f t="shared" si="146"/>
        <v>306.61893266146666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0.39571197709792355</v>
      </c>
      <c r="BQ186" s="21">
        <f>EXP(-LN(2)/25)*BQ185+(1-EXP(-LN(2)/25))/(LN(2)/25)*Calculateur!BL186*Calculateur!BN186*VLOOKUP('Données projet'!$B$11,Paramètres!$A$1:$I$89,3,0)*0.475*44/12</f>
        <v>0.15089634676697766</v>
      </c>
      <c r="BR186" s="21">
        <f>EXP(-LN(2)/2)*BR185+(1-EXP(-LN(2)/2))/(LN(2)/2)*BL186*BO186*VLOOKUP('Données projet'!$B$11,Paramètres!$A$1:$I$89,3,0)*0.475*44/12</f>
        <v>8.9512915292906061E-23</v>
      </c>
      <c r="BS186" s="22">
        <f t="shared" si="169"/>
        <v>0.54660832386490121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370.12772664814923</v>
      </c>
      <c r="CE186" s="59">
        <f t="shared" si="148"/>
        <v>292.26503163353146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0.36132807149427604</v>
      </c>
      <c r="CL186" s="21">
        <f>EXP(-LN(2)/25)*CL185+(1-EXP(-LN(2)/25))/(LN(2)/25)*Calculateur!CG186*Calculateur!CI186*VLOOKUP('Données projet'!$B$12,Paramètres!$A$1:$I$89,3,0)*0.475*44/12</f>
        <v>9.5515890406087961E-2</v>
      </c>
      <c r="CM186" s="21">
        <f>EXP(-LN(2)/2)*CM185+(1-EXP(-LN(2)/2))/(LN(2)/2)*CG186*CJ186*VLOOKUP('Données projet'!$B$12,Paramètres!$A$1:$I$89,3,0)*0.475*44/12</f>
        <v>7.4145681492501971E-23</v>
      </c>
      <c r="CN186" s="22">
        <f t="shared" si="172"/>
        <v>0.45684396190036403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319.22903094674564</v>
      </c>
      <c r="T187" s="59">
        <f t="shared" si="142"/>
        <v>254.58690973142848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475.01366239340246</v>
      </c>
      <c r="AO187" s="59">
        <f t="shared" si="144"/>
        <v>322.81767004794284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0.41182629468519927</v>
      </c>
      <c r="AV187" s="21">
        <f>EXP(-LN(2)/25)*AV186+(1-EXP(-LN(2)/25))/(LN(2)/25)*Calculateur!AQ187*Calculateur!AS187*VLOOKUP('Données projet'!$B$10,Paramètres!$A$1:$I$89,3,0)*0.475*44/12</f>
        <v>0.15580208304345355</v>
      </c>
      <c r="AW187" s="21">
        <f>EXP(-LN(2)/2)*AW186+(1-EXP(-LN(2)/2))/(LN(2)/2)*AQ187*AT187*VLOOKUP('Données projet'!$B$10,Paramètres!$A$1:$I$89,3,0)*0.475*44/12</f>
        <v>6.7190277986307268E-23</v>
      </c>
      <c r="AX187" s="21">
        <f t="shared" si="166"/>
        <v>0.56762837772865282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449.84356201138451</v>
      </c>
      <c r="BJ187" s="59">
        <f t="shared" si="146"/>
        <v>306.61893266146666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0.38795230658750696</v>
      </c>
      <c r="BQ187" s="21">
        <f>EXP(-LN(2)/25)*BQ186+(1-EXP(-LN(2)/25))/(LN(2)/25)*Calculateur!BL187*Calculateur!BN187*VLOOKUP('Données projet'!$B$11,Paramètres!$A$1:$I$89,3,0)*0.475*44/12</f>
        <v>0.14677007822934066</v>
      </c>
      <c r="BR187" s="21">
        <f>EXP(-LN(2)/2)*BR186+(1-EXP(-LN(2)/2))/(LN(2)/2)*BL187*BO187*VLOOKUP('Données projet'!$B$11,Paramètres!$A$1:$I$89,3,0)*0.475*44/12</f>
        <v>6.3295189407390889E-23</v>
      </c>
      <c r="BS187" s="22">
        <f t="shared" si="169"/>
        <v>0.53472238481684764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370.12772664814923</v>
      </c>
      <c r="CE187" s="59">
        <f t="shared" si="148"/>
        <v>292.26503163353146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0.35424264840063535</v>
      </c>
      <c r="CL187" s="21">
        <f>EXP(-LN(2)/25)*CL186+(1-EXP(-LN(2)/25))/(LN(2)/25)*Calculateur!CG187*Calculateur!CI187*VLOOKUP('Données projet'!$B$12,Paramètres!$A$1:$I$89,3,0)*0.475*44/12</f>
        <v>9.2904003359971107E-2</v>
      </c>
      <c r="CM187" s="21">
        <f>EXP(-LN(2)/2)*CM186+(1-EXP(-LN(2)/2))/(LN(2)/2)*CG187*CJ187*VLOOKUP('Données projet'!$B$12,Paramètres!$A$1:$I$89,3,0)*0.475*44/12</f>
        <v>5.2428914179046041E-23</v>
      </c>
      <c r="CN187" s="22">
        <f t="shared" si="172"/>
        <v>0.44714665176060647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319.22903094674564</v>
      </c>
      <c r="T188" s="59">
        <f t="shared" si="142"/>
        <v>254.58690973142848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475.01366239340246</v>
      </c>
      <c r="AO188" s="59">
        <f t="shared" si="144"/>
        <v>322.81767004794284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0.40375063223565938</v>
      </c>
      <c r="AV188" s="21">
        <f>EXP(-LN(2)/25)*AV187+(1-EXP(-LN(2)/25))/(LN(2)/25)*Calculateur!AQ188*Calculateur!AS188*VLOOKUP('Données projet'!$B$10,Paramètres!$A$1:$I$89,3,0)*0.475*44/12</f>
        <v>0.15154166688935486</v>
      </c>
      <c r="AW188" s="21">
        <f>EXP(-LN(2)/2)*AW187+(1-EXP(-LN(2)/2))/(LN(2)/2)*AQ188*AT188*VLOOKUP('Données projet'!$B$10,Paramètres!$A$1:$I$89,3,0)*0.475*44/12</f>
        <v>4.7510701193927075E-23</v>
      </c>
      <c r="AX188" s="21">
        <f t="shared" si="166"/>
        <v>0.55529229912501421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449.84356201138451</v>
      </c>
      <c r="BJ188" s="59">
        <f t="shared" si="146"/>
        <v>306.61893266146666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0.38034479848286795</v>
      </c>
      <c r="BQ188" s="21">
        <f>EXP(-LN(2)/25)*BQ187+(1-EXP(-LN(2)/25))/(LN(2)/25)*Calculateur!BL188*Calculateur!BN188*VLOOKUP('Données projet'!$B$11,Paramètres!$A$1:$I$89,3,0)*0.475*44/12</f>
        <v>0.14275664272185637</v>
      </c>
      <c r="BR188" s="21">
        <f>EXP(-LN(2)/2)*BR187+(1-EXP(-LN(2)/2))/(LN(2)/2)*BL188*BO188*VLOOKUP('Données projet'!$B$11,Paramètres!$A$1:$I$89,3,0)*0.475*44/12</f>
        <v>4.475645764645303E-23</v>
      </c>
      <c r="BS188" s="22">
        <f t="shared" si="169"/>
        <v>0.52310144120472435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370.12772664814923</v>
      </c>
      <c r="CE188" s="59">
        <f t="shared" si="148"/>
        <v>292.26503163353146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0.34729616613217962</v>
      </c>
      <c r="CL188" s="21">
        <f>EXP(-LN(2)/25)*CL187+(1-EXP(-LN(2)/25))/(LN(2)/25)*Calculateur!CG188*Calculateur!CI188*VLOOKUP('Données projet'!$B$12,Paramètres!$A$1:$I$89,3,0)*0.475*44/12</f>
        <v>9.0363538502483493E-2</v>
      </c>
      <c r="CM188" s="21">
        <f>EXP(-LN(2)/2)*CM187+(1-EXP(-LN(2)/2))/(LN(2)/2)*CG188*CJ188*VLOOKUP('Données projet'!$B$12,Paramètres!$A$1:$I$89,3,0)*0.475*44/12</f>
        <v>3.7072840746250991E-23</v>
      </c>
      <c r="CN188" s="22">
        <f t="shared" si="172"/>
        <v>0.43765970463466308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319.22903094674564</v>
      </c>
      <c r="T189" s="59">
        <f t="shared" si="142"/>
        <v>254.58690973142848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475.01366239340246</v>
      </c>
      <c r="AO189" s="59">
        <f t="shared" si="144"/>
        <v>322.81767004794284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0.39583332860108728</v>
      </c>
      <c r="AV189" s="21">
        <f>EXP(-LN(2)/25)*AV188+(1-EXP(-LN(2)/25))/(LN(2)/25)*Calculateur!AQ189*Calculateur!AS189*VLOOKUP('Données projet'!$B$10,Paramètres!$A$1:$I$89,3,0)*0.475*44/12</f>
        <v>0.14739775203903555</v>
      </c>
      <c r="AW189" s="21">
        <f>EXP(-LN(2)/2)*AW188+(1-EXP(-LN(2)/2))/(LN(2)/2)*AQ189*AT189*VLOOKUP('Données projet'!$B$10,Paramètres!$A$1:$I$89,3,0)*0.475*44/12</f>
        <v>3.3595138993153634E-23</v>
      </c>
      <c r="AX189" s="21">
        <f t="shared" si="166"/>
        <v>0.54323108064012282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449.84356201138451</v>
      </c>
      <c r="BJ189" s="59">
        <f t="shared" si="146"/>
        <v>306.61893266146666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0.37288646897203914</v>
      </c>
      <c r="BQ189" s="21">
        <f>EXP(-LN(2)/25)*BQ188+(1-EXP(-LN(2)/25))/(LN(2)/25)*Calculateur!BL189*Calculateur!BN189*VLOOKUP('Données projet'!$B$11,Paramètres!$A$1:$I$89,3,0)*0.475*44/12</f>
        <v>0.13885295481938165</v>
      </c>
      <c r="BR189" s="21">
        <f>EXP(-LN(2)/2)*BR188+(1-EXP(-LN(2)/2))/(LN(2)/2)*BL189*BO189*VLOOKUP('Données projet'!$B$11,Paramètres!$A$1:$I$89,3,0)*0.475*44/12</f>
        <v>3.1647594703695444E-23</v>
      </c>
      <c r="BS189" s="22">
        <f t="shared" si="169"/>
        <v>0.51173942379142079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370.12772664814923</v>
      </c>
      <c r="CE189" s="59">
        <f t="shared" si="148"/>
        <v>292.26503163353146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0.34048590014407248</v>
      </c>
      <c r="CL189" s="21">
        <f>EXP(-LN(2)/25)*CL188+(1-EXP(-LN(2)/25))/(LN(2)/25)*Calculateur!CG189*Calculateur!CI189*VLOOKUP('Données projet'!$B$12,Paramètres!$A$1:$I$89,3,0)*0.475*44/12</f>
        <v>8.7892542790121125E-2</v>
      </c>
      <c r="CM189" s="21">
        <f>EXP(-LN(2)/2)*CM188+(1-EXP(-LN(2)/2))/(LN(2)/2)*CG189*CJ189*VLOOKUP('Données projet'!$B$12,Paramètres!$A$1:$I$89,3,0)*0.475*44/12</f>
        <v>2.6214457089523026E-23</v>
      </c>
      <c r="CN189" s="22">
        <f t="shared" si="172"/>
        <v>0.42837844293419358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319.22903094674564</v>
      </c>
      <c r="T190" s="59">
        <f t="shared" si="142"/>
        <v>254.58690973142848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475.01366239340246</v>
      </c>
      <c r="AO190" s="59">
        <f t="shared" si="144"/>
        <v>322.81767004794284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0.38807127846171074</v>
      </c>
      <c r="AV190" s="21">
        <f>EXP(-LN(2)/25)*AV189+(1-EXP(-LN(2)/25))/(LN(2)/25)*Calculateur!AQ190*Calculateur!AS190*VLOOKUP('Données projet'!$B$10,Paramètres!$A$1:$I$89,3,0)*0.475*44/12</f>
        <v>0.14336715275821721</v>
      </c>
      <c r="AW190" s="21">
        <f>EXP(-LN(2)/2)*AW189+(1-EXP(-LN(2)/2))/(LN(2)/2)*AQ190*AT190*VLOOKUP('Données projet'!$B$10,Paramètres!$A$1:$I$89,3,0)*0.475*44/12</f>
        <v>2.3755350596963537E-23</v>
      </c>
      <c r="AX190" s="21">
        <f t="shared" si="166"/>
        <v>0.53143843121992795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449.84356201138451</v>
      </c>
      <c r="BJ190" s="59">
        <f t="shared" si="146"/>
        <v>306.61893266146666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0.36557439275378584</v>
      </c>
      <c r="BQ190" s="21">
        <f>EXP(-LN(2)/25)*BQ189+(1-EXP(-LN(2)/25))/(LN(2)/25)*Calculateur!BL190*Calculateur!BN190*VLOOKUP('Données projet'!$B$11,Paramètres!$A$1:$I$89,3,0)*0.475*44/12</f>
        <v>0.13505601346788612</v>
      </c>
      <c r="BR190" s="21">
        <f>EXP(-LN(2)/2)*BR189+(1-EXP(-LN(2)/2))/(LN(2)/2)*BL190*BO190*VLOOKUP('Données projet'!$B$11,Paramètres!$A$1:$I$89,3,0)*0.475*44/12</f>
        <v>2.2378228823226515E-23</v>
      </c>
      <c r="BS190" s="22">
        <f t="shared" si="169"/>
        <v>0.50063040622167199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370.12772664814923</v>
      </c>
      <c r="CE190" s="59">
        <f t="shared" si="148"/>
        <v>292.26503163353146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0.33380917931814003</v>
      </c>
      <c r="CL190" s="21">
        <f>EXP(-LN(2)/25)*CL189+(1-EXP(-LN(2)/25))/(LN(2)/25)*Calculateur!CG190*Calculateur!CI190*VLOOKUP('Données projet'!$B$12,Paramètres!$A$1:$I$89,3,0)*0.475*44/12</f>
        <v>8.5489116585457325E-2</v>
      </c>
      <c r="CM190" s="21">
        <f>EXP(-LN(2)/2)*CM189+(1-EXP(-LN(2)/2))/(LN(2)/2)*CG190*CJ190*VLOOKUP('Données projet'!$B$12,Paramètres!$A$1:$I$89,3,0)*0.475*44/12</f>
        <v>1.8536420373125499E-23</v>
      </c>
      <c r="CN190" s="22">
        <f t="shared" si="172"/>
        <v>0.41929829590359735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319.22903094674564</v>
      </c>
      <c r="T191" s="59">
        <f t="shared" si="142"/>
        <v>254.58690973142848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475.01366239340246</v>
      </c>
      <c r="AO191" s="59">
        <f t="shared" si="144"/>
        <v>322.81767004794284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0.38046143739118427</v>
      </c>
      <c r="AV191" s="21">
        <f>EXP(-LN(2)/25)*AV190+(1-EXP(-LN(2)/25))/(LN(2)/25)*Calculateur!AQ191*Calculateur!AS191*VLOOKUP('Données projet'!$B$10,Paramètres!$A$1:$I$89,3,0)*0.475*44/12</f>
        <v>0.13944677042669287</v>
      </c>
      <c r="AW191" s="21">
        <f>EXP(-LN(2)/2)*AW190+(1-EXP(-LN(2)/2))/(LN(2)/2)*AQ191*AT191*VLOOKUP('Données projet'!$B$10,Paramètres!$A$1:$I$89,3,0)*0.475*44/12</f>
        <v>1.6797569496576817E-23</v>
      </c>
      <c r="AX191" s="21">
        <f t="shared" si="166"/>
        <v>0.51990820781787717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449.84356201138451</v>
      </c>
      <c r="BJ191" s="59">
        <f t="shared" si="146"/>
        <v>306.61893266146666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0.3584057018902464</v>
      </c>
      <c r="BQ191" s="21">
        <f>EXP(-LN(2)/25)*BQ190+(1-EXP(-LN(2)/25))/(LN(2)/25)*Calculateur!BL191*Calculateur!BN191*VLOOKUP('Données projet'!$B$11,Paramètres!$A$1:$I$89,3,0)*0.475*44/12</f>
        <v>0.13136289967731971</v>
      </c>
      <c r="BR191" s="21">
        <f>EXP(-LN(2)/2)*BR190+(1-EXP(-LN(2)/2))/(LN(2)/2)*BL191*BO191*VLOOKUP('Données projet'!$B$11,Paramètres!$A$1:$I$89,3,0)*0.475*44/12</f>
        <v>1.5823797351847722E-23</v>
      </c>
      <c r="BS191" s="22">
        <f t="shared" si="169"/>
        <v>0.48976860156756608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370.12772664814923</v>
      </c>
      <c r="CE191" s="59">
        <f t="shared" si="148"/>
        <v>292.26503163353146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0.32726338491520651</v>
      </c>
      <c r="CL191" s="21">
        <f>EXP(-LN(2)/25)*CL190+(1-EXP(-LN(2)/25))/(LN(2)/25)*Calculateur!CG191*Calculateur!CI191*VLOOKUP('Données projet'!$B$12,Paramètres!$A$1:$I$89,3,0)*0.475*44/12</f>
        <v>8.3151412196750735E-2</v>
      </c>
      <c r="CM191" s="21">
        <f>EXP(-LN(2)/2)*CM190+(1-EXP(-LN(2)/2))/(LN(2)/2)*CG191*CJ191*VLOOKUP('Données projet'!$B$12,Paramètres!$A$1:$I$89,3,0)*0.475*44/12</f>
        <v>1.3107228544761515E-23</v>
      </c>
      <c r="CN191" s="22">
        <f t="shared" si="172"/>
        <v>0.41041479711195727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319.22903094674564</v>
      </c>
      <c r="T192" s="59">
        <f t="shared" si="142"/>
        <v>254.58690973142848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475.01366239340246</v>
      </c>
      <c r="AO192" s="59">
        <f t="shared" si="144"/>
        <v>322.81767004794284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0.37300082066250606</v>
      </c>
      <c r="AV192" s="21">
        <f>EXP(-LN(2)/25)*AV191+(1-EXP(-LN(2)/25))/(LN(2)/25)*Calculateur!AQ192*Calculateur!AS192*VLOOKUP('Données projet'!$B$10,Paramètres!$A$1:$I$89,3,0)*0.475*44/12</f>
        <v>0.135633591156188</v>
      </c>
      <c r="AW192" s="21">
        <f>EXP(-LN(2)/2)*AW191+(1-EXP(-LN(2)/2))/(LN(2)/2)*AQ192*AT192*VLOOKUP('Données projet'!$B$10,Paramètres!$A$1:$I$89,3,0)*0.475*44/12</f>
        <v>1.1877675298481769E-23</v>
      </c>
      <c r="AX192" s="21">
        <f t="shared" si="166"/>
        <v>0.50863441181869407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449.84356201138451</v>
      </c>
      <c r="BJ192" s="59">
        <f t="shared" si="146"/>
        <v>306.61893266146666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0.35137758468207125</v>
      </c>
      <c r="BQ192" s="21">
        <f>EXP(-LN(2)/25)*BQ191+(1-EXP(-LN(2)/25))/(LN(2)/25)*Calculateur!BL192*Calculateur!BN192*VLOOKUP('Données projet'!$B$11,Paramètres!$A$1:$I$89,3,0)*0.475*44/12</f>
        <v>0.12777077427756875</v>
      </c>
      <c r="BR192" s="21">
        <f>EXP(-LN(2)/2)*BR191+(1-EXP(-LN(2)/2))/(LN(2)/2)*BL192*BO192*VLOOKUP('Données projet'!$B$11,Paramètres!$A$1:$I$89,3,0)*0.475*44/12</f>
        <v>1.1189114411613258E-23</v>
      </c>
      <c r="BS192" s="22">
        <f t="shared" si="169"/>
        <v>0.47914835895964003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370.12772664814923</v>
      </c>
      <c r="CE192" s="59">
        <f t="shared" si="148"/>
        <v>292.26503163353146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0.32084594954797419</v>
      </c>
      <c r="CL192" s="21">
        <f>EXP(-LN(2)/25)*CL191+(1-EXP(-LN(2)/25))/(LN(2)/25)*Calculateur!CG192*Calculateur!CI192*VLOOKUP('Données projet'!$B$12,Paramètres!$A$1:$I$89,3,0)*0.475*44/12</f>
        <v>8.0877632457487858E-2</v>
      </c>
      <c r="CM192" s="21">
        <f>EXP(-LN(2)/2)*CM191+(1-EXP(-LN(2)/2))/(LN(2)/2)*CG192*CJ192*VLOOKUP('Données projet'!$B$12,Paramètres!$A$1:$I$89,3,0)*0.475*44/12</f>
        <v>9.2682101865627508E-24</v>
      </c>
      <c r="CN192" s="22">
        <f t="shared" si="172"/>
        <v>0.40172358200546204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319.22903094674564</v>
      </c>
      <c r="T193" s="59">
        <f t="shared" si="142"/>
        <v>254.58690973142848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475.01366239340246</v>
      </c>
      <c r="AO193" s="59">
        <f t="shared" si="144"/>
        <v>322.81767004794284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0.36568650207735037</v>
      </c>
      <c r="AV193" s="21">
        <f>EXP(-LN(2)/25)*AV192+(1-EXP(-LN(2)/25))/(LN(2)/25)*Calculateur!AQ193*Calculateur!AS193*VLOOKUP('Données projet'!$B$10,Paramètres!$A$1:$I$89,3,0)*0.475*44/12</f>
        <v>0.13192468347336148</v>
      </c>
      <c r="AW193" s="21">
        <f>EXP(-LN(2)/2)*AW192+(1-EXP(-LN(2)/2))/(LN(2)/2)*AQ193*AT193*VLOOKUP('Données projet'!$B$10,Paramètres!$A$1:$I$89,3,0)*0.475*44/12</f>
        <v>8.3987847482884085E-24</v>
      </c>
      <c r="AX193" s="21">
        <f t="shared" si="166"/>
        <v>0.49761118555071182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449.84356201138451</v>
      </c>
      <c r="BJ193" s="59">
        <f t="shared" si="146"/>
        <v>306.61893266146666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0.34448728456562022</v>
      </c>
      <c r="BQ193" s="21">
        <f>EXP(-LN(2)/25)*BQ192+(1-EXP(-LN(2)/25))/(LN(2)/25)*Calculateur!BL193*Calculateur!BN193*VLOOKUP('Données projet'!$B$11,Paramètres!$A$1:$I$89,3,0)*0.475*44/12</f>
        <v>0.12427687573577563</v>
      </c>
      <c r="BR193" s="21">
        <f>EXP(-LN(2)/2)*BR192+(1-EXP(-LN(2)/2))/(LN(2)/2)*BL193*BO193*VLOOKUP('Données projet'!$B$11,Paramètres!$A$1:$I$89,3,0)*0.475*44/12</f>
        <v>7.9118986759238611E-24</v>
      </c>
      <c r="BS193" s="22">
        <f t="shared" si="169"/>
        <v>0.46876416030139584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370.12772664814923</v>
      </c>
      <c r="CE193" s="59">
        <f t="shared" si="148"/>
        <v>292.26503163353146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0.3145543561740442</v>
      </c>
      <c r="CL193" s="21">
        <f>EXP(-LN(2)/25)*CL192+(1-EXP(-LN(2)/25))/(LN(2)/25)*Calculateur!CG193*Calculateur!CI193*VLOOKUP('Données projet'!$B$12,Paramètres!$A$1:$I$89,3,0)*0.475*44/12</f>
        <v>7.8666029344768004E-2</v>
      </c>
      <c r="CM193" s="21">
        <f>EXP(-LN(2)/2)*CM192+(1-EXP(-LN(2)/2))/(LN(2)/2)*CG193*CJ193*VLOOKUP('Données projet'!$B$12,Paramètres!$A$1:$I$89,3,0)*0.475*44/12</f>
        <v>6.553614272380758E-24</v>
      </c>
      <c r="CN193" s="22">
        <f t="shared" si="172"/>
        <v>0.39322038551881222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319.22903094674564</v>
      </c>
      <c r="T194" s="59">
        <f t="shared" si="142"/>
        <v>254.58690973142848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475.01366239340246</v>
      </c>
      <c r="AO194" s="59">
        <f t="shared" si="144"/>
        <v>322.81767004794284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0.35851561281835576</v>
      </c>
      <c r="AV194" s="21">
        <f>EXP(-LN(2)/25)*AV193+(1-EXP(-LN(2)/25))/(LN(2)/25)*Calculateur!AQ194*Calculateur!AS194*VLOOKUP('Données projet'!$B$10,Paramètres!$A$1:$I$89,3,0)*0.475*44/12</f>
        <v>0.12831719606616482</v>
      </c>
      <c r="AW194" s="21">
        <f>EXP(-LN(2)/2)*AW193+(1-EXP(-LN(2)/2))/(LN(2)/2)*AQ194*AT194*VLOOKUP('Données projet'!$B$10,Paramètres!$A$1:$I$89,3,0)*0.475*44/12</f>
        <v>5.9388376492408843E-24</v>
      </c>
      <c r="AX194" s="21">
        <f t="shared" si="166"/>
        <v>0.48683280888452057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449.84356201138451</v>
      </c>
      <c r="BJ194" s="59">
        <f t="shared" si="146"/>
        <v>306.61893266146666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0.33773209903178469</v>
      </c>
      <c r="BQ194" s="21">
        <f>EXP(-LN(2)/25)*BQ193+(1-EXP(-LN(2)/25))/(LN(2)/25)*Calculateur!BL194*Calculateur!BN194*VLOOKUP('Données projet'!$B$11,Paramètres!$A$1:$I$89,3,0)*0.475*44/12</f>
        <v>0.12087851803334398</v>
      </c>
      <c r="BR194" s="21">
        <f>EXP(-LN(2)/2)*BR193+(1-EXP(-LN(2)/2))/(LN(2)/2)*BL194*BO194*VLOOKUP('Données projet'!$B$11,Paramètres!$A$1:$I$89,3,0)*0.475*44/12</f>
        <v>5.5945572058066288E-24</v>
      </c>
      <c r="BS194" s="22">
        <f t="shared" si="169"/>
        <v>0.45861061706512868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370.12772664814923</v>
      </c>
      <c r="CE194" s="59">
        <f t="shared" si="148"/>
        <v>292.26503163353146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0.30838613710868396</v>
      </c>
      <c r="CL194" s="21">
        <f>EXP(-LN(2)/25)*CL193+(1-EXP(-LN(2)/25))/(LN(2)/25)*Calculateur!CG194*Calculateur!CI194*VLOOKUP('Données projet'!$B$12,Paramètres!$A$1:$I$89,3,0)*0.475*44/12</f>
        <v>7.6514902635468632E-2</v>
      </c>
      <c r="CM194" s="21">
        <f>EXP(-LN(2)/2)*CM193+(1-EXP(-LN(2)/2))/(LN(2)/2)*CG194*CJ194*VLOOKUP('Données projet'!$B$12,Paramètres!$A$1:$I$89,3,0)*0.475*44/12</f>
        <v>4.6341050932813761E-24</v>
      </c>
      <c r="CN194" s="22">
        <f t="shared" si="172"/>
        <v>0.38490103974415257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319.22903094674564</v>
      </c>
      <c r="T195" s="59">
        <f t="shared" si="142"/>
        <v>254.58690973142848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475.01366239340246</v>
      </c>
      <c r="AO195" s="59">
        <f t="shared" si="144"/>
        <v>322.81767004794284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0.35148534032391948</v>
      </c>
      <c r="AV195" s="21">
        <f>EXP(-LN(2)/25)*AV194+(1-EXP(-LN(2)/25))/(LN(2)/25)*Calculateur!AQ195*Calculateur!AS195*VLOOKUP('Données projet'!$B$10,Paramètres!$A$1:$I$89,3,0)*0.475*44/12</f>
        <v>0.12480835559182747</v>
      </c>
      <c r="AW195" s="21">
        <f>EXP(-LN(2)/2)*AW194+(1-EXP(-LN(2)/2))/(LN(2)/2)*AQ195*AT195*VLOOKUP('Données projet'!$B$10,Paramètres!$A$1:$I$89,3,0)*0.475*44/12</f>
        <v>4.1993923741442042E-24</v>
      </c>
      <c r="AX195" s="21">
        <f t="shared" si="166"/>
        <v>0.47629369591574694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449.84356201138451</v>
      </c>
      <c r="BJ195" s="59">
        <f t="shared" si="146"/>
        <v>306.61893266146666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0.33110937856601136</v>
      </c>
      <c r="BQ195" s="21">
        <f>EXP(-LN(2)/25)*BQ194+(1-EXP(-LN(2)/25))/(LN(2)/25)*Calculateur!BL195*Calculateur!BN195*VLOOKUP('Données projet'!$B$11,Paramètres!$A$1:$I$89,3,0)*0.475*44/12</f>
        <v>0.1175730886009972</v>
      </c>
      <c r="BR195" s="21">
        <f>EXP(-LN(2)/2)*BR194+(1-EXP(-LN(2)/2))/(LN(2)/2)*BL195*BO195*VLOOKUP('Données projet'!$B$11,Paramètres!$A$1:$I$89,3,0)*0.475*44/12</f>
        <v>3.9559493379619305E-24</v>
      </c>
      <c r="BS195" s="22">
        <f t="shared" si="169"/>
        <v>0.44868246716700855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370.12772664814923</v>
      </c>
      <c r="CE195" s="59">
        <f t="shared" si="148"/>
        <v>292.26503163353146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0.30233887305695328</v>
      </c>
      <c r="CL195" s="21">
        <f>EXP(-LN(2)/25)*CL194+(1-EXP(-LN(2)/25))/(LN(2)/25)*Calculateur!CG195*Calculateur!CI195*VLOOKUP('Données projet'!$B$12,Paramètres!$A$1:$I$89,3,0)*0.475*44/12</f>
        <v>7.4422598599157896E-2</v>
      </c>
      <c r="CM195" s="21">
        <f>EXP(-LN(2)/2)*CM194+(1-EXP(-LN(2)/2))/(LN(2)/2)*CG195*CJ195*VLOOKUP('Données projet'!$B$12,Paramètres!$A$1:$I$89,3,0)*0.475*44/12</f>
        <v>3.2768071361903797E-24</v>
      </c>
      <c r="CN195" s="22">
        <f t="shared" si="172"/>
        <v>0.37676147165611118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319.22903094674564</v>
      </c>
      <c r="T196" s="59">
        <f t="shared" si="142"/>
        <v>254.58690973142848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475.01366239340246</v>
      </c>
      <c r="AO196" s="59">
        <f t="shared" si="144"/>
        <v>322.81767004794284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0.34459292718505624</v>
      </c>
      <c r="AV196" s="21">
        <f>EXP(-LN(2)/25)*AV195+(1-EXP(-LN(2)/25))/(LN(2)/25)*Calculateur!AQ196*Calculateur!AS196*VLOOKUP('Données projet'!$B$10,Paramètres!$A$1:$I$89,3,0)*0.475*44/12</f>
        <v>0.12139546454478278</v>
      </c>
      <c r="AW196" s="21">
        <f>EXP(-LN(2)/2)*AW195+(1-EXP(-LN(2)/2))/(LN(2)/2)*AQ196*AT196*VLOOKUP('Données projet'!$B$10,Paramètres!$A$1:$I$89,3,0)*0.475*44/12</f>
        <v>2.9694188246204422E-24</v>
      </c>
      <c r="AX196" s="21">
        <f t="shared" si="166"/>
        <v>0.46598839172983902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449.84356201138451</v>
      </c>
      <c r="BJ196" s="59">
        <f t="shared" si="146"/>
        <v>306.61893266146666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0.32461652560911125</v>
      </c>
      <c r="BQ196" s="21">
        <f>EXP(-LN(2)/25)*BQ195+(1-EXP(-LN(2)/25))/(LN(2)/25)*Calculateur!BL196*Calculateur!BN196*VLOOKUP('Données projet'!$B$11,Paramètres!$A$1:$I$89,3,0)*0.475*44/12</f>
        <v>0.11435804631030293</v>
      </c>
      <c r="BR196" s="21">
        <f>EXP(-LN(2)/2)*BR195+(1-EXP(-LN(2)/2))/(LN(2)/2)*BL196*BO196*VLOOKUP('Données projet'!$B$11,Paramètres!$A$1:$I$89,3,0)*0.475*44/12</f>
        <v>2.7972786029033144E-24</v>
      </c>
      <c r="BS196" s="22">
        <f t="shared" si="169"/>
        <v>0.43897457191941419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370.12772664814923</v>
      </c>
      <c r="CE196" s="59">
        <f t="shared" si="148"/>
        <v>292.26503163353146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0.29641019216481018</v>
      </c>
      <c r="CL196" s="21">
        <f>EXP(-LN(2)/25)*CL195+(1-EXP(-LN(2)/25))/(LN(2)/25)*Calculateur!CG196*Calculateur!CI196*VLOOKUP('Données projet'!$B$12,Paramètres!$A$1:$I$89,3,0)*0.475*44/12</f>
        <v>7.2387508726749553E-2</v>
      </c>
      <c r="CM196" s="21">
        <f>EXP(-LN(2)/2)*CM195+(1-EXP(-LN(2)/2))/(LN(2)/2)*CG196*CJ196*VLOOKUP('Données projet'!$B$12,Paramètres!$A$1:$I$89,3,0)*0.475*44/12</f>
        <v>2.3170525466406884E-24</v>
      </c>
      <c r="CN196" s="22">
        <f t="shared" si="172"/>
        <v>0.36879770089155972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319.22903094674564</v>
      </c>
      <c r="T197" s="59">
        <f t="shared" ref="T197:T203" si="204">$T$3</f>
        <v>254.58690973142848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475.01366239340246</v>
      </c>
      <c r="AO197" s="59">
        <f t="shared" ref="AO197:AO203" si="205">$AO$3</f>
        <v>322.81767004794284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0.3378356700638892</v>
      </c>
      <c r="AV197" s="21">
        <f>EXP(-LN(2)/25)*AV196+(1-EXP(-LN(2)/25))/(LN(2)/25)*Calculateur!AQ197*Calculateur!AS197*VLOOKUP('Données projet'!$B$10,Paramètres!$A$1:$I$89,3,0)*0.475*44/12</f>
        <v>0.11807589918289567</v>
      </c>
      <c r="AW197" s="21">
        <f>EXP(-LN(2)/2)*AW196+(1-EXP(-LN(2)/2))/(LN(2)/2)*AQ197*AT197*VLOOKUP('Données projet'!$B$10,Paramètres!$A$1:$I$89,3,0)*0.475*44/12</f>
        <v>2.0996961870721021E-24</v>
      </c>
      <c r="AX197" s="21">
        <f t="shared" si="166"/>
        <v>0.45591156924678489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449.84356201138451</v>
      </c>
      <c r="BJ197" s="59">
        <f t="shared" ref="BJ197:BJ203" si="206">$BJ$3</f>
        <v>306.61893266146666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0.31825099353844666</v>
      </c>
      <c r="BQ197" s="21">
        <f>EXP(-LN(2)/25)*BQ196+(1-EXP(-LN(2)/25))/(LN(2)/25)*Calculateur!BL197*Calculateur!BN197*VLOOKUP('Données projet'!$B$11,Paramètres!$A$1:$I$89,3,0)*0.475*44/12</f>
        <v>0.1112309195201194</v>
      </c>
      <c r="BR197" s="21">
        <f>EXP(-LN(2)/2)*BR196+(1-EXP(-LN(2)/2))/(LN(2)/2)*BL197*BO197*VLOOKUP('Données projet'!$B$11,Paramètres!$A$1:$I$89,3,0)*0.475*44/12</f>
        <v>1.9779746689809653E-24</v>
      </c>
      <c r="BS197" s="22">
        <f t="shared" si="169"/>
        <v>0.42948191305856609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370.12772664814923</v>
      </c>
      <c r="CE197" s="59">
        <f t="shared" ref="CE197:CE203" si="207">$CE$3</f>
        <v>292.26503163353146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0.29059776908882373</v>
      </c>
      <c r="CL197" s="21">
        <f>EXP(-LN(2)/25)*CL196+(1-EXP(-LN(2)/25))/(LN(2)/25)*Calculateur!CG197*Calculateur!CI197*VLOOKUP('Données projet'!$B$12,Paramètres!$A$1:$I$89,3,0)*0.475*44/12</f>
        <v>7.0408068493922948E-2</v>
      </c>
      <c r="CM197" s="21">
        <f>EXP(-LN(2)/2)*CM196+(1-EXP(-LN(2)/2))/(LN(2)/2)*CG197*CJ197*VLOOKUP('Données projet'!$B$12,Paramètres!$A$1:$I$89,3,0)*0.475*44/12</f>
        <v>1.6384035680951901E-24</v>
      </c>
      <c r="CN197" s="22">
        <f t="shared" si="172"/>
        <v>0.36100583758274668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319.22903094674564</v>
      </c>
      <c r="T198" s="59">
        <f t="shared" si="204"/>
        <v>254.58690973142848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475.01366239340246</v>
      </c>
      <c r="AO198" s="59">
        <f t="shared" si="205"/>
        <v>322.81767004794284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0.33121091863334839</v>
      </c>
      <c r="AV198" s="21">
        <f>EXP(-LN(2)/25)*AV197+(1-EXP(-LN(2)/25))/(LN(2)/25)*Calculateur!AQ198*Calculateur!AS198*VLOOKUP('Données projet'!$B$10,Paramètres!$A$1:$I$89,3,0)*0.475*44/12</f>
        <v>0.11484710751039771</v>
      </c>
      <c r="AW198" s="21">
        <f>EXP(-LN(2)/2)*AW197+(1-EXP(-LN(2)/2))/(LN(2)/2)*AQ198*AT198*VLOOKUP('Données projet'!$B$10,Paramètres!$A$1:$I$89,3,0)*0.475*44/12</f>
        <v>1.4847094123102211E-24</v>
      </c>
      <c r="AX198" s="21">
        <f t="shared" si="166"/>
        <v>0.44605802614374612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449.84356201138451</v>
      </c>
      <c r="BJ198" s="59">
        <f t="shared" si="206"/>
        <v>306.61893266146666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0.31201028566909661</v>
      </c>
      <c r="BQ198" s="21">
        <f>EXP(-LN(2)/25)*BQ197+(1-EXP(-LN(2)/25))/(LN(2)/25)*Calculateur!BL198*Calculateur!BN198*VLOOKUP('Données projet'!$B$11,Paramètres!$A$1:$I$89,3,0)*0.475*44/12</f>
        <v>0.1081893041764619</v>
      </c>
      <c r="BR198" s="21">
        <f>EXP(-LN(2)/2)*BR197+(1-EXP(-LN(2)/2))/(LN(2)/2)*BL198*BO198*VLOOKUP('Données projet'!$B$11,Paramètres!$A$1:$I$89,3,0)*0.475*44/12</f>
        <v>1.3986393014516572E-24</v>
      </c>
      <c r="BS198" s="22">
        <f t="shared" si="169"/>
        <v>0.4201995898455585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370.12772664814923</v>
      </c>
      <c r="CE198" s="59">
        <f t="shared" si="207"/>
        <v>292.26503163353146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0.28489932408412932</v>
      </c>
      <c r="CL198" s="21">
        <f>EXP(-LN(2)/25)*CL197+(1-EXP(-LN(2)/25))/(LN(2)/25)*Calculateur!CG198*Calculateur!CI198*VLOOKUP('Données projet'!$B$12,Paramètres!$A$1:$I$89,3,0)*0.475*44/12</f>
        <v>6.8482756158357222E-2</v>
      </c>
      <c r="CM198" s="21">
        <f>EXP(-LN(2)/2)*CM197+(1-EXP(-LN(2)/2))/(LN(2)/2)*CG198*CJ198*VLOOKUP('Données projet'!$B$12,Paramètres!$A$1:$I$89,3,0)*0.475*44/12</f>
        <v>1.1585262733203444E-24</v>
      </c>
      <c r="CN198" s="22">
        <f t="shared" si="172"/>
        <v>0.35338208024248652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319.22903094674564</v>
      </c>
      <c r="T199" s="59">
        <f t="shared" si="204"/>
        <v>254.58690973142848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475.01366239340246</v>
      </c>
      <c r="AO199" s="59">
        <f t="shared" si="205"/>
        <v>322.81767004794284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0.3247160745376611</v>
      </c>
      <c r="AV199" s="21">
        <f>EXP(-LN(2)/25)*AV198+(1-EXP(-LN(2)/25))/(LN(2)/25)*Calculateur!AQ199*Calculateur!AS199*VLOOKUP('Données projet'!$B$10,Paramètres!$A$1:$I$89,3,0)*0.475*44/12</f>
        <v>0.11170660731597899</v>
      </c>
      <c r="AW199" s="21">
        <f>EXP(-LN(2)/2)*AW198+(1-EXP(-LN(2)/2))/(LN(2)/2)*AQ199*AT199*VLOOKUP('Données projet'!$B$10,Paramètres!$A$1:$I$89,3,0)*0.475*44/12</f>
        <v>1.0498480935360511E-24</v>
      </c>
      <c r="AX199" s="21">
        <f t="shared" si="166"/>
        <v>0.43642268185364008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449.84356201138451</v>
      </c>
      <c r="BJ199" s="59">
        <f t="shared" si="206"/>
        <v>306.61893266146666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0.30589195427460858</v>
      </c>
      <c r="BQ199" s="21">
        <f>EXP(-LN(2)/25)*BQ198+(1-EXP(-LN(2)/25))/(LN(2)/25)*Calculateur!BL199*Calculateur!BN199*VLOOKUP('Données projet'!$B$11,Paramètres!$A$1:$I$89,3,0)*0.475*44/12</f>
        <v>0.10523086196432831</v>
      </c>
      <c r="BR199" s="21">
        <f>EXP(-LN(2)/2)*BR198+(1-EXP(-LN(2)/2))/(LN(2)/2)*BL199*BO199*VLOOKUP('Données projet'!$B$11,Paramètres!$A$1:$I$89,3,0)*0.475*44/12</f>
        <v>9.8898733449048264E-25</v>
      </c>
      <c r="BS199" s="22">
        <f t="shared" si="169"/>
        <v>0.41112281623893687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370.12772664814923</v>
      </c>
      <c r="CE199" s="59">
        <f t="shared" si="207"/>
        <v>292.26503163353146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0.27931262211026875</v>
      </c>
      <c r="CL199" s="21">
        <f>EXP(-LN(2)/25)*CL198+(1-EXP(-LN(2)/25))/(LN(2)/25)*Calculateur!CG199*Calculateur!CI199*VLOOKUP('Données projet'!$B$12,Paramètres!$A$1:$I$89,3,0)*0.475*44/12</f>
        <v>6.6610091589855314E-2</v>
      </c>
      <c r="CM199" s="21">
        <f>EXP(-LN(2)/2)*CM198+(1-EXP(-LN(2)/2))/(LN(2)/2)*CG199*CJ199*VLOOKUP('Données projet'!$B$12,Paramètres!$A$1:$I$89,3,0)*0.475*44/12</f>
        <v>8.1920178404759521E-25</v>
      </c>
      <c r="CN199" s="22">
        <f t="shared" si="172"/>
        <v>0.34592271370012406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319.22903094674564</v>
      </c>
      <c r="T200" s="59">
        <f t="shared" si="204"/>
        <v>254.58690973142848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475.01366239340246</v>
      </c>
      <c r="AO200" s="59">
        <f t="shared" si="205"/>
        <v>322.81767004794284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0.31834859037322649</v>
      </c>
      <c r="AV200" s="21">
        <f>EXP(-LN(2)/25)*AV199+(1-EXP(-LN(2)/25))/(LN(2)/25)*Calculateur!AQ200*Calculateur!AS200*VLOOKUP('Données projet'!$B$10,Paramètres!$A$1:$I$89,3,0)*0.475*44/12</f>
        <v>0.10865198426452838</v>
      </c>
      <c r="AW200" s="21">
        <f>EXP(-LN(2)/2)*AW199+(1-EXP(-LN(2)/2))/(LN(2)/2)*AQ200*AT200*VLOOKUP('Données projet'!$B$10,Paramètres!$A$1:$I$89,3,0)*0.475*44/12</f>
        <v>7.4235470615511054E-25</v>
      </c>
      <c r="AX200" s="21">
        <f t="shared" si="166"/>
        <v>0.42700057463775487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449.84356201138451</v>
      </c>
      <c r="BJ200" s="59">
        <f t="shared" si="206"/>
        <v>306.61893266146666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0.29989359962695278</v>
      </c>
      <c r="BQ200" s="21">
        <f>EXP(-LN(2)/25)*BQ199+(1-EXP(-LN(2)/25))/(LN(2)/25)*Calculateur!BL200*Calculateur!BN200*VLOOKUP('Données projet'!$B$11,Paramètres!$A$1:$I$89,3,0)*0.475*44/12</f>
        <v>0.10235331851006323</v>
      </c>
      <c r="BR200" s="21">
        <f>EXP(-LN(2)/2)*BR199+(1-EXP(-LN(2)/2))/(LN(2)/2)*BL200*BO200*VLOOKUP('Données projet'!$B$11,Paramètres!$A$1:$I$89,3,0)*0.475*44/12</f>
        <v>6.993196507258286E-25</v>
      </c>
      <c r="BS200" s="22">
        <f t="shared" si="169"/>
        <v>0.40224691813701602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370.12772664814923</v>
      </c>
      <c r="CE200" s="59">
        <f t="shared" si="207"/>
        <v>292.26503163353146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0.27383547195456381</v>
      </c>
      <c r="CL200" s="21">
        <f>EXP(-LN(2)/25)*CL199+(1-EXP(-LN(2)/25))/(LN(2)/25)*Calculateur!CG200*Calculateur!CI200*VLOOKUP('Données projet'!$B$12,Paramètres!$A$1:$I$89,3,0)*0.475*44/12</f>
        <v>6.4788635132458236E-2</v>
      </c>
      <c r="CM200" s="21">
        <f>EXP(-LN(2)/2)*CM199+(1-EXP(-LN(2)/2))/(LN(2)/2)*CG200*CJ200*VLOOKUP('Données projet'!$B$12,Paramètres!$A$1:$I$89,3,0)*0.475*44/12</f>
        <v>5.7926313666017229E-25</v>
      </c>
      <c r="CN200" s="22">
        <f t="shared" si="172"/>
        <v>0.33862410708702206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319.22903094674564</v>
      </c>
      <c r="T201" s="59">
        <f t="shared" si="204"/>
        <v>254.58690973142848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475.01366239340246</v>
      </c>
      <c r="AO201" s="59">
        <f t="shared" si="205"/>
        <v>322.81767004794284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0.3121059686894746</v>
      </c>
      <c r="AV201" s="21">
        <f>EXP(-LN(2)/25)*AV200+(1-EXP(-LN(2)/25))/(LN(2)/25)*Calculateur!AQ201*Calculateur!AS201*VLOOKUP('Données projet'!$B$10,Paramètres!$A$1:$I$89,3,0)*0.475*44/12</f>
        <v>0.10568089004105533</v>
      </c>
      <c r="AW201" s="21">
        <f>EXP(-LN(2)/2)*AW200+(1-EXP(-LN(2)/2))/(LN(2)/2)*AQ201*AT201*VLOOKUP('Données projet'!$B$10,Paramètres!$A$1:$I$89,3,0)*0.475*44/12</f>
        <v>5.2492404676802553E-25</v>
      </c>
      <c r="AX201" s="21">
        <f t="shared" si="166"/>
        <v>0.4177868587305299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449.84356201138451</v>
      </c>
      <c r="BJ201" s="59">
        <f t="shared" si="206"/>
        <v>306.61893266146666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0.29401286905530244</v>
      </c>
      <c r="BQ201" s="21">
        <f>EXP(-LN(2)/25)*BQ200+(1-EXP(-LN(2)/25))/(LN(2)/25)*Calculateur!BL201*Calculateur!BN201*VLOOKUP('Données projet'!$B$11,Paramètres!$A$1:$I$89,3,0)*0.475*44/12</f>
        <v>9.9554461632878455E-2</v>
      </c>
      <c r="BR201" s="21">
        <f>EXP(-LN(2)/2)*BR200+(1-EXP(-LN(2)/2))/(LN(2)/2)*BL201*BO201*VLOOKUP('Données projet'!$B$11,Paramètres!$A$1:$I$89,3,0)*0.475*44/12</f>
        <v>4.9449366724524132E-25</v>
      </c>
      <c r="BS201" s="22">
        <f t="shared" si="169"/>
        <v>0.39356733068818089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370.12772664814923</v>
      </c>
      <c r="CE201" s="59">
        <f t="shared" si="207"/>
        <v>292.26503163353146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0.26846572537268054</v>
      </c>
      <c r="CL201" s="21">
        <f>EXP(-LN(2)/25)*CL200+(1-EXP(-LN(2)/25))/(LN(2)/25)*Calculateur!CG201*Calculateur!CI201*VLOOKUP('Données projet'!$B$12,Paramètres!$A$1:$I$89,3,0)*0.475*44/12</f>
        <v>6.3016986497674926E-2</v>
      </c>
      <c r="CM201" s="21">
        <f>EXP(-LN(2)/2)*CM200+(1-EXP(-LN(2)/2))/(LN(2)/2)*CG201*CJ201*VLOOKUP('Données projet'!$B$12,Paramètres!$A$1:$I$89,3,0)*0.475*44/12</f>
        <v>4.0960089202379765E-25</v>
      </c>
      <c r="CN201" s="22">
        <f t="shared" si="172"/>
        <v>0.3314827118703555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319.22903094674564</v>
      </c>
      <c r="T202" s="59">
        <f t="shared" si="204"/>
        <v>254.58690973142848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475.01366239340246</v>
      </c>
      <c r="AO202" s="59">
        <f t="shared" si="205"/>
        <v>322.81767004794284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0.30598576100931785</v>
      </c>
      <c r="AV202" s="21">
        <f>EXP(-LN(2)/25)*AV201+(1-EXP(-LN(2)/25))/(LN(2)/25)*Calculateur!AQ202*Calculateur!AS202*VLOOKUP('Données projet'!$B$10,Paramètres!$A$1:$I$89,3,0)*0.475*44/12</f>
        <v>0.1027910405453662</v>
      </c>
      <c r="AW202" s="21">
        <f>EXP(-LN(2)/2)*AW201+(1-EXP(-LN(2)/2))/(LN(2)/2)*AQ202*AT202*VLOOKUP('Données projet'!$B$10,Paramètres!$A$1:$I$89,3,0)*0.475*44/12</f>
        <v>3.7117735307755527E-25</v>
      </c>
      <c r="AX202" s="21">
        <f t="shared" si="166"/>
        <v>0.40877680155468404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449.84356201138451</v>
      </c>
      <c r="BJ202" s="59">
        <f t="shared" si="206"/>
        <v>306.61893266146666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0.28824745602327068</v>
      </c>
      <c r="BQ202" s="21">
        <f>EXP(-LN(2)/25)*BQ201+(1-EXP(-LN(2)/25))/(LN(2)/25)*Calculateur!BL202*Calculateur!BN202*VLOOKUP('Données projet'!$B$11,Paramètres!$A$1:$I$89,3,0)*0.475*44/12</f>
        <v>9.6832139644185786E-2</v>
      </c>
      <c r="BR202" s="21">
        <f>EXP(-LN(2)/2)*BR201+(1-EXP(-LN(2)/2))/(LN(2)/2)*BL202*BO202*VLOOKUP('Données projet'!$B$11,Paramètres!$A$1:$I$89,3,0)*0.475*44/12</f>
        <v>3.496598253629143E-25</v>
      </c>
      <c r="BS202" s="22">
        <f t="shared" si="169"/>
        <v>0.38507959566745648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370.12772664814923</v>
      </c>
      <c r="CE202" s="59">
        <f t="shared" si="207"/>
        <v>292.26503163353146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0.263201276246046</v>
      </c>
      <c r="CL202" s="21">
        <f>EXP(-LN(2)/25)*CL201+(1-EXP(-LN(2)/25))/(LN(2)/25)*Calculateur!CG202*Calculateur!CI202*VLOOKUP('Données projet'!$B$12,Paramètres!$A$1:$I$89,3,0)*0.475*44/12</f>
        <v>6.1293783687976715E-2</v>
      </c>
      <c r="CM202" s="21">
        <f>EXP(-LN(2)/2)*CM201+(1-EXP(-LN(2)/2))/(LN(2)/2)*CG202*CJ202*VLOOKUP('Données projet'!$B$12,Paramètres!$A$1:$I$89,3,0)*0.475*44/12</f>
        <v>2.8963156833008619E-25</v>
      </c>
      <c r="CN202" s="22">
        <f t="shared" si="172"/>
        <v>0.32449505993402272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319.22903094674564</v>
      </c>
      <c r="T203" s="59">
        <f t="shared" si="204"/>
        <v>254.58690973142848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475.01366239340246</v>
      </c>
      <c r="AO203" s="59">
        <f t="shared" si="205"/>
        <v>322.81767004794284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0.29998556686881089</v>
      </c>
      <c r="AV203" s="21">
        <f>EXP(-LN(2)/25)*AV202+(1-EXP(-LN(2)/25))/(LN(2)/25)*Calculateur!AQ203*Calculateur!AS203*VLOOKUP('Données projet'!$B$10,Paramètres!$A$1:$I$89,3,0)*0.475*44/12</f>
        <v>9.9980214136107262E-2</v>
      </c>
      <c r="AW203" s="21">
        <f>EXP(-LN(2)/2)*AW202+(1-EXP(-LN(2)/2))/(LN(2)/2)*AQ203*AT203*VLOOKUP('Données projet'!$B$10,Paramètres!$A$1:$I$89,3,0)*0.475*44/12</f>
        <v>2.6246202338401276E-25</v>
      </c>
      <c r="AX203" s="21">
        <f t="shared" si="166"/>
        <v>0.39996578100491814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449.84356201138451</v>
      </c>
      <c r="BJ203" s="59">
        <f t="shared" si="206"/>
        <v>306.61893266146666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0.28259509922424236</v>
      </c>
      <c r="BQ203" s="21">
        <f>EXP(-LN(2)/25)*BQ202+(1-EXP(-LN(2)/25))/(LN(2)/25)*Calculateur!BL203*Calculateur!BN203*VLOOKUP('Données projet'!$B$11,Paramètres!$A$1:$I$89,3,0)*0.475*44/12</f>
        <v>9.4184259693434608E-2</v>
      </c>
      <c r="BR203" s="21">
        <f>EXP(-LN(2)/2)*BR202+(1-EXP(-LN(2)/2))/(LN(2)/2)*BL203*BO203*VLOOKUP('Données projet'!$B$11,Paramètres!$A$1:$I$89,3,0)*0.475*44/12</f>
        <v>2.4724683362262066E-25</v>
      </c>
      <c r="BS203" s="22">
        <f t="shared" si="169"/>
        <v>0.376779358917677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370.12772664814923</v>
      </c>
      <c r="CE203" s="59">
        <f t="shared" si="207"/>
        <v>292.26503163353146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0.25804005975578787</v>
      </c>
      <c r="CL203" s="21">
        <f>EXP(-LN(2)/25)*CL202+(1-EXP(-LN(2)/25))/(LN(2)/25)*Calculateur!CG203*Calculateur!CI203*VLOOKUP('Données projet'!$B$12,Paramètres!$A$1:$I$89,3,0)*0.475*44/12</f>
        <v>5.9617701949728999E-2</v>
      </c>
      <c r="CM203" s="21">
        <f>EXP(-LN(2)/2)*CM202+(1-EXP(-LN(2)/2))/(LN(2)/2)*CG203*CJ203*VLOOKUP('Données projet'!$B$12,Paramètres!$A$1:$I$89,3,0)*0.475*44/12</f>
        <v>2.0480044601189885E-25</v>
      </c>
      <c r="CN203" s="22">
        <f t="shared" si="172"/>
        <v>0.31765776170551685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1.2392705892426346</v>
      </c>
      <c r="BV205" s="82">
        <f>EXP(LN('Données projet'!B114)/'Données projet'!A114)</f>
        <v>1.244502252163008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1.8081</v>
      </c>
      <c r="C6" s="147">
        <f ca="1">IF(OR('Données projet'!B9="",'Données projet'!C9="",'Données projet'!C9=0%),0,Calculateur!S3)</f>
        <v>319.22903094674564</v>
      </c>
      <c r="D6" s="147">
        <f>IF(OR('Données projet'!B9="",'Données projet'!C9="",'Données projet'!C9=0%),0,Calculateur!T3)</f>
        <v>254.58690973142848</v>
      </c>
      <c r="E6" s="147">
        <f ca="1">MIN(C6,D6)</f>
        <v>254.58690973142848</v>
      </c>
      <c r="F6" s="147">
        <f ca="1">E6*B6</f>
        <v>460.31859148539581</v>
      </c>
      <c r="G6" s="147">
        <f ca="1">F6*(100%-'Données projet'!$C$24)*(100%-'Données projet'!$C$25)*(100%-'Données projet'!$C$26)*(100%-'Données projet'!$C$27)</f>
        <v>414.28673233685623</v>
      </c>
      <c r="H6" s="148">
        <f>IF(OR('Données projet'!B9="",'Données projet'!C9="",'Données projet'!C9=0%),0,AVERAGE(Calculateur!$AC$3:$AC$33)*B6)</f>
        <v>7.0757961427887714</v>
      </c>
      <c r="I6" s="149">
        <f>H6*(100%-'Données projet'!$C$24)*(100%-'Données projet'!$C$25)*(100%-'Données projet'!$C$26)*(100%-'Données projet'!$C$27)</f>
        <v>6.3682165285098948</v>
      </c>
      <c r="J6" s="150">
        <f>IF(OR('Données projet'!B9="",'Données projet'!C9="",'Données projet'!C9=0%),0,SUM(Calculateur!$V$3:$V$33)*VLOOKUP('Données projet'!$B$9,Paramètres!$A$1:$I$89,9,0)*B6)</f>
        <v>82.801939500000003</v>
      </c>
      <c r="K6" s="151">
        <f>J6*(100%-'Données projet'!$C$24)*(100%-'Données projet'!$C$25)*(100%-'Données projet'!$C$26)*(100%-'Données projet'!$C$27)</f>
        <v>74.521745550000006</v>
      </c>
      <c r="L6" s="152">
        <f ca="1">G6+I6+K6</f>
        <v>495.17669441536611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Cormier</v>
      </c>
      <c r="B7" s="154">
        <f>'Données projet'!D10</f>
        <v>0.37310000000000004</v>
      </c>
      <c r="C7" s="147">
        <f ca="1">IF(OR('Données projet'!B10="",'Données projet'!C10="",'Données projet'!C10=0%),0,Calculateur!AN3)</f>
        <v>475.01366239340246</v>
      </c>
      <c r="D7" s="147">
        <f>IF(OR('Données projet'!B10="",'Données projet'!C10="",'Données projet'!C10=0%),0,Calculateur!AO3)</f>
        <v>322.81767004794284</v>
      </c>
      <c r="E7" s="147">
        <f t="shared" ref="E7:E15" ca="1" si="0">MIN(C7,D7)</f>
        <v>322.81767004794284</v>
      </c>
      <c r="F7" s="147">
        <f t="shared" ref="F7:F15" ca="1" si="1">E7*B7</f>
        <v>120.44327269488748</v>
      </c>
      <c r="G7" s="147">
        <f ca="1">F7*(100%-'Données projet'!$C$24)*(100%-'Données projet'!$C$25)*(100%-'Données projet'!$C$26)*(100%-'Données projet'!$C$27)</f>
        <v>108.39894542539874</v>
      </c>
      <c r="H7" s="155">
        <f>IF(OR('Données projet'!B10="",'Données projet'!C10="",'Données projet'!C10=0%),0,AVERAGE(Calculateur!$AX$3:$AX$33)*B7)</f>
        <v>1.5018687178404111</v>
      </c>
      <c r="I7" s="149">
        <f>H7*(100%-'Données projet'!$C$24)*(100%-'Données projet'!$C$25)*(100%-'Données projet'!$C$26)*(100%-'Données projet'!$C$27)</f>
        <v>1.35168184605637</v>
      </c>
      <c r="J7" s="150">
        <f>IF(OR('Données projet'!B10="",'Données projet'!C10="",'Données projet'!C10=0%),0,SUM(Calculateur!$AQ$3:$AQ$33)*VLOOKUP('Données projet'!$B$10,Paramètres!$A$1:$I$89,9,0)*B7)</f>
        <v>5.7830500000000002</v>
      </c>
      <c r="K7" s="151">
        <f>J7*(100%-'Données projet'!$C$24)*(100%-'Données projet'!$C$25)*(100%-'Données projet'!$C$26)*(100%-'Données projet'!$C$27)</f>
        <v>5.204745</v>
      </c>
      <c r="L7" s="152">
        <f t="shared" ref="L7:L15" ca="1" si="2">G7+I7+K7</f>
        <v>114.9553722714551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pubescent</v>
      </c>
      <c r="B8" s="154">
        <f>'Données projet'!D11</f>
        <v>0.34439999999999998</v>
      </c>
      <c r="C8" s="147">
        <f ca="1">IF(OR('Données projet'!B11="",'Données projet'!C11="",'Données projet'!C11=0%),0,Calculateur!BI3)</f>
        <v>449.84356201138451</v>
      </c>
      <c r="D8" s="147">
        <f>IF(OR('Données projet'!B11="",'Données projet'!C11="",'Données projet'!C11=0%),0,Calculateur!BJ3)</f>
        <v>306.61893266146666</v>
      </c>
      <c r="E8" s="147">
        <f t="shared" ca="1" si="0"/>
        <v>306.61893266146666</v>
      </c>
      <c r="F8" s="147">
        <f t="shared" ca="1" si="1"/>
        <v>105.59956040860911</v>
      </c>
      <c r="G8" s="147">
        <f ca="1">F8*(100%-'Données projet'!$C$24)*(100%-'Données projet'!$C$25)*(100%-'Données projet'!$C$26)*(100%-'Données projet'!$C$27)</f>
        <v>95.039604367748197</v>
      </c>
      <c r="H8" s="155">
        <f>IF(OR('Données projet'!B11="",'Données projet'!C11="",'Données projet'!C11=0%),0,AVERAGE(Calculateur!$BS$3:$BS$33)*B8)</f>
        <v>1.3059727981220968</v>
      </c>
      <c r="I8" s="149">
        <f>H8*(100%-'Données projet'!$C$24)*(100%-'Données projet'!$C$25)*(100%-'Données projet'!$C$26)*(100%-'Données projet'!$C$27)</f>
        <v>1.1753755183098871</v>
      </c>
      <c r="J8" s="150">
        <f>IF(OR('Données projet'!B11="",'Données projet'!C11="",'Données projet'!C11=0%),0,SUM(Calculateur!$BL$3:$BL$33)*VLOOKUP('Données projet'!$B$11,Paramètres!$A$1:$I$89,9,0)*B8)</f>
        <v>5.3381999999999996</v>
      </c>
      <c r="K8" s="151">
        <f>J8*(100%-'Données projet'!$C$24)*(100%-'Données projet'!$C$25)*(100%-'Données projet'!$C$26)*(100%-'Données projet'!$C$27)</f>
        <v>4.8043800000000001</v>
      </c>
      <c r="L8" s="152">
        <f t="shared" ca="1" si="2"/>
        <v>101.01935988605808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Pin laricio</v>
      </c>
      <c r="B9" s="154">
        <f>'Données projet'!D12</f>
        <v>0.34439999999999998</v>
      </c>
      <c r="C9" s="147">
        <f ca="1">IF(OR('Données projet'!B12="",'Données projet'!C12="",'Données projet'!C12=0%),0,Calculateur!CD3)</f>
        <v>370.12772664814923</v>
      </c>
      <c r="D9" s="147">
        <f>IF(OR('Données projet'!B12="",'Données projet'!C12="",'Données projet'!C12=0%),0,Calculateur!CE3)</f>
        <v>292.26503163353146</v>
      </c>
      <c r="E9" s="147">
        <f t="shared" ca="1" si="0"/>
        <v>292.26503163353146</v>
      </c>
      <c r="F9" s="147">
        <f t="shared" ca="1" si="1"/>
        <v>100.65607689458822</v>
      </c>
      <c r="G9" s="147">
        <f ca="1">F9*(100%-'Données projet'!$C$24)*(100%-'Données projet'!$C$25)*(100%-'Données projet'!$C$26)*(100%-'Données projet'!$C$27)</f>
        <v>90.590469205129409</v>
      </c>
      <c r="H9" s="155">
        <f>IF(OR('Données projet'!B12="",'Données projet'!C12="",'Données projet'!C12=0%),0,AVERAGE(Calculateur!$CN$3:$CN$33)*B9)</f>
        <v>0.99506499096326739</v>
      </c>
      <c r="I9" s="149">
        <f>H9*(100%-'Données projet'!$C$24)*(100%-'Données projet'!$C$25)*(100%-'Données projet'!$C$26)*(100%-'Données projet'!$C$27)</f>
        <v>0.8955584918669407</v>
      </c>
      <c r="J9" s="150">
        <f>IF(OR('Données projet'!B12="",'Données projet'!C12="",'Données projet'!C12=0%),0,SUM(Calculateur!$CG$3:$CG$33)*VLOOKUP('Données projet'!$B$12,Paramètres!$A$1:$I$89,9,0)*B9)</f>
        <v>9.9221639999999987</v>
      </c>
      <c r="K9" s="151">
        <f>J9*(100%-'Données projet'!$C$24)*(100%-'Données projet'!$C$25)*(100%-'Données projet'!$C$26)*(100%-'Données projet'!$C$27)</f>
        <v>8.9299475999999984</v>
      </c>
      <c r="L9" s="152">
        <f t="shared" ca="1" si="2"/>
        <v>100.41597529699635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787.0175014834806</v>
      </c>
      <c r="G16" s="166">
        <f t="shared" ca="1" si="3"/>
        <v>708.31575133513252</v>
      </c>
      <c r="H16" s="167">
        <f t="shared" si="3"/>
        <v>10.878702649714548</v>
      </c>
      <c r="I16" s="167">
        <f t="shared" si="3"/>
        <v>9.7908323847430925</v>
      </c>
      <c r="J16" s="168">
        <f t="shared" si="3"/>
        <v>103.8453535</v>
      </c>
      <c r="K16" s="168">
        <f t="shared" si="3"/>
        <v>93.460818149999994</v>
      </c>
      <c r="L16" s="169">
        <f t="shared" ca="1" si="3"/>
        <v>811.56740186987554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Cormier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U39" sqref="U3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-1017.3565988394653</v>
      </c>
      <c r="U10" s="178">
        <f>'Données projet'!D9</f>
        <v>1.8081</v>
      </c>
      <c r="V10" s="177">
        <f>U10*T10</f>
        <v>-1839.4824663616373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Cormier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-4230.2070391502903</v>
      </c>
      <c r="U11" s="178">
        <f>'Données projet'!D10</f>
        <v>0.37310000000000004</v>
      </c>
      <c r="V11" s="177">
        <f t="shared" ref="V11" si="0">U11*T11</f>
        <v>-1578.2902463069736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-2437.0956454312127</v>
      </c>
      <c r="U12" s="178">
        <f>'Données projet'!D11</f>
        <v>0.34439999999999998</v>
      </c>
      <c r="V12" s="177">
        <f t="shared" ref="V12:V19" si="1">U12*T12</f>
        <v>-839.33574028650958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149.59588813288417</v>
      </c>
      <c r="U13" s="178">
        <f>'Données projet'!D12</f>
        <v>0.34439999999999998</v>
      </c>
      <c r="V13" s="177">
        <f t="shared" si="1"/>
        <v>51.520823872965309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1300*(1.26+0.75)</f>
        <v>2612.9999999999995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(990+5332+645+559+1419+315+309.6+2038)/2.87</f>
        <v>4044.4599303135888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625+198</f>
        <v>823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710+21.5+160+359</f>
        <v>1250.5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39.5</v>
      </c>
      <c r="C23" s="193">
        <v>2</v>
      </c>
      <c r="D23" s="182">
        <f>B23*C23</f>
        <v>79</v>
      </c>
      <c r="E23" s="193"/>
      <c r="F23" s="230"/>
      <c r="H23" s="190">
        <v>3</v>
      </c>
      <c r="I23" s="191">
        <f>765+263</f>
        <v>1028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-23945.370001083425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67</v>
      </c>
      <c r="C24" s="193">
        <v>4</v>
      </c>
      <c r="D24" s="182">
        <f t="shared" ref="D24:D42" si="2">B24*C24</f>
        <v>268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70</v>
      </c>
      <c r="C25" s="193">
        <v>27</v>
      </c>
      <c r="D25" s="182">
        <f t="shared" si="2"/>
        <v>1890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-23945.370001083425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75</v>
      </c>
      <c r="C26" s="193">
        <v>27</v>
      </c>
      <c r="D26" s="182">
        <f t="shared" si="2"/>
        <v>2025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80</v>
      </c>
      <c r="C27" s="193">
        <v>36</v>
      </c>
      <c r="D27" s="182">
        <f t="shared" si="2"/>
        <v>2880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87</v>
      </c>
      <c r="C28" s="193">
        <v>36</v>
      </c>
      <c r="D28" s="182">
        <f t="shared" si="2"/>
        <v>3132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93</v>
      </c>
      <c r="C29" s="193">
        <v>46</v>
      </c>
      <c r="D29" s="182">
        <f t="shared" si="2"/>
        <v>4278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98</v>
      </c>
      <c r="C30" s="193">
        <v>46</v>
      </c>
      <c r="D30" s="182">
        <f t="shared" si="2"/>
        <v>4508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675.5</v>
      </c>
      <c r="C31" s="193">
        <v>46</v>
      </c>
      <c r="D31" s="182">
        <f t="shared" si="2"/>
        <v>31073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Cormier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1300*(2.89+0.75)</f>
        <v>4732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>
        <v>1.3</v>
      </c>
      <c r="D54" s="179">
        <f>B54*C54</f>
        <v>7.8000000000000007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28</v>
      </c>
      <c r="C55" s="191">
        <v>1.3</v>
      </c>
      <c r="D55" s="179">
        <f>B55*C55</f>
        <v>36.4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28</v>
      </c>
      <c r="C56" s="191">
        <v>2.2799999999999998</v>
      </c>
      <c r="D56" s="179">
        <f>B56*C56</f>
        <v>63.839999999999996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28</v>
      </c>
      <c r="C57" s="191">
        <v>2.2799999999999998</v>
      </c>
      <c r="D57" s="179">
        <f>B57*C57</f>
        <v>63.839999999999996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28</v>
      </c>
      <c r="C58" s="191">
        <v>2.2799999999999998</v>
      </c>
      <c r="D58" s="179">
        <f>B58*C58</f>
        <v>63.839999999999996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28</v>
      </c>
      <c r="C59" s="191">
        <v>2.2799999999999998</v>
      </c>
      <c r="D59" s="179">
        <f>B59*C59</f>
        <v>63.839999999999996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28</v>
      </c>
      <c r="C60" s="191">
        <v>2.83</v>
      </c>
      <c r="D60" s="179">
        <f>B60*C60</f>
        <v>79.240000000000009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28</v>
      </c>
      <c r="C61" s="191">
        <v>2.83</v>
      </c>
      <c r="D61" s="179">
        <f>B61*C61</f>
        <v>79.240000000000009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28</v>
      </c>
      <c r="C62" s="191">
        <v>2.83</v>
      </c>
      <c r="D62" s="179">
        <f>B62*C62</f>
        <v>79.240000000000009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28</v>
      </c>
      <c r="C63" s="191">
        <v>40.5</v>
      </c>
      <c r="D63" s="179">
        <f>B63*C63</f>
        <v>1134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70</v>
      </c>
      <c r="B64" s="181">
        <f>'Données projet'!D72</f>
        <v>28</v>
      </c>
      <c r="C64" s="191">
        <v>40.5</v>
      </c>
      <c r="D64" s="179">
        <f>B64*C64</f>
        <v>1134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75</v>
      </c>
      <c r="B65" s="181">
        <f>'Données projet'!D73</f>
        <v>28</v>
      </c>
      <c r="C65" s="191">
        <v>40.5</v>
      </c>
      <c r="D65" s="179">
        <f>B65*C65</f>
        <v>1134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4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80</v>
      </c>
      <c r="B66" s="181">
        <f>'Données projet'!D74</f>
        <v>28</v>
      </c>
      <c r="C66" s="191">
        <v>41</v>
      </c>
      <c r="D66" s="179">
        <f>B66*C66</f>
        <v>1148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4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85</v>
      </c>
      <c r="B67" s="181">
        <f>'Données projet'!D75</f>
        <v>28</v>
      </c>
      <c r="C67" s="191">
        <v>41</v>
      </c>
      <c r="D67" s="179">
        <f>B67*C67</f>
        <v>1148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4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90</v>
      </c>
      <c r="B68" s="181">
        <f>'Données projet'!D76</f>
        <v>28</v>
      </c>
      <c r="C68" s="191">
        <v>41</v>
      </c>
      <c r="D68" s="179">
        <f>B68*C68</f>
        <v>1148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4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95</v>
      </c>
      <c r="B69" s="181">
        <f>'Données projet'!D77</f>
        <v>28</v>
      </c>
      <c r="C69" s="191">
        <v>41</v>
      </c>
      <c r="D69" s="179">
        <f>B69*C69</f>
        <v>1148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4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100</v>
      </c>
      <c r="B70" s="181">
        <f>'Données projet'!D78</f>
        <v>333</v>
      </c>
      <c r="C70" s="191">
        <v>41</v>
      </c>
      <c r="D70" s="179">
        <f>B70*C70</f>
        <v>13653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4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ref="D71:D73" si="5">B71*C71</f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4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4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4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4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4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4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4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4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1300*(1.52+0.75)</f>
        <v>2951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4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4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4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4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4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4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</v>
      </c>
      <c r="C85" s="191">
        <v>1.3</v>
      </c>
      <c r="D85" s="179">
        <f>B85*C85</f>
        <v>7.8000000000000007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4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28</v>
      </c>
      <c r="C86" s="191">
        <v>1.3</v>
      </c>
      <c r="D86" s="179">
        <f t="shared" ref="D86:D104" si="6">B86*C86</f>
        <v>36.4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4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28</v>
      </c>
      <c r="C87" s="191">
        <v>2.2799999999999998</v>
      </c>
      <c r="D87" s="179">
        <f t="shared" si="6"/>
        <v>63.839999999999996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4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28</v>
      </c>
      <c r="C88" s="191">
        <v>2.2799999999999998</v>
      </c>
      <c r="D88" s="179">
        <f t="shared" si="6"/>
        <v>63.839999999999996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4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28</v>
      </c>
      <c r="C89" s="191">
        <v>2.2799999999999998</v>
      </c>
      <c r="D89" s="179">
        <f t="shared" si="6"/>
        <v>63.839999999999996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4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28</v>
      </c>
      <c r="C90" s="191">
        <v>2.2799999999999998</v>
      </c>
      <c r="D90" s="179">
        <f t="shared" si="6"/>
        <v>63.839999999999996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4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28</v>
      </c>
      <c r="C91" s="191">
        <v>2.83</v>
      </c>
      <c r="D91" s="179">
        <f t="shared" si="6"/>
        <v>79.240000000000009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4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28</v>
      </c>
      <c r="C92" s="191">
        <v>2.83</v>
      </c>
      <c r="D92" s="179">
        <f t="shared" si="6"/>
        <v>79.240000000000009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4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28</v>
      </c>
      <c r="C93" s="191">
        <v>2.83</v>
      </c>
      <c r="D93" s="179">
        <f t="shared" si="6"/>
        <v>79.240000000000009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4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28</v>
      </c>
      <c r="C94" s="191">
        <v>40.5</v>
      </c>
      <c r="D94" s="179">
        <f t="shared" si="6"/>
        <v>1134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4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28</v>
      </c>
      <c r="C95" s="191">
        <v>40.5</v>
      </c>
      <c r="D95" s="179">
        <f t="shared" si="6"/>
        <v>1134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4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28</v>
      </c>
      <c r="C96" s="191">
        <v>40.5</v>
      </c>
      <c r="D96" s="179">
        <f t="shared" si="6"/>
        <v>1134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4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28</v>
      </c>
      <c r="C97" s="191">
        <v>41</v>
      </c>
      <c r="D97" s="179">
        <f t="shared" si="6"/>
        <v>1148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85</v>
      </c>
      <c r="B98" s="181">
        <f>'Données projet'!D101</f>
        <v>28</v>
      </c>
      <c r="C98" s="191">
        <v>41</v>
      </c>
      <c r="D98" s="179">
        <f t="shared" si="6"/>
        <v>1148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90</v>
      </c>
      <c r="B99" s="181">
        <f>'Données projet'!D102</f>
        <v>28</v>
      </c>
      <c r="C99" s="191">
        <v>41</v>
      </c>
      <c r="D99" s="179">
        <f t="shared" si="6"/>
        <v>1148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95</v>
      </c>
      <c r="B100" s="181">
        <f>'Données projet'!D103</f>
        <v>28</v>
      </c>
      <c r="C100" s="191">
        <v>41</v>
      </c>
      <c r="D100" s="179">
        <f t="shared" si="6"/>
        <v>1148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100</v>
      </c>
      <c r="B101" s="181">
        <f>'Données projet'!D104</f>
        <v>333</v>
      </c>
      <c r="C101" s="191">
        <v>41</v>
      </c>
      <c r="D101" s="179">
        <f t="shared" si="6"/>
        <v>13653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1300*(0.48+0.75)</f>
        <v>1599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22</v>
      </c>
      <c r="B116" s="181">
        <f>'Données projet'!D114</f>
        <v>16</v>
      </c>
      <c r="C116" s="191">
        <v>1.95</v>
      </c>
      <c r="D116" s="179">
        <f>B116*C116</f>
        <v>31.2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str">
        <f>IF(O115+1&lt;=MIN('Données projet'!$E$9:$E$18),O115+1,"STOP")</f>
        <v>STOP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17</v>
      </c>
      <c r="C117" s="191">
        <v>1.95</v>
      </c>
      <c r="D117" s="179">
        <f t="shared" ref="D117:D135" si="8">B117*C117</f>
        <v>33.15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34</v>
      </c>
      <c r="C118" s="191">
        <v>4.4800000000000004</v>
      </c>
      <c r="D118" s="179">
        <f t="shared" si="8"/>
        <v>152.32000000000002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41</v>
      </c>
      <c r="C119" s="191">
        <v>4.4800000000000004</v>
      </c>
      <c r="D119" s="179">
        <f t="shared" si="8"/>
        <v>183.68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41</v>
      </c>
      <c r="C120" s="191">
        <v>4.8</v>
      </c>
      <c r="D120" s="179">
        <f t="shared" si="8"/>
        <v>196.79999999999998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53</v>
      </c>
      <c r="C121" s="191">
        <v>4.8</v>
      </c>
      <c r="D121" s="179">
        <f t="shared" si="8"/>
        <v>254.39999999999998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53</v>
      </c>
      <c r="C122" s="191">
        <v>27</v>
      </c>
      <c r="D122" s="179">
        <f t="shared" si="8"/>
        <v>1431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58</v>
      </c>
      <c r="B123" s="181">
        <f>'Données projet'!D121</f>
        <v>78</v>
      </c>
      <c r="C123" s="191">
        <v>45</v>
      </c>
      <c r="D123" s="179">
        <f t="shared" si="8"/>
        <v>3510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66</v>
      </c>
      <c r="B124" s="181">
        <f>'Données projet'!D122</f>
        <v>65</v>
      </c>
      <c r="C124" s="191">
        <v>45</v>
      </c>
      <c r="D124" s="179">
        <f t="shared" si="8"/>
        <v>2925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74</v>
      </c>
      <c r="B125" s="181">
        <f>'Données projet'!D123</f>
        <v>37</v>
      </c>
      <c r="C125" s="191">
        <v>45</v>
      </c>
      <c r="D125" s="179">
        <f t="shared" si="8"/>
        <v>1665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82</v>
      </c>
      <c r="B126" s="181">
        <f>'Données projet'!D124</f>
        <v>567</v>
      </c>
      <c r="C126" s="191">
        <v>60</v>
      </c>
      <c r="D126" s="179">
        <f t="shared" si="8"/>
        <v>34020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2024-01-30T11:26:34Z</dcterms:modified>
</cp:coreProperties>
</file>