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Val d_Erdre-Auxence (49)\Dossier d_instruction\"/>
    </mc:Choice>
  </mc:AlternateContent>
  <xr:revisionPtr revIDLastSave="0" documentId="13_ncr:1_{14538817-67A6-478F-89B4-F606A7CBE966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ED163" i="2"/>
  <c r="EY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D189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D194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DI200" i="2"/>
  <c r="HG201" i="2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I202" i="2"/>
  <c r="FS202" i="2"/>
  <c r="EW202" i="2"/>
  <c r="EY201" i="2"/>
  <c r="ED201" i="2"/>
  <c r="HG202" i="2"/>
  <c r="HJ202" i="2" s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AX200" i="2"/>
  <c r="AH19" i="2" l="1" a="1"/>
  <c r="AH19" i="2" s="1"/>
  <c r="EI150" i="2" a="1"/>
  <c r="EI150" i="2" s="1"/>
  <c r="HH203" i="2"/>
  <c r="GT184" i="2" a="1"/>
  <c r="GT184" i="2" s="1"/>
  <c r="EI170" i="2" a="1"/>
  <c r="EI170" i="2" s="1"/>
  <c r="EI166" i="2" a="1"/>
  <c r="EI166" i="2" s="1"/>
  <c r="EI20" i="2" a="1"/>
  <c r="EI20" i="2" s="1"/>
  <c r="EI57" i="2" a="1"/>
  <c r="EI57" i="2" s="1"/>
  <c r="EI142" i="2" a="1"/>
  <c r="EI142" i="2" s="1"/>
  <c r="EI36" i="2" a="1"/>
  <c r="EI36" i="2" s="1"/>
  <c r="EI195" i="2" a="1"/>
  <c r="EI195" i="2" s="1"/>
  <c r="EI178" i="2" a="1"/>
  <c r="EI178" i="2" s="1"/>
  <c r="EI29" i="2" a="1"/>
  <c r="EI29" i="2" s="1"/>
  <c r="EI198" i="2" a="1"/>
  <c r="EI198" i="2" s="1"/>
  <c r="EI16" i="2" a="1"/>
  <c r="EI16" i="2" s="1"/>
  <c r="EI139" i="2" a="1"/>
  <c r="EI139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Y202" i="2"/>
  <c r="EI35" i="2" a="1"/>
  <c r="EI35" i="2" s="1"/>
  <c r="EI34" i="2" a="1"/>
  <c r="EI34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CS137" i="2" a="1"/>
  <c r="CS137" i="2" s="1"/>
  <c r="CS105" i="2" a="1"/>
  <c r="CS105" i="2" s="1"/>
  <c r="DN124" i="2" a="1"/>
  <c r="DN124" i="2" s="1"/>
  <c r="DN56" i="2" a="1"/>
  <c r="DN56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EY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2" i="2" l="1"/>
  <c r="GZ28" i="2"/>
  <c r="GZ130" i="2"/>
  <c r="GZ113" i="2"/>
  <c r="GZ26" i="2"/>
  <c r="GZ43" i="2"/>
  <c r="GZ12" i="2"/>
  <c r="GZ151" i="2"/>
  <c r="GZ77" i="2"/>
  <c r="GZ169" i="2"/>
  <c r="GZ52" i="2"/>
  <c r="GZ53" i="2"/>
  <c r="GZ123" i="2"/>
  <c r="GZ50" i="2"/>
  <c r="GZ164" i="2"/>
  <c r="GZ92" i="2"/>
  <c r="GZ69" i="2"/>
  <c r="GZ198" i="2"/>
  <c r="GZ85" i="2"/>
  <c r="GZ190" i="2"/>
  <c r="GZ10" i="2"/>
  <c r="GZ160" i="2"/>
  <c r="GZ185" i="2"/>
  <c r="GZ63" i="2"/>
  <c r="GZ175" i="2"/>
  <c r="GZ170" i="2"/>
  <c r="GZ31" i="2"/>
  <c r="GZ7" i="2"/>
  <c r="GZ36" i="2"/>
  <c r="GZ87" i="2"/>
  <c r="GZ100" i="2"/>
  <c r="GZ66" i="2"/>
  <c r="GZ163" i="2"/>
  <c r="GZ99" i="2"/>
  <c r="GZ137" i="2"/>
  <c r="GZ174" i="2"/>
  <c r="GZ48" i="2"/>
  <c r="GZ179" i="2"/>
  <c r="GZ5" i="2"/>
  <c r="GZ192" i="2"/>
  <c r="GZ54" i="2"/>
  <c r="GZ124" i="2"/>
  <c r="GZ156" i="2"/>
  <c r="GZ23" i="2"/>
  <c r="GZ97" i="2"/>
  <c r="GZ178" i="2"/>
  <c r="GZ177" i="2"/>
  <c r="GZ45" i="2"/>
  <c r="GZ171" i="2"/>
  <c r="GZ67" i="2"/>
  <c r="GZ162" i="2"/>
  <c r="GZ80" i="2"/>
  <c r="GZ70" i="2"/>
  <c r="GZ193" i="2"/>
  <c r="GZ134" i="2"/>
  <c r="GZ138" i="2"/>
  <c r="GZ98" i="2"/>
  <c r="GZ126" i="2"/>
  <c r="GZ57" i="2"/>
  <c r="GZ81" i="2"/>
  <c r="GZ158" i="2"/>
  <c r="GZ154" i="2"/>
  <c r="GZ189" i="2"/>
  <c r="GZ91" i="2"/>
  <c r="GZ144" i="2"/>
  <c r="GZ73" i="2"/>
  <c r="GZ11" i="2"/>
  <c r="GZ117" i="2"/>
  <c r="GZ84" i="2"/>
  <c r="GZ9" i="2"/>
  <c r="GZ30" i="2"/>
  <c r="GZ168" i="2"/>
  <c r="GZ167" i="2"/>
  <c r="GZ122" i="2"/>
  <c r="GZ82" i="2"/>
  <c r="GZ56" i="2"/>
  <c r="GZ19" i="2"/>
  <c r="GZ159" i="2"/>
  <c r="GZ150" i="2"/>
  <c r="GZ116" i="2"/>
  <c r="GZ71" i="2"/>
  <c r="GZ47" i="2"/>
  <c r="GZ191" i="2"/>
  <c r="GZ129" i="2"/>
  <c r="GZ101" i="2"/>
  <c r="GZ132" i="2"/>
  <c r="GZ105" i="2"/>
  <c r="GZ121" i="2"/>
  <c r="GZ161" i="2"/>
  <c r="GZ200" i="2"/>
  <c r="GZ165" i="2"/>
  <c r="GZ128" i="2"/>
  <c r="GZ131" i="2"/>
  <c r="GZ119" i="2"/>
  <c r="GZ96" i="2"/>
  <c r="GZ27" i="2"/>
  <c r="GZ110" i="2"/>
  <c r="GZ14" i="2"/>
  <c r="GZ18" i="2"/>
  <c r="GZ89" i="2"/>
  <c r="GZ13" i="2"/>
  <c r="GZ8" i="2"/>
  <c r="GZ35" i="2"/>
  <c r="GZ44" i="2"/>
  <c r="GZ86" i="2"/>
  <c r="GZ188" i="2"/>
  <c r="GZ127" i="2"/>
  <c r="GZ152" i="2"/>
  <c r="GZ95" i="2"/>
  <c r="GZ17" i="2"/>
  <c r="GZ203" i="2"/>
  <c r="GZ40" i="2"/>
  <c r="GZ83" i="2"/>
  <c r="GZ147" i="2"/>
  <c r="GZ114" i="2"/>
  <c r="GZ108" i="2"/>
  <c r="GZ146" i="2"/>
  <c r="GZ125" i="2"/>
  <c r="GZ6" i="2"/>
  <c r="GZ24" i="2"/>
  <c r="GZ61" i="2"/>
  <c r="GZ139" i="2"/>
  <c r="GZ102" i="2"/>
  <c r="GZ75" i="2"/>
  <c r="GZ20" i="2"/>
  <c r="GZ59" i="2"/>
  <c r="GZ58" i="2"/>
  <c r="GZ118" i="2"/>
  <c r="GZ184" i="2"/>
  <c r="GZ90" i="2"/>
  <c r="GZ72" i="2"/>
  <c r="GZ103" i="2"/>
  <c r="GZ133" i="2"/>
  <c r="GZ64" i="2"/>
  <c r="GZ199" i="2"/>
  <c r="GZ4" i="2"/>
  <c r="GZ186" i="2"/>
  <c r="GZ143" i="2"/>
  <c r="GZ157" i="2"/>
  <c r="GZ34" i="2"/>
  <c r="GZ183" i="2"/>
  <c r="GZ202" i="2"/>
  <c r="GZ38" i="2"/>
  <c r="GZ140" i="2"/>
  <c r="GZ42" i="2"/>
  <c r="GZ195" i="2"/>
  <c r="GZ68" i="2"/>
  <c r="GZ74" i="2"/>
  <c r="GZ106" i="2"/>
  <c r="GZ107" i="2"/>
  <c r="GZ155" i="2"/>
  <c r="GZ22" i="2"/>
  <c r="GZ46" i="2"/>
  <c r="GZ16" i="2"/>
  <c r="GZ88" i="2"/>
  <c r="GZ149" i="2"/>
  <c r="GZ136" i="2"/>
  <c r="GZ142" i="2"/>
  <c r="GZ135" i="2"/>
  <c r="GZ78" i="2"/>
  <c r="GZ37" i="2"/>
  <c r="GZ25" i="2"/>
  <c r="GZ196" i="2"/>
  <c r="GZ120" i="2"/>
  <c r="GZ176" i="2"/>
  <c r="GZ32" i="2"/>
  <c r="GZ201" i="2"/>
  <c r="GZ76" i="2"/>
  <c r="GZ172" i="2"/>
  <c r="GZ148" i="2"/>
  <c r="GZ15" i="2"/>
  <c r="GZ65" i="2"/>
  <c r="GZ41" i="2"/>
  <c r="GZ112" i="2"/>
  <c r="GZ181" i="2"/>
  <c r="GZ33" i="2"/>
  <c r="GZ145" i="2"/>
  <c r="GZ39" i="2"/>
  <c r="GZ104" i="2"/>
  <c r="GZ62" i="2"/>
  <c r="GZ197" i="2"/>
  <c r="GZ166" i="2"/>
  <c r="GZ29" i="2"/>
  <c r="GZ21" i="2"/>
  <c r="GZ111" i="2"/>
  <c r="GZ173" i="2"/>
  <c r="GZ141" i="2"/>
  <c r="GZ153" i="2"/>
  <c r="GZ94" i="2"/>
  <c r="GZ79" i="2"/>
  <c r="GZ109" i="2"/>
  <c r="GZ49" i="2"/>
  <c r="GZ93" i="2"/>
  <c r="GZ60" i="2"/>
  <c r="GZ55" i="2"/>
  <c r="GZ180" i="2"/>
  <c r="GZ187" i="2"/>
  <c r="GZ51" i="2"/>
  <c r="GZ194" i="2"/>
  <c r="GZ115" i="2"/>
  <c r="GZ3" i="2"/>
  <c r="C15" i="4" s="1"/>
  <c r="E15" i="4" s="1"/>
  <c r="F15" i="4" s="1"/>
  <c r="G15" i="4" s="1"/>
  <c r="L15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18" i="2" l="1"/>
  <c r="FJ64" i="2"/>
  <c r="FJ26" i="2"/>
  <c r="FJ135" i="2"/>
  <c r="FJ59" i="2"/>
  <c r="FJ168" i="2"/>
  <c r="FJ63" i="2"/>
  <c r="FJ97" i="2"/>
  <c r="FJ69" i="2"/>
  <c r="FJ183" i="2"/>
  <c r="FJ52" i="2"/>
  <c r="FJ133" i="2"/>
  <c r="FJ142" i="2"/>
  <c r="FJ125" i="2"/>
  <c r="FJ107" i="2"/>
  <c r="FJ156" i="2"/>
  <c r="FE84" i="2"/>
  <c r="FF83" i="2"/>
  <c r="FG83" i="2" s="1"/>
  <c r="FH83" i="2" s="1"/>
  <c r="FI83" i="2" s="1"/>
  <c r="FJ8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05" i="2" l="1"/>
  <c r="FJ109" i="2"/>
  <c r="FJ67" i="2"/>
  <c r="FJ42" i="2"/>
  <c r="FJ175" i="2"/>
  <c r="FJ7" i="2"/>
  <c r="FJ191" i="2"/>
  <c r="FJ143" i="2"/>
  <c r="FJ203" i="2"/>
  <c r="FJ110" i="2"/>
  <c r="FJ180" i="2"/>
  <c r="FJ155" i="2"/>
  <c r="FJ35" i="2"/>
  <c r="FJ20" i="2"/>
  <c r="FJ121" i="2"/>
  <c r="FJ6" i="2"/>
  <c r="FJ196" i="2"/>
  <c r="FJ170" i="2"/>
  <c r="FJ186" i="2"/>
  <c r="FJ108" i="2"/>
  <c r="FJ134" i="2"/>
  <c r="FJ137" i="2"/>
  <c r="FJ136" i="2"/>
  <c r="FJ89" i="2"/>
  <c r="FJ92" i="2"/>
  <c r="FJ106" i="2"/>
  <c r="FJ90" i="2"/>
  <c r="FJ17" i="2"/>
  <c r="FJ65" i="2"/>
  <c r="FJ53" i="2"/>
  <c r="FJ174" i="2"/>
  <c r="FJ76" i="2"/>
  <c r="FJ71" i="2"/>
  <c r="FJ139" i="2"/>
  <c r="FJ119" i="2"/>
  <c r="FJ145" i="2"/>
  <c r="FJ43" i="2"/>
  <c r="FJ154" i="2"/>
  <c r="FJ164" i="2"/>
  <c r="FJ201" i="2"/>
  <c r="FJ73" i="2"/>
  <c r="FJ49" i="2"/>
  <c r="FJ74" i="2"/>
  <c r="FJ173" i="2"/>
  <c r="FJ84" i="2"/>
  <c r="FJ51" i="2"/>
  <c r="FJ8" i="2"/>
  <c r="FJ129" i="2"/>
  <c r="FJ39" i="2"/>
  <c r="FJ60" i="2"/>
  <c r="FJ95" i="2"/>
  <c r="FJ80" i="2"/>
  <c r="FJ148" i="2"/>
  <c r="FJ68" i="2"/>
  <c r="FJ153" i="2"/>
  <c r="FJ178" i="2"/>
  <c r="FJ114" i="2"/>
  <c r="FJ187" i="2"/>
  <c r="FJ58" i="2"/>
  <c r="FJ98" i="2"/>
  <c r="FJ62" i="2"/>
  <c r="FJ123" i="2"/>
  <c r="FJ202" i="2"/>
  <c r="FJ46" i="2"/>
  <c r="FJ79" i="2"/>
  <c r="FJ182" i="2"/>
  <c r="FJ4" i="2"/>
  <c r="FJ93" i="2"/>
  <c r="FJ31" i="2"/>
  <c r="FJ16" i="2"/>
  <c r="FJ152" i="2"/>
  <c r="FJ151" i="2"/>
  <c r="FJ160" i="2"/>
  <c r="FJ116" i="2"/>
  <c r="FJ132" i="2"/>
  <c r="FJ96" i="2"/>
  <c r="FJ103" i="2"/>
  <c r="FJ171" i="2"/>
  <c r="FJ115" i="2"/>
  <c r="FJ50" i="2"/>
  <c r="FJ192" i="2"/>
  <c r="FJ112" i="2"/>
  <c r="FJ3" i="2"/>
  <c r="C13" i="4" s="1"/>
  <c r="E13" i="4" s="1"/>
  <c r="F13" i="4" s="1"/>
  <c r="G13" i="4" s="1"/>
  <c r="L13" i="4" s="1"/>
  <c r="FJ102" i="2"/>
  <c r="FJ37" i="2"/>
  <c r="FJ177" i="2"/>
  <c r="FJ194" i="2"/>
  <c r="FJ44" i="2"/>
  <c r="FJ138" i="2"/>
  <c r="FJ32" i="2"/>
  <c r="FJ185" i="2"/>
  <c r="FJ128" i="2"/>
  <c r="FJ111" i="2"/>
  <c r="FJ18" i="2"/>
  <c r="FJ75" i="2"/>
  <c r="FJ198" i="2"/>
  <c r="FJ55" i="2"/>
  <c r="FJ88" i="2"/>
  <c r="FJ82" i="2"/>
  <c r="FJ131" i="2"/>
  <c r="FJ28" i="2"/>
  <c r="FJ99" i="2"/>
  <c r="FJ40" i="2"/>
  <c r="FJ141" i="2"/>
  <c r="FJ193" i="2"/>
  <c r="FJ77" i="2"/>
  <c r="FJ199" i="2"/>
  <c r="FJ54" i="2"/>
  <c r="FJ161" i="2"/>
  <c r="FJ120" i="2"/>
  <c r="FJ15" i="2"/>
  <c r="FJ140" i="2"/>
  <c r="FJ163" i="2"/>
  <c r="FJ158" i="2"/>
  <c r="FJ176" i="2"/>
  <c r="FJ124" i="2"/>
  <c r="FJ144" i="2"/>
  <c r="FJ166" i="2"/>
  <c r="FJ30" i="2"/>
  <c r="FJ169" i="2"/>
  <c r="FJ12" i="2"/>
  <c r="FJ94" i="2"/>
  <c r="FJ14" i="2"/>
  <c r="FJ56" i="2"/>
  <c r="FJ167" i="2"/>
  <c r="FJ36" i="2"/>
  <c r="FJ24" i="2"/>
  <c r="FJ126" i="2"/>
  <c r="FJ146" i="2"/>
  <c r="FJ22" i="2"/>
  <c r="FJ9" i="2"/>
  <c r="FJ47" i="2"/>
  <c r="FJ197" i="2"/>
  <c r="FJ181" i="2"/>
  <c r="FJ149" i="2"/>
  <c r="FJ57" i="2"/>
  <c r="FJ78" i="2"/>
  <c r="FJ34" i="2"/>
  <c r="FJ162" i="2"/>
  <c r="FJ159" i="2"/>
  <c r="FJ19" i="2"/>
  <c r="FJ23" i="2"/>
  <c r="FJ86" i="2"/>
  <c r="FJ83" i="2"/>
  <c r="FJ41" i="2"/>
  <c r="FJ10" i="2"/>
  <c r="FJ38" i="2"/>
  <c r="FJ184" i="2"/>
  <c r="FJ70" i="2"/>
  <c r="FJ29" i="2"/>
  <c r="FJ130" i="2"/>
  <c r="FJ100" i="2"/>
  <c r="FJ179" i="2"/>
  <c r="FJ87" i="2"/>
  <c r="FJ157" i="2"/>
  <c r="FJ165" i="2"/>
  <c r="FJ189" i="2"/>
  <c r="FJ150" i="2"/>
  <c r="FJ127" i="2"/>
  <c r="FJ104" i="2"/>
  <c r="FJ45" i="2"/>
  <c r="FJ48" i="2"/>
  <c r="FJ81" i="2"/>
  <c r="FJ21" i="2"/>
  <c r="FJ147" i="2"/>
  <c r="FJ61" i="2"/>
  <c r="FJ113" i="2"/>
  <c r="FJ72" i="2"/>
  <c r="FJ66" i="2"/>
  <c r="FJ11" i="2"/>
  <c r="FJ195" i="2"/>
  <c r="FJ117" i="2"/>
  <c r="FJ27" i="2"/>
  <c r="FJ25" i="2"/>
  <c r="FJ101" i="2"/>
  <c r="FJ172" i="2"/>
  <c r="FJ13" i="2"/>
  <c r="FJ91" i="2"/>
  <c r="FJ190" i="2"/>
  <c r="FJ122" i="2"/>
  <c r="FJ188" i="2"/>
  <c r="FJ200" i="2"/>
  <c r="FJ5" i="2"/>
  <c r="FJ33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14" i="2" l="1"/>
  <c r="GE119" i="2"/>
  <c r="GE91" i="2"/>
  <c r="GE74" i="2"/>
  <c r="GE61" i="2"/>
  <c r="GE199" i="2"/>
  <c r="GE30" i="2"/>
  <c r="GE44" i="2"/>
  <c r="GE116" i="2"/>
  <c r="GE67" i="2"/>
  <c r="GE48" i="2"/>
  <c r="GE134" i="2"/>
  <c r="GE181" i="2"/>
  <c r="GE202" i="2"/>
  <c r="GE108" i="2"/>
  <c r="GE15" i="2"/>
  <c r="GE68" i="2"/>
  <c r="GE177" i="2"/>
  <c r="GE203" i="2"/>
  <c r="GE19" i="2"/>
  <c r="GE113" i="2"/>
  <c r="GE192" i="2"/>
  <c r="GE151" i="2"/>
  <c r="GE10" i="2"/>
  <c r="GE125" i="2"/>
  <c r="GE39" i="2"/>
  <c r="GE97" i="2"/>
  <c r="GE54" i="2"/>
  <c r="GE35" i="2"/>
  <c r="GE196" i="2"/>
  <c r="GE172" i="2"/>
  <c r="GE112" i="2"/>
  <c r="GE72" i="2"/>
  <c r="GE81" i="2"/>
  <c r="GE139" i="2"/>
  <c r="GE140" i="2"/>
  <c r="GE90" i="2"/>
  <c r="GE59" i="2"/>
  <c r="GE41" i="2"/>
  <c r="GE145" i="2"/>
  <c r="GE173" i="2"/>
  <c r="GE193" i="2"/>
  <c r="GE53" i="2"/>
  <c r="GE4" i="2"/>
  <c r="GE197" i="2"/>
  <c r="GE96" i="2"/>
  <c r="GE64" i="2"/>
  <c r="GE169" i="2"/>
  <c r="GE26" i="2"/>
  <c r="GE126" i="2"/>
  <c r="GE36" i="2"/>
  <c r="GE180" i="2"/>
  <c r="GE147" i="2"/>
  <c r="GE56" i="2"/>
  <c r="GE27" i="2"/>
  <c r="GE95" i="2"/>
  <c r="GE63" i="2"/>
  <c r="GE73" i="2"/>
  <c r="GE31" i="2"/>
  <c r="GE161" i="2"/>
  <c r="GE83" i="2"/>
  <c r="GE11" i="2"/>
  <c r="GE106" i="2"/>
  <c r="GE122" i="2"/>
  <c r="GE144" i="2"/>
  <c r="GE162" i="2"/>
  <c r="GE168" i="2"/>
  <c r="GE131" i="2"/>
  <c r="GE155" i="2"/>
  <c r="GE32" i="2"/>
  <c r="GE7" i="2"/>
  <c r="GE104" i="2"/>
  <c r="GE98" i="2"/>
  <c r="GE109" i="2"/>
  <c r="GE191" i="2"/>
  <c r="GE152" i="2"/>
  <c r="GE85" i="2"/>
  <c r="GE79" i="2"/>
  <c r="GE118" i="2"/>
  <c r="GE117" i="2"/>
  <c r="GE128" i="2"/>
  <c r="GE158" i="2"/>
  <c r="GE50" i="2"/>
  <c r="GE133" i="2"/>
  <c r="GE198" i="2"/>
  <c r="GE182" i="2"/>
  <c r="GE159" i="2"/>
  <c r="GE156" i="2"/>
  <c r="GE174" i="2"/>
  <c r="GE8" i="2"/>
  <c r="GE75" i="2"/>
  <c r="GE115" i="2"/>
  <c r="GE13" i="2"/>
  <c r="GE132" i="2"/>
  <c r="GE93" i="2"/>
  <c r="GE164" i="2"/>
  <c r="GE138" i="2"/>
  <c r="GE66" i="2"/>
  <c r="GE149" i="2"/>
  <c r="GE5" i="2"/>
  <c r="GE55" i="2"/>
  <c r="GE24" i="2"/>
  <c r="GE121" i="2"/>
  <c r="GE178" i="2"/>
  <c r="GE40" i="2"/>
  <c r="GE137" i="2"/>
  <c r="GE160" i="2"/>
  <c r="GE9" i="2"/>
  <c r="GE43" i="2"/>
  <c r="GE22" i="2"/>
  <c r="GE62" i="2"/>
  <c r="GE52" i="2"/>
  <c r="GE57" i="2"/>
  <c r="GE187" i="2"/>
  <c r="GE47" i="2"/>
  <c r="GE77" i="2"/>
  <c r="GE6" i="2"/>
  <c r="GE12" i="2"/>
  <c r="GE127" i="2"/>
  <c r="GE146" i="2"/>
  <c r="GE166" i="2"/>
  <c r="GE120" i="2"/>
  <c r="GE185" i="2"/>
  <c r="GE105" i="2"/>
  <c r="GE33" i="2"/>
  <c r="GE135" i="2"/>
  <c r="GE186" i="2"/>
  <c r="GE100" i="2"/>
  <c r="GE87" i="2"/>
  <c r="GE200" i="2"/>
  <c r="GE107" i="2"/>
  <c r="GE14" i="2"/>
  <c r="GE176" i="2"/>
  <c r="GE70" i="2"/>
  <c r="GE92" i="2"/>
  <c r="GE148" i="2"/>
  <c r="GE189" i="2"/>
  <c r="GE17" i="2"/>
  <c r="GE195" i="2"/>
  <c r="GE175" i="2"/>
  <c r="GE103" i="2"/>
  <c r="GE29" i="2"/>
  <c r="GE21" i="2"/>
  <c r="GE142" i="2"/>
  <c r="GE167" i="2"/>
  <c r="GE123" i="2"/>
  <c r="GE141" i="2"/>
  <c r="GE111" i="2"/>
  <c r="GE101" i="2"/>
  <c r="GE170" i="2"/>
  <c r="GE46" i="2"/>
  <c r="GE124" i="2"/>
  <c r="GE86" i="2"/>
  <c r="GE78" i="2"/>
  <c r="GE143" i="2"/>
  <c r="GE110" i="2"/>
  <c r="GE194" i="2"/>
  <c r="GE171" i="2"/>
  <c r="GE42" i="2"/>
  <c r="GE154" i="2"/>
  <c r="GE179" i="2"/>
  <c r="GE163" i="2"/>
  <c r="GE82" i="2"/>
  <c r="GE37" i="2"/>
  <c r="GE102" i="2"/>
  <c r="GE16" i="2"/>
  <c r="GE80" i="2"/>
  <c r="GE89" i="2"/>
  <c r="GE18" i="2"/>
  <c r="GE201" i="2"/>
  <c r="GE25" i="2"/>
  <c r="GE165" i="2"/>
  <c r="GE129" i="2"/>
  <c r="GE38" i="2"/>
  <c r="GE188" i="2"/>
  <c r="GE58" i="2"/>
  <c r="GE184" i="2"/>
  <c r="GE94" i="2"/>
  <c r="GE60" i="2"/>
  <c r="GE51" i="2"/>
  <c r="GE69" i="2"/>
  <c r="GE84" i="2"/>
  <c r="GE157" i="2"/>
  <c r="GE183" i="2"/>
  <c r="GE76" i="2"/>
  <c r="GE190" i="2"/>
  <c r="GE3" i="2"/>
  <c r="C14" i="4" s="1"/>
  <c r="E14" i="4" s="1"/>
  <c r="F14" i="4" s="1"/>
  <c r="G14" i="4" s="1"/>
  <c r="L14" i="4" s="1"/>
  <c r="GE71" i="2"/>
  <c r="GE49" i="2"/>
  <c r="GE20" i="2"/>
  <c r="GE130" i="2"/>
  <c r="GE45" i="2"/>
  <c r="GE136" i="2"/>
  <c r="GE28" i="2"/>
  <c r="GE99" i="2"/>
  <c r="GE153" i="2"/>
  <c r="GE34" i="2"/>
  <c r="GE65" i="2"/>
  <c r="GE88" i="2"/>
  <c r="GE23" i="2"/>
  <c r="GE150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CY43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Y75" i="2" l="1"/>
  <c r="CY156" i="2"/>
  <c r="CY175" i="2"/>
  <c r="CY78" i="2"/>
  <c r="CY103" i="2"/>
  <c r="CY197" i="2"/>
  <c r="CY22" i="2"/>
  <c r="CY191" i="2"/>
  <c r="CY85" i="2"/>
  <c r="CY154" i="2"/>
  <c r="CY188" i="2"/>
  <c r="CY101" i="2"/>
  <c r="CY96" i="2"/>
  <c r="CY199" i="2"/>
  <c r="CY63" i="2"/>
  <c r="CY147" i="2"/>
  <c r="CY59" i="2"/>
  <c r="CY72" i="2"/>
  <c r="CY61" i="2"/>
  <c r="CY160" i="2"/>
  <c r="CY127" i="2"/>
  <c r="CY200" i="2"/>
  <c r="CY134" i="2"/>
  <c r="CY21" i="2"/>
  <c r="CY201" i="2"/>
  <c r="CY128" i="2"/>
  <c r="CY73" i="2"/>
  <c r="CY133" i="2"/>
  <c r="CY107" i="2"/>
  <c r="CY31" i="2"/>
  <c r="CY140" i="2"/>
  <c r="CY203" i="2"/>
  <c r="CY106" i="2"/>
  <c r="CY11" i="2"/>
  <c r="CY13" i="2"/>
  <c r="CY83" i="2"/>
  <c r="CY177" i="2"/>
  <c r="CY32" i="2"/>
  <c r="CY38" i="2"/>
  <c r="CY68" i="2"/>
  <c r="CY51" i="2"/>
  <c r="CY120" i="2"/>
  <c r="CY5" i="2"/>
  <c r="CY41" i="2"/>
  <c r="CY82" i="2"/>
  <c r="CY102" i="2"/>
  <c r="CY71" i="2"/>
  <c r="CY131" i="2"/>
  <c r="CY23" i="2"/>
  <c r="CY190" i="2"/>
  <c r="CY167" i="2"/>
  <c r="CY89" i="2"/>
  <c r="CY90" i="2"/>
  <c r="CY196" i="2"/>
  <c r="CY141" i="2"/>
  <c r="CY29" i="2"/>
  <c r="CY66" i="2"/>
  <c r="CY193" i="2"/>
  <c r="CY104" i="2"/>
  <c r="CY58" i="2"/>
  <c r="CY52" i="2"/>
  <c r="CY118" i="2"/>
  <c r="CY34" i="2"/>
  <c r="CY70" i="2"/>
  <c r="CY99" i="2"/>
  <c r="CY42" i="2"/>
  <c r="CY184" i="2"/>
  <c r="CY18" i="2"/>
  <c r="CY158" i="2"/>
  <c r="CY198" i="2"/>
  <c r="CY67" i="2"/>
  <c r="CY162" i="2"/>
  <c r="CY100" i="2"/>
  <c r="CY28" i="2"/>
  <c r="CY202" i="2"/>
  <c r="CY129" i="2"/>
  <c r="CY46" i="2"/>
  <c r="CY168" i="2"/>
  <c r="CY44" i="2"/>
  <c r="CY26" i="2"/>
  <c r="CY123" i="2"/>
  <c r="CY77" i="2"/>
  <c r="CY150" i="2"/>
  <c r="CY35" i="2"/>
  <c r="CY146" i="2"/>
  <c r="CY181" i="2"/>
  <c r="CY143" i="2"/>
  <c r="CY171" i="2"/>
  <c r="CY64" i="2"/>
  <c r="CY126" i="2"/>
  <c r="CY170" i="2"/>
  <c r="CY166" i="2"/>
  <c r="CY155" i="2"/>
  <c r="CY138" i="2"/>
  <c r="CY182" i="2"/>
  <c r="CY57" i="2"/>
  <c r="CY16" i="2"/>
  <c r="CY110" i="2"/>
  <c r="CY161" i="2"/>
  <c r="CY113" i="2"/>
  <c r="CY180" i="2"/>
  <c r="CY109" i="2"/>
  <c r="CY195" i="2"/>
  <c r="CY105" i="2"/>
  <c r="CY122" i="2"/>
  <c r="CY30" i="2"/>
  <c r="CY15" i="2"/>
  <c r="CY124" i="2"/>
  <c r="CY62" i="2"/>
  <c r="CY80" i="2"/>
  <c r="CY189" i="2"/>
  <c r="CY165" i="2"/>
  <c r="CY149" i="2"/>
  <c r="CY132" i="2"/>
  <c r="CY53" i="2"/>
  <c r="CY33" i="2"/>
  <c r="CY112" i="2"/>
  <c r="CY116" i="2"/>
  <c r="CY108" i="2"/>
  <c r="CY145" i="2"/>
  <c r="CY4" i="2"/>
  <c r="CY8" i="2"/>
  <c r="CY65" i="2"/>
  <c r="CY25" i="2"/>
  <c r="CY139" i="2"/>
  <c r="CY56" i="2"/>
  <c r="CY76" i="2"/>
  <c r="CY3" i="2"/>
  <c r="C10" i="4" s="1"/>
  <c r="E10" i="4" s="1"/>
  <c r="F10" i="4" s="1"/>
  <c r="G10" i="4" s="1"/>
  <c r="L10" i="4" s="1"/>
  <c r="CY12" i="2"/>
  <c r="CY151" i="2"/>
  <c r="CY54" i="2"/>
  <c r="CY55" i="2"/>
  <c r="CY20" i="2"/>
  <c r="CY194" i="2"/>
  <c r="CY152" i="2"/>
  <c r="CY119" i="2"/>
  <c r="CY95" i="2"/>
  <c r="CY135" i="2"/>
  <c r="CY19" i="2"/>
  <c r="CY74" i="2"/>
  <c r="CY94" i="2"/>
  <c r="CY81" i="2"/>
  <c r="CY45" i="2"/>
  <c r="CY130" i="2"/>
  <c r="CY91" i="2"/>
  <c r="CY163" i="2"/>
  <c r="CY79" i="2"/>
  <c r="CY87" i="2"/>
  <c r="CY172" i="2"/>
  <c r="CY159" i="2"/>
  <c r="CY125" i="2"/>
  <c r="CY93" i="2"/>
  <c r="CY157" i="2"/>
  <c r="CY37" i="2"/>
  <c r="CY47" i="2"/>
  <c r="CY148" i="2"/>
  <c r="CY14" i="2"/>
  <c r="CY9" i="2"/>
  <c r="CY69" i="2"/>
  <c r="CY49" i="2"/>
  <c r="CY84" i="2"/>
  <c r="CY137" i="2"/>
  <c r="CY164" i="2"/>
  <c r="CY7" i="2"/>
  <c r="CY60" i="2"/>
  <c r="CY117" i="2"/>
  <c r="CY50" i="2"/>
  <c r="CY39" i="2"/>
  <c r="CY17" i="2"/>
  <c r="CY136" i="2"/>
  <c r="CY27" i="2"/>
  <c r="CY174" i="2"/>
  <c r="CY176" i="2"/>
  <c r="CY115" i="2"/>
  <c r="CY144" i="2"/>
  <c r="CY169" i="2"/>
  <c r="CY98" i="2"/>
  <c r="CY111" i="2"/>
  <c r="CY92" i="2"/>
  <c r="CY183" i="2"/>
  <c r="CY88" i="2"/>
  <c r="CY185" i="2"/>
  <c r="CY114" i="2"/>
  <c r="CY10" i="2"/>
  <c r="CY192" i="2"/>
  <c r="CY186" i="2"/>
  <c r="CY6" i="2"/>
  <c r="CY97" i="2"/>
  <c r="CY86" i="2"/>
  <c r="CY121" i="2"/>
  <c r="CY142" i="2"/>
  <c r="CY153" i="2"/>
  <c r="CY173" i="2"/>
  <c r="CY179" i="2"/>
  <c r="CY36" i="2"/>
  <c r="CY178" i="2"/>
  <c r="CY187" i="2"/>
  <c r="CY48" i="2"/>
  <c r="CY24" i="2"/>
  <c r="CY40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<sst xmlns="http://schemas.openxmlformats.org/spreadsheetml/2006/main" count="1181" uniqueCount="326">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</sst>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1.6202091289464609</c:v>
                </c:pt>
                <c:pt idx="2">
                  <c:v>2.1426861659625378</c:v>
                </c:pt>
                <c:pt idx="3">
                  <c:v>2.8343538096715353</c:v>
                </c:pt>
                <c:pt idx="4">
                  <c:v>3.750215551424795</c:v>
                </c:pt>
                <c:pt idx="5">
                  <c:v>4.9632220203237694</c:v>
                </c:pt>
                <c:pt idx="6">
                  <c:v>6.5701468754391996</c:v>
                </c:pt>
                <c:pt idx="7">
                  <c:v>8.6993924802311628</c:v>
                </c:pt>
                <c:pt idx="8">
                  <c:v>11.521360957053394</c:v>
                </c:pt>
                <c:pt idx="9">
                  <c:v>15.262236105676472</c:v>
                </c:pt>
                <c:pt idx="10">
                  <c:v>20.222301026879929</c:v>
                </c:pt>
                <c:pt idx="11">
                  <c:v>26.800288163489981</c:v>
                </c:pt>
                <c:pt idx="12">
                  <c:v>35.525753557689733</c:v>
                </c:pt>
                <c:pt idx="13">
                  <c:v>47.102126332835446</c:v>
                </c:pt>
                <c:pt idx="14">
                  <c:v>62.463962254142665</c:v>
                </c:pt>
                <c:pt idx="15">
                  <c:v>82.85309935773347</c:v>
                </c:pt>
                <c:pt idx="16">
                  <c:v>107.5714367632949</c:v>
                </c:pt>
                <c:pt idx="17">
                  <c:v>132.14910489975804</c:v>
                </c:pt>
                <c:pt idx="18">
                  <c:v>156.61609434461207</c:v>
                </c:pt>
                <c:pt idx="19">
                  <c:v>180.99217685858619</c:v>
                </c:pt>
                <c:pt idx="20">
                  <c:v>205.29133473515969</c:v>
                </c:pt>
                <c:pt idx="21">
                  <c:v>185.85778785150788</c:v>
                </c:pt>
                <c:pt idx="22">
                  <c:v>216.00176068460652</c:v>
                </c:pt>
                <c:pt idx="23">
                  <c:v>246.04884729357317</c:v>
                </c:pt>
                <c:pt idx="24">
                  <c:v>276.01254545472335</c:v>
                </c:pt>
                <c:pt idx="25">
                  <c:v>305.90317747212345</c:v>
                </c:pt>
                <c:pt idx="26">
                  <c:v>260.53766392680978</c:v>
                </c:pt>
                <c:pt idx="27">
                  <c:v>292.47090180189429</c:v>
                </c:pt>
                <c:pt idx="28">
                  <c:v>324.32626909194676</c:v>
                </c:pt>
                <c:pt idx="29">
                  <c:v>356.11248323761021</c:v>
                </c:pt>
                <c:pt idx="30">
                  <c:v>387.83657804664432</c:v>
                </c:pt>
                <c:pt idx="31">
                  <c:v>342.32647548510039</c:v>
                </c:pt>
                <c:pt idx="32">
                  <c:v>373.6777537813179</c:v>
                </c:pt>
                <c:pt idx="33">
                  <c:v>404.97172072395028</c:v>
                </c:pt>
                <c:pt idx="34">
                  <c:v>436.21342207075668</c:v>
                </c:pt>
                <c:pt idx="35">
                  <c:v>467.40712233198587</c:v>
                </c:pt>
                <c:pt idx="36">
                  <c:v>420.69831700274091</c:v>
                </c:pt>
                <c:pt idx="37">
                  <c:v>450.52453926699656</c:v>
                </c:pt>
                <c:pt idx="38">
                  <c:v>480.30853891265809</c:v>
                </c:pt>
                <c:pt idx="39">
                  <c:v>510.05329873866987</c:v>
                </c:pt>
                <c:pt idx="40">
                  <c:v>539.76142564164661</c:v>
                </c:pt>
                <c:pt idx="41">
                  <c:v>491.21936176570608</c:v>
                </c:pt>
                <c:pt idx="42">
                  <c:v>518.96947327099531</c:v>
                </c:pt>
                <c:pt idx="43">
                  <c:v>546.68830251799864</c:v>
                </c:pt>
                <c:pt idx="44">
                  <c:v>574.37765656188196</c:v>
                </c:pt>
                <c:pt idx="45">
                  <c:v>602.0391542325317</c:v>
                </c:pt>
                <c:pt idx="46">
                  <c:v>552.03063378489981</c:v>
                </c:pt>
                <c:pt idx="47">
                  <c:v>578.13331675125153</c:v>
                </c:pt>
                <c:pt idx="48">
                  <c:v>604.21142107354433</c:v>
                </c:pt>
                <c:pt idx="49">
                  <c:v>630.26615542315449</c:v>
                </c:pt>
                <c:pt idx="50">
                  <c:v>656.29862051784369</c:v>
                </c:pt>
                <c:pt idx="51">
                  <c:v>605.39622547563874</c:v>
                </c:pt>
                <c:pt idx="52">
                  <c:v>629.47695051408391</c:v>
                </c:pt>
                <c:pt idx="53">
                  <c:v>653.53862634443976</c:v>
                </c:pt>
                <c:pt idx="54">
                  <c:v>677.58205212950963</c:v>
                </c:pt>
                <c:pt idx="55">
                  <c:v>701.6079657632057</c:v>
                </c:pt>
                <c:pt idx="56">
                  <c:v>658.86125812821149</c:v>
                </c:pt>
                <c:pt idx="57">
                  <c:v>681.1279433183812</c:v>
                </c:pt>
                <c:pt idx="58">
                  <c:v>703.37969466682216</c:v>
                </c:pt>
                <c:pt idx="59">
                  <c:v>725.61705054675224</c:v>
                </c:pt>
                <c:pt idx="60">
                  <c:v>747.84051368319672</c:v>
                </c:pt>
                <c:pt idx="61">
                  <c:v>709.67843760807307</c:v>
                </c:pt>
                <c:pt idx="62">
                  <c:v>730.53492575764778</c:v>
                </c:pt>
                <c:pt idx="63">
                  <c:v>751.3792832898913</c:v>
                </c:pt>
                <c:pt idx="64">
                  <c:v>772.21189370950435</c:v>
                </c:pt>
                <c:pt idx="65">
                  <c:v>793.03311816691746</c:v>
                </c:pt>
                <c:pt idx="66">
                  <c:v>757.07992270878549</c:v>
                </c:pt>
                <c:pt idx="67">
                  <c:v>776.14128750193925</c:v>
                </c:pt>
                <c:pt idx="68">
                  <c:v>795.19317303888658</c:v>
                </c:pt>
                <c:pt idx="69">
                  <c:v>814.23583815877089</c:v>
                </c:pt>
                <c:pt idx="70">
                  <c:v>833.2695286207304</c:v>
                </c:pt>
                <c:pt idx="71">
                  <c:v>798.92389786277101</c:v>
                </c:pt>
                <c:pt idx="72">
                  <c:v>816.5910031168105</c:v>
                </c:pt>
                <c:pt idx="73">
                  <c:v>834.25040783808493</c:v>
                </c:pt>
                <c:pt idx="74">
                  <c:v>851.90229781195683</c:v>
                </c:pt>
                <c:pt idx="75">
                  <c:v>869.5468505056682</c:v>
                </c:pt>
                <c:pt idx="76">
                  <c:v>836.80058534437376</c:v>
                </c:pt>
                <c:pt idx="77">
                  <c:v>853.07882767831904</c:v>
                </c:pt>
                <c:pt idx="78">
                  <c:v>869.35083960501481</c:v>
                </c:pt>
                <c:pt idx="79">
                  <c:v>885.61675404580762</c:v>
                </c:pt>
                <c:pt idx="80">
                  <c:v>901.87669864666202</c:v>
                </c:pt>
                <c:pt idx="81">
                  <c:v>854.8435614514475</c:v>
                </c:pt>
                <c:pt idx="82">
                  <c:v>854.8435614514475</c:v>
                </c:pt>
                <c:pt idx="83">
                  <c:v>854.8435614514475</c:v>
                </c:pt>
                <c:pt idx="84">
                  <c:v>854.8435614514475</c:v>
                </c:pt>
                <c:pt idx="85">
                  <c:v>854.8435614514475</c:v>
                </c:pt>
                <c:pt idx="86">
                  <c:v>854.8435614514475</c:v>
                </c:pt>
                <c:pt idx="87">
                  <c:v>854.8435614514475</c:v>
                </c:pt>
                <c:pt idx="88">
                  <c:v>854.8435614514475</c:v>
                </c:pt>
                <c:pt idx="89">
                  <c:v>854.8435614514475</c:v>
                </c:pt>
                <c:pt idx="90">
                  <c:v>854.8435614514475</c:v>
                </c:pt>
                <c:pt idx="91">
                  <c:v>854.8435614514475</c:v>
                </c:pt>
                <c:pt idx="92">
                  <c:v>854.8435614514475</c:v>
                </c:pt>
                <c:pt idx="93">
                  <c:v>854.8435614514475</c:v>
                </c:pt>
                <c:pt idx="94">
                  <c:v>854.8435614514475</c:v>
                </c:pt>
                <c:pt idx="95">
                  <c:v>854.8435614514475</c:v>
                </c:pt>
                <c:pt idx="96">
                  <c:v>854.8435614514475</c:v>
                </c:pt>
                <c:pt idx="97">
                  <c:v>854.8435614514475</c:v>
                </c:pt>
                <c:pt idx="98">
                  <c:v>854.8435614514475</c:v>
                </c:pt>
                <c:pt idx="99">
                  <c:v>854.8435614514475</c:v>
                </c:pt>
                <c:pt idx="100">
                  <c:v>854.8435614514475</c:v>
                </c:pt>
                <c:pt idx="101">
                  <c:v>854.8435614514475</c:v>
                </c:pt>
                <c:pt idx="102">
                  <c:v>854.8435614514475</c:v>
                </c:pt>
                <c:pt idx="103">
                  <c:v>854.8435614514475</c:v>
                </c:pt>
                <c:pt idx="104">
                  <c:v>854.8435614514475</c:v>
                </c:pt>
                <c:pt idx="105">
                  <c:v>854.8435614514475</c:v>
                </c:pt>
                <c:pt idx="106">
                  <c:v>854.8435614514475</c:v>
                </c:pt>
                <c:pt idx="107">
                  <c:v>854.8435614514475</c:v>
                </c:pt>
                <c:pt idx="108">
                  <c:v>854.8435614514475</c:v>
                </c:pt>
                <c:pt idx="109">
                  <c:v>854.8435614514475</c:v>
                </c:pt>
                <c:pt idx="110">
                  <c:v>854.8435614514475</c:v>
                </c:pt>
                <c:pt idx="111">
                  <c:v>854.8435614514475</c:v>
                </c:pt>
                <c:pt idx="112">
                  <c:v>854.8435614514475</c:v>
                </c:pt>
                <c:pt idx="113">
                  <c:v>854.8435614514475</c:v>
                </c:pt>
                <c:pt idx="114">
                  <c:v>854.8435614514475</c:v>
                </c:pt>
                <c:pt idx="115">
                  <c:v>854.8435614514475</c:v>
                </c:pt>
                <c:pt idx="116">
                  <c:v>854.8435614514475</c:v>
                </c:pt>
                <c:pt idx="117">
                  <c:v>854.8435614514475</c:v>
                </c:pt>
                <c:pt idx="118">
                  <c:v>854.8435614514475</c:v>
                </c:pt>
                <c:pt idx="119">
                  <c:v>854.8435614514475</c:v>
                </c:pt>
                <c:pt idx="120">
                  <c:v>854.8435614514475</c:v>
                </c:pt>
                <c:pt idx="121">
                  <c:v>854.8435614514475</c:v>
                </c:pt>
                <c:pt idx="122">
                  <c:v>854.8435614514475</c:v>
                </c:pt>
                <c:pt idx="123">
                  <c:v>854.8435614514475</c:v>
                </c:pt>
                <c:pt idx="124">
                  <c:v>854.8435614514475</c:v>
                </c:pt>
                <c:pt idx="125">
                  <c:v>854.8435614514475</c:v>
                </c:pt>
                <c:pt idx="126">
                  <c:v>854.8435614514475</c:v>
                </c:pt>
                <c:pt idx="127">
                  <c:v>854.8435614514475</c:v>
                </c:pt>
                <c:pt idx="128">
                  <c:v>854.8435614514475</c:v>
                </c:pt>
                <c:pt idx="129">
                  <c:v>854.8435614514475</c:v>
                </c:pt>
                <c:pt idx="130">
                  <c:v>854.8435614514475</c:v>
                </c:pt>
                <c:pt idx="131">
                  <c:v>854.8435614514475</c:v>
                </c:pt>
                <c:pt idx="132">
                  <c:v>854.8435614514475</c:v>
                </c:pt>
                <c:pt idx="133">
                  <c:v>854.8435614514475</c:v>
                </c:pt>
                <c:pt idx="134">
                  <c:v>854.8435614514475</c:v>
                </c:pt>
                <c:pt idx="135">
                  <c:v>854.8435614514475</c:v>
                </c:pt>
                <c:pt idx="136">
                  <c:v>854.8435614514475</c:v>
                </c:pt>
                <c:pt idx="137">
                  <c:v>854.8435614514475</c:v>
                </c:pt>
                <c:pt idx="138">
                  <c:v>854.8435614514475</c:v>
                </c:pt>
                <c:pt idx="139">
                  <c:v>854.8435614514475</c:v>
                </c:pt>
                <c:pt idx="140">
                  <c:v>854.8435614514475</c:v>
                </c:pt>
                <c:pt idx="141">
                  <c:v>854.8435614514475</c:v>
                </c:pt>
                <c:pt idx="142">
                  <c:v>854.8435614514475</c:v>
                </c:pt>
                <c:pt idx="143">
                  <c:v>854.8435614514475</c:v>
                </c:pt>
                <c:pt idx="144">
                  <c:v>854.8435614514475</c:v>
                </c:pt>
                <c:pt idx="145">
                  <c:v>854.8435614514475</c:v>
                </c:pt>
                <c:pt idx="146">
                  <c:v>854.8435614514475</c:v>
                </c:pt>
                <c:pt idx="147">
                  <c:v>854.8435614514475</c:v>
                </c:pt>
                <c:pt idx="148">
                  <c:v>854.8435614514475</c:v>
                </c:pt>
                <c:pt idx="149">
                  <c:v>854.8435614514475</c:v>
                </c:pt>
                <c:pt idx="150">
                  <c:v>854.8435614514475</c:v>
                </c:pt>
                <c:pt idx="151">
                  <c:v>854.8435614514475</c:v>
                </c:pt>
                <c:pt idx="152">
                  <c:v>854.8435614514475</c:v>
                </c:pt>
                <c:pt idx="153">
                  <c:v>854.8435614514475</c:v>
                </c:pt>
                <c:pt idx="154">
                  <c:v>854.8435614514475</c:v>
                </c:pt>
                <c:pt idx="155">
                  <c:v>854.8435614514475</c:v>
                </c:pt>
                <c:pt idx="156">
                  <c:v>854.8435614514475</c:v>
                </c:pt>
                <c:pt idx="157">
                  <c:v>854.8435614514475</c:v>
                </c:pt>
                <c:pt idx="158">
                  <c:v>854.8435614514475</c:v>
                </c:pt>
                <c:pt idx="159">
                  <c:v>854.8435614514475</c:v>
                </c:pt>
                <c:pt idx="160">
                  <c:v>854.8435614514475</c:v>
                </c:pt>
                <c:pt idx="161">
                  <c:v>854.8435614514475</c:v>
                </c:pt>
                <c:pt idx="162">
                  <c:v>854.8435614514475</c:v>
                </c:pt>
                <c:pt idx="163">
                  <c:v>854.8435614514475</c:v>
                </c:pt>
                <c:pt idx="164">
                  <c:v>854.8435614514475</c:v>
                </c:pt>
                <c:pt idx="165">
                  <c:v>854.8435614514475</c:v>
                </c:pt>
                <c:pt idx="166">
                  <c:v>854.8435614514475</c:v>
                </c:pt>
                <c:pt idx="167">
                  <c:v>854.8435614514475</c:v>
                </c:pt>
                <c:pt idx="168">
                  <c:v>854.8435614514475</c:v>
                </c:pt>
                <c:pt idx="169">
                  <c:v>854.8435614514475</c:v>
                </c:pt>
                <c:pt idx="170">
                  <c:v>854.8435614514475</c:v>
                </c:pt>
                <c:pt idx="171">
                  <c:v>854.8435614514475</c:v>
                </c:pt>
                <c:pt idx="172">
                  <c:v>854.8435614514475</c:v>
                </c:pt>
                <c:pt idx="173">
                  <c:v>854.8435614514475</c:v>
                </c:pt>
                <c:pt idx="174">
                  <c:v>854.8435614514475</c:v>
                </c:pt>
                <c:pt idx="175">
                  <c:v>854.8435614514475</c:v>
                </c:pt>
                <c:pt idx="176">
                  <c:v>854.8435614514475</c:v>
                </c:pt>
                <c:pt idx="177">
                  <c:v>854.8435614514475</c:v>
                </c:pt>
                <c:pt idx="178">
                  <c:v>854.8435614514475</c:v>
                </c:pt>
                <c:pt idx="179">
                  <c:v>854.8435614514475</c:v>
                </c:pt>
                <c:pt idx="180">
                  <c:v>854.8435614514475</c:v>
                </c:pt>
                <c:pt idx="181">
                  <c:v>854.8435614514475</c:v>
                </c:pt>
                <c:pt idx="182">
                  <c:v>854.8435614514475</c:v>
                </c:pt>
                <c:pt idx="183">
                  <c:v>854.8435614514475</c:v>
                </c:pt>
                <c:pt idx="184">
                  <c:v>854.8435614514475</c:v>
                </c:pt>
                <c:pt idx="185">
                  <c:v>854.8435614514475</c:v>
                </c:pt>
                <c:pt idx="186">
                  <c:v>854.8435614514475</c:v>
                </c:pt>
                <c:pt idx="187">
                  <c:v>854.8435614514475</c:v>
                </c:pt>
                <c:pt idx="188">
                  <c:v>854.8435614514475</c:v>
                </c:pt>
                <c:pt idx="189">
                  <c:v>854.8435614514475</c:v>
                </c:pt>
                <c:pt idx="190">
                  <c:v>854.8435614514475</c:v>
                </c:pt>
                <c:pt idx="191">
                  <c:v>854.8435614514475</c:v>
                </c:pt>
                <c:pt idx="192">
                  <c:v>854.8435614514475</c:v>
                </c:pt>
                <c:pt idx="193">
                  <c:v>854.8435614514475</c:v>
                </c:pt>
                <c:pt idx="194">
                  <c:v>854.8435614514475</c:v>
                </c:pt>
                <c:pt idx="195">
                  <c:v>854.8435614514475</c:v>
                </c:pt>
                <c:pt idx="196">
                  <c:v>854.8435614514475</c:v>
                </c:pt>
                <c:pt idx="197">
                  <c:v>854.8435614514475</c:v>
                </c:pt>
                <c:pt idx="198">
                  <c:v>854.8435614514475</c:v>
                </c:pt>
                <c:pt idx="199">
                  <c:v>854.8435614514475</c:v>
                </c:pt>
                <c:pt idx="200">
                  <c:v>854.8435614514475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2.7867032327286165</c:v>
                </c:pt>
                <c:pt idx="2">
                  <c:v>3.2017857634751645</c:v>
                </c:pt>
                <c:pt idx="3">
                  <c:v>3.6789163915306151</c:v>
                </c:pt>
                <c:pt idx="4">
                  <c:v>4.2274015269224003</c:v>
                </c:pt>
                <c:pt idx="5">
                  <c:v>4.857947815272996</c:v>
                </c:pt>
                <c:pt idx="6">
                  <c:v>5.5828734326394835</c:v>
                </c:pt>
                <c:pt idx="7">
                  <c:v>6.4163513508271786</c:v>
                </c:pt>
                <c:pt idx="8">
                  <c:v>7.3746894225630202</c:v>
                </c:pt>
                <c:pt idx="9">
                  <c:v>8.4766528731557784</c:v>
                </c:pt>
                <c:pt idx="10">
                  <c:v>9.7438356348243556</c:v>
                </c:pt>
                <c:pt idx="11">
                  <c:v>11.201087938884697</c:v>
                </c:pt>
                <c:pt idx="12">
                  <c:v>12.877008709212587</c:v>
                </c:pt>
                <c:pt idx="13">
                  <c:v>14.804512600629446</c:v>
                </c:pt>
                <c:pt idx="14">
                  <c:v>17.02148302435992</c:v>
                </c:pt>
                <c:pt idx="15">
                  <c:v>19.571524229773253</c:v>
                </c:pt>
                <c:pt idx="16">
                  <c:v>22.504827502166687</c:v>
                </c:pt>
                <c:pt idx="17">
                  <c:v>25.879168830646851</c:v>
                </c:pt>
                <c:pt idx="18">
                  <c:v>29.76105804464434</c:v>
                </c:pt>
                <c:pt idx="19">
                  <c:v>34.227062465796415</c:v>
                </c:pt>
                <c:pt idx="20">
                  <c:v>39.365331635590955</c:v>
                </c:pt>
                <c:pt idx="21">
                  <c:v>45.277353729472026</c:v>
                </c:pt>
                <c:pt idx="22">
                  <c:v>52.079978937162316</c:v>
                </c:pt>
                <c:pt idx="23">
                  <c:v>59.907750471433324</c:v>
                </c:pt>
                <c:pt idx="24">
                  <c:v>68.915590072633407</c:v>
                </c:pt>
                <c:pt idx="25">
                  <c:v>79.281892029880893</c:v>
                </c:pt>
                <c:pt idx="26">
                  <c:v>91.212087987157972</c:v>
                </c:pt>
                <c:pt idx="27">
                  <c:v>104.9427543110823</c:v>
                </c:pt>
                <c:pt idx="28">
                  <c:v>120.74634476003911</c:v>
                </c:pt>
                <c:pt idx="29">
                  <c:v>138.93664383441487</c:v>
                </c:pt>
                <c:pt idx="30">
                  <c:v>159.87505076182592</c:v>
                </c:pt>
                <c:pt idx="31">
                  <c:v>176.50349671385695</c:v>
                </c:pt>
                <c:pt idx="32">
                  <c:v>193.0951780812635</c:v>
                </c:pt>
                <c:pt idx="33">
                  <c:v>209.65369967604843</c:v>
                </c:pt>
                <c:pt idx="34">
                  <c:v>226.18204971837383</c:v>
                </c:pt>
                <c:pt idx="35">
                  <c:v>242.68274364873625</c:v>
                </c:pt>
                <c:pt idx="36">
                  <c:v>259.15792668837645</c:v>
                </c:pt>
                <c:pt idx="37">
                  <c:v>275.60944890634181</c:v>
                </c:pt>
                <c:pt idx="38">
                  <c:v>292.03892139870516</c:v>
                </c:pt>
                <c:pt idx="39">
                  <c:v>308.4477591495006</c:v>
                </c:pt>
                <c:pt idx="40">
                  <c:v>324.83721428574671</c:v>
                </c:pt>
                <c:pt idx="41">
                  <c:v>341.20840226530544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601.51251958281728</c:v>
                </c:pt>
                <c:pt idx="82">
                  <c:v>601.51251958281728</c:v>
                </c:pt>
                <c:pt idx="83">
                  <c:v>601.51251958281728</c:v>
                </c:pt>
                <c:pt idx="84">
                  <c:v>601.51251958281728</c:v>
                </c:pt>
                <c:pt idx="85">
                  <c:v>601.51251958281728</c:v>
                </c:pt>
                <c:pt idx="86">
                  <c:v>601.51251958281728</c:v>
                </c:pt>
                <c:pt idx="87">
                  <c:v>601.51251958281728</c:v>
                </c:pt>
                <c:pt idx="88">
                  <c:v>601.51251958281728</c:v>
                </c:pt>
                <c:pt idx="89">
                  <c:v>601.51251958281728</c:v>
                </c:pt>
                <c:pt idx="90">
                  <c:v>601.51251958281728</c:v>
                </c:pt>
                <c:pt idx="91">
                  <c:v>601.51251958281728</c:v>
                </c:pt>
                <c:pt idx="92">
                  <c:v>601.51251958281728</c:v>
                </c:pt>
                <c:pt idx="93">
                  <c:v>601.51251958281728</c:v>
                </c:pt>
                <c:pt idx="94">
                  <c:v>601.51251958281728</c:v>
                </c:pt>
                <c:pt idx="95">
                  <c:v>601.51251958281728</c:v>
                </c:pt>
                <c:pt idx="96">
                  <c:v>601.51251958281728</c:v>
                </c:pt>
                <c:pt idx="97">
                  <c:v>601.51251958281728</c:v>
                </c:pt>
                <c:pt idx="98">
                  <c:v>601.51251958281728</c:v>
                </c:pt>
                <c:pt idx="99">
                  <c:v>601.51251958281728</c:v>
                </c:pt>
                <c:pt idx="100">
                  <c:v>601.51251958281728</c:v>
                </c:pt>
                <c:pt idx="101">
                  <c:v>601.51251958281728</c:v>
                </c:pt>
                <c:pt idx="102">
                  <c:v>601.51251958281728</c:v>
                </c:pt>
                <c:pt idx="103">
                  <c:v>601.51251958281728</c:v>
                </c:pt>
                <c:pt idx="104">
                  <c:v>601.51251958281728</c:v>
                </c:pt>
                <c:pt idx="105">
                  <c:v>601.51251958281728</c:v>
                </c:pt>
                <c:pt idx="106">
                  <c:v>601.51251958281728</c:v>
                </c:pt>
                <c:pt idx="107">
                  <c:v>601.51251958281728</c:v>
                </c:pt>
                <c:pt idx="108">
                  <c:v>601.51251958281728</c:v>
                </c:pt>
                <c:pt idx="109">
                  <c:v>601.51251958281728</c:v>
                </c:pt>
                <c:pt idx="110">
                  <c:v>601.51251958281728</c:v>
                </c:pt>
                <c:pt idx="111">
                  <c:v>601.51251958281728</c:v>
                </c:pt>
                <c:pt idx="112">
                  <c:v>601.51251958281728</c:v>
                </c:pt>
                <c:pt idx="113">
                  <c:v>601.51251958281728</c:v>
                </c:pt>
                <c:pt idx="114">
                  <c:v>601.51251958281728</c:v>
                </c:pt>
                <c:pt idx="115">
                  <c:v>601.51251958281728</c:v>
                </c:pt>
                <c:pt idx="116">
                  <c:v>601.51251958281728</c:v>
                </c:pt>
                <c:pt idx="117">
                  <c:v>601.51251958281728</c:v>
                </c:pt>
                <c:pt idx="118">
                  <c:v>601.51251958281728</c:v>
                </c:pt>
                <c:pt idx="119">
                  <c:v>601.51251958281728</c:v>
                </c:pt>
                <c:pt idx="120">
                  <c:v>601.51251958281728</c:v>
                </c:pt>
                <c:pt idx="121">
                  <c:v>601.51251958281728</c:v>
                </c:pt>
                <c:pt idx="122">
                  <c:v>601.51251958281728</c:v>
                </c:pt>
                <c:pt idx="123">
                  <c:v>601.51251958281728</c:v>
                </c:pt>
                <c:pt idx="124">
                  <c:v>601.51251958281728</c:v>
                </c:pt>
                <c:pt idx="125">
                  <c:v>601.51251958281728</c:v>
                </c:pt>
                <c:pt idx="126">
                  <c:v>601.51251958281728</c:v>
                </c:pt>
                <c:pt idx="127">
                  <c:v>601.51251958281728</c:v>
                </c:pt>
                <c:pt idx="128">
                  <c:v>601.51251958281728</c:v>
                </c:pt>
                <c:pt idx="129">
                  <c:v>601.51251958281728</c:v>
                </c:pt>
                <c:pt idx="130">
                  <c:v>601.51251958281728</c:v>
                </c:pt>
                <c:pt idx="131">
                  <c:v>601.51251958281728</c:v>
                </c:pt>
                <c:pt idx="132">
                  <c:v>601.51251958281728</c:v>
                </c:pt>
                <c:pt idx="133">
                  <c:v>601.51251958281728</c:v>
                </c:pt>
                <c:pt idx="134">
                  <c:v>601.51251958281728</c:v>
                </c:pt>
                <c:pt idx="135">
                  <c:v>601.51251958281728</c:v>
                </c:pt>
                <c:pt idx="136">
                  <c:v>601.51251958281728</c:v>
                </c:pt>
                <c:pt idx="137">
                  <c:v>601.51251958281728</c:v>
                </c:pt>
                <c:pt idx="138">
                  <c:v>601.51251958281728</c:v>
                </c:pt>
                <c:pt idx="139">
                  <c:v>601.51251958281728</c:v>
                </c:pt>
                <c:pt idx="140">
                  <c:v>601.51251958281728</c:v>
                </c:pt>
                <c:pt idx="141">
                  <c:v>601.51251958281728</c:v>
                </c:pt>
                <c:pt idx="142">
                  <c:v>601.51251958281728</c:v>
                </c:pt>
                <c:pt idx="143">
                  <c:v>601.51251958281728</c:v>
                </c:pt>
                <c:pt idx="144">
                  <c:v>601.51251958281728</c:v>
                </c:pt>
                <c:pt idx="145">
                  <c:v>601.51251958281728</c:v>
                </c:pt>
                <c:pt idx="146">
                  <c:v>601.51251958281728</c:v>
                </c:pt>
                <c:pt idx="147">
                  <c:v>601.51251958281728</c:v>
                </c:pt>
                <c:pt idx="148">
                  <c:v>601.51251958281728</c:v>
                </c:pt>
                <c:pt idx="149">
                  <c:v>601.51251958281728</c:v>
                </c:pt>
                <c:pt idx="150">
                  <c:v>601.51251958281728</c:v>
                </c:pt>
                <c:pt idx="151">
                  <c:v>601.51251958281728</c:v>
                </c:pt>
                <c:pt idx="152">
                  <c:v>601.51251958281728</c:v>
                </c:pt>
                <c:pt idx="153">
                  <c:v>601.51251958281728</c:v>
                </c:pt>
                <c:pt idx="154">
                  <c:v>601.51251958281728</c:v>
                </c:pt>
                <c:pt idx="155">
                  <c:v>601.51251958281728</c:v>
                </c:pt>
                <c:pt idx="156">
                  <c:v>601.51251958281728</c:v>
                </c:pt>
                <c:pt idx="157">
                  <c:v>601.51251958281728</c:v>
                </c:pt>
                <c:pt idx="158">
                  <c:v>601.51251958281728</c:v>
                </c:pt>
                <c:pt idx="159">
                  <c:v>601.51251958281728</c:v>
                </c:pt>
                <c:pt idx="160">
                  <c:v>601.51251958281728</c:v>
                </c:pt>
                <c:pt idx="161">
                  <c:v>601.51251958281728</c:v>
                </c:pt>
                <c:pt idx="162">
                  <c:v>601.51251958281728</c:v>
                </c:pt>
                <c:pt idx="163">
                  <c:v>601.51251958281728</c:v>
                </c:pt>
                <c:pt idx="164">
                  <c:v>601.51251958281728</c:v>
                </c:pt>
                <c:pt idx="165">
                  <c:v>601.51251958281728</c:v>
                </c:pt>
                <c:pt idx="166">
                  <c:v>601.51251958281728</c:v>
                </c:pt>
                <c:pt idx="167">
                  <c:v>601.51251958281728</c:v>
                </c:pt>
                <c:pt idx="168">
                  <c:v>601.51251958281728</c:v>
                </c:pt>
                <c:pt idx="169">
                  <c:v>601.51251958281728</c:v>
                </c:pt>
                <c:pt idx="170">
                  <c:v>601.51251958281728</c:v>
                </c:pt>
                <c:pt idx="171">
                  <c:v>601.51251958281728</c:v>
                </c:pt>
                <c:pt idx="172">
                  <c:v>601.51251958281728</c:v>
                </c:pt>
                <c:pt idx="173">
                  <c:v>601.51251958281728</c:v>
                </c:pt>
                <c:pt idx="174">
                  <c:v>601.51251958281728</c:v>
                </c:pt>
                <c:pt idx="175">
                  <c:v>601.51251958281728</c:v>
                </c:pt>
                <c:pt idx="176">
                  <c:v>601.51251958281728</c:v>
                </c:pt>
                <c:pt idx="177">
                  <c:v>601.51251958281728</c:v>
                </c:pt>
                <c:pt idx="178">
                  <c:v>601.51251958281728</c:v>
                </c:pt>
                <c:pt idx="179">
                  <c:v>601.51251958281728</c:v>
                </c:pt>
                <c:pt idx="180">
                  <c:v>601.51251958281728</c:v>
                </c:pt>
                <c:pt idx="181">
                  <c:v>601.51251958281728</c:v>
                </c:pt>
                <c:pt idx="182">
                  <c:v>601.51251958281728</c:v>
                </c:pt>
                <c:pt idx="183">
                  <c:v>601.51251958281728</c:v>
                </c:pt>
                <c:pt idx="184">
                  <c:v>601.51251958281728</c:v>
                </c:pt>
                <c:pt idx="185">
                  <c:v>601.51251958281728</c:v>
                </c:pt>
                <c:pt idx="186">
                  <c:v>601.51251958281728</c:v>
                </c:pt>
                <c:pt idx="187">
                  <c:v>601.51251958281728</c:v>
                </c:pt>
                <c:pt idx="188">
                  <c:v>601.51251958281728</c:v>
                </c:pt>
                <c:pt idx="189">
                  <c:v>601.51251958281728</c:v>
                </c:pt>
                <c:pt idx="190">
                  <c:v>601.51251958281728</c:v>
                </c:pt>
                <c:pt idx="191">
                  <c:v>601.51251958281728</c:v>
                </c:pt>
                <c:pt idx="192">
                  <c:v>601.51251958281728</c:v>
                </c:pt>
                <c:pt idx="193">
                  <c:v>601.51251958281728</c:v>
                </c:pt>
                <c:pt idx="194">
                  <c:v>601.51251958281728</c:v>
                </c:pt>
                <c:pt idx="195">
                  <c:v>601.51251958281728</c:v>
                </c:pt>
                <c:pt idx="196">
                  <c:v>601.51251958281728</c:v>
                </c:pt>
                <c:pt idx="197">
                  <c:v>601.51251958281728</c:v>
                </c:pt>
                <c:pt idx="198">
                  <c:v>601.51251958281728</c:v>
                </c:pt>
                <c:pt idx="199">
                  <c:v>601.51251958281728</c:v>
                </c:pt>
                <c:pt idx="200">
                  <c:v>601.51251958281728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1" zoomScale="85" zoomScaleNormal="85" workbookViewId="0">
      <selection activeCell="F75" sqref="F7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9.3000000000000007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164</v>
      </c>
      <c r="C9" s="264">
        <v>0.19769999999999999</v>
      </c>
      <c r="D9" s="33">
        <f t="shared" ref="D9:D18" si="0">C9*$C$5</f>
        <v>1.8386100000000001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</v>
      </c>
      <c r="C10" s="264">
        <v>0.20449999999999999</v>
      </c>
      <c r="D10" s="33">
        <f t="shared" si="0"/>
        <v>1.90185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35</v>
      </c>
      <c r="C11" s="264">
        <v>0.30070000000000002</v>
      </c>
      <c r="D11" s="33">
        <f t="shared" si="0"/>
        <v>2.7965100000000005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14</v>
      </c>
      <c r="C12" s="264">
        <v>0.20669999999999999</v>
      </c>
      <c r="D12" s="33">
        <f t="shared" si="0"/>
        <v>1.9223100000000002</v>
      </c>
      <c r="E12" s="265">
        <v>115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6</v>
      </c>
      <c r="C13" s="32">
        <v>5.11E-2</v>
      </c>
      <c r="D13" s="33">
        <f t="shared" si="0"/>
        <v>0.47523000000000004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21</v>
      </c>
      <c r="C14" s="32">
        <v>3.9E-2</v>
      </c>
      <c r="D14" s="33">
        <f t="shared" si="0"/>
        <v>0.36270000000000002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0.99970000000000014</v>
      </c>
      <c r="D19" s="38">
        <f>SUM(D9:D18)</f>
        <v>9.2972099999999998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78</v>
      </c>
      <c r="C36" s="259"/>
      <c r="D36" s="259"/>
      <c r="E36" s="260"/>
      <c r="F36" s="260"/>
      <c r="G36" s="260"/>
      <c r="H36" s="260"/>
      <c r="I36" s="49">
        <f>IFERROR(B36/A36,"")</f>
        <v>5.2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198</v>
      </c>
      <c r="C37" s="259">
        <v>1</v>
      </c>
      <c r="D37" s="259">
        <v>49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298</v>
      </c>
      <c r="C38" s="259">
        <v>2</v>
      </c>
      <c r="D38" s="259">
        <v>77</v>
      </c>
      <c r="E38" s="260"/>
      <c r="F38" s="260">
        <v>1</v>
      </c>
      <c r="G38" s="260"/>
      <c r="H38" s="260"/>
      <c r="I38" s="53">
        <f t="shared" si="1"/>
        <v>29.8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380</v>
      </c>
      <c r="C39" s="259">
        <v>3</v>
      </c>
      <c r="D39" s="259">
        <v>77</v>
      </c>
      <c r="E39" s="260"/>
      <c r="F39" s="260">
        <v>1</v>
      </c>
      <c r="G39" s="260"/>
      <c r="H39" s="260"/>
      <c r="I39" s="49">
        <f t="shared" si="1"/>
        <v>31.8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460</v>
      </c>
      <c r="C40" s="259">
        <v>4</v>
      </c>
      <c r="D40" s="259">
        <v>77</v>
      </c>
      <c r="E40" s="260">
        <v>1</v>
      </c>
      <c r="F40" s="260"/>
      <c r="G40" s="260"/>
      <c r="H40" s="260"/>
      <c r="I40" s="49">
        <f t="shared" si="1"/>
        <v>31.4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533</v>
      </c>
      <c r="C41" s="259">
        <v>5</v>
      </c>
      <c r="D41" s="259">
        <v>77</v>
      </c>
      <c r="E41" s="260">
        <v>1</v>
      </c>
      <c r="F41" s="260"/>
      <c r="G41" s="260"/>
      <c r="H41" s="260"/>
      <c r="I41" s="53">
        <f t="shared" si="1"/>
        <v>30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596</v>
      </c>
      <c r="C42" s="259">
        <v>6</v>
      </c>
      <c r="D42" s="259">
        <v>77</v>
      </c>
      <c r="E42" s="260">
        <v>1</v>
      </c>
      <c r="F42" s="260"/>
      <c r="G42" s="260"/>
      <c r="H42" s="260"/>
      <c r="I42" s="53">
        <f t="shared" si="1"/>
        <v>28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651</v>
      </c>
      <c r="C43" s="259">
        <v>7</v>
      </c>
      <c r="D43" s="259">
        <v>76</v>
      </c>
      <c r="E43" s="260">
        <v>1</v>
      </c>
      <c r="F43" s="260"/>
      <c r="G43" s="260"/>
      <c r="H43" s="260"/>
      <c r="I43" s="49">
        <f t="shared" si="1"/>
        <v>26.4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697</v>
      </c>
      <c r="C44" s="259">
        <v>8</v>
      </c>
      <c r="D44" s="259">
        <v>66</v>
      </c>
      <c r="E44" s="260">
        <v>1</v>
      </c>
      <c r="F44" s="260"/>
      <c r="G44" s="260"/>
      <c r="H44" s="260"/>
      <c r="I44" s="49">
        <f t="shared" si="1"/>
        <v>24.4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744</v>
      </c>
      <c r="C45" s="259">
        <v>9</v>
      </c>
      <c r="D45" s="261">
        <v>60</v>
      </c>
      <c r="E45" s="260">
        <v>1</v>
      </c>
      <c r="F45" s="260"/>
      <c r="G45" s="260"/>
      <c r="H45" s="260"/>
      <c r="I45" s="49">
        <f t="shared" si="1"/>
        <v>22.6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790</v>
      </c>
      <c r="C46" s="259">
        <v>10</v>
      </c>
      <c r="D46" s="262">
        <v>56</v>
      </c>
      <c r="E46" s="260">
        <v>1</v>
      </c>
      <c r="F46" s="260"/>
      <c r="G46" s="260"/>
      <c r="H46" s="260"/>
      <c r="I46" s="49">
        <f t="shared" si="1"/>
        <v>21.2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831</v>
      </c>
      <c r="C47" s="259">
        <v>11</v>
      </c>
      <c r="D47" s="261">
        <v>53</v>
      </c>
      <c r="E47" s="260">
        <v>1</v>
      </c>
      <c r="F47" s="260"/>
      <c r="G47" s="260"/>
      <c r="H47" s="260"/>
      <c r="I47" s="49">
        <f t="shared" si="1"/>
        <v>19.399999999999999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868</v>
      </c>
      <c r="C48" s="259">
        <v>12</v>
      </c>
      <c r="D48" s="261">
        <v>50</v>
      </c>
      <c r="E48" s="260">
        <v>1</v>
      </c>
      <c r="F48" s="260"/>
      <c r="G48" s="260"/>
      <c r="H48" s="260"/>
      <c r="I48" s="49">
        <f t="shared" si="1"/>
        <v>18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901</v>
      </c>
      <c r="C49" s="259">
        <v>13</v>
      </c>
      <c r="D49" s="261">
        <v>48</v>
      </c>
      <c r="E49" s="260">
        <v>1</v>
      </c>
      <c r="F49" s="260"/>
      <c r="G49" s="260"/>
      <c r="H49" s="260"/>
      <c r="I49" s="49">
        <f t="shared" si="1"/>
        <v>16.600000000000001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20</v>
      </c>
      <c r="B62" s="261">
        <v>73</v>
      </c>
      <c r="C62" s="261">
        <v>1</v>
      </c>
      <c r="D62" s="261">
        <v>6</v>
      </c>
      <c r="E62" s="260"/>
      <c r="F62" s="260"/>
      <c r="G62" s="260"/>
      <c r="H62" s="260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103</v>
      </c>
      <c r="C63" s="261">
        <v>2</v>
      </c>
      <c r="D63" s="261">
        <v>28</v>
      </c>
      <c r="E63" s="260"/>
      <c r="F63" s="260"/>
      <c r="G63" s="260"/>
      <c r="H63" s="260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121</v>
      </c>
      <c r="C64" s="261">
        <v>3</v>
      </c>
      <c r="D64" s="261">
        <v>28</v>
      </c>
      <c r="E64" s="260"/>
      <c r="F64" s="260"/>
      <c r="G64" s="260"/>
      <c r="H64" s="260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147</v>
      </c>
      <c r="C65" s="261">
        <v>4</v>
      </c>
      <c r="D65" s="261">
        <v>28</v>
      </c>
      <c r="E65" s="260">
        <v>1</v>
      </c>
      <c r="F65" s="260"/>
      <c r="G65" s="260"/>
      <c r="H65" s="260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175</v>
      </c>
      <c r="C66" s="261">
        <v>5</v>
      </c>
      <c r="D66" s="261">
        <v>28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204</v>
      </c>
      <c r="C67" s="261">
        <v>6</v>
      </c>
      <c r="D67" s="261">
        <v>28</v>
      </c>
      <c r="E67" s="260">
        <v>1</v>
      </c>
      <c r="F67" s="260"/>
      <c r="G67" s="260"/>
      <c r="H67" s="260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231</v>
      </c>
      <c r="C68" s="261">
        <v>7</v>
      </c>
      <c r="D68" s="261">
        <v>28</v>
      </c>
      <c r="E68" s="260">
        <v>1</v>
      </c>
      <c r="F68" s="260"/>
      <c r="G68" s="260"/>
      <c r="H68" s="260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254</v>
      </c>
      <c r="C69" s="261">
        <v>8</v>
      </c>
      <c r="D69" s="261">
        <v>28</v>
      </c>
      <c r="E69" s="260">
        <v>1</v>
      </c>
      <c r="F69" s="260"/>
      <c r="G69" s="260"/>
      <c r="H69" s="260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273</v>
      </c>
      <c r="C70" s="261">
        <v>9</v>
      </c>
      <c r="D70" s="261">
        <v>28</v>
      </c>
      <c r="E70" s="260">
        <v>1</v>
      </c>
      <c r="F70" s="260"/>
      <c r="G70" s="260"/>
      <c r="H70" s="260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65</v>
      </c>
      <c r="B71" s="261">
        <v>289</v>
      </c>
      <c r="C71" s="261">
        <v>10</v>
      </c>
      <c r="D71" s="261">
        <v>28</v>
      </c>
      <c r="E71" s="260">
        <v>1</v>
      </c>
      <c r="F71" s="260"/>
      <c r="G71" s="260"/>
      <c r="H71" s="260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70</v>
      </c>
      <c r="B72" s="261">
        <v>302</v>
      </c>
      <c r="C72" s="261">
        <v>11</v>
      </c>
      <c r="D72" s="261">
        <v>28</v>
      </c>
      <c r="E72" s="260">
        <v>1</v>
      </c>
      <c r="F72" s="260"/>
      <c r="G72" s="260"/>
      <c r="H72" s="260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75</v>
      </c>
      <c r="B73" s="261">
        <v>312</v>
      </c>
      <c r="C73" s="261">
        <v>12</v>
      </c>
      <c r="D73" s="261">
        <v>28</v>
      </c>
      <c r="E73" s="260">
        <v>1</v>
      </c>
      <c r="F73" s="260"/>
      <c r="G73" s="260"/>
      <c r="H73" s="260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80</v>
      </c>
      <c r="B74" s="261">
        <v>320</v>
      </c>
      <c r="C74" s="261">
        <v>13</v>
      </c>
      <c r="D74" s="261">
        <v>28</v>
      </c>
      <c r="E74" s="260">
        <v>1</v>
      </c>
      <c r="F74" s="260"/>
      <c r="G74" s="260"/>
      <c r="H74" s="260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85</v>
      </c>
      <c r="B75" s="261">
        <v>326</v>
      </c>
      <c r="C75" s="261">
        <v>14</v>
      </c>
      <c r="D75" s="261">
        <v>28</v>
      </c>
      <c r="E75" s="260">
        <v>1</v>
      </c>
      <c r="F75" s="260"/>
      <c r="G75" s="260"/>
      <c r="H75" s="260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90</v>
      </c>
      <c r="B76" s="261">
        <v>330</v>
      </c>
      <c r="C76" s="261">
        <v>15</v>
      </c>
      <c r="D76" s="261">
        <v>28</v>
      </c>
      <c r="E76" s="260">
        <v>1</v>
      </c>
      <c r="F76" s="260"/>
      <c r="G76" s="260"/>
      <c r="H76" s="260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95</v>
      </c>
      <c r="B77" s="257">
        <v>333</v>
      </c>
      <c r="C77" s="256">
        <v>16</v>
      </c>
      <c r="D77" s="256">
        <v>28</v>
      </c>
      <c r="E77" s="255">
        <v>1</v>
      </c>
      <c r="F77" s="255"/>
      <c r="G77" s="255"/>
      <c r="H77" s="255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100</v>
      </c>
      <c r="B78" s="257">
        <v>333</v>
      </c>
      <c r="C78" s="256">
        <v>17</v>
      </c>
      <c r="D78" s="256">
        <v>27</v>
      </c>
      <c r="E78" s="255">
        <v>1</v>
      </c>
      <c r="F78" s="255"/>
      <c r="G78" s="255"/>
      <c r="H78" s="255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105</v>
      </c>
      <c r="B79" s="257">
        <v>333</v>
      </c>
      <c r="C79" s="256">
        <v>18</v>
      </c>
      <c r="D79" s="256">
        <v>26</v>
      </c>
      <c r="E79" s="255">
        <v>1</v>
      </c>
      <c r="F79" s="255"/>
      <c r="G79" s="255"/>
      <c r="H79" s="255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110</v>
      </c>
      <c r="B80" s="257">
        <v>332</v>
      </c>
      <c r="C80" s="256">
        <v>19</v>
      </c>
      <c r="D80" s="256">
        <v>25</v>
      </c>
      <c r="E80" s="255">
        <v>1</v>
      </c>
      <c r="F80" s="255"/>
      <c r="G80" s="255"/>
      <c r="H80" s="255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115</v>
      </c>
      <c r="B81" s="257">
        <v>331</v>
      </c>
      <c r="C81" s="256">
        <v>20</v>
      </c>
      <c r="D81" s="258">
        <v>24</v>
      </c>
      <c r="E81" s="255">
        <v>1</v>
      </c>
      <c r="F81" s="255"/>
      <c r="G81" s="255"/>
      <c r="H81" s="255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110</v>
      </c>
      <c r="C88" s="261">
        <v>1</v>
      </c>
      <c r="D88" s="261">
        <v>14</v>
      </c>
      <c r="E88" s="260"/>
      <c r="F88" s="260"/>
      <c r="G88" s="260">
        <v>1</v>
      </c>
      <c r="H88" s="260"/>
      <c r="I88" s="53">
        <f>IFERROR(B88/A88,"")</f>
        <v>7.333333333333333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203</v>
      </c>
      <c r="C89" s="261">
        <v>2</v>
      </c>
      <c r="D89" s="261">
        <v>63</v>
      </c>
      <c r="E89" s="260"/>
      <c r="F89" s="260">
        <v>1</v>
      </c>
      <c r="G89" s="260"/>
      <c r="H89" s="260"/>
      <c r="I89" s="53">
        <f t="shared" ref="I89:I107" si="3">IF(A89&lt;&gt;0,(B89-(B88-D88))/(A89-A88),"")</f>
        <v>21.4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254</v>
      </c>
      <c r="C90" s="261">
        <v>3</v>
      </c>
      <c r="D90" s="261">
        <v>63</v>
      </c>
      <c r="E90" s="260"/>
      <c r="F90" s="260">
        <v>1</v>
      </c>
      <c r="G90" s="260"/>
      <c r="H90" s="260"/>
      <c r="I90" s="53">
        <f t="shared" si="3"/>
        <v>22.8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311</v>
      </c>
      <c r="C91" s="261">
        <v>4</v>
      </c>
      <c r="D91" s="261">
        <v>63</v>
      </c>
      <c r="E91" s="260"/>
      <c r="F91" s="260">
        <v>1</v>
      </c>
      <c r="G91" s="260"/>
      <c r="H91" s="260"/>
      <c r="I91" s="53">
        <f t="shared" si="3"/>
        <v>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369</v>
      </c>
      <c r="C92" s="261">
        <v>5</v>
      </c>
      <c r="D92" s="261">
        <v>63</v>
      </c>
      <c r="E92" s="260">
        <v>1</v>
      </c>
      <c r="F92" s="260"/>
      <c r="G92" s="260"/>
      <c r="H92" s="260"/>
      <c r="I92" s="53">
        <f t="shared" si="3"/>
        <v>24.2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424</v>
      </c>
      <c r="C93" s="261">
        <v>6</v>
      </c>
      <c r="D93" s="261">
        <v>63</v>
      </c>
      <c r="E93" s="260">
        <v>1</v>
      </c>
      <c r="F93" s="260"/>
      <c r="G93" s="260"/>
      <c r="H93" s="260"/>
      <c r="I93" s="53">
        <f t="shared" si="3"/>
        <v>23.6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469</v>
      </c>
      <c r="C94" s="261">
        <v>7</v>
      </c>
      <c r="D94" s="261">
        <v>60</v>
      </c>
      <c r="E94" s="260">
        <v>1</v>
      </c>
      <c r="F94" s="260"/>
      <c r="G94" s="260"/>
      <c r="H94" s="260"/>
      <c r="I94" s="53">
        <f t="shared" si="3"/>
        <v>21.6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509</v>
      </c>
      <c r="C95" s="261">
        <v>8</v>
      </c>
      <c r="D95" s="261">
        <v>53</v>
      </c>
      <c r="E95" s="260">
        <v>1</v>
      </c>
      <c r="F95" s="260"/>
      <c r="G95" s="260"/>
      <c r="H95" s="260"/>
      <c r="I95" s="53">
        <f t="shared" si="3"/>
        <v>20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548</v>
      </c>
      <c r="C96" s="261">
        <v>9</v>
      </c>
      <c r="D96" s="261">
        <v>45</v>
      </c>
      <c r="E96" s="260">
        <v>1</v>
      </c>
      <c r="F96" s="260"/>
      <c r="G96" s="260"/>
      <c r="H96" s="260"/>
      <c r="I96" s="53">
        <f t="shared" si="3"/>
        <v>18.399999999999999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588</v>
      </c>
      <c r="C97" s="261">
        <v>10</v>
      </c>
      <c r="D97" s="261">
        <v>39</v>
      </c>
      <c r="E97" s="260">
        <v>1</v>
      </c>
      <c r="F97" s="260"/>
      <c r="G97" s="260"/>
      <c r="H97" s="260"/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627</v>
      </c>
      <c r="C98" s="261">
        <v>11</v>
      </c>
      <c r="D98" s="261">
        <v>34</v>
      </c>
      <c r="E98" s="260">
        <v>1</v>
      </c>
      <c r="F98" s="260"/>
      <c r="G98" s="260"/>
      <c r="H98" s="260"/>
      <c r="I98" s="53">
        <f t="shared" si="3"/>
        <v>15.6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662</v>
      </c>
      <c r="C99" s="261">
        <v>12</v>
      </c>
      <c r="D99" s="261">
        <v>31</v>
      </c>
      <c r="E99" s="260">
        <v>1</v>
      </c>
      <c r="F99" s="260"/>
      <c r="G99" s="260"/>
      <c r="H99" s="260"/>
      <c r="I99" s="53">
        <f t="shared" si="3"/>
        <v>13.8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693</v>
      </c>
      <c r="C100" s="261">
        <v>13</v>
      </c>
      <c r="D100" s="261">
        <v>30</v>
      </c>
      <c r="E100" s="260">
        <v>1</v>
      </c>
      <c r="F100" s="260"/>
      <c r="G100" s="260"/>
      <c r="H100" s="260"/>
      <c r="I100" s="53">
        <f t="shared" si="3"/>
        <v>12.4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718</v>
      </c>
      <c r="C101" s="261">
        <v>14</v>
      </c>
      <c r="D101" s="261">
        <v>29</v>
      </c>
      <c r="E101" s="260">
        <v>1</v>
      </c>
      <c r="F101" s="260"/>
      <c r="G101" s="260"/>
      <c r="H101" s="260"/>
      <c r="I101" s="53">
        <f t="shared" si="3"/>
        <v>11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sessile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42</v>
      </c>
      <c r="C114" s="50"/>
      <c r="D114" s="60"/>
      <c r="E114" s="63"/>
      <c r="F114" s="63"/>
      <c r="G114" s="63"/>
      <c r="H114" s="260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70</v>
      </c>
      <c r="C115" s="50">
        <v>1</v>
      </c>
      <c r="D115" s="60">
        <v>8</v>
      </c>
      <c r="E115" s="63"/>
      <c r="F115" s="63"/>
      <c r="G115" s="63"/>
      <c r="H115" s="260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97</v>
      </c>
      <c r="C116" s="50">
        <v>2</v>
      </c>
      <c r="D116" s="60">
        <v>21</v>
      </c>
      <c r="E116" s="63"/>
      <c r="F116" s="63"/>
      <c r="G116" s="63"/>
      <c r="H116" s="260">
        <v>1</v>
      </c>
      <c r="I116" s="53">
        <f t="shared" si="4"/>
        <v>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5">
        <v>35</v>
      </c>
      <c r="B117" s="55">
        <v>116</v>
      </c>
      <c r="C117" s="55">
        <v>3</v>
      </c>
      <c r="D117" s="55">
        <v>21</v>
      </c>
      <c r="E117" s="63">
        <v>1</v>
      </c>
      <c r="F117" s="63"/>
      <c r="G117" s="63"/>
      <c r="H117" s="260"/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5">
        <v>40</v>
      </c>
      <c r="B118" s="55">
        <v>137</v>
      </c>
      <c r="C118" s="55">
        <v>4</v>
      </c>
      <c r="D118" s="55">
        <v>21</v>
      </c>
      <c r="E118" s="63">
        <v>1</v>
      </c>
      <c r="F118" s="63"/>
      <c r="G118" s="63"/>
      <c r="H118" s="260"/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5">
        <v>45</v>
      </c>
      <c r="B119" s="55">
        <v>158</v>
      </c>
      <c r="C119" s="55">
        <v>5</v>
      </c>
      <c r="D119" s="55">
        <v>21</v>
      </c>
      <c r="E119" s="63">
        <v>1</v>
      </c>
      <c r="F119" s="63"/>
      <c r="G119" s="63"/>
      <c r="H119" s="260"/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5">
        <v>50</v>
      </c>
      <c r="B120" s="55">
        <v>178</v>
      </c>
      <c r="C120" s="55">
        <v>6</v>
      </c>
      <c r="D120" s="55">
        <v>21</v>
      </c>
      <c r="E120" s="63">
        <v>1</v>
      </c>
      <c r="F120" s="63"/>
      <c r="G120" s="63"/>
      <c r="H120" s="260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5">
        <v>55</v>
      </c>
      <c r="B121" s="55">
        <v>197</v>
      </c>
      <c r="C121" s="55">
        <v>7</v>
      </c>
      <c r="D121" s="55">
        <v>21</v>
      </c>
      <c r="E121" s="63">
        <v>1</v>
      </c>
      <c r="F121" s="63"/>
      <c r="G121" s="63"/>
      <c r="H121" s="260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5">
        <v>60</v>
      </c>
      <c r="B122" s="55">
        <v>214</v>
      </c>
      <c r="C122" s="55">
        <v>8</v>
      </c>
      <c r="D122" s="55">
        <v>21</v>
      </c>
      <c r="E122" s="63">
        <v>1</v>
      </c>
      <c r="F122" s="63"/>
      <c r="G122" s="63"/>
      <c r="H122" s="260"/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5">
        <v>65</v>
      </c>
      <c r="B123" s="55">
        <v>229</v>
      </c>
      <c r="C123" s="55">
        <v>9</v>
      </c>
      <c r="D123" s="55">
        <v>21</v>
      </c>
      <c r="E123" s="63">
        <v>1</v>
      </c>
      <c r="F123" s="63"/>
      <c r="G123" s="63"/>
      <c r="H123" s="260"/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5">
        <v>70</v>
      </c>
      <c r="B124" s="55">
        <v>242</v>
      </c>
      <c r="C124" s="55">
        <v>10</v>
      </c>
      <c r="D124" s="55">
        <v>21</v>
      </c>
      <c r="E124" s="63">
        <v>1</v>
      </c>
      <c r="F124" s="63"/>
      <c r="G124" s="63"/>
      <c r="H124" s="260"/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5">
        <v>75</v>
      </c>
      <c r="B125" s="55">
        <v>252</v>
      </c>
      <c r="C125" s="55">
        <v>11</v>
      </c>
      <c r="D125" s="55">
        <v>21</v>
      </c>
      <c r="E125" s="63">
        <v>1</v>
      </c>
      <c r="F125" s="63"/>
      <c r="G125" s="63"/>
      <c r="H125" s="260"/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5">
        <v>80</v>
      </c>
      <c r="B126" s="55">
        <v>261</v>
      </c>
      <c r="C126" s="55">
        <v>12</v>
      </c>
      <c r="D126" s="55">
        <v>21</v>
      </c>
      <c r="E126" s="64">
        <v>1</v>
      </c>
      <c r="F126" s="64"/>
      <c r="G126" s="64"/>
      <c r="H126" s="260"/>
      <c r="I126" s="53">
        <f t="shared" si="4"/>
        <v>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86">
        <v>85</v>
      </c>
      <c r="B127" s="60">
        <v>269</v>
      </c>
      <c r="C127" s="86">
        <v>13</v>
      </c>
      <c r="D127" s="60">
        <v>21</v>
      </c>
      <c r="E127" s="54">
        <v>1</v>
      </c>
      <c r="F127" s="54"/>
      <c r="G127" s="54"/>
      <c r="H127" s="260"/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90</v>
      </c>
      <c r="B128" s="50">
        <v>275</v>
      </c>
      <c r="C128" s="50">
        <v>14</v>
      </c>
      <c r="D128" s="50">
        <v>21</v>
      </c>
      <c r="E128" s="54">
        <v>1</v>
      </c>
      <c r="F128" s="54"/>
      <c r="G128" s="54"/>
      <c r="H128" s="260"/>
      <c r="I128" s="53">
        <f t="shared" si="4"/>
        <v>5.4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95</v>
      </c>
      <c r="B129" s="50">
        <v>279</v>
      </c>
      <c r="C129" s="50">
        <v>15</v>
      </c>
      <c r="D129" s="50">
        <v>21</v>
      </c>
      <c r="E129" s="54">
        <v>1</v>
      </c>
      <c r="F129" s="54"/>
      <c r="G129" s="54"/>
      <c r="H129" s="260"/>
      <c r="I129" s="53">
        <f t="shared" si="4"/>
        <v>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100</v>
      </c>
      <c r="B130" s="50">
        <v>282</v>
      </c>
      <c r="C130" s="50">
        <v>16</v>
      </c>
      <c r="D130" s="50">
        <v>21</v>
      </c>
      <c r="E130" s="54">
        <v>1</v>
      </c>
      <c r="F130" s="54"/>
      <c r="G130" s="54"/>
      <c r="H130" s="260"/>
      <c r="I130" s="53">
        <f t="shared" si="4"/>
        <v>4.8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105</v>
      </c>
      <c r="B131" s="50">
        <v>284</v>
      </c>
      <c r="C131" s="50">
        <v>17</v>
      </c>
      <c r="D131" s="50">
        <v>20</v>
      </c>
      <c r="E131" s="54">
        <v>1</v>
      </c>
      <c r="F131" s="54"/>
      <c r="G131" s="54"/>
      <c r="H131" s="260"/>
      <c r="I131" s="53">
        <f t="shared" si="4"/>
        <v>4.5999999999999996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110</v>
      </c>
      <c r="B132" s="261">
        <v>285</v>
      </c>
      <c r="C132" s="261">
        <v>18</v>
      </c>
      <c r="D132" s="261">
        <v>19</v>
      </c>
      <c r="E132" s="260">
        <v>1</v>
      </c>
      <c r="F132" s="260"/>
      <c r="G132" s="260"/>
      <c r="H132" s="260"/>
      <c r="I132" s="53">
        <f t="shared" si="4"/>
        <v>4.2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>
        <v>115</v>
      </c>
      <c r="B133" s="261">
        <v>285</v>
      </c>
      <c r="C133" s="261">
        <v>19</v>
      </c>
      <c r="D133" s="261">
        <v>18</v>
      </c>
      <c r="E133" s="260">
        <v>1</v>
      </c>
      <c r="F133" s="260"/>
      <c r="G133" s="260"/>
      <c r="H133" s="260"/>
      <c r="I133" s="53">
        <f t="shared" si="4"/>
        <v>3.8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Charme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75.346153846153854</v>
      </c>
      <c r="C140" s="60"/>
      <c r="D140" s="60"/>
      <c r="E140" s="51"/>
      <c r="F140" s="51"/>
      <c r="G140" s="51"/>
      <c r="H140" s="51"/>
      <c r="I140" s="57">
        <f>IFERROR(B140/A140,"")</f>
        <v>2.5115384615384619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42</v>
      </c>
      <c r="B141" s="60">
        <v>171.96</v>
      </c>
      <c r="C141" s="60">
        <v>1</v>
      </c>
      <c r="D141" s="60">
        <v>43.21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8.0511538461538468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50</v>
      </c>
      <c r="B142" s="60">
        <v>208.33</v>
      </c>
      <c r="C142" s="60">
        <v>2</v>
      </c>
      <c r="D142" s="60">
        <v>35.58</v>
      </c>
      <c r="E142" s="51">
        <v>1</v>
      </c>
      <c r="F142" s="51"/>
      <c r="G142" s="51"/>
      <c r="H142" s="51"/>
      <c r="I142" s="57">
        <f t="shared" si="5"/>
        <v>9.9475000000000016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58</v>
      </c>
      <c r="B143" s="60">
        <v>253.7</v>
      </c>
      <c r="C143" s="60">
        <v>3</v>
      </c>
      <c r="D143" s="60">
        <v>44.93</v>
      </c>
      <c r="E143" s="51">
        <v>1</v>
      </c>
      <c r="F143" s="51"/>
      <c r="G143" s="51"/>
      <c r="H143" s="51"/>
      <c r="I143" s="57">
        <f t="shared" si="5"/>
        <v>10.118749999999999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66</v>
      </c>
      <c r="B144" s="60">
        <v>286.77</v>
      </c>
      <c r="C144" s="60">
        <v>4</v>
      </c>
      <c r="D144" s="60">
        <v>49.91</v>
      </c>
      <c r="E144" s="51">
        <v>1</v>
      </c>
      <c r="F144" s="51"/>
      <c r="G144" s="51"/>
      <c r="H144" s="51"/>
      <c r="I144" s="57">
        <f t="shared" si="5"/>
        <v>9.75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74</v>
      </c>
      <c r="B145" s="60">
        <v>310.95999999999998</v>
      </c>
      <c r="C145" s="60">
        <v>5</v>
      </c>
      <c r="D145" s="60">
        <v>47.4</v>
      </c>
      <c r="E145" s="51">
        <v>1</v>
      </c>
      <c r="F145" s="51"/>
      <c r="G145" s="51"/>
      <c r="H145" s="51"/>
      <c r="I145" s="57">
        <f t="shared" si="5"/>
        <v>9.2624999999999993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84</v>
      </c>
      <c r="B146" s="60">
        <v>355.09</v>
      </c>
      <c r="C146" s="60">
        <v>6</v>
      </c>
      <c r="D146" s="60">
        <v>61.47</v>
      </c>
      <c r="E146" s="51">
        <v>1</v>
      </c>
      <c r="F146" s="51"/>
      <c r="G146" s="51"/>
      <c r="H146" s="51"/>
      <c r="I146" s="57">
        <f t="shared" si="5"/>
        <v>9.1529999999999969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94</v>
      </c>
      <c r="B147" s="50">
        <v>380.13</v>
      </c>
      <c r="C147" s="50">
        <v>7</v>
      </c>
      <c r="D147" s="50">
        <v>61.85</v>
      </c>
      <c r="E147" s="51">
        <v>1</v>
      </c>
      <c r="F147" s="51"/>
      <c r="G147" s="51"/>
      <c r="H147" s="51"/>
      <c r="I147" s="57">
        <f>IF(A147&lt;&gt;0,(B147-(B146-D146))/(A147-A146),"")</f>
        <v>8.6509999999999998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104</v>
      </c>
      <c r="B148" s="50">
        <v>402.2</v>
      </c>
      <c r="C148" s="50">
        <v>8</v>
      </c>
      <c r="D148" s="50">
        <v>60.19</v>
      </c>
      <c r="E148" s="51">
        <v>1</v>
      </c>
      <c r="F148" s="51"/>
      <c r="G148" s="51"/>
      <c r="H148" s="51"/>
      <c r="I148" s="57">
        <f t="shared" si="5"/>
        <v>8.3920000000000012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114</v>
      </c>
      <c r="B149" s="50">
        <v>424.56</v>
      </c>
      <c r="C149" s="50">
        <v>9</v>
      </c>
      <c r="D149" s="50">
        <v>56.07</v>
      </c>
      <c r="E149" s="51">
        <v>1</v>
      </c>
      <c r="F149" s="51"/>
      <c r="G149" s="51"/>
      <c r="H149" s="51"/>
      <c r="I149" s="57">
        <f t="shared" si="5"/>
        <v>8.2550000000000008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124</v>
      </c>
      <c r="B150" s="50">
        <v>451.86</v>
      </c>
      <c r="C150" s="50">
        <v>10</v>
      </c>
      <c r="D150" s="50">
        <v>52.53</v>
      </c>
      <c r="E150" s="51">
        <v>1</v>
      </c>
      <c r="F150" s="51"/>
      <c r="G150" s="51"/>
      <c r="H150" s="51"/>
      <c r="I150" s="57">
        <f t="shared" si="5"/>
        <v>8.3369999999999997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134</v>
      </c>
      <c r="B151" s="50">
        <v>484.28</v>
      </c>
      <c r="C151" s="50">
        <v>11</v>
      </c>
      <c r="D151" s="50">
        <v>54.95</v>
      </c>
      <c r="E151" s="51">
        <v>1</v>
      </c>
      <c r="F151" s="51"/>
      <c r="G151" s="51"/>
      <c r="H151" s="51"/>
      <c r="I151" s="57">
        <f t="shared" si="5"/>
        <v>8.4949999999999939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144</v>
      </c>
      <c r="B152" s="50">
        <v>514.94000000000005</v>
      </c>
      <c r="C152" s="50">
        <v>12</v>
      </c>
      <c r="D152" s="50">
        <v>56.01</v>
      </c>
      <c r="E152" s="51">
        <v>1</v>
      </c>
      <c r="F152" s="51"/>
      <c r="G152" s="51"/>
      <c r="H152" s="54"/>
      <c r="I152" s="57">
        <f t="shared" si="5"/>
        <v>8.561000000000007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154</v>
      </c>
      <c r="B153" s="50">
        <v>546.49</v>
      </c>
      <c r="C153" s="50">
        <v>13</v>
      </c>
      <c r="D153" s="50">
        <v>55.13</v>
      </c>
      <c r="E153" s="51">
        <v>1</v>
      </c>
      <c r="F153" s="51"/>
      <c r="G153" s="51"/>
      <c r="H153" s="54"/>
      <c r="I153" s="57">
        <f t="shared" si="5"/>
        <v>8.7559999999999949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164</v>
      </c>
      <c r="B154" s="56">
        <v>580.32000000000005</v>
      </c>
      <c r="C154" s="50">
        <v>14</v>
      </c>
      <c r="D154" s="50">
        <v>59.58</v>
      </c>
      <c r="E154" s="54">
        <v>1</v>
      </c>
      <c r="F154" s="54"/>
      <c r="G154" s="54"/>
      <c r="H154" s="54"/>
      <c r="I154" s="57">
        <f t="shared" si="5"/>
        <v>8.8960000000000043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174</v>
      </c>
      <c r="B155" s="56">
        <v>610.52</v>
      </c>
      <c r="C155" s="50">
        <v>15</v>
      </c>
      <c r="D155" s="50">
        <v>214.77</v>
      </c>
      <c r="E155" s="54">
        <v>1</v>
      </c>
      <c r="F155" s="54"/>
      <c r="G155" s="54"/>
      <c r="H155" s="54"/>
      <c r="I155" s="57">
        <f t="shared" si="5"/>
        <v>8.977999999999998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177</v>
      </c>
      <c r="B156" s="56">
        <v>388.94</v>
      </c>
      <c r="C156" s="50">
        <v>16</v>
      </c>
      <c r="D156" s="50">
        <v>115.19</v>
      </c>
      <c r="E156" s="54">
        <v>1</v>
      </c>
      <c r="F156" s="54"/>
      <c r="G156" s="54"/>
      <c r="H156" s="54"/>
      <c r="I156" s="57">
        <f t="shared" si="5"/>
        <v>-2.2700000000000009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180</v>
      </c>
      <c r="B157" s="56">
        <v>271.56</v>
      </c>
      <c r="C157" s="50">
        <v>17</v>
      </c>
      <c r="D157" s="50">
        <v>77.72</v>
      </c>
      <c r="E157" s="54">
        <v>1</v>
      </c>
      <c r="F157" s="54"/>
      <c r="G157" s="54"/>
      <c r="H157" s="54"/>
      <c r="I157" s="57">
        <f t="shared" si="5"/>
        <v>-0.72999999999999921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183</v>
      </c>
      <c r="B158" s="56">
        <v>191.47</v>
      </c>
      <c r="C158" s="50">
        <v>18</v>
      </c>
      <c r="D158" s="50">
        <v>169.76</v>
      </c>
      <c r="E158" s="54">
        <v>1</v>
      </c>
      <c r="F158" s="54"/>
      <c r="G158" s="54"/>
      <c r="H158" s="54"/>
      <c r="I158" s="57">
        <f t="shared" si="5"/>
        <v>-0.79000000000000148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Erable champêtre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</v>
      </c>
      <c r="C166" s="60"/>
      <c r="D166" s="60"/>
      <c r="E166" s="51"/>
      <c r="F166" s="51"/>
      <c r="G166" s="51"/>
      <c r="H166" s="51">
        <v>1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65</v>
      </c>
      <c r="C167" s="60">
        <v>1</v>
      </c>
      <c r="D167" s="60">
        <v>32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10.8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102</v>
      </c>
      <c r="C168" s="60">
        <v>2</v>
      </c>
      <c r="D168" s="60">
        <v>35</v>
      </c>
      <c r="E168" s="51"/>
      <c r="F168" s="51"/>
      <c r="G168" s="51"/>
      <c r="H168" s="51">
        <v>1</v>
      </c>
      <c r="I168" s="49">
        <f t="shared" si="6"/>
        <v>13.8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141</v>
      </c>
      <c r="C169" s="60">
        <v>3</v>
      </c>
      <c r="D169" s="60">
        <v>35</v>
      </c>
      <c r="E169" s="51"/>
      <c r="F169" s="51"/>
      <c r="G169" s="51"/>
      <c r="H169" s="51">
        <v>1</v>
      </c>
      <c r="I169" s="49">
        <f t="shared" si="6"/>
        <v>14.8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177</v>
      </c>
      <c r="C170" s="60">
        <v>4</v>
      </c>
      <c r="D170" s="60">
        <v>35</v>
      </c>
      <c r="E170" s="51"/>
      <c r="F170" s="51"/>
      <c r="G170" s="51"/>
      <c r="H170" s="51">
        <v>1</v>
      </c>
      <c r="I170" s="49">
        <f t="shared" si="6"/>
        <v>14.2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206</v>
      </c>
      <c r="C171" s="60">
        <v>5</v>
      </c>
      <c r="D171" s="60">
        <v>35</v>
      </c>
      <c r="E171" s="51">
        <v>1</v>
      </c>
      <c r="F171" s="51"/>
      <c r="G171" s="51"/>
      <c r="H171" s="51"/>
      <c r="I171" s="49">
        <f t="shared" si="6"/>
        <v>12.8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228</v>
      </c>
      <c r="C172" s="60">
        <v>6</v>
      </c>
      <c r="D172" s="60">
        <v>35</v>
      </c>
      <c r="E172" s="51">
        <v>1</v>
      </c>
      <c r="F172" s="51"/>
      <c r="G172" s="51"/>
      <c r="H172" s="51"/>
      <c r="I172" s="49">
        <f t="shared" si="6"/>
        <v>11.4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242</v>
      </c>
      <c r="C173" s="50">
        <v>7</v>
      </c>
      <c r="D173" s="50">
        <v>24</v>
      </c>
      <c r="E173" s="51">
        <v>1</v>
      </c>
      <c r="F173" s="51"/>
      <c r="G173" s="51"/>
      <c r="H173" s="51"/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261</v>
      </c>
      <c r="C174" s="50">
        <v>8</v>
      </c>
      <c r="D174" s="50">
        <v>19</v>
      </c>
      <c r="E174" s="51">
        <v>1</v>
      </c>
      <c r="F174" s="51"/>
      <c r="G174" s="51"/>
      <c r="H174" s="51"/>
      <c r="I174" s="49">
        <f t="shared" si="6"/>
        <v>8.6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279</v>
      </c>
      <c r="C175" s="50">
        <v>9</v>
      </c>
      <c r="D175" s="50">
        <v>16</v>
      </c>
      <c r="E175" s="51">
        <v>1</v>
      </c>
      <c r="F175" s="51"/>
      <c r="G175" s="51"/>
      <c r="H175" s="51"/>
      <c r="I175" s="49">
        <f t="shared" si="6"/>
        <v>7.4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294</v>
      </c>
      <c r="C176" s="50">
        <v>10</v>
      </c>
      <c r="D176" s="50">
        <v>14</v>
      </c>
      <c r="E176" s="51">
        <v>1</v>
      </c>
      <c r="F176" s="51"/>
      <c r="G176" s="51"/>
      <c r="H176" s="51"/>
      <c r="I176" s="49">
        <f t="shared" si="6"/>
        <v>6.2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306</v>
      </c>
      <c r="C177" s="50">
        <v>11</v>
      </c>
      <c r="D177" s="50">
        <v>13</v>
      </c>
      <c r="E177" s="51">
        <v>1</v>
      </c>
      <c r="F177" s="51"/>
      <c r="G177" s="51"/>
      <c r="H177" s="51"/>
      <c r="I177" s="49">
        <f t="shared" si="6"/>
        <v>5.2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316</v>
      </c>
      <c r="C178" s="50">
        <v>12</v>
      </c>
      <c r="D178" s="50">
        <v>13</v>
      </c>
      <c r="E178" s="51">
        <v>1</v>
      </c>
      <c r="F178" s="51"/>
      <c r="G178" s="51"/>
      <c r="H178" s="51"/>
      <c r="I178" s="49">
        <f t="shared" si="6"/>
        <v>4.5999999999999996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324</v>
      </c>
      <c r="C179" s="50">
        <v>13</v>
      </c>
      <c r="D179" s="50">
        <v>12</v>
      </c>
      <c r="E179" s="51">
        <v>1</v>
      </c>
      <c r="F179" s="51"/>
      <c r="G179" s="51"/>
      <c r="H179" s="51"/>
      <c r="I179" s="49">
        <f t="shared" si="6"/>
        <v>4.2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330</v>
      </c>
      <c r="C180" s="50">
        <v>14</v>
      </c>
      <c r="D180" s="50">
        <v>11</v>
      </c>
      <c r="E180" s="51">
        <v>1</v>
      </c>
      <c r="F180" s="51"/>
      <c r="G180" s="51"/>
      <c r="H180" s="51"/>
      <c r="I180" s="49">
        <f t="shared" si="6"/>
        <v>3.6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3" sqref="C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Cèdre de l'Atlas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laricio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sessile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Charme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Erable champêtre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512.58510468904342</v>
      </c>
      <c r="T3" s="59">
        <f>IF('Données projet'!E9&gt;30,$R$33-$H$33,LOOKUP('Données projet'!$E$9,$A$3:$A$203,R3:R203)-LOOKUP('Données projet'!$E$9,$A$3:$A$203,$H$3:$H$203))</f>
        <v>443.6106696463529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520.95202773768222</v>
      </c>
      <c r="AO3" s="59">
        <f>IF('Données projet'!E10&gt;30,$AM$33-$H$33,LOOKUP('Données projet'!$E$10,$A$3:$A$203,AM3:AM203)-LOOKUP('Données projet'!$E$10,$A$3:$A$203,$H$3:$H$203))</f>
        <v>325.72635759450861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528.71639224940395</v>
      </c>
      <c r="BJ3" s="59">
        <f>IF('Données projet'!E11&gt;30,$BH$33-$H$33,LOOKUP('Données projet'!$E$11,$A$3:$A$203,BH3:BH203)-LOOKUP('Données projet'!$E$11,$A$3:$A$203,$H$3:$H$203))</f>
        <v>460.93390058676493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398.11190027805549</v>
      </c>
      <c r="CE3" s="59">
        <f>IF('Données projet'!E12&gt;30,$CC$33-$H$33,LOOKUP('Données projet'!$E$12,$A$3:$A$203,CC3:CC203)-LOOKUP('Données projet'!$E$12,$A$3:$A$203,$H$3:$H$203))</f>
        <v>250.47702091764884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697.21496579281836</v>
      </c>
      <c r="CZ3" s="59">
        <f>IF('Données projet'!E13&gt;30,$CX$33-$H$33,LOOKUP('Données projet'!$E$13,$A$3:$A$203,CX3:CX203)-LOOKUP('Données projet'!$E$13,$A$3:$A$203,$H$3:$H$203))</f>
        <v>215.64914236153456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408.24135864450221</v>
      </c>
      <c r="DU3" s="59">
        <f>IF('Données projet'!E14&gt;30,$DS$33-$H$33,LOOKUP('Données projet'!$E$14,$A$3:$A$203,DS3:DS203)-LOOKUP('Données projet'!$E$14,$A$3:$A$203,$H$3:$H$203))</f>
        <v>394.10236303013903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5.2</v>
      </c>
      <c r="N4" s="13">
        <f>IF('Données projet'!$A$36&gt;35,N3+M4-V3,IF(A4&lt;'Données projet'!$A$36,$K$205^A4,IF(A4='Données projet'!$A$36,'Données projet'!$B$36,N3+M4-V3)))</f>
        <v>1.3370253457396568</v>
      </c>
      <c r="O4" s="13">
        <f>N4*VLOOKUP('Données projet'!$B$9,Paramètres!$A$1:$I$89,3,0)*VLOOKUP('Données projet'!$B$9,Paramètres!$A$1:$I$89,5,0)</f>
        <v>0.62572786180615947</v>
      </c>
      <c r="P4" s="13">
        <f>EXP(-1.0587+0.8836*LN(O4)+0.284)</f>
        <v>0.30453575289994267</v>
      </c>
      <c r="Q4" s="20">
        <f t="shared" ref="Q4:Q34" si="2">(O4+P4)*0.475*44/12</f>
        <v>1.6202091289464609</v>
      </c>
      <c r="R4" s="59">
        <f t="shared" si="0"/>
        <v>169.43264308187031</v>
      </c>
      <c r="S4" s="59">
        <f ca="1">AVERAGE(OFFSET($R$3,0,0,'Données projet'!$E$9+1,1))-AVERAGE(OFFSET($H$3,0,0,'Données projet'!$E$9+1,1))</f>
        <v>512.58510468904342</v>
      </c>
      <c r="T4" s="59">
        <f>$T$3</f>
        <v>443.6106696463529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170.98318878757803</v>
      </c>
      <c r="AN4" s="59">
        <f ca="1">AVERAGE(OFFSET($AM$3,0,0,'Données projet'!$E$10+1,1))-AVERAGE(OFFSET($H$3,0,0,'Données projet'!$E$10+1,1))</f>
        <v>520.95202773768222</v>
      </c>
      <c r="AO4" s="59">
        <f>$AO$3</f>
        <v>325.72635759450861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7.333333333333333</v>
      </c>
      <c r="BD4" s="12">
        <f>IF('Données projet'!$A$88&gt;35,BD3+BC4-BL3,IF(A4&lt;'Données projet'!$A$88,$BA$205^A4,IF(A4='Données projet'!$A$88,'Données projet'!$B$88,BD3+BC4-BL3)))</f>
        <v>1.3680212568593273</v>
      </c>
      <c r="BE4" s="13">
        <f>BD4*VLOOKUP('Données projet'!$B$11,Paramètres!$A$1:$I$89,3,0)*VLOOKUP('Données projet'!$B$11,Paramètres!$A$1:$I$89,5,0)</f>
        <v>0.81807671160187789</v>
      </c>
      <c r="BF4" s="13">
        <f>EXP(-1.0587+0.8836*LN(BE4)+0.284)</f>
        <v>0.38591962976646654</v>
      </c>
      <c r="BG4" s="20">
        <f t="shared" ref="BG4:BG67" si="7">(BE4+BF4)*0.475*44/12</f>
        <v>2.0969602945498664</v>
      </c>
      <c r="BH4" s="59">
        <f t="shared" ref="BH4:BH67" si="8">BG4+(AY4+AZ4)*44/12</f>
        <v>169.9093942474737</v>
      </c>
      <c r="BI4" s="59">
        <f ca="1">AVERAGE(OFFSET($BH$3,0,0,'Données projet'!$E$11+1,1))-AVERAGE(OFFSET($H$3,0,0,'Données projet'!$E$11+1,1))</f>
        <v>528.71639224940395</v>
      </c>
      <c r="BJ4" s="59">
        <f>$BJ$3</f>
        <v>460.93390058676493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1.0907244698905405</v>
      </c>
      <c r="CA4" s="13">
        <f>EXP(-1.0587+0.8836*LN(BZ4)+0.284)</f>
        <v>0.49759623852608204</v>
      </c>
      <c r="CB4" s="20">
        <f t="shared" ref="CB4:CB67" si="10">(BZ4+CA4)*0.475*44/12</f>
        <v>2.7663252338256172</v>
      </c>
      <c r="CC4" s="59">
        <f t="shared" ref="CC4:CC67" si="11">CB4+(BT4+BU4)*44/12</f>
        <v>170.57875918674947</v>
      </c>
      <c r="CD4" s="59">
        <f ca="1">AVERAGE(OFFSET($CC$3,0,0,'Données projet'!$E$12+1,1))-AVERAGE(OFFSET($H$3,0,0,'Données projet'!$E$12+1,1))</f>
        <v>398.11190027805549</v>
      </c>
      <c r="CE4" s="59">
        <f>$CE$3</f>
        <v>250.47702091764884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2.5115384615384619</v>
      </c>
      <c r="CT4" s="12">
        <f>IF('Données projet'!$A$140&gt;35,CT3+CS4-DB3,IF(A4&lt;'Données projet'!$A$140,$CQ$205^A4,IF(A4='Données projet'!$A$140,'Données projet'!$B$140,CT3+CS4-DB3)))</f>
        <v>1.1549646791274306</v>
      </c>
      <c r="CU4" s="17">
        <f>CT4*VLOOKUP('Données projet'!$B$13,Paramètres!$A$1:$I$89,3,0)*VLOOKUP('Données projet'!$B$13,Paramètres!$A$1:$I$89,5,0)</f>
        <v>1.099064388657663</v>
      </c>
      <c r="CV4" s="13">
        <f>EXP(-1.0587+0.8836*LN(CU4)+0.284)</f>
        <v>0.50095660621044258</v>
      </c>
      <c r="CW4" s="20">
        <f t="shared" ref="CW4:CW67" si="13">(CU4+CV4)*0.475*44/12</f>
        <v>2.7867032327286165</v>
      </c>
      <c r="CX4" s="59">
        <f t="shared" ref="CX4:CX67" si="14">CW4+(CO4+CP4)*44/12</f>
        <v>170.59913718565247</v>
      </c>
      <c r="CY4" s="59">
        <f ca="1">AVERAGE(OFFSET($CX$3,0,0,'Données projet'!$E$13+1,1))-AVERAGE(OFFSET($H$3,0,0,'Données projet'!$E$13+1,1))</f>
        <v>697.21496579281836</v>
      </c>
      <c r="CZ4" s="59">
        <f>$CZ$3</f>
        <v>215.64914236153456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1.1103295390475791</v>
      </c>
      <c r="DQ4" s="13">
        <f>EXP(-1.0587+0.8836*LN(DP4)+0.284)</f>
        <v>0.50549091932363655</v>
      </c>
      <c r="DR4" s="20">
        <f t="shared" ref="DR4:DR67" si="16">(DP4+DQ4)*0.475*44/12</f>
        <v>2.8142206316632006</v>
      </c>
      <c r="DS4" s="59">
        <f t="shared" ref="DS4:DS67" si="17">DR4+(DJ4+DK4)*44/12</f>
        <v>170.62665458458704</v>
      </c>
      <c r="DT4" s="59">
        <f ca="1">AVERAGE(OFFSET($DS$3,0,0,'Données projet'!$E$14+1,1))-AVERAGE(OFFSET($H$3,0,0,'Données projet'!$E$14+1,1))</f>
        <v>408.24135864450221</v>
      </c>
      <c r="DU4" s="59">
        <f>$DU$3</f>
        <v>394.10236303013903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5.2</v>
      </c>
      <c r="N5" s="13">
        <f>IF('Données projet'!$A$36&gt;35,N4+M5-V4,IF(A5&lt;'Données projet'!$A$36,$K$205^A5,IF(A5='Données projet'!$A$36,'Données projet'!$B$36,N4+M5-V4)))</f>
        <v>1.7876367751502489</v>
      </c>
      <c r="O5" s="13">
        <f>N5*VLOOKUP('Données projet'!$B$9,Paramètres!$A$1:$I$89,3,0)*VLOOKUP('Données projet'!$B$9,Paramètres!$A$1:$I$89,5,0)</f>
        <v>0.8366140107703165</v>
      </c>
      <c r="P5" s="13">
        <f t="shared" ref="P5:P68" si="33">EXP(-1.0587+0.8836*LN(O5)+0.284)</f>
        <v>0.39363641944740851</v>
      </c>
      <c r="Q5" s="20">
        <f t="shared" si="2"/>
        <v>2.1426861659625378</v>
      </c>
      <c r="R5" s="59">
        <f t="shared" si="0"/>
        <v>172.73996745346338</v>
      </c>
      <c r="S5" s="59">
        <f ca="1">AVERAGE(OFFSET($R$3,0,0,'Données projet'!$E$9+1,1))-AVERAGE(OFFSET($H$3,0,0,'Données projet'!$E$9+1,1))</f>
        <v>512.58510468904342</v>
      </c>
      <c r="T5" s="59">
        <f t="shared" ref="T5:T68" si="34">$T$3</f>
        <v>443.6106696463529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174.49668829443442</v>
      </c>
      <c r="AN5" s="59">
        <f ca="1">AVERAGE(OFFSET($AM$3,0,0,'Données projet'!$E$10+1,1))-AVERAGE(OFFSET($H$3,0,0,'Données projet'!$E$10+1,1))</f>
        <v>520.95202773768222</v>
      </c>
      <c r="AO5" s="59">
        <f t="shared" ref="AO5:AO68" si="36">$AO$3</f>
        <v>325.72635759450861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7.333333333333333</v>
      </c>
      <c r="BD5" s="12">
        <f>IF('Données projet'!$A$88&gt;35,BD4+BC5-BL4,IF(A5&lt;'Données projet'!$A$88,$BA$205^A5,IF(A5='Données projet'!$A$88,'Données projet'!$B$88,BD4+BC5-BL4)))</f>
        <v>1.8714821592189737</v>
      </c>
      <c r="BE5" s="13">
        <f>BD5*VLOOKUP('Données projet'!$B$11,Paramètres!$A$1:$I$89,3,0)*VLOOKUP('Données projet'!$B$11,Paramètres!$A$1:$I$89,5,0)</f>
        <v>1.1191463312129464</v>
      </c>
      <c r="BF5" s="13">
        <f t="shared" ref="BF5:BF68" si="37">EXP(-1.0587+0.8836*LN(BE5)+0.284)</f>
        <v>0.50903601214619809</v>
      </c>
      <c r="BG5" s="20">
        <f t="shared" si="7"/>
        <v>2.8357509146838429</v>
      </c>
      <c r="BH5" s="59">
        <f t="shared" si="8"/>
        <v>173.43303220218468</v>
      </c>
      <c r="BI5" s="59">
        <f ca="1">AVERAGE(OFFSET($BH$3,0,0,'Données projet'!$E$11+1,1))-AVERAGE(OFFSET($H$3,0,0,'Données projet'!$E$11+1,1))</f>
        <v>528.71639224940395</v>
      </c>
      <c r="BJ5" s="59">
        <f t="shared" ref="BJ5:BJ68" si="38">$BJ$3</f>
        <v>460.93390058676493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1.3148539668633961</v>
      </c>
      <c r="CA5" s="13">
        <f t="shared" ref="CA5:CA68" si="39">EXP(-1.0587+0.8836*LN(BZ5)+0.284)</f>
        <v>0.58693801963664449</v>
      </c>
      <c r="CB5" s="20">
        <f t="shared" si="10"/>
        <v>3.3122877098209038</v>
      </c>
      <c r="CC5" s="59">
        <f t="shared" si="11"/>
        <v>173.90956899732174</v>
      </c>
      <c r="CD5" s="59">
        <f ca="1">AVERAGE(OFFSET($CC$3,0,0,'Données projet'!$E$12+1,1))-AVERAGE(OFFSET($H$3,0,0,'Données projet'!$E$12+1,1))</f>
        <v>398.11190027805549</v>
      </c>
      <c r="CE5" s="59">
        <f t="shared" ref="CE5:CE68" si="40">$CE$3</f>
        <v>250.47702091764884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2.5115384615384619</v>
      </c>
      <c r="CT5" s="12">
        <f>IF('Données projet'!$A$140&gt;35,CT4+CS5-DB4,IF(A5&lt;'Données projet'!$A$140,$CQ$205^A5,IF(A5='Données projet'!$A$140,'Données projet'!$B$140,CT4+CS5-DB4)))</f>
        <v>1.3339434100319287</v>
      </c>
      <c r="CU5" s="17">
        <f>CT5*VLOOKUP('Données projet'!$B$13,Paramètres!$A$1:$I$89,3,0)*VLOOKUP('Données projet'!$B$13,Paramètres!$A$1:$I$89,5,0)</f>
        <v>1.2693805489863834</v>
      </c>
      <c r="CV5" s="13">
        <f t="shared" ref="CV5:CV68" si="41">EXP(-1.0587+0.8836*LN(CU5)+0.284)</f>
        <v>0.56896534391801701</v>
      </c>
      <c r="CW5" s="20">
        <f t="shared" si="13"/>
        <v>3.2017857634751645</v>
      </c>
      <c r="CX5" s="59">
        <f t="shared" si="14"/>
        <v>173.79906705097599</v>
      </c>
      <c r="CY5" s="59">
        <f ca="1">AVERAGE(OFFSET($CX$3,0,0,'Données projet'!$E$13+1,1))-AVERAGE(OFFSET($H$3,0,0,'Données projet'!$E$13+1,1))</f>
        <v>697.21496579281836</v>
      </c>
      <c r="CZ5" s="59">
        <f t="shared" ref="CZ5:CZ68" si="42">$CZ$3</f>
        <v>215.64914236153456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1.4112084309542232</v>
      </c>
      <c r="DQ5" s="13">
        <f t="shared" ref="DQ5:DQ68" si="43">EXP(-1.0587+0.8836*LN(DP5)+0.284)</f>
        <v>0.62478531882621136</v>
      </c>
      <c r="DR5" s="20">
        <f t="shared" si="16"/>
        <v>3.546022447534257</v>
      </c>
      <c r="DS5" s="59">
        <f t="shared" si="17"/>
        <v>174.14330373503509</v>
      </c>
      <c r="DT5" s="59">
        <f ca="1">AVERAGE(OFFSET($DS$3,0,0,'Données projet'!$E$14+1,1))-AVERAGE(OFFSET($H$3,0,0,'Données projet'!$E$14+1,1))</f>
        <v>408.24135864450221</v>
      </c>
      <c r="DU5" s="59">
        <f t="shared" ref="DU5:DU68" si="44">$DU$3</f>
        <v>394.10236303013903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5.2</v>
      </c>
      <c r="N6" s="13">
        <f>IF('Données projet'!$A$36&gt;35,N5+M6-V5,IF(A6&lt;'Données projet'!$A$36,$K$205^A6,IF(A6='Données projet'!$A$36,'Données projet'!$B$36,N5+M6-V5)))</f>
        <v>2.3901156773521866</v>
      </c>
      <c r="O6" s="13">
        <f>N6*VLOOKUP('Données projet'!$B$9,Paramètres!$A$1:$I$89,3,0)*VLOOKUP('Données projet'!$B$9,Paramètres!$A$1:$I$89,5,0)</f>
        <v>1.1185741370008233</v>
      </c>
      <c r="P6" s="13">
        <f t="shared" si="33"/>
        <v>0.50880604080101532</v>
      </c>
      <c r="Q6" s="20">
        <f t="shared" si="2"/>
        <v>2.8343538096715353</v>
      </c>
      <c r="R6" s="59">
        <f t="shared" si="0"/>
        <v>176.18937437955643</v>
      </c>
      <c r="S6" s="59">
        <f ca="1">AVERAGE(OFFSET($R$3,0,0,'Données projet'!$E$9+1,1))-AVERAGE(OFFSET($H$3,0,0,'Données projet'!$E$9+1,1))</f>
        <v>512.58510468904342</v>
      </c>
      <c r="T6" s="59">
        <f t="shared" si="34"/>
        <v>443.6106696463529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178.15116014419888</v>
      </c>
      <c r="AN6" s="59">
        <f ca="1">AVERAGE(OFFSET($AM$3,0,0,'Données projet'!$E$10+1,1))-AVERAGE(OFFSET($H$3,0,0,'Données projet'!$E$10+1,1))</f>
        <v>520.95202773768222</v>
      </c>
      <c r="AO6" s="59">
        <f t="shared" si="36"/>
        <v>325.72635759450861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7.333333333333333</v>
      </c>
      <c r="BD6" s="12">
        <f>IF('Données projet'!$A$88&gt;35,BD5+BC6-BL5,IF(A6&lt;'Données projet'!$A$88,$BA$205^A6,IF(A6='Données projet'!$A$88,'Données projet'!$B$88,BD5+BC6-BL5)))</f>
        <v>2.5602273756445482</v>
      </c>
      <c r="BE6" s="13">
        <f>BD6*VLOOKUP('Données projet'!$B$11,Paramètres!$A$1:$I$89,3,0)*VLOOKUP('Données projet'!$B$11,Paramètres!$A$1:$I$89,5,0)</f>
        <v>1.5310159706354398</v>
      </c>
      <c r="BF6" s="13">
        <f t="shared" si="37"/>
        <v>0.67142907920622097</v>
      </c>
      <c r="BG6" s="20">
        <f t="shared" si="7"/>
        <v>3.8359251284742251</v>
      </c>
      <c r="BH6" s="59">
        <f t="shared" si="8"/>
        <v>177.19094569835912</v>
      </c>
      <c r="BI6" s="59">
        <f ca="1">AVERAGE(OFFSET($BH$3,0,0,'Données projet'!$E$11+1,1))-AVERAGE(OFFSET($H$3,0,0,'Données projet'!$E$11+1,1))</f>
        <v>528.71639224940395</v>
      </c>
      <c r="BJ6" s="59">
        <f t="shared" si="38"/>
        <v>460.93390058676493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1.5850391202371266</v>
      </c>
      <c r="CA6" s="13">
        <f t="shared" si="39"/>
        <v>0.69232082604846479</v>
      </c>
      <c r="CB6" s="20">
        <f t="shared" si="10"/>
        <v>3.966401906447405</v>
      </c>
      <c r="CC6" s="59">
        <f t="shared" si="11"/>
        <v>177.32142247633229</v>
      </c>
      <c r="CD6" s="59">
        <f ca="1">AVERAGE(OFFSET($CC$3,0,0,'Données projet'!$E$12+1,1))-AVERAGE(OFFSET($H$3,0,0,'Données projet'!$E$12+1,1))</f>
        <v>398.11190027805549</v>
      </c>
      <c r="CE6" s="59">
        <f t="shared" si="40"/>
        <v>250.47702091764884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2.5115384615384619</v>
      </c>
      <c r="CT6" s="12">
        <f>IF('Données projet'!$A$140&gt;35,CT5+CS6-DB5,IF(A6&lt;'Données projet'!$A$140,$CQ$205^A6,IF(A6='Données projet'!$A$140,'Données projet'!$B$140,CT5+CS6-DB5)))</f>
        <v>1.5406575225416772</v>
      </c>
      <c r="CU6" s="17">
        <f>CT6*VLOOKUP('Données projet'!$B$13,Paramètres!$A$1:$I$89,3,0)*VLOOKUP('Données projet'!$B$13,Paramètres!$A$1:$I$89,5,0)</f>
        <v>1.4660896984506602</v>
      </c>
      <c r="CV6" s="13">
        <f t="shared" si="41"/>
        <v>0.64620679429419081</v>
      </c>
      <c r="CW6" s="20">
        <f t="shared" si="13"/>
        <v>3.6789163915306151</v>
      </c>
      <c r="CX6" s="59">
        <f t="shared" si="14"/>
        <v>177.03393696141549</v>
      </c>
      <c r="CY6" s="59">
        <f ca="1">AVERAGE(OFFSET($CX$3,0,0,'Données projet'!$E$13+1,1))-AVERAGE(OFFSET($H$3,0,0,'Données projet'!$E$13+1,1))</f>
        <v>697.21496579281836</v>
      </c>
      <c r="CZ6" s="59">
        <f t="shared" si="42"/>
        <v>215.64914236153456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1.7936199709723673</v>
      </c>
      <c r="DQ6" s="13">
        <f t="shared" si="43"/>
        <v>0.77223285265555475</v>
      </c>
      <c r="DR6" s="20">
        <f t="shared" si="16"/>
        <v>4.4688603344852975</v>
      </c>
      <c r="DS6" s="59">
        <f t="shared" si="17"/>
        <v>177.82388090437018</v>
      </c>
      <c r="DT6" s="59">
        <f ca="1">AVERAGE(OFFSET($DS$3,0,0,'Données projet'!$E$14+1,1))-AVERAGE(OFFSET($H$3,0,0,'Données projet'!$E$14+1,1))</f>
        <v>408.24135864450221</v>
      </c>
      <c r="DU6" s="59">
        <f t="shared" si="44"/>
        <v>394.10236303013903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5.2</v>
      </c>
      <c r="N7" s="13">
        <f>IF('Données projet'!$A$36&gt;35,N6+M7-V6,IF(A7&lt;'Données projet'!$A$36,$K$205^A7,IF(A7='Données projet'!$A$36,'Données projet'!$B$36,N6+M7-V6)))</f>
        <v>3.1956452398695814</v>
      </c>
      <c r="O7" s="13">
        <f>N7*VLOOKUP('Données projet'!$B$9,Paramètres!$A$1:$I$89,3,0)*VLOOKUP('Données projet'!$B$9,Paramètres!$A$1:$I$89,5,0)</f>
        <v>1.4955619722589639</v>
      </c>
      <c r="P7" s="13">
        <f t="shared" si="33"/>
        <v>0.65767183717154076</v>
      </c>
      <c r="Q7" s="20">
        <f t="shared" si="2"/>
        <v>3.750215551424795</v>
      </c>
      <c r="R7" s="59">
        <f t="shared" si="0"/>
        <v>179.83633761560174</v>
      </c>
      <c r="S7" s="59">
        <f ca="1">AVERAGE(OFFSET($R$3,0,0,'Données projet'!$E$9+1,1))-AVERAGE(OFFSET($H$3,0,0,'Données projet'!$E$9+1,1))</f>
        <v>512.58510468904342</v>
      </c>
      <c r="T7" s="59">
        <f t="shared" si="34"/>
        <v>443.6106696463529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181.98598381214859</v>
      </c>
      <c r="AN7" s="59">
        <f ca="1">AVERAGE(OFFSET($AM$3,0,0,'Données projet'!$E$10+1,1))-AVERAGE(OFFSET($H$3,0,0,'Données projet'!$E$10+1,1))</f>
        <v>520.95202773768222</v>
      </c>
      <c r="AO7" s="59">
        <f t="shared" si="36"/>
        <v>325.72635759450861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7.333333333333333</v>
      </c>
      <c r="BD7" s="12">
        <f>IF('Données projet'!$A$88&gt;35,BD6+BC7-BL6,IF(A7&lt;'Données projet'!$A$88,$BA$205^A7,IF(A7='Données projet'!$A$88,'Données projet'!$B$88,BD6+BC7-BL6)))</f>
        <v>3.5024454722749119</v>
      </c>
      <c r="BE7" s="13">
        <f>BD7*VLOOKUP('Données projet'!$B$11,Paramètres!$A$1:$I$89,3,0)*VLOOKUP('Données projet'!$B$11,Paramètres!$A$1:$I$89,5,0)</f>
        <v>2.0944623924203976</v>
      </c>
      <c r="BF7" s="13">
        <f t="shared" si="37"/>
        <v>0.88562890963839402</v>
      </c>
      <c r="BG7" s="20">
        <f t="shared" si="7"/>
        <v>5.1903256844190615</v>
      </c>
      <c r="BH7" s="59">
        <f t="shared" si="8"/>
        <v>181.27644774859601</v>
      </c>
      <c r="BI7" s="59">
        <f ca="1">AVERAGE(OFFSET($BH$3,0,0,'Données projet'!$E$11+1,1))-AVERAGE(OFFSET($H$3,0,0,'Données projet'!$E$11+1,1))</f>
        <v>528.71639224940395</v>
      </c>
      <c r="BJ7" s="59">
        <f t="shared" si="38"/>
        <v>460.93390058676493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1.9107437601419195</v>
      </c>
      <c r="CA7" s="13">
        <f t="shared" si="39"/>
        <v>0.81662477151702284</v>
      </c>
      <c r="CB7" s="20">
        <f t="shared" si="10"/>
        <v>4.7501668593059909</v>
      </c>
      <c r="CC7" s="59">
        <f t="shared" si="11"/>
        <v>180.83628892348293</v>
      </c>
      <c r="CD7" s="59">
        <f ca="1">AVERAGE(OFFSET($CC$3,0,0,'Données projet'!$E$12+1,1))-AVERAGE(OFFSET($H$3,0,0,'Données projet'!$E$12+1,1))</f>
        <v>398.11190027805549</v>
      </c>
      <c r="CE7" s="59">
        <f t="shared" si="40"/>
        <v>250.47702091764884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2.5115384615384619</v>
      </c>
      <c r="CT7" s="12">
        <f>IF('Données projet'!$A$140&gt;35,CT6+CS7-DB6,IF(A7&lt;'Données projet'!$A$140,$CQ$205^A7,IF(A7='Données projet'!$A$140,'Données projet'!$B$140,CT6+CS7-DB6)))</f>
        <v>1.7794050211676105</v>
      </c>
      <c r="CU7" s="17">
        <f>CT7*VLOOKUP('Données projet'!$B$13,Paramètres!$A$1:$I$89,3,0)*VLOOKUP('Données projet'!$B$13,Paramètres!$A$1:$I$89,5,0)</f>
        <v>1.693281818143098</v>
      </c>
      <c r="CV7" s="13">
        <f t="shared" si="41"/>
        <v>0.73393436956354363</v>
      </c>
      <c r="CW7" s="20">
        <f t="shared" si="13"/>
        <v>4.2274015269224003</v>
      </c>
      <c r="CX7" s="59">
        <f t="shared" si="14"/>
        <v>180.31352359109934</v>
      </c>
      <c r="CY7" s="59">
        <f ca="1">AVERAGE(OFFSET($CX$3,0,0,'Données projet'!$E$13+1,1))-AVERAGE(OFFSET($H$3,0,0,'Données projet'!$E$13+1,1))</f>
        <v>697.21496579281836</v>
      </c>
      <c r="CZ7" s="59">
        <f t="shared" si="42"/>
        <v>215.64914236153456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2.2796580077796249</v>
      </c>
      <c r="DQ7" s="13">
        <f t="shared" si="43"/>
        <v>0.95447757934019706</v>
      </c>
      <c r="DR7" s="20">
        <f t="shared" si="16"/>
        <v>5.632786147567022</v>
      </c>
      <c r="DS7" s="59">
        <f t="shared" si="17"/>
        <v>181.71890821174398</v>
      </c>
      <c r="DT7" s="59">
        <f ca="1">AVERAGE(OFFSET($DS$3,0,0,'Données projet'!$E$14+1,1))-AVERAGE(OFFSET($H$3,0,0,'Données projet'!$E$14+1,1))</f>
        <v>408.24135864450221</v>
      </c>
      <c r="DU7" s="59">
        <f t="shared" si="44"/>
        <v>394.10236303013903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5.2</v>
      </c>
      <c r="N8" s="13">
        <f>IF('Données projet'!$A$36&gt;35,N7+M8-V7,IF(A8&lt;'Données projet'!$A$36,$K$205^A8,IF(A8='Données projet'!$A$36,'Données projet'!$B$36,N7+M8-V7)))</f>
        <v>4.2726586816979157</v>
      </c>
      <c r="O8" s="13">
        <f>N8*VLOOKUP('Données projet'!$B$9,Paramètres!$A$1:$I$89,3,0)*VLOOKUP('Données projet'!$B$9,Paramètres!$A$1:$I$89,5,0)</f>
        <v>1.9996042630346245</v>
      </c>
      <c r="P8" s="13">
        <f t="shared" si="33"/>
        <v>0.85009259073978882</v>
      </c>
      <c r="Q8" s="20">
        <f t="shared" si="2"/>
        <v>4.9632220203237694</v>
      </c>
      <c r="R8" s="59">
        <f t="shared" si="0"/>
        <v>183.75426989677112</v>
      </c>
      <c r="S8" s="59">
        <f ca="1">AVERAGE(OFFSET($R$3,0,0,'Données projet'!$E$9+1,1))-AVERAGE(OFFSET($H$3,0,0,'Données projet'!$E$9+1,1))</f>
        <v>512.58510468904342</v>
      </c>
      <c r="T8" s="59">
        <f t="shared" si="34"/>
        <v>443.6106696463529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186.04956756228989</v>
      </c>
      <c r="AN8" s="59">
        <f ca="1">AVERAGE(OFFSET($AM$3,0,0,'Données projet'!$E$10+1,1))-AVERAGE(OFFSET($H$3,0,0,'Données projet'!$E$10+1,1))</f>
        <v>520.95202773768222</v>
      </c>
      <c r="AO8" s="59">
        <f t="shared" si="36"/>
        <v>325.72635759450861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7.333333333333333</v>
      </c>
      <c r="BD8" s="12">
        <f>IF('Données projet'!$A$88&gt;35,BD7+BC8-BL7,IF(A8&lt;'Données projet'!$A$88,$BA$205^A8,IF(A8='Données projet'!$A$88,'Données projet'!$B$88,BD7+BC8-BL7)))</f>
        <v>4.7914198570627855</v>
      </c>
      <c r="BE8" s="13">
        <f>BD8*VLOOKUP('Données projet'!$B$11,Paramètres!$A$1:$I$89,3,0)*VLOOKUP('Données projet'!$B$11,Paramètres!$A$1:$I$89,5,0)</f>
        <v>2.8652690745235461</v>
      </c>
      <c r="BF8" s="13">
        <f t="shared" si="37"/>
        <v>1.1681629376471956</v>
      </c>
      <c r="BG8" s="20">
        <f t="shared" si="7"/>
        <v>7.024894087864042</v>
      </c>
      <c r="BH8" s="59">
        <f t="shared" si="8"/>
        <v>185.81594196431141</v>
      </c>
      <c r="BI8" s="59">
        <f ca="1">AVERAGE(OFFSET($BH$3,0,0,'Données projet'!$E$11+1,1))-AVERAGE(OFFSET($H$3,0,0,'Données projet'!$E$11+1,1))</f>
        <v>528.71639224940395</v>
      </c>
      <c r="BJ8" s="59">
        <f t="shared" si="38"/>
        <v>460.93390058676493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2.3033764090157529</v>
      </c>
      <c r="CA8" s="13">
        <f t="shared" si="39"/>
        <v>0.96324708482559218</v>
      </c>
      <c r="CB8" s="20">
        <f t="shared" si="10"/>
        <v>5.6893692517736758</v>
      </c>
      <c r="CC8" s="59">
        <f t="shared" si="11"/>
        <v>184.48041712822103</v>
      </c>
      <c r="CD8" s="59">
        <f ca="1">AVERAGE(OFFSET($CC$3,0,0,'Données projet'!$E$12+1,1))-AVERAGE(OFFSET($H$3,0,0,'Données projet'!$E$12+1,1))</f>
        <v>398.11190027805549</v>
      </c>
      <c r="CE8" s="59">
        <f t="shared" si="40"/>
        <v>250.47702091764884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2.5115384615384619</v>
      </c>
      <c r="CT8" s="12">
        <f>IF('Données projet'!$A$140&gt;35,CT7+CS8-DB7,IF(A8&lt;'Données projet'!$A$140,$CQ$205^A8,IF(A8='Données projet'!$A$140,'Données projet'!$B$140,CT7+CS8-DB7)))</f>
        <v>2.055149949310588</v>
      </c>
      <c r="CU8" s="17">
        <f>CT8*VLOOKUP('Données projet'!$B$13,Paramètres!$A$1:$I$89,3,0)*VLOOKUP('Données projet'!$B$13,Paramètres!$A$1:$I$89,5,0)</f>
        <v>1.9556806917639555</v>
      </c>
      <c r="CV8" s="13">
        <f t="shared" si="41"/>
        <v>0.83357164236408055</v>
      </c>
      <c r="CW8" s="20">
        <f t="shared" si="13"/>
        <v>4.857947815272996</v>
      </c>
      <c r="CX8" s="59">
        <f t="shared" si="14"/>
        <v>183.64899569172036</v>
      </c>
      <c r="CY8" s="59">
        <f ca="1">AVERAGE(OFFSET($CX$3,0,0,'Données projet'!$E$13+1,1))-AVERAGE(OFFSET($H$3,0,0,'Données projet'!$E$13+1,1))</f>
        <v>697.21496579281836</v>
      </c>
      <c r="CZ8" s="59">
        <f t="shared" si="42"/>
        <v>215.64914236153456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2.8974034168544791</v>
      </c>
      <c r="DQ8" s="13">
        <f t="shared" si="43"/>
        <v>1.1797315360649065</v>
      </c>
      <c r="DR8" s="20">
        <f t="shared" si="16"/>
        <v>7.1010100430012626</v>
      </c>
      <c r="DS8" s="59">
        <f t="shared" si="17"/>
        <v>185.8920579194486</v>
      </c>
      <c r="DT8" s="59">
        <f ca="1">AVERAGE(OFFSET($DS$3,0,0,'Données projet'!$E$14+1,1))-AVERAGE(OFFSET($H$3,0,0,'Données projet'!$E$14+1,1))</f>
        <v>408.24135864450221</v>
      </c>
      <c r="DU8" s="59">
        <f t="shared" si="44"/>
        <v>394.10236303013903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5.2</v>
      </c>
      <c r="N9" s="13">
        <f>IF('Données projet'!$A$36&gt;35,N8+M9-V8,IF(A9&lt;'Données projet'!$A$36,$K$205^A9,IF(A9='Données projet'!$A$36,'Données projet'!$B$36,N8+M9-V8)))</f>
        <v>5.7126529511247019</v>
      </c>
      <c r="O9" s="13">
        <f>N9*VLOOKUP('Données projet'!$B$9,Paramètres!$A$1:$I$89,3,0)*VLOOKUP('Données projet'!$B$9,Paramètres!$A$1:$I$89,5,0)</f>
        <v>2.6735215811263608</v>
      </c>
      <c r="P9" s="13">
        <f t="shared" si="33"/>
        <v>1.0988115530971037</v>
      </c>
      <c r="Q9" s="20">
        <f t="shared" si="2"/>
        <v>6.5701468754391996</v>
      </c>
      <c r="R9" s="59">
        <f t="shared" si="0"/>
        <v>188.04039897169818</v>
      </c>
      <c r="S9" s="59">
        <f ca="1">AVERAGE(OFFSET($R$3,0,0,'Données projet'!$E$9+1,1))-AVERAGE(OFFSET($H$3,0,0,'Données projet'!$E$9+1,1))</f>
        <v>512.58510468904342</v>
      </c>
      <c r="T9" s="59">
        <f t="shared" si="34"/>
        <v>443.6106696463529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190.40145391140874</v>
      </c>
      <c r="AN9" s="59">
        <f ca="1">AVERAGE(OFFSET($AM$3,0,0,'Données projet'!$E$10+1,1))-AVERAGE(OFFSET($H$3,0,0,'Données projet'!$E$10+1,1))</f>
        <v>520.95202773768222</v>
      </c>
      <c r="AO9" s="59">
        <f t="shared" si="36"/>
        <v>325.72635759450861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7.333333333333333</v>
      </c>
      <c r="BD9" s="12">
        <f>IF('Données projet'!$A$88&gt;35,BD8+BC9-BL8,IF(A9&lt;'Données projet'!$A$88,$BA$205^A9,IF(A9='Données projet'!$A$88,'Données projet'!$B$88,BD8+BC9-BL8)))</f>
        <v>6.5547642149997696</v>
      </c>
      <c r="BE9" s="13">
        <f>BD9*VLOOKUP('Données projet'!$B$11,Paramètres!$A$1:$I$89,3,0)*VLOOKUP('Données projet'!$B$11,Paramètres!$A$1:$I$89,5,0)</f>
        <v>3.9197490005698628</v>
      </c>
      <c r="BF9" s="13">
        <f t="shared" si="37"/>
        <v>1.5408311924344247</v>
      </c>
      <c r="BG9" s="20">
        <f t="shared" si="7"/>
        <v>9.5105105028157997</v>
      </c>
      <c r="BH9" s="59">
        <f t="shared" si="8"/>
        <v>190.98076259907478</v>
      </c>
      <c r="BI9" s="59">
        <f ca="1">AVERAGE(OFFSET($BH$3,0,0,'Données projet'!$E$11+1,1))-AVERAGE(OFFSET($H$3,0,0,'Données projet'!$E$11+1,1))</f>
        <v>528.71639224940395</v>
      </c>
      <c r="BJ9" s="59">
        <f t="shared" si="38"/>
        <v>460.93390058676493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2.7766898902321886</v>
      </c>
      <c r="CA9" s="13">
        <f t="shared" si="39"/>
        <v>1.1361949561012803</v>
      </c>
      <c r="CB9" s="20">
        <f t="shared" si="10"/>
        <v>6.8149411073641248</v>
      </c>
      <c r="CC9" s="59">
        <f t="shared" si="11"/>
        <v>188.28519320362309</v>
      </c>
      <c r="CD9" s="59">
        <f ca="1">AVERAGE(OFFSET($CC$3,0,0,'Données projet'!$E$12+1,1))-AVERAGE(OFFSET($H$3,0,0,'Données projet'!$E$12+1,1))</f>
        <v>398.11190027805549</v>
      </c>
      <c r="CE9" s="59">
        <f t="shared" si="40"/>
        <v>250.47702091764884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2.5115384615384619</v>
      </c>
      <c r="CT9" s="12">
        <f>IF('Données projet'!$A$140&gt;35,CT8+CS9-DB8,IF(A9&lt;'Données projet'!$A$140,$CQ$205^A9,IF(A9='Données projet'!$A$140,'Données projet'!$B$140,CT8+CS9-DB8)))</f>
        <v>2.3736256017642585</v>
      </c>
      <c r="CU9" s="17">
        <f>CT9*VLOOKUP('Données projet'!$B$13,Paramètres!$A$1:$I$89,3,0)*VLOOKUP('Données projet'!$B$13,Paramètres!$A$1:$I$89,5,0)</f>
        <v>2.2587421226388682</v>
      </c>
      <c r="CV9" s="13">
        <f t="shared" si="41"/>
        <v>0.94673544634073947</v>
      </c>
      <c r="CW9" s="20">
        <f t="shared" si="13"/>
        <v>5.5828734326394835</v>
      </c>
      <c r="CX9" s="59">
        <f t="shared" si="14"/>
        <v>187.05312552889845</v>
      </c>
      <c r="CY9" s="59">
        <f ca="1">AVERAGE(OFFSET($CX$3,0,0,'Données projet'!$E$13+1,1))-AVERAGE(OFFSET($H$3,0,0,'Données projet'!$E$13+1,1))</f>
        <v>697.21496579281836</v>
      </c>
      <c r="CZ9" s="59">
        <f t="shared" si="42"/>
        <v>215.64914236153456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3.6825464746690866</v>
      </c>
      <c r="DQ9" s="13">
        <f t="shared" si="43"/>
        <v>1.4581447771126821</v>
      </c>
      <c r="DR9" s="20">
        <f t="shared" si="16"/>
        <v>8.9533705968532473</v>
      </c>
      <c r="DS9" s="59">
        <f t="shared" si="17"/>
        <v>190.42362269311224</v>
      </c>
      <c r="DT9" s="59">
        <f ca="1">AVERAGE(OFFSET($DS$3,0,0,'Données projet'!$E$14+1,1))-AVERAGE(OFFSET($H$3,0,0,'Données projet'!$E$14+1,1))</f>
        <v>408.24135864450221</v>
      </c>
      <c r="DU9" s="59">
        <f t="shared" si="44"/>
        <v>394.10236303013903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5.2</v>
      </c>
      <c r="N10" s="13">
        <f>IF('Données projet'!$A$36&gt;35,N9+M10-V9,IF(A10&lt;'Données projet'!$A$36,$K$205^A10,IF(A10='Données projet'!$A$36,'Données projet'!$B$36,N9+M10-V9)))</f>
        <v>7.6379617870681749</v>
      </c>
      <c r="O10" s="13">
        <f>N10*VLOOKUP('Données projet'!$B$9,Paramètres!$A$1:$I$89,3,0)*VLOOKUP('Données projet'!$B$9,Paramètres!$A$1:$I$89,5,0)</f>
        <v>3.5745661163479054</v>
      </c>
      <c r="P10" s="13">
        <f t="shared" si="33"/>
        <v>1.4203003794786002</v>
      </c>
      <c r="Q10" s="20">
        <f t="shared" si="2"/>
        <v>8.6993924802311628</v>
      </c>
      <c r="R10" s="59">
        <f t="shared" si="0"/>
        <v>192.82357341596739</v>
      </c>
      <c r="S10" s="59">
        <f ca="1">AVERAGE(OFFSET($R$3,0,0,'Données projet'!$E$9+1,1))-AVERAGE(OFFSET($H$3,0,0,'Données projet'!$E$9+1,1))</f>
        <v>512.58510468904342</v>
      </c>
      <c r="T10" s="59">
        <f t="shared" si="34"/>
        <v>443.6106696463529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195.11491694583884</v>
      </c>
      <c r="AN10" s="59">
        <f ca="1">AVERAGE(OFFSET($AM$3,0,0,'Données projet'!$E$10+1,1))-AVERAGE(OFFSET($H$3,0,0,'Données projet'!$E$10+1,1))</f>
        <v>520.95202773768222</v>
      </c>
      <c r="AO10" s="59">
        <f t="shared" si="36"/>
        <v>325.72635759450861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7.333333333333333</v>
      </c>
      <c r="BD10" s="12">
        <f>IF('Données projet'!$A$88&gt;35,BD9+BC10-BL9,IF(A10&lt;'Données projet'!$A$88,$BA$205^A10,IF(A10='Données projet'!$A$88,'Données projet'!$B$88,BD9+BC10-BL9)))</f>
        <v>8.9670567798205276</v>
      </c>
      <c r="BE10" s="13">
        <f>BD10*VLOOKUP('Données projet'!$B$11,Paramètres!$A$1:$I$89,3,0)*VLOOKUP('Données projet'!$B$11,Paramètres!$A$1:$I$89,5,0)</f>
        <v>5.3622999543326761</v>
      </c>
      <c r="BF10" s="13">
        <f t="shared" si="37"/>
        <v>2.032388365582547</v>
      </c>
      <c r="BG10" s="20">
        <f t="shared" si="7"/>
        <v>12.87908215718568</v>
      </c>
      <c r="BH10" s="59">
        <f t="shared" si="8"/>
        <v>197.00326309292191</v>
      </c>
      <c r="BI10" s="59">
        <f ca="1">AVERAGE(OFFSET($BH$3,0,0,'Données projet'!$E$11+1,1))-AVERAGE(OFFSET($H$3,0,0,'Données projet'!$E$11+1,1))</f>
        <v>528.71639224940395</v>
      </c>
      <c r="BJ10" s="59">
        <f t="shared" si="38"/>
        <v>460.93390058676493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3.3472630510321921</v>
      </c>
      <c r="CA10" s="13">
        <f t="shared" si="39"/>
        <v>1.34019505338418</v>
      </c>
      <c r="CB10" s="20">
        <f t="shared" si="10"/>
        <v>8.1639895318585136</v>
      </c>
      <c r="CC10" s="59">
        <f t="shared" si="11"/>
        <v>192.28817046759474</v>
      </c>
      <c r="CD10" s="59">
        <f ca="1">AVERAGE(OFFSET($CC$3,0,0,'Données projet'!$E$12+1,1))-AVERAGE(OFFSET($H$3,0,0,'Données projet'!$E$12+1,1))</f>
        <v>398.11190027805549</v>
      </c>
      <c r="CE10" s="59">
        <f t="shared" si="40"/>
        <v>250.47702091764884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2.5115384615384619</v>
      </c>
      <c r="CT10" s="12">
        <f>IF('Données projet'!$A$140&gt;35,CT9+CS10-DB9,IF(A10&lt;'Données projet'!$A$140,$CQ$205^A10,IF(A10='Données projet'!$A$140,'Données projet'!$B$140,CT9+CS10-DB9)))</f>
        <v>2.7414537315103114</v>
      </c>
      <c r="CU10" s="17">
        <f>CT10*VLOOKUP('Données projet'!$B$13,Paramètres!$A$1:$I$89,3,0)*VLOOKUP('Données projet'!$B$13,Paramètres!$A$1:$I$89,5,0)</f>
        <v>2.6087673709052122</v>
      </c>
      <c r="CV10" s="13">
        <f t="shared" si="41"/>
        <v>1.0752621128233117</v>
      </c>
      <c r="CW10" s="20">
        <f t="shared" si="13"/>
        <v>6.4163513508271786</v>
      </c>
      <c r="CX10" s="59">
        <f t="shared" si="14"/>
        <v>190.5405322865634</v>
      </c>
      <c r="CY10" s="59">
        <f ca="1">AVERAGE(OFFSET($CX$3,0,0,'Données projet'!$E$13+1,1))-AVERAGE(OFFSET($H$3,0,0,'Données projet'!$E$13+1,1))</f>
        <v>697.21496579281836</v>
      </c>
      <c r="CZ10" s="59">
        <f t="shared" si="42"/>
        <v>215.64914236153456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4.6804488664613251</v>
      </c>
      <c r="DQ10" s="13">
        <f t="shared" si="43"/>
        <v>1.8022627403121443</v>
      </c>
      <c r="DR10" s="20">
        <f t="shared" si="16"/>
        <v>11.290722715130457</v>
      </c>
      <c r="DS10" s="59">
        <f t="shared" si="17"/>
        <v>195.41490365086668</v>
      </c>
      <c r="DT10" s="59">
        <f ca="1">AVERAGE(OFFSET($DS$3,0,0,'Données projet'!$E$14+1,1))-AVERAGE(OFFSET($H$3,0,0,'Données projet'!$E$14+1,1))</f>
        <v>408.24135864450221</v>
      </c>
      <c r="DU10" s="59">
        <f t="shared" si="44"/>
        <v>394.10236303013903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5.2</v>
      </c>
      <c r="N11" s="13">
        <f>IF('Données projet'!$A$36&gt;35,N10+M11-V10,IF(A11&lt;'Données projet'!$A$36,$K$205^A11,IF(A11='Données projet'!$A$36,'Données projet'!$B$36,N10+M11-V10)))</f>
        <v>10.212148499101115</v>
      </c>
      <c r="O11" s="13">
        <f>N11*VLOOKUP('Données projet'!$B$9,Paramètres!$A$1:$I$89,3,0)*VLOOKUP('Données projet'!$B$9,Paramètres!$A$1:$I$89,5,0)</f>
        <v>4.7792854975793215</v>
      </c>
      <c r="P11" s="13">
        <f t="shared" si="33"/>
        <v>1.8358499801546853</v>
      </c>
      <c r="Q11" s="20">
        <f t="shared" si="2"/>
        <v>11.521360957053394</v>
      </c>
      <c r="R11" s="59">
        <f t="shared" si="0"/>
        <v>198.27463382327394</v>
      </c>
      <c r="S11" s="59">
        <f ca="1">AVERAGE(OFFSET($R$3,0,0,'Données projet'!$E$9+1,1))-AVERAGE(OFFSET($H$3,0,0,'Données projet'!$E$9+1,1))</f>
        <v>512.58510468904342</v>
      </c>
      <c r="T11" s="59">
        <f t="shared" si="34"/>
        <v>443.6106696463529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200.28016669663185</v>
      </c>
      <c r="AN11" s="59">
        <f ca="1">AVERAGE(OFFSET($AM$3,0,0,'Données projet'!$E$10+1,1))-AVERAGE(OFFSET($H$3,0,0,'Données projet'!$E$10+1,1))</f>
        <v>520.95202773768222</v>
      </c>
      <c r="AO11" s="59">
        <f t="shared" si="36"/>
        <v>325.72635759450861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7.333333333333333</v>
      </c>
      <c r="BD11" s="12">
        <f>IF('Données projet'!$A$88&gt;35,BD10+BC11-BL10,IF(A11&lt;'Données projet'!$A$88,$BA$205^A11,IF(A11='Données projet'!$A$88,'Données projet'!$B$88,BD10+BC11-BL10)))</f>
        <v>12.26712428625903</v>
      </c>
      <c r="BE11" s="13">
        <f>BD11*VLOOKUP('Données projet'!$B$11,Paramètres!$A$1:$I$89,3,0)*VLOOKUP('Données projet'!$B$11,Paramètres!$A$1:$I$89,5,0)</f>
        <v>7.3357403231829004</v>
      </c>
      <c r="BF11" s="13">
        <f t="shared" si="37"/>
        <v>2.6807624928913736</v>
      </c>
      <c r="BG11" s="20">
        <f t="shared" si="7"/>
        <v>17.445409071329362</v>
      </c>
      <c r="BH11" s="59">
        <f t="shared" si="8"/>
        <v>204.19868193754991</v>
      </c>
      <c r="BI11" s="59">
        <f ca="1">AVERAGE(OFFSET($BH$3,0,0,'Données projet'!$E$11+1,1))-AVERAGE(OFFSET($H$3,0,0,'Données projet'!$E$11+1,1))</f>
        <v>528.71639224940395</v>
      </c>
      <c r="BJ11" s="59">
        <f t="shared" si="38"/>
        <v>460.93390058676493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4.0350814731667564</v>
      </c>
      <c r="CA11" s="13">
        <f t="shared" si="39"/>
        <v>1.5808227025391921</v>
      </c>
      <c r="CB11" s="20">
        <f t="shared" si="10"/>
        <v>9.7810331060211926</v>
      </c>
      <c r="CC11" s="59">
        <f t="shared" si="11"/>
        <v>196.53430597224175</v>
      </c>
      <c r="CD11" s="59">
        <f ca="1">AVERAGE(OFFSET($CC$3,0,0,'Données projet'!$E$12+1,1))-AVERAGE(OFFSET($H$3,0,0,'Données projet'!$E$12+1,1))</f>
        <v>398.11190027805549</v>
      </c>
      <c r="CE11" s="59">
        <f t="shared" si="40"/>
        <v>250.47702091764884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2.5115384615384619</v>
      </c>
      <c r="CT11" s="12">
        <f>IF('Données projet'!$A$140&gt;35,CT10+CS11-DB10,IF(A11&lt;'Données projet'!$A$140,$CQ$205^A11,IF(A11='Données projet'!$A$140,'Données projet'!$B$140,CT10+CS11-DB10)))</f>
        <v>3.1662822293565043</v>
      </c>
      <c r="CU11" s="17">
        <f>CT11*VLOOKUP('Données projet'!$B$13,Paramètres!$A$1:$I$89,3,0)*VLOOKUP('Données projet'!$B$13,Paramètres!$A$1:$I$89,5,0)</f>
        <v>3.0130341694556493</v>
      </c>
      <c r="CV11" s="13">
        <f t="shared" si="41"/>
        <v>1.2212372693365159</v>
      </c>
      <c r="CW11" s="20">
        <f t="shared" si="13"/>
        <v>7.3746894225630202</v>
      </c>
      <c r="CX11" s="59">
        <f t="shared" si="14"/>
        <v>194.12796228878358</v>
      </c>
      <c r="CY11" s="59">
        <f ca="1">AVERAGE(OFFSET($CX$3,0,0,'Données projet'!$E$13+1,1))-AVERAGE(OFFSET($H$3,0,0,'Données projet'!$E$13+1,1))</f>
        <v>697.21496579281836</v>
      </c>
      <c r="CZ11" s="59">
        <f t="shared" si="42"/>
        <v>215.64914236153456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5.9487644602034884</v>
      </c>
      <c r="DQ11" s="13">
        <f t="shared" si="43"/>
        <v>2.2275915506478068</v>
      </c>
      <c r="DR11" s="20">
        <f t="shared" si="16"/>
        <v>14.240486718899339</v>
      </c>
      <c r="DS11" s="59">
        <f t="shared" si="17"/>
        <v>200.9937595851199</v>
      </c>
      <c r="DT11" s="59">
        <f ca="1">AVERAGE(OFFSET($DS$3,0,0,'Données projet'!$E$14+1,1))-AVERAGE(OFFSET($H$3,0,0,'Données projet'!$E$14+1,1))</f>
        <v>408.24135864450221</v>
      </c>
      <c r="DU11" s="59">
        <f t="shared" si="44"/>
        <v>394.10236303013903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5.2</v>
      </c>
      <c r="N12" s="13">
        <f>IF('Données projet'!$A$36&gt;35,N11+M12-V11,IF(A12&lt;'Données projet'!$A$36,$K$205^A12,IF(A12='Données projet'!$A$36,'Données projet'!$B$36,N11+M12-V11)))</f>
        <v>13.653901377755385</v>
      </c>
      <c r="O12" s="13">
        <f>N12*VLOOKUP('Données projet'!$B$9,Paramètres!$A$1:$I$89,3,0)*VLOOKUP('Données projet'!$B$9,Paramètres!$A$1:$I$89,5,0)</f>
        <v>6.3900258447895206</v>
      </c>
      <c r="P12" s="13">
        <f t="shared" si="33"/>
        <v>2.3729805316754398</v>
      </c>
      <c r="Q12" s="20">
        <f t="shared" si="2"/>
        <v>15.262236105676472</v>
      </c>
      <c r="R12" s="59">
        <f t="shared" si="0"/>
        <v>204.62019485823254</v>
      </c>
      <c r="S12" s="59">
        <f ca="1">AVERAGE(OFFSET($R$3,0,0,'Données projet'!$E$9+1,1))-AVERAGE(OFFSET($H$3,0,0,'Données projet'!$E$9+1,1))</f>
        <v>512.58510468904342</v>
      </c>
      <c r="T12" s="59">
        <f t="shared" si="34"/>
        <v>443.6106696463529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206.00830282636755</v>
      </c>
      <c r="AN12" s="59">
        <f ca="1">AVERAGE(OFFSET($AM$3,0,0,'Données projet'!$E$10+1,1))-AVERAGE(OFFSET($H$3,0,0,'Données projet'!$E$10+1,1))</f>
        <v>520.95202773768222</v>
      </c>
      <c r="AO12" s="59">
        <f t="shared" si="36"/>
        <v>325.72635759450861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7.333333333333333</v>
      </c>
      <c r="BD12" s="12">
        <f>IF('Données projet'!$A$88&gt;35,BD11+BC12-BL11,IF(A12&lt;'Données projet'!$A$88,$BA$205^A12,IF(A12='Données projet'!$A$88,'Données projet'!$B$88,BD11+BC12-BL11)))</f>
        <v>16.781686784137655</v>
      </c>
      <c r="BE12" s="13">
        <f>BD12*VLOOKUP('Données projet'!$B$11,Paramètres!$A$1:$I$89,3,0)*VLOOKUP('Données projet'!$B$11,Paramètres!$A$1:$I$89,5,0)</f>
        <v>10.035448696914319</v>
      </c>
      <c r="BF12" s="13">
        <f t="shared" si="37"/>
        <v>3.5359814418310247</v>
      </c>
      <c r="BG12" s="20">
        <f t="shared" si="7"/>
        <v>23.636907491648142</v>
      </c>
      <c r="BH12" s="59">
        <f t="shared" si="8"/>
        <v>212.99486624420422</v>
      </c>
      <c r="BI12" s="59">
        <f ca="1">AVERAGE(OFFSET($BH$3,0,0,'Données projet'!$E$11+1,1))-AVERAGE(OFFSET($H$3,0,0,'Données projet'!$E$11+1,1))</f>
        <v>528.71639224940395</v>
      </c>
      <c r="BJ12" s="59">
        <f t="shared" si="38"/>
        <v>460.93390058676493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4.8642375119197085</v>
      </c>
      <c r="CA12" s="13">
        <f t="shared" si="39"/>
        <v>1.8646542609995393</v>
      </c>
      <c r="CB12" s="20">
        <f t="shared" si="10"/>
        <v>11.719486504501022</v>
      </c>
      <c r="CC12" s="59">
        <f t="shared" si="11"/>
        <v>201.07744525705709</v>
      </c>
      <c r="CD12" s="59">
        <f ca="1">AVERAGE(OFFSET($CC$3,0,0,'Données projet'!$E$12+1,1))-AVERAGE(OFFSET($H$3,0,0,'Données projet'!$E$12+1,1))</f>
        <v>398.11190027805549</v>
      </c>
      <c r="CE12" s="59">
        <f t="shared" si="40"/>
        <v>250.47702091764884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2.5115384615384619</v>
      </c>
      <c r="CT12" s="12">
        <f>IF('Données projet'!$A$140&gt;35,CT11+CS12-DB11,IF(A12&lt;'Données projet'!$A$140,$CQ$205^A12,IF(A12='Données projet'!$A$140,'Données projet'!$B$140,CT11+CS12-DB11)))</f>
        <v>3.6569441390556205</v>
      </c>
      <c r="CU12" s="17">
        <f>CT12*VLOOKUP('Données projet'!$B$13,Paramètres!$A$1:$I$89,3,0)*VLOOKUP('Données projet'!$B$13,Paramètres!$A$1:$I$89,5,0)</f>
        <v>3.4799480427253289</v>
      </c>
      <c r="CV12" s="13">
        <f t="shared" si="41"/>
        <v>1.387029683488515</v>
      </c>
      <c r="CW12" s="20">
        <f t="shared" si="13"/>
        <v>8.4766528731557784</v>
      </c>
      <c r="CX12" s="59">
        <f t="shared" si="14"/>
        <v>197.83461162571186</v>
      </c>
      <c r="CY12" s="59">
        <f ca="1">AVERAGE(OFFSET($CX$3,0,0,'Données projet'!$E$13+1,1))-AVERAGE(OFFSET($H$3,0,0,'Données projet'!$E$13+1,1))</f>
        <v>697.21496579281836</v>
      </c>
      <c r="CZ12" s="59">
        <f t="shared" si="42"/>
        <v>215.64914236153456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7.5607702621341106</v>
      </c>
      <c r="DQ12" s="13">
        <f t="shared" si="43"/>
        <v>2.7532967338924581</v>
      </c>
      <c r="DR12" s="20">
        <f t="shared" si="16"/>
        <v>17.963666684746272</v>
      </c>
      <c r="DS12" s="59">
        <f t="shared" si="17"/>
        <v>207.32162543730234</v>
      </c>
      <c r="DT12" s="59">
        <f ca="1">AVERAGE(OFFSET($DS$3,0,0,'Données projet'!$E$14+1,1))-AVERAGE(OFFSET($H$3,0,0,'Données projet'!$E$14+1,1))</f>
        <v>408.24135864450221</v>
      </c>
      <c r="DU12" s="59">
        <f t="shared" si="44"/>
        <v>394.10236303013903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5.2</v>
      </c>
      <c r="N13" s="13">
        <f>IF('Données projet'!$A$36&gt;35,N12+M13-V12,IF(A13&lt;'Données projet'!$A$36,$K$205^A13,IF(A13='Données projet'!$A$36,'Données projet'!$B$36,N12+M13-V12)))</f>
        <v>18.255612210288572</v>
      </c>
      <c r="O13" s="13">
        <f>N13*VLOOKUP('Données projet'!$B$9,Paramètres!$A$1:$I$89,3,0)*VLOOKUP('Données projet'!$B$9,Paramètres!$A$1:$I$89,5,0)</f>
        <v>8.5436265144150525</v>
      </c>
      <c r="P13" s="13">
        <f t="shared" si="33"/>
        <v>3.0672640273341907</v>
      </c>
      <c r="Q13" s="20">
        <f t="shared" si="2"/>
        <v>20.222301026879929</v>
      </c>
      <c r="R13" s="59">
        <f t="shared" si="0"/>
        <v>212.16096301192482</v>
      </c>
      <c r="S13" s="59">
        <f ca="1">AVERAGE(OFFSET($R$3,0,0,'Données projet'!$E$9+1,1))-AVERAGE(OFFSET($H$3,0,0,'Données projet'!$E$9+1,1))</f>
        <v>512.58510468904342</v>
      </c>
      <c r="T13" s="59">
        <f t="shared" si="34"/>
        <v>443.6106696463529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212.43619329200953</v>
      </c>
      <c r="AN13" s="59">
        <f ca="1">AVERAGE(OFFSET($AM$3,0,0,'Données projet'!$E$10+1,1))-AVERAGE(OFFSET($H$3,0,0,'Données projet'!$E$10+1,1))</f>
        <v>520.95202773768222</v>
      </c>
      <c r="AO13" s="59">
        <f t="shared" si="36"/>
        <v>325.72635759450861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7.333333333333333</v>
      </c>
      <c r="BD13" s="12">
        <f>IF('Données projet'!$A$88&gt;35,BD12+BC13-BL12,IF(A13&lt;'Données projet'!$A$88,$BA$205^A13,IF(A13='Données projet'!$A$88,'Données projet'!$B$88,BD12+BC13-BL12)))</f>
        <v>22.95770424665556</v>
      </c>
      <c r="BE13" s="13">
        <f>BD13*VLOOKUP('Données projet'!$B$11,Paramètres!$A$1:$I$89,3,0)*VLOOKUP('Données projet'!$B$11,Paramètres!$A$1:$I$89,5,0)</f>
        <v>13.728707139500026</v>
      </c>
      <c r="BF13" s="13">
        <f t="shared" si="37"/>
        <v>4.6640330093129414</v>
      </c>
      <c r="BG13" s="20">
        <f t="shared" si="7"/>
        <v>32.034022425849251</v>
      </c>
      <c r="BH13" s="59">
        <f t="shared" si="8"/>
        <v>223.97268441089415</v>
      </c>
      <c r="BI13" s="59">
        <f ca="1">AVERAGE(OFFSET($BH$3,0,0,'Données projet'!$E$11+1,1))-AVERAGE(OFFSET($H$3,0,0,'Données projet'!$E$11+1,1))</f>
        <v>528.71639224940395</v>
      </c>
      <c r="BJ13" s="59">
        <f t="shared" si="38"/>
        <v>460.93390058676493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5.8637741839194364</v>
      </c>
      <c r="CA13" s="13">
        <f t="shared" si="39"/>
        <v>2.1994468497187687</v>
      </c>
      <c r="CB13" s="20">
        <f t="shared" si="10"/>
        <v>14.043443300253207</v>
      </c>
      <c r="CC13" s="59">
        <f t="shared" si="11"/>
        <v>205.9821052852981</v>
      </c>
      <c r="CD13" s="59">
        <f ca="1">AVERAGE(OFFSET($CC$3,0,0,'Données projet'!$E$12+1,1))-AVERAGE(OFFSET($H$3,0,0,'Données projet'!$E$12+1,1))</f>
        <v>398.11190027805549</v>
      </c>
      <c r="CE13" s="59">
        <f t="shared" si="40"/>
        <v>250.47702091764884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2.5115384615384619</v>
      </c>
      <c r="CT13" s="12">
        <f>IF('Données projet'!$A$140&gt;35,CT12+CS13-DB12,IF(A13&lt;'Données projet'!$A$140,$CQ$205^A13,IF(A13='Données projet'!$A$140,'Données projet'!$B$140,CT12+CS13-DB12)))</f>
        <v>4.2236413141513127</v>
      </c>
      <c r="CU13" s="17">
        <f>CT13*VLOOKUP('Données projet'!$B$13,Paramètres!$A$1:$I$89,3,0)*VLOOKUP('Données projet'!$B$13,Paramètres!$A$1:$I$89,5,0)</f>
        <v>4.0192170745463889</v>
      </c>
      <c r="CV13" s="13">
        <f t="shared" si="41"/>
        <v>1.5753297014293184</v>
      </c>
      <c r="CW13" s="20">
        <f t="shared" si="13"/>
        <v>9.7438356348243556</v>
      </c>
      <c r="CX13" s="59">
        <f t="shared" si="14"/>
        <v>201.68249761986925</v>
      </c>
      <c r="CY13" s="59">
        <f ca="1">AVERAGE(OFFSET($CX$3,0,0,'Données projet'!$E$13+1,1))-AVERAGE(OFFSET($H$3,0,0,'Données projet'!$E$13+1,1))</f>
        <v>697.21496579281836</v>
      </c>
      <c r="CZ13" s="59">
        <f t="shared" si="42"/>
        <v>215.64914236153456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9.6096000000000004</v>
      </c>
      <c r="DQ13" s="13">
        <f t="shared" si="43"/>
        <v>3.4030668246422207</v>
      </c>
      <c r="DR13" s="20">
        <f t="shared" si="16"/>
        <v>22.663728052918533</v>
      </c>
      <c r="DS13" s="59">
        <f t="shared" si="17"/>
        <v>214.60239003796343</v>
      </c>
      <c r="DT13" s="59">
        <f ca="1">AVERAGE(OFFSET($DS$3,0,0,'Données projet'!$E$14+1,1))-AVERAGE(OFFSET($H$3,0,0,'Données projet'!$E$14+1,1))</f>
        <v>408.24135864450221</v>
      </c>
      <c r="DU13" s="59">
        <f t="shared" si="44"/>
        <v>394.10236303013903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5.2</v>
      </c>
      <c r="N14" s="13">
        <f>IF('Données projet'!$A$36&gt;35,N13+M14-V13,IF(A14&lt;'Données projet'!$A$36,$K$205^A14,IF(A14='Données projet'!$A$36,'Données projet'!$B$36,N13+M14-V13)))</f>
        <v>24.408216227150177</v>
      </c>
      <c r="O14" s="13">
        <f>N14*VLOOKUP('Données projet'!$B$9,Paramètres!$A$1:$I$89,3,0)*VLOOKUP('Données projet'!$B$9,Paramètres!$A$1:$I$89,5,0)</f>
        <v>11.423045194306283</v>
      </c>
      <c r="P14" s="13">
        <f t="shared" si="33"/>
        <v>3.9646800670276767</v>
      </c>
      <c r="Q14" s="20">
        <f t="shared" si="2"/>
        <v>26.800288163489981</v>
      </c>
      <c r="R14" s="59">
        <f t="shared" si="0"/>
        <v>221.2960867726041</v>
      </c>
      <c r="S14" s="59">
        <f ca="1">AVERAGE(OFFSET($R$3,0,0,'Données projet'!$E$9+1,1))-AVERAGE(OFFSET($H$3,0,0,'Données projet'!$E$9+1,1))</f>
        <v>512.58510468904342</v>
      </c>
      <c r="T14" s="59">
        <f t="shared" si="34"/>
        <v>443.6106696463529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219.7324949230792</v>
      </c>
      <c r="AN14" s="59">
        <f ca="1">AVERAGE(OFFSET($AM$3,0,0,'Données projet'!$E$10+1,1))-AVERAGE(OFFSET($H$3,0,0,'Données projet'!$E$10+1,1))</f>
        <v>520.95202773768222</v>
      </c>
      <c r="AO14" s="59">
        <f t="shared" si="36"/>
        <v>325.72635759450861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7.333333333333333</v>
      </c>
      <c r="BD14" s="12">
        <f>IF('Données projet'!$A$88&gt;35,BD13+BC14-BL13,IF(A14&lt;'Données projet'!$A$88,$BA$205^A14,IF(A14='Données projet'!$A$88,'Données projet'!$B$88,BD13+BC14-BL13)))</f>
        <v>31.406627418114457</v>
      </c>
      <c r="BE14" s="13">
        <f>BD14*VLOOKUP('Données projet'!$B$11,Paramètres!$A$1:$I$89,3,0)*VLOOKUP('Données projet'!$B$11,Paramètres!$A$1:$I$89,5,0)</f>
        <v>18.781163196032448</v>
      </c>
      <c r="BF14" s="13">
        <f t="shared" si="37"/>
        <v>6.1519564708734276</v>
      </c>
      <c r="BG14" s="20">
        <f t="shared" si="7"/>
        <v>43.425183419861064</v>
      </c>
      <c r="BH14" s="59">
        <f t="shared" si="8"/>
        <v>237.9209820289752</v>
      </c>
      <c r="BI14" s="59">
        <f ca="1">AVERAGE(OFFSET($BH$3,0,0,'Données projet'!$E$11+1,1))-AVERAGE(OFFSET($H$3,0,0,'Données projet'!$E$11+1,1))</f>
        <v>528.71639224940395</v>
      </c>
      <c r="BJ14" s="59">
        <f t="shared" si="38"/>
        <v>460.93390058676493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7.0687024627689707</v>
      </c>
      <c r="CA14" s="13">
        <f t="shared" si="39"/>
        <v>2.5943503554083325</v>
      </c>
      <c r="CB14" s="20">
        <f t="shared" si="10"/>
        <v>16.829816991658799</v>
      </c>
      <c r="CC14" s="59">
        <f t="shared" si="11"/>
        <v>211.32561560077292</v>
      </c>
      <c r="CD14" s="59">
        <f ca="1">AVERAGE(OFFSET($CC$3,0,0,'Données projet'!$E$12+1,1))-AVERAGE(OFFSET($H$3,0,0,'Données projet'!$E$12+1,1))</f>
        <v>398.11190027805549</v>
      </c>
      <c r="CE14" s="59">
        <f t="shared" si="40"/>
        <v>250.47702091764884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2.5115384615384619</v>
      </c>
      <c r="CT14" s="12">
        <f>IF('Données projet'!$A$140&gt;35,CT13+CS14-DB13,IF(A14&lt;'Données projet'!$A$140,$CQ$205^A14,IF(A14='Données projet'!$A$140,'Données projet'!$B$140,CT13+CS14-DB13)))</f>
        <v>4.8781565351481309</v>
      </c>
      <c r="CU14" s="17">
        <f>CT14*VLOOKUP('Données projet'!$B$13,Paramètres!$A$1:$I$89,3,0)*VLOOKUP('Données projet'!$B$13,Paramètres!$A$1:$I$89,5,0)</f>
        <v>4.6420537588469619</v>
      </c>
      <c r="CV14" s="13">
        <f t="shared" si="41"/>
        <v>1.7891929046275064</v>
      </c>
      <c r="CW14" s="20">
        <f t="shared" si="13"/>
        <v>11.201087938884697</v>
      </c>
      <c r="CX14" s="59">
        <f t="shared" si="14"/>
        <v>205.69688654799882</v>
      </c>
      <c r="CY14" s="59">
        <f ca="1">AVERAGE(OFFSET($CX$3,0,0,'Données projet'!$E$13+1,1))-AVERAGE(OFFSET($H$3,0,0,'Données projet'!$E$13+1,1))</f>
        <v>697.21496579281836</v>
      </c>
      <c r="CZ14" s="59">
        <f t="shared" si="42"/>
        <v>215.64914236153456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10.8</v>
      </c>
      <c r="DO14" s="12">
        <f>IF('Données projet'!$A$166&gt;35,DO13+DN14-DW13,IF(A14&lt;'Données projet'!$A$166,$DL$205^A14,IF(A14='Données projet'!$A$166,'Données projet'!$B$166,DO13+DN14-DW13)))</f>
        <v>21.8</v>
      </c>
      <c r="DP14" s="17">
        <f>DO14*VLOOKUP('Données projet'!$B$14,Paramètres!$A$1:$I$89,3,0)*VLOOKUP('Données projet'!$B$14,Paramètres!$A$1:$I$89,5,0)</f>
        <v>19.044480000000004</v>
      </c>
      <c r="DQ14" s="13">
        <f t="shared" si="43"/>
        <v>6.2281069020478963</v>
      </c>
      <c r="DR14" s="20">
        <f t="shared" si="16"/>
        <v>44.016422187733419</v>
      </c>
      <c r="DS14" s="59">
        <f t="shared" si="17"/>
        <v>238.51222079684754</v>
      </c>
      <c r="DT14" s="59">
        <f ca="1">AVERAGE(OFFSET($DS$3,0,0,'Données projet'!$E$14+1,1))-AVERAGE(OFFSET($H$3,0,0,'Données projet'!$E$14+1,1))</f>
        <v>408.24135864450221</v>
      </c>
      <c r="DU14" s="59">
        <f t="shared" si="44"/>
        <v>394.10236303013903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5.2</v>
      </c>
      <c r="N15" s="13">
        <f>IF('Données projet'!$A$36&gt;35,N14+M15-V14,IF(A15&lt;'Données projet'!$A$36,$K$205^A15,IF(A15='Données projet'!$A$36,'Données projet'!$B$36,N14+M15-V14)))</f>
        <v>32.634403739993772</v>
      </c>
      <c r="O15" s="13">
        <f>N15*VLOOKUP('Données projet'!$B$9,Paramètres!$A$1:$I$89,3,0)*VLOOKUP('Données projet'!$B$9,Paramètres!$A$1:$I$89,5,0)</f>
        <v>15.272900950317085</v>
      </c>
      <c r="P15" s="13">
        <f t="shared" si="33"/>
        <v>5.1246609009880242</v>
      </c>
      <c r="Q15" s="20">
        <f t="shared" si="2"/>
        <v>35.525753557689733</v>
      </c>
      <c r="R15" s="59">
        <f t="shared" si="0"/>
        <v>232.55553101042261</v>
      </c>
      <c r="S15" s="59">
        <f ca="1">AVERAGE(OFFSET($R$3,0,0,'Données projet'!$E$9+1,1))-AVERAGE(OFFSET($H$3,0,0,'Données projet'!$E$9+1,1))</f>
        <v>512.58510468904342</v>
      </c>
      <c r="T15" s="59">
        <f t="shared" si="34"/>
        <v>443.6106696463529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228.10508384726486</v>
      </c>
      <c r="AN15" s="59">
        <f ca="1">AVERAGE(OFFSET($AM$3,0,0,'Données projet'!$E$10+1,1))-AVERAGE(OFFSET($H$3,0,0,'Données projet'!$E$10+1,1))</f>
        <v>520.95202773768222</v>
      </c>
      <c r="AO15" s="59">
        <f t="shared" si="36"/>
        <v>325.72635759450861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7.333333333333333</v>
      </c>
      <c r="BD15" s="12">
        <f>IF('Données projet'!$A$88&gt;35,BD14+BC15-BL14,IF(A15&lt;'Données projet'!$A$88,$BA$205^A15,IF(A15='Données projet'!$A$88,'Données projet'!$B$88,BD14+BC15-BL14)))</f>
        <v>42.964933914241549</v>
      </c>
      <c r="BE15" s="13">
        <f>BD15*VLOOKUP('Données projet'!$B$11,Paramètres!$A$1:$I$89,3,0)*VLOOKUP('Données projet'!$B$11,Paramètres!$A$1:$I$89,5,0)</f>
        <v>25.693030480716448</v>
      </c>
      <c r="BF15" s="13">
        <f t="shared" si="37"/>
        <v>8.1145584398633126</v>
      </c>
      <c r="BG15" s="20">
        <f t="shared" si="7"/>
        <v>58.881550703343073</v>
      </c>
      <c r="BH15" s="59">
        <f t="shared" si="8"/>
        <v>255.91132815607594</v>
      </c>
      <c r="BI15" s="59">
        <f ca="1">AVERAGE(OFFSET($BH$3,0,0,'Données projet'!$E$11+1,1))-AVERAGE(OFFSET($H$3,0,0,'Données projet'!$E$11+1,1))</f>
        <v>528.71639224940395</v>
      </c>
      <c r="BJ15" s="59">
        <f t="shared" si="38"/>
        <v>460.93390058676493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8.521227615514638</v>
      </c>
      <c r="CA15" s="13">
        <f t="shared" si="39"/>
        <v>3.0601574970852128</v>
      </c>
      <c r="CB15" s="20">
        <f t="shared" si="10"/>
        <v>20.170912404444739</v>
      </c>
      <c r="CC15" s="59">
        <f t="shared" si="11"/>
        <v>217.20068985717762</v>
      </c>
      <c r="CD15" s="59">
        <f ca="1">AVERAGE(OFFSET($CC$3,0,0,'Données projet'!$E$12+1,1))-AVERAGE(OFFSET($H$3,0,0,'Données projet'!$E$12+1,1))</f>
        <v>398.11190027805549</v>
      </c>
      <c r="CE15" s="59">
        <f t="shared" si="40"/>
        <v>250.47702091764884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2.5115384615384619</v>
      </c>
      <c r="CT15" s="12">
        <f>IF('Données projet'!$A$140&gt;35,CT14+CS15-DB14,IF(A15&lt;'Données projet'!$A$140,$CQ$205^A15,IF(A15='Données projet'!$A$140,'Données projet'!$B$140,CT14+CS15-DB14)))</f>
        <v>5.6340984973507391</v>
      </c>
      <c r="CU15" s="17">
        <f>CT15*VLOOKUP('Données projet'!$B$13,Paramètres!$A$1:$I$89,3,0)*VLOOKUP('Données projet'!$B$13,Paramètres!$A$1:$I$89,5,0)</f>
        <v>5.3614081300789636</v>
      </c>
      <c r="CV15" s="13">
        <f t="shared" si="41"/>
        <v>2.0320896933923787</v>
      </c>
      <c r="CW15" s="20">
        <f t="shared" si="13"/>
        <v>12.877008709212587</v>
      </c>
      <c r="CX15" s="59">
        <f t="shared" si="14"/>
        <v>209.90678616194546</v>
      </c>
      <c r="CY15" s="59">
        <f ca="1">AVERAGE(OFFSET($CX$3,0,0,'Données projet'!$E$13+1,1))-AVERAGE(OFFSET($H$3,0,0,'Données projet'!$E$13+1,1))</f>
        <v>697.21496579281836</v>
      </c>
      <c r="CZ15" s="59">
        <f t="shared" si="42"/>
        <v>215.64914236153456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10.8</v>
      </c>
      <c r="DO15" s="12">
        <f>IF('Données projet'!$A$166&gt;35,DO14+DN15-DW14,IF(A15&lt;'Données projet'!$A$166,$DL$205^A15,IF(A15='Données projet'!$A$166,'Données projet'!$B$166,DO14+DN15-DW14)))</f>
        <v>32.6</v>
      </c>
      <c r="DP15" s="17">
        <f>DO15*VLOOKUP('Données projet'!$B$14,Paramètres!$A$1:$I$89,3,0)*VLOOKUP('Données projet'!$B$14,Paramètres!$A$1:$I$89,5,0)</f>
        <v>28.479360000000007</v>
      </c>
      <c r="DQ15" s="13">
        <f t="shared" si="43"/>
        <v>8.8874050121326551</v>
      </c>
      <c r="DR15" s="20">
        <f t="shared" si="16"/>
        <v>65.080449062797712</v>
      </c>
      <c r="DS15" s="59">
        <f t="shared" si="17"/>
        <v>262.1102265155306</v>
      </c>
      <c r="DT15" s="59">
        <f ca="1">AVERAGE(OFFSET($DS$3,0,0,'Données projet'!$E$14+1,1))-AVERAGE(OFFSET($H$3,0,0,'Données projet'!$E$14+1,1))</f>
        <v>408.24135864450221</v>
      </c>
      <c r="DU15" s="59">
        <f t="shared" si="44"/>
        <v>394.10236303013903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5.2</v>
      </c>
      <c r="N16" s="13">
        <f>IF('Données projet'!$A$36&gt;35,N15+M16-V15,IF(A16&lt;'Données projet'!$A$36,$K$205^A16,IF(A16='Données projet'!$A$36,'Données projet'!$B$36,N15+M16-V15)))</f>
        <v>43.633024943472719</v>
      </c>
      <c r="O16" s="13">
        <f>N16*VLOOKUP('Données projet'!$B$9,Paramètres!$A$1:$I$89,3,0)*VLOOKUP('Données projet'!$B$9,Paramètres!$A$1:$I$89,5,0)</f>
        <v>20.420255673545231</v>
      </c>
      <c r="P16" s="13">
        <f t="shared" si="33"/>
        <v>6.6240273883698597</v>
      </c>
      <c r="Q16" s="20">
        <f t="shared" si="2"/>
        <v>47.102126332835446</v>
      </c>
      <c r="R16" s="59">
        <f t="shared" si="0"/>
        <v>246.64312658445425</v>
      </c>
      <c r="S16" s="59">
        <f ca="1">AVERAGE(OFFSET($R$3,0,0,'Données projet'!$E$9+1,1))-AVERAGE(OFFSET($H$3,0,0,'Données projet'!$E$9+1,1))</f>
        <v>512.58510468904342</v>
      </c>
      <c r="T16" s="59">
        <f t="shared" si="34"/>
        <v>443.6106696463529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237.81022669869324</v>
      </c>
      <c r="AN16" s="59">
        <f ca="1">AVERAGE(OFFSET($AM$3,0,0,'Données projet'!$E$10+1,1))-AVERAGE(OFFSET($H$3,0,0,'Données projet'!$E$10+1,1))</f>
        <v>520.95202773768222</v>
      </c>
      <c r="AO16" s="59">
        <f t="shared" si="36"/>
        <v>325.72635759450861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7.333333333333333</v>
      </c>
      <c r="BD16" s="12">
        <f>IF('Données projet'!$A$88&gt;35,BD15+BC16-BL15,IF(A16&lt;'Données projet'!$A$88,$BA$205^A16,IF(A16='Données projet'!$A$88,'Données projet'!$B$88,BD15+BC16-BL15)))</f>
        <v>58.776942894238665</v>
      </c>
      <c r="BE16" s="13">
        <f>BD16*VLOOKUP('Données projet'!$B$11,Paramètres!$A$1:$I$89,3,0)*VLOOKUP('Données projet'!$B$11,Paramètres!$A$1:$I$89,5,0)</f>
        <v>35.148611850754726</v>
      </c>
      <c r="BF16" s="13">
        <f t="shared" si="37"/>
        <v>10.703271225293379</v>
      </c>
      <c r="BG16" s="20">
        <f t="shared" si="7"/>
        <v>79.858696357450455</v>
      </c>
      <c r="BH16" s="59">
        <f t="shared" si="8"/>
        <v>279.39969660906928</v>
      </c>
      <c r="BI16" s="59">
        <f ca="1">AVERAGE(OFFSET($BH$3,0,0,'Données projet'!$E$11+1,1))-AVERAGE(OFFSET($H$3,0,0,'Données projet'!$E$11+1,1))</f>
        <v>528.71639224940395</v>
      </c>
      <c r="BJ16" s="59">
        <f t="shared" si="38"/>
        <v>460.93390058676493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10.272227535089344</v>
      </c>
      <c r="CA16" s="13">
        <f t="shared" si="39"/>
        <v>3.6095987912522753</v>
      </c>
      <c r="CB16" s="20">
        <f t="shared" si="10"/>
        <v>24.177514185044988</v>
      </c>
      <c r="CC16" s="59">
        <f t="shared" si="11"/>
        <v>223.71851443666381</v>
      </c>
      <c r="CD16" s="59">
        <f ca="1">AVERAGE(OFFSET($CC$3,0,0,'Données projet'!$E$12+1,1))-AVERAGE(OFFSET($H$3,0,0,'Données projet'!$E$12+1,1))</f>
        <v>398.11190027805549</v>
      </c>
      <c r="CE16" s="59">
        <f t="shared" si="40"/>
        <v>250.47702091764884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2.5115384615384619</v>
      </c>
      <c r="CT16" s="12">
        <f>IF('Données projet'!$A$140&gt;35,CT15+CS16-DB15,IF(A16&lt;'Données projet'!$A$140,$CQ$205^A16,IF(A16='Données projet'!$A$140,'Données projet'!$B$140,CT15+CS16-DB15)))</f>
        <v>6.5071847631650357</v>
      </c>
      <c r="CU16" s="17">
        <f>CT16*VLOOKUP('Données projet'!$B$13,Paramètres!$A$1:$I$89,3,0)*VLOOKUP('Données projet'!$B$13,Paramètres!$A$1:$I$89,5,0)</f>
        <v>6.1922370206278483</v>
      </c>
      <c r="CV16" s="13">
        <f t="shared" si="41"/>
        <v>2.3079616017431244</v>
      </c>
      <c r="CW16" s="20">
        <f t="shared" si="13"/>
        <v>14.804512600629446</v>
      </c>
      <c r="CX16" s="59">
        <f t="shared" si="14"/>
        <v>214.34551285224825</v>
      </c>
      <c r="CY16" s="59">
        <f ca="1">AVERAGE(OFFSET($CX$3,0,0,'Données projet'!$E$13+1,1))-AVERAGE(OFFSET($H$3,0,0,'Données projet'!$E$13+1,1))</f>
        <v>697.21496579281836</v>
      </c>
      <c r="CZ16" s="59">
        <f t="shared" si="42"/>
        <v>215.64914236153456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10.8</v>
      </c>
      <c r="DO16" s="12">
        <f>IF('Données projet'!$A$166&gt;35,DO15+DN16-DW15,IF(A16&lt;'Données projet'!$A$166,$DL$205^A16,IF(A16='Données projet'!$A$166,'Données projet'!$B$166,DO15+DN16-DW15)))</f>
        <v>43.400000000000006</v>
      </c>
      <c r="DP16" s="17">
        <f>DO16*VLOOKUP('Données projet'!$B$14,Paramètres!$A$1:$I$89,3,0)*VLOOKUP('Données projet'!$B$14,Paramètres!$A$1:$I$89,5,0)</f>
        <v>37.914240000000007</v>
      </c>
      <c r="DQ16" s="13">
        <f t="shared" si="43"/>
        <v>11.444104784431099</v>
      </c>
      <c r="DR16" s="20">
        <f t="shared" si="16"/>
        <v>85.965783832884156</v>
      </c>
      <c r="DS16" s="59">
        <f t="shared" si="17"/>
        <v>285.50678408450295</v>
      </c>
      <c r="DT16" s="59">
        <f ca="1">AVERAGE(OFFSET($DS$3,0,0,'Données projet'!$E$14+1,1))-AVERAGE(OFFSET($H$3,0,0,'Données projet'!$E$14+1,1))</f>
        <v>408.24135864450221</v>
      </c>
      <c r="DU16" s="59">
        <f t="shared" si="44"/>
        <v>394.10236303013903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5.2</v>
      </c>
      <c r="N17" s="13">
        <f>IF('Données projet'!$A$36&gt;35,N16+M17-V16,IF(A17&lt;'Données projet'!$A$36,$K$205^A17,IF(A17='Données projet'!$A$36,'Données projet'!$B$36,N16+M17-V16)))</f>
        <v>58.338460260713681</v>
      </c>
      <c r="O17" s="13">
        <f>N17*VLOOKUP('Données projet'!$B$9,Paramètres!$A$1:$I$89,3,0)*VLOOKUP('Données projet'!$B$9,Paramètres!$A$1:$I$89,5,0)</f>
        <v>27.302399402014004</v>
      </c>
      <c r="P17" s="13">
        <f t="shared" si="33"/>
        <v>8.5620765333789173</v>
      </c>
      <c r="Q17" s="20">
        <f t="shared" si="2"/>
        <v>62.463962254142665</v>
      </c>
      <c r="R17" s="59">
        <f t="shared" si="0"/>
        <v>264.49382402641584</v>
      </c>
      <c r="S17" s="59">
        <f ca="1">AVERAGE(OFFSET($R$3,0,0,'Données projet'!$E$9+1,1))-AVERAGE(OFFSET($H$3,0,0,'Données projet'!$E$9+1,1))</f>
        <v>512.58510468904342</v>
      </c>
      <c r="T17" s="59">
        <f t="shared" si="34"/>
        <v>443.6106696463529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249.16390139133293</v>
      </c>
      <c r="AN17" s="59">
        <f ca="1">AVERAGE(OFFSET($AM$3,0,0,'Données projet'!$E$10+1,1))-AVERAGE(OFFSET($H$3,0,0,'Données projet'!$E$10+1,1))</f>
        <v>520.95202773768222</v>
      </c>
      <c r="AO17" s="59">
        <f t="shared" si="36"/>
        <v>325.72635759450861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7.333333333333333</v>
      </c>
      <c r="BD17" s="12">
        <f>IF('Données projet'!$A$88&gt;35,BD16+BC17-BL16,IF(A17&lt;'Données projet'!$A$88,$BA$205^A17,IF(A17='Données projet'!$A$88,'Données projet'!$B$88,BD16+BC17-BL16)))</f>
        <v>80.408107292525273</v>
      </c>
      <c r="BE17" s="13">
        <f>BD17*VLOOKUP('Données projet'!$B$11,Paramètres!$A$1:$I$89,3,0)*VLOOKUP('Données projet'!$B$11,Paramètres!$A$1:$I$89,5,0)</f>
        <v>48.084048160930124</v>
      </c>
      <c r="BF17" s="13">
        <f t="shared" si="37"/>
        <v>14.11783718993377</v>
      </c>
      <c r="BG17" s="20">
        <f t="shared" si="7"/>
        <v>108.33495031942128</v>
      </c>
      <c r="BH17" s="59">
        <f t="shared" si="8"/>
        <v>310.36481209169449</v>
      </c>
      <c r="BI17" s="59">
        <f ca="1">AVERAGE(OFFSET($BH$3,0,0,'Données projet'!$E$11+1,1))-AVERAGE(OFFSET($H$3,0,0,'Données projet'!$E$11+1,1))</f>
        <v>528.71639224940395</v>
      </c>
      <c r="BJ17" s="59">
        <f t="shared" si="38"/>
        <v>460.93390058676493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12.383034850580612</v>
      </c>
      <c r="CA17" s="13">
        <f t="shared" si="39"/>
        <v>4.2576904771143838</v>
      </c>
      <c r="CB17" s="20">
        <f t="shared" si="10"/>
        <v>28.982596612402116</v>
      </c>
      <c r="CC17" s="59">
        <f t="shared" si="11"/>
        <v>231.01245838467531</v>
      </c>
      <c r="CD17" s="59">
        <f ca="1">AVERAGE(OFFSET($CC$3,0,0,'Données projet'!$E$12+1,1))-AVERAGE(OFFSET($H$3,0,0,'Données projet'!$E$12+1,1))</f>
        <v>398.11190027805549</v>
      </c>
      <c r="CE17" s="59">
        <f t="shared" si="40"/>
        <v>250.47702091764884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2.5115384615384619</v>
      </c>
      <c r="CT17" s="12">
        <f>IF('Données projet'!$A$140&gt;35,CT16+CS17-DB16,IF(A17&lt;'Données projet'!$A$140,$CQ$205^A17,IF(A17='Données projet'!$A$140,'Données projet'!$B$140,CT16+CS17-DB16)))</f>
        <v>7.5155685620118104</v>
      </c>
      <c r="CU17" s="17">
        <f>CT17*VLOOKUP('Données projet'!$B$13,Paramètres!$A$1:$I$89,3,0)*VLOOKUP('Données projet'!$B$13,Paramètres!$A$1:$I$89,5,0)</f>
        <v>7.1518150436104388</v>
      </c>
      <c r="CV17" s="13">
        <f t="shared" si="41"/>
        <v>2.6212852574574574</v>
      </c>
      <c r="CW17" s="20">
        <f t="shared" si="13"/>
        <v>17.02148302435992</v>
      </c>
      <c r="CX17" s="59">
        <f t="shared" si="14"/>
        <v>219.05134479663312</v>
      </c>
      <c r="CY17" s="59">
        <f ca="1">AVERAGE(OFFSET($CX$3,0,0,'Données projet'!$E$13+1,1))-AVERAGE(OFFSET($H$3,0,0,'Données projet'!$E$13+1,1))</f>
        <v>697.21496579281836</v>
      </c>
      <c r="CZ17" s="59">
        <f t="shared" si="42"/>
        <v>215.64914236153456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10.8</v>
      </c>
      <c r="DO17" s="12">
        <f>IF('Données projet'!$A$166&gt;35,DO16+DN17-DW16,IF(A17&lt;'Données projet'!$A$166,$DL$205^A17,IF(A17='Données projet'!$A$166,'Données projet'!$B$166,DO16+DN17-DW16)))</f>
        <v>54.2</v>
      </c>
      <c r="DP17" s="17">
        <f>DO17*VLOOKUP('Données projet'!$B$14,Paramètres!$A$1:$I$89,3,0)*VLOOKUP('Données projet'!$B$14,Paramètres!$A$1:$I$89,5,0)</f>
        <v>47.349120000000006</v>
      </c>
      <c r="DQ17" s="13">
        <f t="shared" si="43"/>
        <v>13.927003034591849</v>
      </c>
      <c r="DR17" s="20">
        <f t="shared" si="16"/>
        <v>106.72258095191415</v>
      </c>
      <c r="DS17" s="59">
        <f t="shared" si="17"/>
        <v>308.75244272418735</v>
      </c>
      <c r="DT17" s="59">
        <f ca="1">AVERAGE(OFFSET($DS$3,0,0,'Données projet'!$E$14+1,1))-AVERAGE(OFFSET($H$3,0,0,'Données projet'!$E$14+1,1))</f>
        <v>408.24135864450221</v>
      </c>
      <c r="DU17" s="59">
        <f t="shared" si="44"/>
        <v>394.10236303013903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78</v>
      </c>
      <c r="L18" s="12">
        <f>VLOOKUP(A18,'Données projet'!$A$35:$I$55,9,0)</f>
        <v>5.2</v>
      </c>
      <c r="M18" s="12">
        <f t="array" ref="M18">INDEX(L:L,MIN(IF(ISNUMBER(L18:L214),ROW(L18:L214),"")))</f>
        <v>5.2</v>
      </c>
      <c r="N18" s="13">
        <f>IF('Données projet'!$A$36&gt;35,N17+M18-V17,IF(A18&lt;'Données projet'!$A$36,$K$205^A18,IF(A18='Données projet'!$A$36,'Données projet'!$B$36,N17+M18-V17)))</f>
        <v>78</v>
      </c>
      <c r="O18" s="13">
        <f>N18*VLOOKUP('Données projet'!$B$9,Paramètres!$A$1:$I$89,3,0)*VLOOKUP('Données projet'!$B$9,Paramètres!$A$1:$I$89,5,0)</f>
        <v>36.503999999999998</v>
      </c>
      <c r="P18" s="13">
        <f t="shared" si="33"/>
        <v>11.067157525971377</v>
      </c>
      <c r="Q18" s="20">
        <f t="shared" si="2"/>
        <v>82.85309935773347</v>
      </c>
      <c r="R18" s="59">
        <f t="shared" si="0"/>
        <v>287.34984929061454</v>
      </c>
      <c r="S18" s="59">
        <f ca="1">AVERAGE(OFFSET($R$3,0,0,'Données projet'!$E$9+1,1))-AVERAGE(OFFSET($H$3,0,0,'Données projet'!$E$9+1,1))</f>
        <v>512.58510468904342</v>
      </c>
      <c r="T18" s="59">
        <f t="shared" si="34"/>
        <v>443.6106696463529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262.55577243500142</v>
      </c>
      <c r="AN18" s="59">
        <f ca="1">AVERAGE(OFFSET($AM$3,0,0,'Données projet'!$E$10+1,1))-AVERAGE(OFFSET($H$3,0,0,'Données projet'!$E$10+1,1))</f>
        <v>520.95202773768222</v>
      </c>
      <c r="AO18" s="59">
        <f t="shared" si="36"/>
        <v>325.72635759450861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110</v>
      </c>
      <c r="BB18" s="12">
        <f>VLOOKUP(A18,'Données projet'!$A$87:$I$107,9,0)</f>
        <v>7.333333333333333</v>
      </c>
      <c r="BC18" s="12">
        <f t="array" ref="BC18">INDEX(BB:BB,MIN(IF(ISNUMBER(BB18:BB214),ROW(BB18:BB214),"")))</f>
        <v>7.333333333333333</v>
      </c>
      <c r="BD18" s="12">
        <f>IF('Données projet'!$A$88&gt;35,BD17+BC18-BL17,IF(A18&lt;'Données projet'!$A$88,$BA$205^A18,IF(A18='Données projet'!$A$88,'Données projet'!$B$88,BD17+BC18-BL17)))</f>
        <v>110</v>
      </c>
      <c r="BE18" s="13">
        <f>BD18*VLOOKUP('Données projet'!$B$11,Paramètres!$A$1:$I$89,3,0)*VLOOKUP('Données projet'!$B$11,Paramètres!$A$1:$I$89,5,0)</f>
        <v>65.78</v>
      </c>
      <c r="BF18" s="13">
        <f t="shared" si="37"/>
        <v>18.621720661480644</v>
      </c>
      <c r="BG18" s="20">
        <f t="shared" si="7"/>
        <v>146.99966348541213</v>
      </c>
      <c r="BH18" s="59">
        <f t="shared" si="8"/>
        <v>351.49641341829317</v>
      </c>
      <c r="BI18" s="59">
        <f ca="1">AVERAGE(OFFSET($BH$3,0,0,'Données projet'!$E$11+1,1))-AVERAGE(OFFSET($H$3,0,0,'Données projet'!$E$11+1,1))</f>
        <v>528.71639224940395</v>
      </c>
      <c r="BJ18" s="59">
        <f t="shared" si="38"/>
        <v>460.93390058676493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14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1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9.4790487948915736</v>
      </c>
      <c r="BS18" s="22">
        <f t="shared" si="9"/>
        <v>9.4790487948915736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14.927585237660953</v>
      </c>
      <c r="CA18" s="13">
        <f t="shared" si="39"/>
        <v>5.0221449106318534</v>
      </c>
      <c r="CB18" s="20">
        <f t="shared" si="10"/>
        <v>34.745780008276633</v>
      </c>
      <c r="CC18" s="59">
        <f t="shared" si="11"/>
        <v>239.24252994115767</v>
      </c>
      <c r="CD18" s="59">
        <f ca="1">AVERAGE(OFFSET($CC$3,0,0,'Données projet'!$E$12+1,1))-AVERAGE(OFFSET($H$3,0,0,'Données projet'!$E$12+1,1))</f>
        <v>398.11190027805549</v>
      </c>
      <c r="CE18" s="59">
        <f t="shared" si="40"/>
        <v>250.47702091764884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2.5115384615384619</v>
      </c>
      <c r="CT18" s="12">
        <f>IF('Données projet'!$A$140&gt;35,CT17+CS18-DB17,IF(A18&lt;'Données projet'!$A$140,$CQ$205^A18,IF(A18='Données projet'!$A$140,'Données projet'!$B$140,CT17+CS18-DB17)))</f>
        <v>8.6802162326841756</v>
      </c>
      <c r="CU18" s="17">
        <f>CT18*VLOOKUP('Données projet'!$B$13,Paramètres!$A$1:$I$89,3,0)*VLOOKUP('Données projet'!$B$13,Paramètres!$A$1:$I$89,5,0)</f>
        <v>8.2600937670222621</v>
      </c>
      <c r="CV18" s="13">
        <f t="shared" si="41"/>
        <v>2.9771450251920468</v>
      </c>
      <c r="CW18" s="20">
        <f t="shared" si="13"/>
        <v>19.571524229773253</v>
      </c>
      <c r="CX18" s="59">
        <f t="shared" si="14"/>
        <v>224.06827416265429</v>
      </c>
      <c r="CY18" s="59">
        <f ca="1">AVERAGE(OFFSET($CX$3,0,0,'Données projet'!$E$13+1,1))-AVERAGE(OFFSET($H$3,0,0,'Données projet'!$E$13+1,1))</f>
        <v>697.21496579281836</v>
      </c>
      <c r="CZ18" s="59">
        <f t="shared" si="42"/>
        <v>215.64914236153456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65</v>
      </c>
      <c r="DM18" s="12">
        <f>VLOOKUP(A18,'Données projet'!$A$165:$I$185,9,0)</f>
        <v>10.8</v>
      </c>
      <c r="DN18" s="12">
        <f t="array" ref="DN18">INDEX(DM:DM,MIN(IF(ISNUMBER(DM18:DM214),ROW(DM18:DM214),"")))</f>
        <v>10.8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56.784000000000013</v>
      </c>
      <c r="DQ18" s="13">
        <f t="shared" si="43"/>
        <v>16.352574732529362</v>
      </c>
      <c r="DR18" s="20">
        <f t="shared" si="16"/>
        <v>127.37953432582198</v>
      </c>
      <c r="DS18" s="59">
        <f t="shared" si="17"/>
        <v>331.87628425870304</v>
      </c>
      <c r="DT18" s="59">
        <f ca="1">AVERAGE(OFFSET($DS$3,0,0,'Données projet'!$E$14+1,1))-AVERAGE(OFFSET($H$3,0,0,'Données projet'!$E$14+1,1))</f>
        <v>408.24135864450221</v>
      </c>
      <c r="DU18" s="59">
        <f t="shared" si="44"/>
        <v>394.10236303013903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24</v>
      </c>
      <c r="N19" s="13">
        <f>IF('Données projet'!$A$36&gt;35,N18+M19-V18,IF(A19&lt;'Données projet'!$A$36,$K$205^A19,IF(A19='Données projet'!$A$36,'Données projet'!$B$36,N18+M19-V18)))</f>
        <v>102</v>
      </c>
      <c r="O19" s="13">
        <f>N19*VLOOKUP('Données projet'!$B$9,Paramètres!$A$1:$I$89,3,0)*VLOOKUP('Données projet'!$B$9,Paramètres!$A$1:$I$89,5,0)</f>
        <v>47.735999999999997</v>
      </c>
      <c r="P19" s="13">
        <f t="shared" si="33"/>
        <v>14.027504361700418</v>
      </c>
      <c r="Q19" s="20">
        <f t="shared" si="2"/>
        <v>107.5714367632949</v>
      </c>
      <c r="R19" s="59">
        <f t="shared" si="0"/>
        <v>314.51348268540897</v>
      </c>
      <c r="S19" s="59">
        <f ca="1">AVERAGE(OFFSET($R$3,0,0,'Données projet'!$E$9+1,1))-AVERAGE(OFFSET($H$3,0,0,'Données projet'!$E$9+1,1))</f>
        <v>512.58510468904342</v>
      </c>
      <c r="T19" s="59">
        <f t="shared" si="34"/>
        <v>443.6106696463529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278.46644464610415</v>
      </c>
      <c r="AN19" s="59">
        <f ca="1">AVERAGE(OFFSET($AM$3,0,0,'Données projet'!$E$10+1,1))-AVERAGE(OFFSET($H$3,0,0,'Données projet'!$E$10+1,1))</f>
        <v>520.95202773768222</v>
      </c>
      <c r="AO19" s="59">
        <f t="shared" si="36"/>
        <v>325.72635759450861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21.4</v>
      </c>
      <c r="BD19" s="12">
        <f>IF('Données projet'!$A$88&gt;35,BD18+BC19-BL18,IF(A19&lt;'Données projet'!$A$88,$BA$205^A19,IF(A19='Données projet'!$A$88,'Données projet'!$B$88,BD18+BC19-BL18)))</f>
        <v>117.4</v>
      </c>
      <c r="BE19" s="13">
        <f>BD19*VLOOKUP('Données projet'!$B$11,Paramètres!$A$1:$I$89,3,0)*VLOOKUP('Données projet'!$B$11,Paramètres!$A$1:$I$89,5,0)</f>
        <v>70.205200000000005</v>
      </c>
      <c r="BF19" s="13">
        <f t="shared" si="37"/>
        <v>19.724407279037784</v>
      </c>
      <c r="BG19" s="20">
        <f t="shared" si="7"/>
        <v>156.62739934432412</v>
      </c>
      <c r="BH19" s="59">
        <f t="shared" si="8"/>
        <v>363.56944526643815</v>
      </c>
      <c r="BI19" s="59">
        <f ca="1">AVERAGE(OFFSET($BH$3,0,0,'Données projet'!$E$11+1,1))-AVERAGE(OFFSET($H$3,0,0,'Données projet'!$E$11+1,1))</f>
        <v>528.71639224940395</v>
      </c>
      <c r="BJ19" s="59">
        <f t="shared" si="38"/>
        <v>460.93390058676493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6.7026996820660036</v>
      </c>
      <c r="BS19" s="22">
        <f t="shared" si="9"/>
        <v>6.7026996820660036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17.995007178485412</v>
      </c>
      <c r="CA19" s="13">
        <f t="shared" si="39"/>
        <v>5.9238546434872337</v>
      </c>
      <c r="CB19" s="20">
        <f t="shared" si="10"/>
        <v>41.658684339935689</v>
      </c>
      <c r="CC19" s="59">
        <f t="shared" si="11"/>
        <v>248.60073026204975</v>
      </c>
      <c r="CD19" s="59">
        <f ca="1">AVERAGE(OFFSET($CC$3,0,0,'Données projet'!$E$12+1,1))-AVERAGE(OFFSET($H$3,0,0,'Données projet'!$E$12+1,1))</f>
        <v>398.11190027805549</v>
      </c>
      <c r="CE19" s="59">
        <f t="shared" si="40"/>
        <v>250.47702091764884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2.5115384615384619</v>
      </c>
      <c r="CT19" s="12">
        <f>IF('Données projet'!$A$140&gt;35,CT18+CS19-DB18,IF(A19&lt;'Données projet'!$A$140,$CQ$205^A19,IF(A19='Données projet'!$A$140,'Données projet'!$B$140,CT18+CS19-DB18)))</f>
        <v>10.025343155938796</v>
      </c>
      <c r="CU19" s="17">
        <f>CT19*VLOOKUP('Données projet'!$B$13,Paramètres!$A$1:$I$89,3,0)*VLOOKUP('Données projet'!$B$13,Paramètres!$A$1:$I$89,5,0)</f>
        <v>9.5401165471913583</v>
      </c>
      <c r="CV19" s="13">
        <f t="shared" si="41"/>
        <v>3.3813155114689391</v>
      </c>
      <c r="CW19" s="20">
        <f t="shared" si="13"/>
        <v>22.504827502166687</v>
      </c>
      <c r="CX19" s="59">
        <f t="shared" si="14"/>
        <v>229.44687342428074</v>
      </c>
      <c r="CY19" s="59">
        <f ca="1">AVERAGE(OFFSET($CX$3,0,0,'Données projet'!$E$13+1,1))-AVERAGE(OFFSET($H$3,0,0,'Données projet'!$E$13+1,1))</f>
        <v>697.21496579281836</v>
      </c>
      <c r="CZ19" s="59">
        <f t="shared" si="42"/>
        <v>215.64914236153456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40.884480000000003</v>
      </c>
      <c r="DQ19" s="13">
        <f t="shared" si="43"/>
        <v>12.23277918777527</v>
      </c>
      <c r="DR19" s="20">
        <f t="shared" si="16"/>
        <v>92.512559752041952</v>
      </c>
      <c r="DS19" s="59">
        <f t="shared" si="17"/>
        <v>299.45460567415603</v>
      </c>
      <c r="DT19" s="59">
        <f ca="1">AVERAGE(OFFSET($DS$3,0,0,'Données projet'!$E$14+1,1))-AVERAGE(OFFSET($H$3,0,0,'Données projet'!$E$14+1,1))</f>
        <v>408.24135864450221</v>
      </c>
      <c r="DU19" s="59">
        <f t="shared" si="44"/>
        <v>394.10236303013903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24</v>
      </c>
      <c r="N20" s="13">
        <f>IF('Données projet'!$A$36&gt;35,N19+M20-V19,IF(A20&lt;'Données projet'!$A$36,$K$205^A20,IF(A20='Données projet'!$A$36,'Données projet'!$B$36,N19+M20-V19)))</f>
        <v>126</v>
      </c>
      <c r="O20" s="13">
        <f>N20*VLOOKUP('Données projet'!$B$9,Paramètres!$A$1:$I$89,3,0)*VLOOKUP('Données projet'!$B$9,Paramètres!$A$1:$I$89,5,0)</f>
        <v>58.968000000000004</v>
      </c>
      <c r="P20" s="13">
        <f t="shared" si="33"/>
        <v>16.90708415297112</v>
      </c>
      <c r="Q20" s="20">
        <f t="shared" si="2"/>
        <v>132.14910489975804</v>
      </c>
      <c r="R20" s="59">
        <f t="shared" si="0"/>
        <v>341.51522921563077</v>
      </c>
      <c r="S20" s="59">
        <f ca="1">AVERAGE(OFFSET($R$3,0,0,'Données projet'!$E$9+1,1))-AVERAGE(OFFSET($H$3,0,0,'Données projet'!$E$9+1,1))</f>
        <v>512.58510468904342</v>
      </c>
      <c r="T20" s="59">
        <f t="shared" si="34"/>
        <v>443.6106696463529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297.48876601578291</v>
      </c>
      <c r="AN20" s="59">
        <f ca="1">AVERAGE(OFFSET($AM$3,0,0,'Données projet'!$E$10+1,1))-AVERAGE(OFFSET($H$3,0,0,'Données projet'!$E$10+1,1))</f>
        <v>520.95202773768222</v>
      </c>
      <c r="AO20" s="59">
        <f t="shared" si="36"/>
        <v>325.72635759450861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21.4</v>
      </c>
      <c r="BD20" s="12">
        <f>IF('Données projet'!$A$88&gt;35,BD19+BC20-BL19,IF(A20&lt;'Données projet'!$A$88,$BA$205^A20,IF(A20='Données projet'!$A$88,'Données projet'!$B$88,BD19+BC20-BL19)))</f>
        <v>138.80000000000001</v>
      </c>
      <c r="BE20" s="13">
        <f>BD20*VLOOKUP('Données projet'!$B$11,Paramètres!$A$1:$I$89,3,0)*VLOOKUP('Données projet'!$B$11,Paramètres!$A$1:$I$89,5,0)</f>
        <v>83.002400000000009</v>
      </c>
      <c r="BF20" s="13">
        <f t="shared" si="37"/>
        <v>22.869705036637765</v>
      </c>
      <c r="BG20" s="20">
        <f t="shared" si="7"/>
        <v>184.39391627214411</v>
      </c>
      <c r="BH20" s="59">
        <f t="shared" si="8"/>
        <v>393.76004058801686</v>
      </c>
      <c r="BI20" s="59">
        <f ca="1">AVERAGE(OFFSET($BH$3,0,0,'Données projet'!$E$11+1,1))-AVERAGE(OFFSET($H$3,0,0,'Données projet'!$E$11+1,1))</f>
        <v>528.71639224940395</v>
      </c>
      <c r="BJ20" s="59">
        <f t="shared" si="38"/>
        <v>460.93390058676493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4.7395243974457877</v>
      </c>
      <c r="BS20" s="22">
        <f t="shared" si="9"/>
        <v>4.7395243974457877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21.692743883101215</v>
      </c>
      <c r="CA20" s="13">
        <f t="shared" si="39"/>
        <v>6.98746341685115</v>
      </c>
      <c r="CB20" s="20">
        <f t="shared" si="10"/>
        <v>49.951361047417038</v>
      </c>
      <c r="CC20" s="59">
        <f t="shared" si="11"/>
        <v>259.31748536328973</v>
      </c>
      <c r="CD20" s="59">
        <f ca="1">AVERAGE(OFFSET($CC$3,0,0,'Données projet'!$E$12+1,1))-AVERAGE(OFFSET($H$3,0,0,'Données projet'!$E$12+1,1))</f>
        <v>398.11190027805549</v>
      </c>
      <c r="CE20" s="59">
        <f t="shared" si="40"/>
        <v>250.47702091764884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2.5115384615384619</v>
      </c>
      <c r="CT20" s="12">
        <f>IF('Données projet'!$A$140&gt;35,CT19+CS20-DB19,IF(A20&lt;'Données projet'!$A$140,$CQ$205^A20,IF(A20='Données projet'!$A$140,'Données projet'!$B$140,CT19+CS20-DB19)))</f>
        <v>11.578917241241234</v>
      </c>
      <c r="CU20" s="17">
        <f>CT20*VLOOKUP('Données projet'!$B$13,Paramètres!$A$1:$I$89,3,0)*VLOOKUP('Données projet'!$B$13,Paramètres!$A$1:$I$89,5,0)</f>
        <v>11.018497646765159</v>
      </c>
      <c r="CV20" s="13">
        <f t="shared" si="41"/>
        <v>3.8403552703526511</v>
      </c>
      <c r="CW20" s="20">
        <f t="shared" si="13"/>
        <v>25.879168830646851</v>
      </c>
      <c r="CX20" s="59">
        <f t="shared" si="14"/>
        <v>235.24529314651957</v>
      </c>
      <c r="CY20" s="59">
        <f ca="1">AVERAGE(OFFSET($CX$3,0,0,'Données projet'!$E$13+1,1))-AVERAGE(OFFSET($H$3,0,0,'Données projet'!$E$13+1,1))</f>
        <v>697.21496579281836</v>
      </c>
      <c r="CZ20" s="59">
        <f t="shared" si="42"/>
        <v>215.64914236153456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52.940159999999999</v>
      </c>
      <c r="DQ20" s="13">
        <f t="shared" si="43"/>
        <v>15.37052534377243</v>
      </c>
      <c r="DR20" s="20">
        <f t="shared" si="16"/>
        <v>118.97444364040366</v>
      </c>
      <c r="DS20" s="59">
        <f t="shared" si="17"/>
        <v>328.3405679562764</v>
      </c>
      <c r="DT20" s="59">
        <f ca="1">AVERAGE(OFFSET($DS$3,0,0,'Données projet'!$E$14+1,1))-AVERAGE(OFFSET($H$3,0,0,'Données projet'!$E$14+1,1))</f>
        <v>408.24135864450221</v>
      </c>
      <c r="DU20" s="59">
        <f t="shared" si="44"/>
        <v>394.10236303013903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24</v>
      </c>
      <c r="N21" s="13">
        <f>IF('Données projet'!$A$36&gt;35,N20+M21-V20,IF(A21&lt;'Données projet'!$A$36,$K$205^A21,IF(A21='Données projet'!$A$36,'Données projet'!$B$36,N20+M21-V20)))</f>
        <v>150</v>
      </c>
      <c r="O21" s="13">
        <f>N21*VLOOKUP('Données projet'!$B$9,Paramètres!$A$1:$I$89,3,0)*VLOOKUP('Données projet'!$B$9,Paramètres!$A$1:$I$89,5,0)</f>
        <v>70.2</v>
      </c>
      <c r="P21" s="13">
        <f t="shared" si="33"/>
        <v>19.723116370112194</v>
      </c>
      <c r="Q21" s="20">
        <f t="shared" si="2"/>
        <v>156.61609434461207</v>
      </c>
      <c r="R21" s="59">
        <f t="shared" si="0"/>
        <v>368.38544753661517</v>
      </c>
      <c r="S21" s="59">
        <f ca="1">AVERAGE(OFFSET($R$3,0,0,'Données projet'!$E$9+1,1))-AVERAGE(OFFSET($H$3,0,0,'Données projet'!$E$9+1,1))</f>
        <v>512.58510468904342</v>
      </c>
      <c r="T21" s="59">
        <f t="shared" si="34"/>
        <v>443.6106696463529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320.35413206775308</v>
      </c>
      <c r="AN21" s="59">
        <f ca="1">AVERAGE(OFFSET($AM$3,0,0,'Données projet'!$E$10+1,1))-AVERAGE(OFFSET($H$3,0,0,'Données projet'!$E$10+1,1))</f>
        <v>520.95202773768222</v>
      </c>
      <c r="AO21" s="59">
        <f t="shared" si="36"/>
        <v>325.72635759450861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21.4</v>
      </c>
      <c r="BD21" s="12">
        <f>IF('Données projet'!$A$88&gt;35,BD20+BC21-BL20,IF(A21&lt;'Données projet'!$A$88,$BA$205^A21,IF(A21='Données projet'!$A$88,'Données projet'!$B$88,BD20+BC21-BL20)))</f>
        <v>160.20000000000002</v>
      </c>
      <c r="BE21" s="13">
        <f>BD21*VLOOKUP('Données projet'!$B$11,Paramètres!$A$1:$I$89,3,0)*VLOOKUP('Données projet'!$B$11,Paramètres!$A$1:$I$89,5,0)</f>
        <v>95.799600000000012</v>
      </c>
      <c r="BF21" s="13">
        <f t="shared" si="37"/>
        <v>25.958824745990441</v>
      </c>
      <c r="BG21" s="20">
        <f t="shared" si="7"/>
        <v>212.06258976593335</v>
      </c>
      <c r="BH21" s="59">
        <f t="shared" si="8"/>
        <v>423.83194295793646</v>
      </c>
      <c r="BI21" s="59">
        <f ca="1">AVERAGE(OFFSET($BH$3,0,0,'Données projet'!$E$11+1,1))-AVERAGE(OFFSET($H$3,0,0,'Données projet'!$E$11+1,1))</f>
        <v>528.71639224940395</v>
      </c>
      <c r="BJ21" s="59">
        <f t="shared" si="38"/>
        <v>460.93390058676493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3.3513498410330023</v>
      </c>
      <c r="BS21" s="22">
        <f t="shared" si="9"/>
        <v>3.3513498410330023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26.150316724543362</v>
      </c>
      <c r="CA21" s="13">
        <f t="shared" si="39"/>
        <v>8.2420396752158016</v>
      </c>
      <c r="CB21" s="20">
        <f t="shared" si="10"/>
        <v>59.900020729580547</v>
      </c>
      <c r="CC21" s="59">
        <f t="shared" si="11"/>
        <v>271.66937392158366</v>
      </c>
      <c r="CD21" s="59">
        <f ca="1">AVERAGE(OFFSET($CC$3,0,0,'Données projet'!$E$12+1,1))-AVERAGE(OFFSET($H$3,0,0,'Données projet'!$E$12+1,1))</f>
        <v>398.11190027805549</v>
      </c>
      <c r="CE21" s="59">
        <f t="shared" si="40"/>
        <v>250.47702091764884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2.5115384615384619</v>
      </c>
      <c r="CT21" s="12">
        <f>IF('Données projet'!$A$140&gt;35,CT20+CS21-DB20,IF(A21&lt;'Données projet'!$A$140,$CQ$205^A21,IF(A21='Données projet'!$A$140,'Données projet'!$B$140,CT20+CS21-DB20)))</f>
        <v>13.373240436173255</v>
      </c>
      <c r="CU21" s="17">
        <f>CT21*VLOOKUP('Données projet'!$B$13,Paramètres!$A$1:$I$89,3,0)*VLOOKUP('Données projet'!$B$13,Paramètres!$A$1:$I$89,5,0)</f>
        <v>12.725975599062469</v>
      </c>
      <c r="CV21" s="13">
        <f t="shared" si="41"/>
        <v>4.3617132303983954</v>
      </c>
      <c r="CW21" s="20">
        <f t="shared" si="13"/>
        <v>29.76105804464434</v>
      </c>
      <c r="CX21" s="59">
        <f t="shared" si="14"/>
        <v>241.53041123664744</v>
      </c>
      <c r="CY21" s="59">
        <f ca="1">AVERAGE(OFFSET($CX$3,0,0,'Données projet'!$E$13+1,1))-AVERAGE(OFFSET($H$3,0,0,'Données projet'!$E$13+1,1))</f>
        <v>697.21496579281836</v>
      </c>
      <c r="CZ21" s="59">
        <f t="shared" si="42"/>
        <v>215.64914236153456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64.995840000000001</v>
      </c>
      <c r="DQ21" s="13">
        <f t="shared" si="43"/>
        <v>18.425434860828894</v>
      </c>
      <c r="DR21" s="20">
        <f t="shared" si="16"/>
        <v>145.29205371594367</v>
      </c>
      <c r="DS21" s="59">
        <f t="shared" si="17"/>
        <v>357.06140690794678</v>
      </c>
      <c r="DT21" s="59">
        <f ca="1">AVERAGE(OFFSET($DS$3,0,0,'Données projet'!$E$14+1,1))-AVERAGE(OFFSET($H$3,0,0,'Données projet'!$E$14+1,1))</f>
        <v>408.24135864450221</v>
      </c>
      <c r="DU21" s="59">
        <f t="shared" si="44"/>
        <v>394.10236303013903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24</v>
      </c>
      <c r="N22" s="13">
        <f>IF('Données projet'!$A$36&gt;35,N21+M22-V21,IF(A22&lt;'Données projet'!$A$36,$K$205^A22,IF(A22='Données projet'!$A$36,'Données projet'!$B$36,N21+M22-V21)))</f>
        <v>174</v>
      </c>
      <c r="O22" s="13">
        <f>N22*VLOOKUP('Données projet'!$B$9,Paramètres!$A$1:$I$89,3,0)*VLOOKUP('Données projet'!$B$9,Paramètres!$A$1:$I$89,5,0)</f>
        <v>81.432000000000002</v>
      </c>
      <c r="P22" s="13">
        <f t="shared" si="33"/>
        <v>22.486953220240881</v>
      </c>
      <c r="Q22" s="20">
        <f t="shared" si="2"/>
        <v>180.99217685858619</v>
      </c>
      <c r="R22" s="59">
        <f t="shared" si="0"/>
        <v>395.14427110160972</v>
      </c>
      <c r="S22" s="59">
        <f ca="1">AVERAGE(OFFSET($R$3,0,0,'Données projet'!$E$9+1,1))-AVERAGE(OFFSET($H$3,0,0,'Données projet'!$E$9+1,1))</f>
        <v>512.58510468904342</v>
      </c>
      <c r="T22" s="59">
        <f t="shared" si="34"/>
        <v>443.6106696463529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347.96496845689671</v>
      </c>
      <c r="AN22" s="59">
        <f ca="1">AVERAGE(OFFSET($AM$3,0,0,'Données projet'!$E$10+1,1))-AVERAGE(OFFSET($H$3,0,0,'Données projet'!$E$10+1,1))</f>
        <v>520.95202773768222</v>
      </c>
      <c r="AO22" s="59">
        <f t="shared" si="36"/>
        <v>325.72635759450861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21.4</v>
      </c>
      <c r="BD22" s="12">
        <f>IF('Données projet'!$A$88&gt;35,BD21+BC22-BL21,IF(A22&lt;'Données projet'!$A$88,$BA$205^A22,IF(A22='Données projet'!$A$88,'Données projet'!$B$88,BD21+BC22-BL21)))</f>
        <v>181.60000000000002</v>
      </c>
      <c r="BE22" s="13">
        <f>BD22*VLOOKUP('Données projet'!$B$11,Paramètres!$A$1:$I$89,3,0)*VLOOKUP('Données projet'!$B$11,Paramètres!$A$1:$I$89,5,0)</f>
        <v>108.59680000000003</v>
      </c>
      <c r="BF22" s="13">
        <f t="shared" si="37"/>
        <v>29.000133087134955</v>
      </c>
      <c r="BG22" s="20">
        <f t="shared" si="7"/>
        <v>239.64799179342674</v>
      </c>
      <c r="BH22" s="59">
        <f t="shared" si="8"/>
        <v>453.80008603645024</v>
      </c>
      <c r="BI22" s="59">
        <f ca="1">AVERAGE(OFFSET($BH$3,0,0,'Données projet'!$E$11+1,1))-AVERAGE(OFFSET($H$3,0,0,'Données projet'!$E$11+1,1))</f>
        <v>528.71639224940395</v>
      </c>
      <c r="BJ22" s="59">
        <f t="shared" si="38"/>
        <v>460.93390058676493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2.3697621987228943</v>
      </c>
      <c r="BS22" s="22">
        <f t="shared" si="9"/>
        <v>2.3697621987228943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31.52386201022027</v>
      </c>
      <c r="CA22" s="13">
        <f t="shared" si="39"/>
        <v>9.7218710074397983</v>
      </c>
      <c r="CB22" s="20">
        <f t="shared" si="10"/>
        <v>71.836318339091292</v>
      </c>
      <c r="CC22" s="59">
        <f t="shared" si="11"/>
        <v>285.98841258211485</v>
      </c>
      <c r="CD22" s="59">
        <f ca="1">AVERAGE(OFFSET($CC$3,0,0,'Données projet'!$E$12+1,1))-AVERAGE(OFFSET($H$3,0,0,'Données projet'!$E$12+1,1))</f>
        <v>398.11190027805549</v>
      </c>
      <c r="CE22" s="59">
        <f t="shared" si="40"/>
        <v>250.47702091764884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2.5115384615384619</v>
      </c>
      <c r="CT22" s="12">
        <f>IF('Données projet'!$A$140&gt;35,CT21+CS22-DB21,IF(A22&lt;'Données projet'!$A$140,$CQ$205^A22,IF(A22='Données projet'!$A$140,'Données projet'!$B$140,CT21+CS22-DB21)))</f>
        <v>15.445620349258824</v>
      </c>
      <c r="CU22" s="17">
        <f>CT22*VLOOKUP('Données projet'!$B$13,Paramètres!$A$1:$I$89,3,0)*VLOOKUP('Données projet'!$B$13,Paramètres!$A$1:$I$89,5,0)</f>
        <v>14.698052324354698</v>
      </c>
      <c r="CV22" s="13">
        <f t="shared" si="41"/>
        <v>4.9538495698824798</v>
      </c>
      <c r="CW22" s="20">
        <f t="shared" si="13"/>
        <v>34.227062465796415</v>
      </c>
      <c r="CX22" s="59">
        <f t="shared" si="14"/>
        <v>248.37915670881995</v>
      </c>
      <c r="CY22" s="59">
        <f ca="1">AVERAGE(OFFSET($CX$3,0,0,'Données projet'!$E$13+1,1))-AVERAGE(OFFSET($H$3,0,0,'Données projet'!$E$13+1,1))</f>
        <v>697.21496579281836</v>
      </c>
      <c r="CZ22" s="59">
        <f t="shared" si="42"/>
        <v>215.64914236153456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77.051519999999996</v>
      </c>
      <c r="DQ22" s="13">
        <f t="shared" si="43"/>
        <v>21.414697423431697</v>
      </c>
      <c r="DR22" s="20">
        <f t="shared" si="16"/>
        <v>171.49532867914351</v>
      </c>
      <c r="DS22" s="59">
        <f t="shared" si="17"/>
        <v>385.64742292216704</v>
      </c>
      <c r="DT22" s="59">
        <f ca="1">AVERAGE(OFFSET($DS$3,0,0,'Données projet'!$E$14+1,1))-AVERAGE(OFFSET($H$3,0,0,'Données projet'!$E$14+1,1))</f>
        <v>408.24135864450221</v>
      </c>
      <c r="DU22" s="59">
        <f t="shared" si="44"/>
        <v>394.10236303013903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198</v>
      </c>
      <c r="L23" s="12">
        <f>VLOOKUP(A23,'Données projet'!$A$35:$I$55,9,0)</f>
        <v>24</v>
      </c>
      <c r="M23" s="12">
        <f t="array" ref="M23">INDEX(L:L,MIN(IF(ISNUMBER(L23:L219),ROW(L23:L219),"")))</f>
        <v>24</v>
      </c>
      <c r="N23" s="13">
        <f>IF('Données projet'!$A$36&gt;35,N22+M23-V22,IF(A23&lt;'Données projet'!$A$36,$K$205^A23,IF(A23='Données projet'!$A$36,'Données projet'!$B$36,N22+M23-V22)))</f>
        <v>198</v>
      </c>
      <c r="O23" s="13">
        <f>N23*VLOOKUP('Données projet'!$B$9,Paramètres!$A$1:$I$89,3,0)*VLOOKUP('Données projet'!$B$9,Paramètres!$A$1:$I$89,5,0)</f>
        <v>92.664000000000001</v>
      </c>
      <c r="P23" s="13">
        <f t="shared" si="33"/>
        <v>25.206622814445748</v>
      </c>
      <c r="Q23" s="20">
        <f t="shared" si="2"/>
        <v>205.29133473515969</v>
      </c>
      <c r="R23" s="59">
        <f t="shared" si="0"/>
        <v>421.80603762205544</v>
      </c>
      <c r="S23" s="59">
        <f ca="1">AVERAGE(OFFSET($R$3,0,0,'Données projet'!$E$9+1,1))-AVERAGE(OFFSET($H$3,0,0,'Données projet'!$E$9+1,1))</f>
        <v>512.58510468904342</v>
      </c>
      <c r="T23" s="59">
        <f t="shared" si="34"/>
        <v>443.6106696463529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25.964351046876914</v>
      </c>
      <c r="AC23" s="22">
        <f t="shared" si="3"/>
        <v>25.964351046876914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381.43484595601308</v>
      </c>
      <c r="AN23" s="59">
        <f ca="1">AVERAGE(OFFSET($AM$3,0,0,'Données projet'!$E$10+1,1))-AVERAGE(OFFSET($H$3,0,0,'Données projet'!$E$10+1,1))</f>
        <v>520.95202773768222</v>
      </c>
      <c r="AO23" s="59">
        <f t="shared" si="36"/>
        <v>325.72635759450861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203</v>
      </c>
      <c r="BB23" s="12">
        <f>VLOOKUP(A23,'Données projet'!$A$87:$I$107,9,0)</f>
        <v>21.4</v>
      </c>
      <c r="BC23" s="12">
        <f t="array" ref="BC23">INDEX(BB:BB,MIN(IF(ISNUMBER(BB23:BB219),ROW(BB23:BB219),"")))</f>
        <v>21.4</v>
      </c>
      <c r="BD23" s="12">
        <f>IF('Données projet'!$A$88&gt;35,BD22+BC23-BL22,IF(A23&lt;'Données projet'!$A$88,$BA$205^A23,IF(A23='Données projet'!$A$88,'Données projet'!$B$88,BD22+BC23-BL22)))</f>
        <v>203.00000000000003</v>
      </c>
      <c r="BE23" s="13">
        <f>BD23*VLOOKUP('Données projet'!$B$11,Paramètres!$A$1:$I$89,3,0)*VLOOKUP('Données projet'!$B$11,Paramètres!$A$1:$I$89,5,0)</f>
        <v>121.39400000000003</v>
      </c>
      <c r="BF23" s="13">
        <f t="shared" si="37"/>
        <v>31.999908030972463</v>
      </c>
      <c r="BG23" s="20">
        <f t="shared" si="7"/>
        <v>267.16105648727711</v>
      </c>
      <c r="BH23" s="59">
        <f t="shared" si="8"/>
        <v>483.6757593741728</v>
      </c>
      <c r="BI23" s="59">
        <f ca="1">AVERAGE(OFFSET($BH$3,0,0,'Données projet'!$E$11+1,1))-AVERAGE(OFFSET($H$3,0,0,'Données projet'!$E$11+1,1))</f>
        <v>528.71639224940395</v>
      </c>
      <c r="BJ23" s="59">
        <f t="shared" si="38"/>
        <v>460.93390058676493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0.45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22.401094880093407</v>
      </c>
      <c r="BR23" s="21">
        <f>EXP(-LN(2)/2)*BR22+(1-EXP(-LN(2)/2))/(LN(2)/2)*BL23*BO23*VLOOKUP('Données projet'!$B$11,Paramètres!$A$1:$I$89,3,0)*0.475*44/12</f>
        <v>1.6756749205165016</v>
      </c>
      <c r="BS23" s="22">
        <f t="shared" si="9"/>
        <v>24.07676980060991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38.001600000000003</v>
      </c>
      <c r="CA23" s="13">
        <f t="shared" si="39"/>
        <v>11.467401227090512</v>
      </c>
      <c r="CB23" s="20">
        <f t="shared" si="10"/>
        <v>86.158510470515978</v>
      </c>
      <c r="CC23" s="59">
        <f t="shared" si="11"/>
        <v>302.67321335741167</v>
      </c>
      <c r="CD23" s="59">
        <f ca="1">AVERAGE(OFFSET($CC$3,0,0,'Données projet'!$E$12+1,1))-AVERAGE(OFFSET($H$3,0,0,'Données projet'!$E$12+1,1))</f>
        <v>398.11190027805549</v>
      </c>
      <c r="CE23" s="59">
        <f t="shared" si="40"/>
        <v>250.47702091764884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2.5115384615384619</v>
      </c>
      <c r="CT23" s="12">
        <f>IF('Données projet'!$A$140&gt;35,CT22+CS23-DB22,IF(A23&lt;'Données projet'!$A$140,$CQ$205^A23,IF(A23='Données projet'!$A$140,'Données projet'!$B$140,CT22+CS23-DB22)))</f>
        <v>17.839145950605833</v>
      </c>
      <c r="CU23" s="17">
        <f>CT23*VLOOKUP('Données projet'!$B$13,Paramètres!$A$1:$I$89,3,0)*VLOOKUP('Données projet'!$B$13,Paramètres!$A$1:$I$89,5,0)</f>
        <v>16.97573128659651</v>
      </c>
      <c r="CV23" s="13">
        <f t="shared" si="41"/>
        <v>5.6263730017810705</v>
      </c>
      <c r="CW23" s="20">
        <f t="shared" si="13"/>
        <v>39.365331635590955</v>
      </c>
      <c r="CX23" s="59">
        <f t="shared" si="14"/>
        <v>255.88003452248668</v>
      </c>
      <c r="CY23" s="59">
        <f ca="1">AVERAGE(OFFSET($CX$3,0,0,'Données projet'!$E$13+1,1))-AVERAGE(OFFSET($H$3,0,0,'Données projet'!$E$13+1,1))</f>
        <v>697.21496579281836</v>
      </c>
      <c r="CZ23" s="59">
        <f t="shared" si="42"/>
        <v>215.64914236153456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89.107200000000006</v>
      </c>
      <c r="DQ23" s="13">
        <f t="shared" si="43"/>
        <v>24.349778356363352</v>
      </c>
      <c r="DR23" s="20">
        <f t="shared" si="16"/>
        <v>197.6042373039995</v>
      </c>
      <c r="DS23" s="59">
        <f t="shared" si="17"/>
        <v>414.11894019089522</v>
      </c>
      <c r="DT23" s="59">
        <f ca="1">AVERAGE(OFFSET($DS$3,0,0,'Données projet'!$E$14+1,1))-AVERAGE(OFFSET($H$3,0,0,'Données projet'!$E$14+1,1))</f>
        <v>408.24135864450221</v>
      </c>
      <c r="DU23" s="59">
        <f t="shared" si="44"/>
        <v>394.10236303013903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29.8</v>
      </c>
      <c r="N24" s="13">
        <f>IF('Données projet'!$A$36&gt;35,N23+M24-V23,IF(A24&lt;'Données projet'!$A$36,$K$205^A24,IF(A24='Données projet'!$A$36,'Données projet'!$B$36,N23+M24-V23)))</f>
        <v>178.8</v>
      </c>
      <c r="O24" s="13">
        <f>N24*VLOOKUP('Données projet'!$B$9,Paramètres!$A$1:$I$89,3,0)*VLOOKUP('Données projet'!$B$9,Paramètres!$A$1:$I$89,5,0)</f>
        <v>83.678399999999996</v>
      </c>
      <c r="P24" s="13">
        <f t="shared" si="33"/>
        <v>23.034205464980609</v>
      </c>
      <c r="Q24" s="20">
        <f t="shared" si="2"/>
        <v>185.85778785150788</v>
      </c>
      <c r="R24" s="59">
        <f t="shared" si="0"/>
        <v>404.71531622738223</v>
      </c>
      <c r="S24" s="59">
        <f ca="1">AVERAGE(OFFSET($R$3,0,0,'Données projet'!$E$9+1,1))-AVERAGE(OFFSET($H$3,0,0,'Données projet'!$E$9+1,1))</f>
        <v>512.58510468904342</v>
      </c>
      <c r="T24" s="59">
        <f t="shared" si="34"/>
        <v>443.6106696463529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18.359568694354699</v>
      </c>
      <c r="AC24" s="22">
        <f t="shared" si="3"/>
        <v>18.359568694354699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9">
        <f t="shared" si="5"/>
        <v>386.41930988335554</v>
      </c>
      <c r="AN24" s="59">
        <f ca="1">AVERAGE(OFFSET($AM$3,0,0,'Données projet'!$E$10+1,1))-AVERAGE(OFFSET($H$3,0,0,'Données projet'!$E$10+1,1))</f>
        <v>520.95202773768222</v>
      </c>
      <c r="AO24" s="59">
        <f t="shared" si="36"/>
        <v>325.72635759450861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162.80000000000004</v>
      </c>
      <c r="BE24" s="13">
        <f>BD24*VLOOKUP('Données projet'!$B$11,Paramètres!$A$1:$I$89,3,0)*VLOOKUP('Données projet'!$B$11,Paramètres!$A$1:$I$89,5,0)</f>
        <v>97.354400000000027</v>
      </c>
      <c r="BF24" s="13">
        <f t="shared" si="37"/>
        <v>26.330739676620471</v>
      </c>
      <c r="BG24" s="20">
        <f t="shared" si="7"/>
        <v>215.41828493678068</v>
      </c>
      <c r="BH24" s="59">
        <f t="shared" si="8"/>
        <v>434.27581331265503</v>
      </c>
      <c r="BI24" s="59">
        <f ca="1">AVERAGE(OFFSET($BH$3,0,0,'Données projet'!$E$11+1,1))-AVERAGE(OFFSET($H$3,0,0,'Données projet'!$E$11+1,1))</f>
        <v>528.71639224940395</v>
      </c>
      <c r="BJ24" s="59">
        <f t="shared" si="38"/>
        <v>460.93390058676493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21.78853576257487</v>
      </c>
      <c r="BR24" s="21">
        <f>EXP(-LN(2)/2)*BR23+(1-EXP(-LN(2)/2))/(LN(2)/2)*BL24*BO24*VLOOKUP('Données projet'!$B$11,Paramètres!$A$1:$I$89,3,0)*0.475*44/12</f>
        <v>1.1848810993614474</v>
      </c>
      <c r="BS24" s="22">
        <f t="shared" si="9"/>
        <v>22.973416861936318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</v>
      </c>
      <c r="BY24" s="12">
        <f>IF('Données projet'!$A$114&gt;35,BY23+BX24-CG23,IF(A24&lt;'Données projet'!$A$114,$BV$205^A24,IF(A24='Données projet'!$A$114,'Données projet'!$B$114,BY23+BX24-CG23)))</f>
        <v>47.6</v>
      </c>
      <c r="BZ24" s="13">
        <f>BY24*VLOOKUP('Données projet'!$B$12,Paramètres!$A$1:$I$89,3,0)*VLOOKUP('Données projet'!$B$12,Paramètres!$A$1:$I$89,5,0)</f>
        <v>43.068480000000001</v>
      </c>
      <c r="CA24" s="13">
        <f t="shared" si="39"/>
        <v>12.808416415102187</v>
      </c>
      <c r="CB24" s="20">
        <f t="shared" si="10"/>
        <v>97.318927922969635</v>
      </c>
      <c r="CC24" s="59">
        <f t="shared" si="11"/>
        <v>316.17645629884402</v>
      </c>
      <c r="CD24" s="59">
        <f ca="1">AVERAGE(OFFSET($CC$3,0,0,'Données projet'!$E$12+1,1))-AVERAGE(OFFSET($H$3,0,0,'Données projet'!$E$12+1,1))</f>
        <v>398.11190027805549</v>
      </c>
      <c r="CE24" s="59">
        <f t="shared" si="40"/>
        <v>250.47702091764884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2.5115384615384619</v>
      </c>
      <c r="CT24" s="12">
        <f>IF('Données projet'!$A$140&gt;35,CT23+CS24-DB23,IF(A24&lt;'Données projet'!$A$140,$CQ$205^A24,IF(A24='Données projet'!$A$140,'Données projet'!$B$140,CT23+CS24-DB23)))</f>
        <v>20.603583478748867</v>
      </c>
      <c r="CU24" s="17">
        <f>CT24*VLOOKUP('Données projet'!$B$13,Paramètres!$A$1:$I$89,3,0)*VLOOKUP('Données projet'!$B$13,Paramètres!$A$1:$I$89,5,0)</f>
        <v>19.606370038377424</v>
      </c>
      <c r="CV24" s="13">
        <f t="shared" si="41"/>
        <v>6.3901966962476644</v>
      </c>
      <c r="CW24" s="20">
        <f t="shared" si="13"/>
        <v>45.277353729472026</v>
      </c>
      <c r="CX24" s="59">
        <f t="shared" si="14"/>
        <v>264.13488210534638</v>
      </c>
      <c r="CY24" s="59">
        <f ca="1">AVERAGE(OFFSET($CX$3,0,0,'Données projet'!$E$13+1,1))-AVERAGE(OFFSET($H$3,0,0,'Données projet'!$E$13+1,1))</f>
        <v>697.21496579281836</v>
      </c>
      <c r="CZ24" s="59">
        <f t="shared" si="42"/>
        <v>215.64914236153456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71.46047999999999</v>
      </c>
      <c r="DQ24" s="13">
        <f t="shared" si="43"/>
        <v>20.035709203981977</v>
      </c>
      <c r="DR24" s="20">
        <f t="shared" si="16"/>
        <v>159.35586286360191</v>
      </c>
      <c r="DS24" s="59">
        <f t="shared" si="17"/>
        <v>378.21339123947632</v>
      </c>
      <c r="DT24" s="59">
        <f ca="1">AVERAGE(OFFSET($DS$3,0,0,'Données projet'!$E$14+1,1))-AVERAGE(OFFSET($H$3,0,0,'Données projet'!$E$14+1,1))</f>
        <v>408.24135864450221</v>
      </c>
      <c r="DU24" s="59">
        <f t="shared" si="44"/>
        <v>394.10236303013903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29.8</v>
      </c>
      <c r="N25" s="13">
        <f>IF('Données projet'!$A$36&gt;35,N24+M25-V24,IF(A25&lt;'Données projet'!$A$36,$K$205^A25,IF(A25='Données projet'!$A$36,'Données projet'!$B$36,N24+M25-V24)))</f>
        <v>208.60000000000002</v>
      </c>
      <c r="O25" s="13">
        <f>N25*VLOOKUP('Données projet'!$B$9,Paramètres!$A$1:$I$89,3,0)*VLOOKUP('Données projet'!$B$9,Paramètres!$A$1:$I$89,5,0)</f>
        <v>97.624800000000008</v>
      </c>
      <c r="P25" s="13">
        <f t="shared" si="33"/>
        <v>26.395349675372152</v>
      </c>
      <c r="Q25" s="20">
        <f t="shared" si="2"/>
        <v>216.00176068460652</v>
      </c>
      <c r="R25" s="59">
        <f t="shared" si="0"/>
        <v>437.18267458807492</v>
      </c>
      <c r="S25" s="59">
        <f ca="1">AVERAGE(OFFSET($R$3,0,0,'Données projet'!$E$9+1,1))-AVERAGE(OFFSET($H$3,0,0,'Données projet'!$E$9+1,1))</f>
        <v>512.58510468904342</v>
      </c>
      <c r="T25" s="59">
        <f t="shared" si="34"/>
        <v>443.6106696463529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12.982175523438457</v>
      </c>
      <c r="AC25" s="22">
        <f t="shared" si="3"/>
        <v>12.982175523438457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9">
        <f t="shared" si="5"/>
        <v>404.57248462133441</v>
      </c>
      <c r="AN25" s="59">
        <f ca="1">AVERAGE(OFFSET($AM$3,0,0,'Données projet'!$E$10+1,1))-AVERAGE(OFFSET($H$3,0,0,'Données projet'!$E$10+1,1))</f>
        <v>520.95202773768222</v>
      </c>
      <c r="AO25" s="59">
        <f t="shared" si="36"/>
        <v>325.72635759450861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185.60000000000005</v>
      </c>
      <c r="BE25" s="13">
        <f>BD25*VLOOKUP('Données projet'!$B$11,Paramètres!$A$1:$I$89,3,0)*VLOOKUP('Données projet'!$B$11,Paramètres!$A$1:$I$89,5,0)</f>
        <v>110.98880000000004</v>
      </c>
      <c r="BF25" s="13">
        <f t="shared" si="37"/>
        <v>29.56383208945169</v>
      </c>
      <c r="BG25" s="20">
        <f t="shared" si="7"/>
        <v>244.79583422246174</v>
      </c>
      <c r="BH25" s="59">
        <f t="shared" si="8"/>
        <v>465.97674812593016</v>
      </c>
      <c r="BI25" s="59">
        <f ca="1">AVERAGE(OFFSET($BH$3,0,0,'Données projet'!$E$11+1,1))-AVERAGE(OFFSET($H$3,0,0,'Données projet'!$E$11+1,1))</f>
        <v>528.71639224940395</v>
      </c>
      <c r="BJ25" s="59">
        <f t="shared" si="38"/>
        <v>460.93390058676493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21.192727106337962</v>
      </c>
      <c r="BR25" s="21">
        <f>EXP(-LN(2)/2)*BR24+(1-EXP(-LN(2)/2))/(LN(2)/2)*BL25*BO25*VLOOKUP('Données projet'!$B$11,Paramètres!$A$1:$I$89,3,0)*0.475*44/12</f>
        <v>0.8378374602582509</v>
      </c>
      <c r="BS25" s="22">
        <f t="shared" si="9"/>
        <v>22.030564566596212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</v>
      </c>
      <c r="BY25" s="12">
        <f>IF('Données projet'!$A$114&gt;35,BY24+BX25-CG24,IF(A25&lt;'Données projet'!$A$114,$BV$205^A25,IF(A25='Données projet'!$A$114,'Données projet'!$B$114,BY24+BX25-CG24)))</f>
        <v>53.2</v>
      </c>
      <c r="BZ25" s="13">
        <f>BY25*VLOOKUP('Données projet'!$B$12,Paramètres!$A$1:$I$89,3,0)*VLOOKUP('Données projet'!$B$12,Paramètres!$A$1:$I$89,5,0)</f>
        <v>48.135359999999999</v>
      </c>
      <c r="CA25" s="13">
        <f t="shared" si="39"/>
        <v>14.131148275361113</v>
      </c>
      <c r="CB25" s="20">
        <f t="shared" si="10"/>
        <v>108.4475019129206</v>
      </c>
      <c r="CC25" s="59">
        <f t="shared" si="11"/>
        <v>329.62841581638901</v>
      </c>
      <c r="CD25" s="59">
        <f ca="1">AVERAGE(OFFSET($CC$3,0,0,'Données projet'!$E$12+1,1))-AVERAGE(OFFSET($H$3,0,0,'Données projet'!$E$12+1,1))</f>
        <v>398.11190027805549</v>
      </c>
      <c r="CE25" s="59">
        <f t="shared" si="40"/>
        <v>250.47702091764884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2.5115384615384619</v>
      </c>
      <c r="CT25" s="12">
        <f>IF('Données projet'!$A$140&gt;35,CT24+CS25-DB24,IF(A25&lt;'Données projet'!$A$140,$CQ$205^A25,IF(A25='Données projet'!$A$140,'Données projet'!$B$140,CT24+CS25-DB24)))</f>
        <v>23.796411181408413</v>
      </c>
      <c r="CU25" s="17">
        <f>CT25*VLOOKUP('Données projet'!$B$13,Paramètres!$A$1:$I$89,3,0)*VLOOKUP('Données projet'!$B$13,Paramètres!$A$1:$I$89,5,0)</f>
        <v>22.644664880228248</v>
      </c>
      <c r="CV25" s="13">
        <f t="shared" si="41"/>
        <v>7.2577153707740454</v>
      </c>
      <c r="CW25" s="20">
        <f t="shared" si="13"/>
        <v>52.079978937162316</v>
      </c>
      <c r="CX25" s="59">
        <f t="shared" si="14"/>
        <v>273.26089284063073</v>
      </c>
      <c r="CY25" s="59">
        <f ca="1">AVERAGE(OFFSET($CX$3,0,0,'Données projet'!$E$13+1,1))-AVERAGE(OFFSET($H$3,0,0,'Données projet'!$E$13+1,1))</f>
        <v>697.21496579281836</v>
      </c>
      <c r="CZ25" s="59">
        <f t="shared" si="42"/>
        <v>215.64914236153456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84.389759999999995</v>
      </c>
      <c r="DQ25" s="13">
        <f t="shared" si="43"/>
        <v>23.207143598424498</v>
      </c>
      <c r="DR25" s="20">
        <f t="shared" si="16"/>
        <v>187.39794043392263</v>
      </c>
      <c r="DS25" s="59">
        <f t="shared" si="17"/>
        <v>408.57885433739102</v>
      </c>
      <c r="DT25" s="59">
        <f ca="1">AVERAGE(OFFSET($DS$3,0,0,'Données projet'!$E$14+1,1))-AVERAGE(OFFSET($H$3,0,0,'Données projet'!$E$14+1,1))</f>
        <v>408.24135864450221</v>
      </c>
      <c r="DU25" s="59">
        <f t="shared" si="44"/>
        <v>394.10236303013903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29.8</v>
      </c>
      <c r="N26" s="13">
        <f>IF('Données projet'!$A$36&gt;35,N25+M26-V25,IF(A26&lt;'Données projet'!$A$36,$K$205^A26,IF(A26='Données projet'!$A$36,'Données projet'!$B$36,N25+M26-V25)))</f>
        <v>238.40000000000003</v>
      </c>
      <c r="O26" s="13">
        <f>N26*VLOOKUP('Données projet'!$B$9,Paramètres!$A$1:$I$89,3,0)*VLOOKUP('Données projet'!$B$9,Paramètres!$A$1:$I$89,5,0)</f>
        <v>111.57120000000002</v>
      </c>
      <c r="P26" s="13">
        <f t="shared" si="33"/>
        <v>29.700865431716629</v>
      </c>
      <c r="Q26" s="20">
        <f t="shared" si="2"/>
        <v>246.04884729357317</v>
      </c>
      <c r="R26" s="59">
        <f t="shared" si="0"/>
        <v>469.53404400311967</v>
      </c>
      <c r="S26" s="59">
        <f ca="1">AVERAGE(OFFSET($R$3,0,0,'Données projet'!$E$9+1,1))-AVERAGE(OFFSET($H$3,0,0,'Données projet'!$E$9+1,1))</f>
        <v>512.58510468904342</v>
      </c>
      <c r="T26" s="59">
        <f t="shared" si="34"/>
        <v>443.6106696463529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9.1797843471773497</v>
      </c>
      <c r="AC26" s="22">
        <f t="shared" si="3"/>
        <v>9.1797843471773497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9">
        <f t="shared" si="5"/>
        <v>422.67461364650819</v>
      </c>
      <c r="AN26" s="59">
        <f ca="1">AVERAGE(OFFSET($AM$3,0,0,'Données projet'!$E$10+1,1))-AVERAGE(OFFSET($H$3,0,0,'Données projet'!$E$10+1,1))</f>
        <v>520.95202773768222</v>
      </c>
      <c r="AO26" s="59">
        <f t="shared" si="36"/>
        <v>325.72635759450861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208.40000000000006</v>
      </c>
      <c r="BE26" s="13">
        <f>BD26*VLOOKUP('Données projet'!$B$11,Paramètres!$A$1:$I$89,3,0)*VLOOKUP('Données projet'!$B$11,Paramètres!$A$1:$I$89,5,0)</f>
        <v>124.62320000000004</v>
      </c>
      <c r="BF26" s="13">
        <f t="shared" si="37"/>
        <v>32.750900958675722</v>
      </c>
      <c r="BG26" s="20">
        <f t="shared" si="7"/>
        <v>274.09322583636032</v>
      </c>
      <c r="BH26" s="59">
        <f t="shared" si="8"/>
        <v>497.57842254590685</v>
      </c>
      <c r="BI26" s="59">
        <f ca="1">AVERAGE(OFFSET($BH$3,0,0,'Données projet'!$E$11+1,1))-AVERAGE(OFFSET($H$3,0,0,'Données projet'!$E$11+1,1))</f>
        <v>528.71639224940395</v>
      </c>
      <c r="BJ26" s="59">
        <f t="shared" si="38"/>
        <v>460.93390058676493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20.613210869138069</v>
      </c>
      <c r="BR26" s="21">
        <f>EXP(-LN(2)/2)*BR25+(1-EXP(-LN(2)/2))/(LN(2)/2)*BL26*BO26*VLOOKUP('Données projet'!$B$11,Paramètres!$A$1:$I$89,3,0)*0.475*44/12</f>
        <v>0.59244054968072379</v>
      </c>
      <c r="BS26" s="22">
        <f t="shared" si="9"/>
        <v>21.205651418818793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</v>
      </c>
      <c r="BY26" s="12">
        <f>IF('Données projet'!$A$114&gt;35,BY25+BX26-CG25,IF(A26&lt;'Données projet'!$A$114,$BV$205^A26,IF(A26='Données projet'!$A$114,'Données projet'!$B$114,BY25+BX26-CG25)))</f>
        <v>58.800000000000004</v>
      </c>
      <c r="BZ26" s="13">
        <f>BY26*VLOOKUP('Données projet'!$B$12,Paramètres!$A$1:$I$89,3,0)*VLOOKUP('Données projet'!$B$12,Paramètres!$A$1:$I$89,5,0)</f>
        <v>53.202240000000003</v>
      </c>
      <c r="CA26" s="13">
        <f t="shared" si="39"/>
        <v>15.437740642425908</v>
      </c>
      <c r="CB26" s="20">
        <f t="shared" si="10"/>
        <v>119.54796628555846</v>
      </c>
      <c r="CC26" s="59">
        <f t="shared" si="11"/>
        <v>343.03316299510493</v>
      </c>
      <c r="CD26" s="59">
        <f ca="1">AVERAGE(OFFSET($CC$3,0,0,'Données projet'!$E$12+1,1))-AVERAGE(OFFSET($H$3,0,0,'Données projet'!$E$12+1,1))</f>
        <v>398.11190027805549</v>
      </c>
      <c r="CE26" s="59">
        <f t="shared" si="40"/>
        <v>250.47702091764884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2.5115384615384619</v>
      </c>
      <c r="CT26" s="12">
        <f>IF('Données projet'!$A$140&gt;35,CT25+CS26-DB25,IF(A26&lt;'Données projet'!$A$140,$CQ$205^A26,IF(A26='Données projet'!$A$140,'Données projet'!$B$140,CT25+CS26-DB25)))</f>
        <v>27.484014404519773</v>
      </c>
      <c r="CU26" s="17">
        <f>CT26*VLOOKUP('Données projet'!$B$13,Paramètres!$A$1:$I$89,3,0)*VLOOKUP('Données projet'!$B$13,Paramètres!$A$1:$I$89,5,0)</f>
        <v>26.153788107341015</v>
      </c>
      <c r="CV26" s="13">
        <f t="shared" si="41"/>
        <v>8.243006421711609</v>
      </c>
      <c r="CW26" s="20">
        <f t="shared" si="13"/>
        <v>59.907750471433324</v>
      </c>
      <c r="CX26" s="59">
        <f t="shared" si="14"/>
        <v>283.39294718097983</v>
      </c>
      <c r="CY26" s="59">
        <f ca="1">AVERAGE(OFFSET($CX$3,0,0,'Données projet'!$E$13+1,1))-AVERAGE(OFFSET($H$3,0,0,'Données projet'!$E$13+1,1))</f>
        <v>697.21496579281836</v>
      </c>
      <c r="CZ26" s="59">
        <f t="shared" si="42"/>
        <v>215.64914236153456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97.319039999999987</v>
      </c>
      <c r="DQ26" s="13">
        <f t="shared" si="43"/>
        <v>26.322289133542785</v>
      </c>
      <c r="DR26" s="20">
        <f t="shared" si="16"/>
        <v>215.34198157425362</v>
      </c>
      <c r="DS26" s="59">
        <f t="shared" si="17"/>
        <v>438.82717828380009</v>
      </c>
      <c r="DT26" s="59">
        <f ca="1">AVERAGE(OFFSET($DS$3,0,0,'Données projet'!$E$14+1,1))-AVERAGE(OFFSET($H$3,0,0,'Données projet'!$E$14+1,1))</f>
        <v>408.24135864450221</v>
      </c>
      <c r="DU26" s="59">
        <f t="shared" si="44"/>
        <v>394.10236303013903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29.8</v>
      </c>
      <c r="N27" s="13">
        <f>IF('Données projet'!$A$36&gt;35,N26+M27-V26,IF(A27&lt;'Données projet'!$A$36,$K$205^A27,IF(A27='Données projet'!$A$36,'Données projet'!$B$36,N26+M27-V26)))</f>
        <v>268.20000000000005</v>
      </c>
      <c r="O27" s="13">
        <f>N27*VLOOKUP('Données projet'!$B$9,Paramètres!$A$1:$I$89,3,0)*VLOOKUP('Données projet'!$B$9,Paramètres!$A$1:$I$89,5,0)</f>
        <v>125.51760000000002</v>
      </c>
      <c r="P27" s="13">
        <f t="shared" si="33"/>
        <v>32.95850265342969</v>
      </c>
      <c r="Q27" s="20">
        <f t="shared" si="2"/>
        <v>276.01254545472335</v>
      </c>
      <c r="R27" s="59">
        <f t="shared" si="0"/>
        <v>501.78325363834313</v>
      </c>
      <c r="S27" s="59">
        <f ca="1">AVERAGE(OFFSET($R$3,0,0,'Données projet'!$E$9+1,1))-AVERAGE(OFFSET($H$3,0,0,'Données projet'!$E$9+1,1))</f>
        <v>512.58510468904342</v>
      </c>
      <c r="T27" s="59">
        <f t="shared" si="34"/>
        <v>443.6106696463529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6.4910877617192284</v>
      </c>
      <c r="AC27" s="22">
        <f t="shared" si="3"/>
        <v>6.4910877617192284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9">
        <f t="shared" si="5"/>
        <v>440.72891928536313</v>
      </c>
      <c r="AN27" s="59">
        <f ca="1">AVERAGE(OFFSET($AM$3,0,0,'Données projet'!$E$10+1,1))-AVERAGE(OFFSET($H$3,0,0,'Données projet'!$E$10+1,1))</f>
        <v>520.95202773768222</v>
      </c>
      <c r="AO27" s="59">
        <f t="shared" si="36"/>
        <v>325.72635759450861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231.20000000000007</v>
      </c>
      <c r="BE27" s="13">
        <f>BD27*VLOOKUP('Données projet'!$B$11,Paramètres!$A$1:$I$89,3,0)*VLOOKUP('Données projet'!$B$11,Paramètres!$A$1:$I$89,5,0)</f>
        <v>138.25760000000005</v>
      </c>
      <c r="BF27" s="13">
        <f t="shared" si="37"/>
        <v>35.897555647294986</v>
      </c>
      <c r="BG27" s="20">
        <f t="shared" si="7"/>
        <v>303.32022941903887</v>
      </c>
      <c r="BH27" s="59">
        <f t="shared" si="8"/>
        <v>529.09093760265864</v>
      </c>
      <c r="BI27" s="59">
        <f ca="1">AVERAGE(OFFSET($BH$3,0,0,'Données projet'!$E$11+1,1))-AVERAGE(OFFSET($H$3,0,0,'Données projet'!$E$11+1,1))</f>
        <v>528.71639224940395</v>
      </c>
      <c r="BJ27" s="59">
        <f t="shared" si="38"/>
        <v>460.93390058676493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20.04954153391984</v>
      </c>
      <c r="BR27" s="21">
        <f>EXP(-LN(2)/2)*BR26+(1-EXP(-LN(2)/2))/(LN(2)/2)*BL27*BO27*VLOOKUP('Données projet'!$B$11,Paramètres!$A$1:$I$89,3,0)*0.475*44/12</f>
        <v>0.41891873012912551</v>
      </c>
      <c r="BS27" s="22">
        <f t="shared" si="9"/>
        <v>20.468460264048964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</v>
      </c>
      <c r="BY27" s="12">
        <f>IF('Données projet'!$A$114&gt;35,BY26+BX27-CG26,IF(A27&lt;'Données projet'!$A$114,$BV$205^A27,IF(A27='Données projet'!$A$114,'Données projet'!$B$114,BY26+BX27-CG26)))</f>
        <v>64.400000000000006</v>
      </c>
      <c r="BZ27" s="13">
        <f>BY27*VLOOKUP('Données projet'!$B$12,Paramètres!$A$1:$I$89,3,0)*VLOOKUP('Données projet'!$B$12,Paramètres!$A$1:$I$89,5,0)</f>
        <v>58.269120000000008</v>
      </c>
      <c r="CA27" s="13">
        <f t="shared" si="39"/>
        <v>16.729905486873804</v>
      </c>
      <c r="CB27" s="20">
        <f t="shared" si="10"/>
        <v>130.62330272297189</v>
      </c>
      <c r="CC27" s="59">
        <f t="shared" si="11"/>
        <v>356.39401090659169</v>
      </c>
      <c r="CD27" s="59">
        <f ca="1">AVERAGE(OFFSET($CC$3,0,0,'Données projet'!$E$12+1,1))-AVERAGE(OFFSET($H$3,0,0,'Données projet'!$E$12+1,1))</f>
        <v>398.11190027805549</v>
      </c>
      <c r="CE27" s="59">
        <f t="shared" si="40"/>
        <v>250.47702091764884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2.5115384615384619</v>
      </c>
      <c r="CT27" s="12">
        <f>IF('Données projet'!$A$140&gt;35,CT26+CS27-DB26,IF(A27&lt;'Données projet'!$A$140,$CQ$205^A27,IF(A27='Données projet'!$A$140,'Données projet'!$B$140,CT26+CS27-DB26)))</f>
        <v>31.743065877849862</v>
      </c>
      <c r="CU27" s="17">
        <f>CT27*VLOOKUP('Données projet'!$B$13,Paramètres!$A$1:$I$89,3,0)*VLOOKUP('Données projet'!$B$13,Paramètres!$A$1:$I$89,5,0)</f>
        <v>30.206701489361926</v>
      </c>
      <c r="CV27" s="13">
        <f t="shared" si="41"/>
        <v>9.3620583609539079</v>
      </c>
      <c r="CW27" s="20">
        <f t="shared" si="13"/>
        <v>68.915590072633407</v>
      </c>
      <c r="CX27" s="59">
        <f t="shared" si="14"/>
        <v>294.68629825625322</v>
      </c>
      <c r="CY27" s="59">
        <f ca="1">AVERAGE(OFFSET($CX$3,0,0,'Données projet'!$E$13+1,1))-AVERAGE(OFFSET($H$3,0,0,'Données projet'!$E$13+1,1))</f>
        <v>697.21496579281836</v>
      </c>
      <c r="CZ27" s="59">
        <f t="shared" si="42"/>
        <v>215.64914236153456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110.24831999999999</v>
      </c>
      <c r="DQ27" s="13">
        <f t="shared" si="43"/>
        <v>29.389483021072536</v>
      </c>
      <c r="DR27" s="20">
        <f t="shared" si="16"/>
        <v>243.20250692836802</v>
      </c>
      <c r="DS27" s="59">
        <f t="shared" si="17"/>
        <v>468.97321511198783</v>
      </c>
      <c r="DT27" s="59">
        <f ca="1">AVERAGE(OFFSET($DS$3,0,0,'Données projet'!$E$14+1,1))-AVERAGE(OFFSET($H$3,0,0,'Données projet'!$E$14+1,1))</f>
        <v>408.24135864450221</v>
      </c>
      <c r="DU27" s="59">
        <f t="shared" si="44"/>
        <v>394.10236303013903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298</v>
      </c>
      <c r="L28" s="12">
        <f>VLOOKUP(A28,'Données projet'!$A$35:$I$55,9,0)</f>
        <v>29.8</v>
      </c>
      <c r="M28" s="12">
        <f t="array" ref="M28">INDEX(L:L,MIN(IF(ISNUMBER(L28:L224),ROW(L28:L224),"")))</f>
        <v>29.8</v>
      </c>
      <c r="N28" s="13">
        <f>IF('Données projet'!$A$36&gt;35,N27+M28-V27,IF(A28&lt;'Données projet'!$A$36,$K$205^A28,IF(A28='Données projet'!$A$36,'Données projet'!$B$36,N27+M28-V27)))</f>
        <v>298.00000000000006</v>
      </c>
      <c r="O28" s="13">
        <f>N28*VLOOKUP('Données projet'!$B$9,Paramètres!$A$1:$I$89,3,0)*VLOOKUP('Données projet'!$B$9,Paramètres!$A$1:$I$89,5,0)</f>
        <v>139.46400000000003</v>
      </c>
      <c r="P28" s="13">
        <f t="shared" si="33"/>
        <v>36.174188022271792</v>
      </c>
      <c r="Q28" s="20">
        <f t="shared" si="2"/>
        <v>305.90317747212345</v>
      </c>
      <c r="R28" s="59">
        <f t="shared" si="0"/>
        <v>533.94095143845561</v>
      </c>
      <c r="S28" s="59">
        <f ca="1">AVERAGE(OFFSET($R$3,0,0,'Données projet'!$E$9+1,1))-AVERAGE(OFFSET($H$3,0,0,'Données projet'!$E$9+1,1))</f>
        <v>512.58510468904342</v>
      </c>
      <c r="T28" s="59">
        <f t="shared" si="34"/>
        <v>443.6106696463529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26.188719618273449</v>
      </c>
      <c r="AB28" s="21">
        <f>EXP(-LN(2)/2)*AB27+(1-EXP(-LN(2)/2))/(LN(2)/2)*V28*Y28*VLOOKUP('Données projet'!$B$9,Paramètres!$A$1:$I$89,3,0)*0.475*44/12</f>
        <v>4.5898921735886749</v>
      </c>
      <c r="AC28" s="22">
        <f t="shared" si="3"/>
        <v>30.778611791862126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9">
        <f t="shared" si="5"/>
        <v>458.73815890640844</v>
      </c>
      <c r="AN28" s="59">
        <f ca="1">AVERAGE(OFFSET($AM$3,0,0,'Données projet'!$E$10+1,1))-AVERAGE(OFFSET($H$3,0,0,'Données projet'!$E$10+1,1))</f>
        <v>520.95202773768222</v>
      </c>
      <c r="AO28" s="59">
        <f t="shared" si="36"/>
        <v>325.72635759450861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254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254.00000000000009</v>
      </c>
      <c r="BE28" s="13">
        <f>BD28*VLOOKUP('Données projet'!$B$11,Paramètres!$A$1:$I$89,3,0)*VLOOKUP('Données projet'!$B$11,Paramètres!$A$1:$I$89,5,0)</f>
        <v>151.89200000000005</v>
      </c>
      <c r="BF28" s="13">
        <f t="shared" si="37"/>
        <v>39.008235247069457</v>
      </c>
      <c r="BG28" s="20">
        <f t="shared" si="7"/>
        <v>332.48457638864602</v>
      </c>
      <c r="BH28" s="59">
        <f t="shared" si="8"/>
        <v>560.52235035497813</v>
      </c>
      <c r="BI28" s="59">
        <f ca="1">AVERAGE(OFFSET($BH$3,0,0,'Données projet'!$E$11+1,1))-AVERAGE(OFFSET($H$3,0,0,'Données projet'!$E$11+1,1))</f>
        <v>528.71639224940395</v>
      </c>
      <c r="BJ28" s="59">
        <f t="shared" si="38"/>
        <v>460.93390058676493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0.45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41.902380646408645</v>
      </c>
      <c r="BR28" s="21">
        <f>EXP(-LN(2)/2)*BR27+(1-EXP(-LN(2)/2))/(LN(2)/2)*BL28*BO28*VLOOKUP('Données projet'!$B$11,Paramètres!$A$1:$I$89,3,0)*0.475*44/12</f>
        <v>0.2962202748403619</v>
      </c>
      <c r="BS28" s="22">
        <f t="shared" si="9"/>
        <v>42.198600921249003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5.6</v>
      </c>
      <c r="BX28" s="12">
        <f t="array" ref="BX28">INDEX(BW:BW,MIN(IF(ISNUMBER(BW28:BW224),ROW(BW28:BW224),"")))</f>
        <v>5.6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63.335999999999991</v>
      </c>
      <c r="CA28" s="13">
        <f t="shared" si="39"/>
        <v>18.009040022946227</v>
      </c>
      <c r="CB28" s="20">
        <f t="shared" si="10"/>
        <v>141.67594470663133</v>
      </c>
      <c r="CC28" s="59">
        <f t="shared" si="11"/>
        <v>369.71371867296341</v>
      </c>
      <c r="CD28" s="59">
        <f ca="1">AVERAGE(OFFSET($CC$3,0,0,'Données projet'!$E$12+1,1))-AVERAGE(OFFSET($H$3,0,0,'Données projet'!$E$12+1,1))</f>
        <v>398.11190027805549</v>
      </c>
      <c r="CE28" s="59">
        <f t="shared" si="40"/>
        <v>250.47702091764884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2.5115384615384619</v>
      </c>
      <c r="CT28" s="12">
        <f>IF('Données projet'!$A$140&gt;35,CT27+CS28-DB27,IF(A28&lt;'Données projet'!$A$140,$CQ$205^A28,IF(A28='Données projet'!$A$140,'Données projet'!$B$140,CT27+CS28-DB27)))</f>
        <v>36.662119896131756</v>
      </c>
      <c r="CU28" s="17">
        <f>CT28*VLOOKUP('Données projet'!$B$13,Paramètres!$A$1:$I$89,3,0)*VLOOKUP('Données projet'!$B$13,Paramètres!$A$1:$I$89,5,0)</f>
        <v>34.887673293158983</v>
      </c>
      <c r="CV28" s="13">
        <f t="shared" si="41"/>
        <v>10.633030264667367</v>
      </c>
      <c r="CW28" s="20">
        <f t="shared" si="13"/>
        <v>79.281892029880893</v>
      </c>
      <c r="CX28" s="59">
        <f t="shared" si="14"/>
        <v>307.31966599621302</v>
      </c>
      <c r="CY28" s="59">
        <f ca="1">AVERAGE(OFFSET($CX$3,0,0,'Données projet'!$E$13+1,1))-AVERAGE(OFFSET($H$3,0,0,'Données projet'!$E$13+1,1))</f>
        <v>697.21496579281836</v>
      </c>
      <c r="CZ28" s="59">
        <f t="shared" si="42"/>
        <v>215.64914236153456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123.1776</v>
      </c>
      <c r="DQ28" s="13">
        <f t="shared" si="43"/>
        <v>32.414991240570416</v>
      </c>
      <c r="DR28" s="20">
        <f t="shared" si="16"/>
        <v>270.99042974399345</v>
      </c>
      <c r="DS28" s="59">
        <f t="shared" si="17"/>
        <v>499.02820371032556</v>
      </c>
      <c r="DT28" s="59">
        <f ca="1">AVERAGE(OFFSET($DS$3,0,0,'Données projet'!$E$14+1,1))-AVERAGE(OFFSET($H$3,0,0,'Données projet'!$E$14+1,1))</f>
        <v>408.24135864450221</v>
      </c>
      <c r="DU28" s="59">
        <f t="shared" si="44"/>
        <v>394.10236303013903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31.8</v>
      </c>
      <c r="N29" s="13">
        <f>IF('Données projet'!$A$36&gt;35,N28+M29-V28,IF(A29&lt;'Données projet'!$A$36,$K$205^A29,IF(A29='Données projet'!$A$36,'Données projet'!$B$36,N28+M29-V28)))</f>
        <v>252.80000000000007</v>
      </c>
      <c r="O29" s="13">
        <f>N29*VLOOKUP('Données projet'!$B$9,Paramètres!$A$1:$I$89,3,0)*VLOOKUP('Données projet'!$B$9,Paramètres!$A$1:$I$89,5,0)</f>
        <v>118.31040000000003</v>
      </c>
      <c r="P29" s="13">
        <f t="shared" si="33"/>
        <v>31.280603211565367</v>
      </c>
      <c r="Q29" s="20">
        <f t="shared" si="2"/>
        <v>260.53766392680978</v>
      </c>
      <c r="R29" s="59">
        <f t="shared" si="0"/>
        <v>490.82437797599994</v>
      </c>
      <c r="S29" s="59">
        <f ca="1">AVERAGE(OFFSET($R$3,0,0,'Données projet'!$E$9+1,1))-AVERAGE(OFFSET($H$3,0,0,'Données projet'!$E$9+1,1))</f>
        <v>512.58510468904342</v>
      </c>
      <c r="T29" s="59">
        <f t="shared" si="34"/>
        <v>443.6106696463529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25.472587703106853</v>
      </c>
      <c r="AB29" s="21">
        <f>EXP(-LN(2)/2)*AB28+(1-EXP(-LN(2)/2))/(LN(2)/2)*V29*Y29*VLOOKUP('Données projet'!$B$9,Paramètres!$A$1:$I$89,3,0)*0.475*44/12</f>
        <v>3.2455438808596142</v>
      </c>
      <c r="AC29" s="22">
        <f t="shared" si="3"/>
        <v>28.718131583966468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9">
        <f t="shared" si="5"/>
        <v>419.82551671522663</v>
      </c>
      <c r="AN29" s="59">
        <f ca="1">AVERAGE(OFFSET($AM$3,0,0,'Données projet'!$E$10+1,1))-AVERAGE(OFFSET($H$3,0,0,'Données projet'!$E$10+1,1))</f>
        <v>520.95202773768222</v>
      </c>
      <c r="AO29" s="59">
        <f t="shared" si="36"/>
        <v>325.72635759450861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</v>
      </c>
      <c r="BD29" s="12">
        <f>IF('Données projet'!$A$88&gt;35,BD28+BC29-BL28,IF(A29&lt;'Données projet'!$A$88,$BA$205^A29,IF(A29='Données projet'!$A$88,'Données projet'!$B$88,BD28+BC29-BL28)))</f>
        <v>215.00000000000011</v>
      </c>
      <c r="BE29" s="13">
        <f>BD29*VLOOKUP('Données projet'!$B$11,Paramètres!$A$1:$I$89,3,0)*VLOOKUP('Données projet'!$B$11,Paramètres!$A$1:$I$89,5,0)</f>
        <v>128.57000000000008</v>
      </c>
      <c r="BF29" s="13">
        <f t="shared" si="37"/>
        <v>33.665715905233277</v>
      </c>
      <c r="BG29" s="20">
        <f t="shared" si="7"/>
        <v>282.56053853494808</v>
      </c>
      <c r="BH29" s="59">
        <f t="shared" si="8"/>
        <v>512.84725258413823</v>
      </c>
      <c r="BI29" s="59">
        <f ca="1">AVERAGE(OFFSET($BH$3,0,0,'Données projet'!$E$11+1,1))-AVERAGE(OFFSET($H$3,0,0,'Données projet'!$E$11+1,1))</f>
        <v>528.71639224940395</v>
      </c>
      <c r="BJ29" s="59">
        <f t="shared" si="38"/>
        <v>460.93390058676493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40.756557844082174</v>
      </c>
      <c r="BR29" s="21">
        <f>EXP(-LN(2)/2)*BR28+(1-EXP(-LN(2)/2))/(LN(2)/2)*BL29*BO29*VLOOKUP('Données projet'!$B$11,Paramètres!$A$1:$I$89,3,0)*0.475*44/12</f>
        <v>0.20945936506456275</v>
      </c>
      <c r="BS29" s="22">
        <f t="shared" si="9"/>
        <v>40.966017209146735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</v>
      </c>
      <c r="BY29" s="12">
        <f>IF('Données projet'!$A$114&gt;35,BY28+BX29-CG28,IF(A29&lt;'Données projet'!$A$114,$BV$205^A29,IF(A29='Données projet'!$A$114,'Données projet'!$B$114,BY28+BX29-CG28)))</f>
        <v>69</v>
      </c>
      <c r="BZ29" s="13">
        <f>BY29*VLOOKUP('Données projet'!$B$12,Paramètres!$A$1:$I$89,3,0)*VLOOKUP('Données projet'!$B$12,Paramètres!$A$1:$I$89,5,0)</f>
        <v>62.431199999999997</v>
      </c>
      <c r="CA29" s="13">
        <f t="shared" si="39"/>
        <v>17.781524466058684</v>
      </c>
      <c r="CB29" s="20">
        <f t="shared" si="10"/>
        <v>139.70382844505221</v>
      </c>
      <c r="CC29" s="59">
        <f t="shared" si="11"/>
        <v>369.99054249424239</v>
      </c>
      <c r="CD29" s="59">
        <f ca="1">AVERAGE(OFFSET($CC$3,0,0,'Données projet'!$E$12+1,1))-AVERAGE(OFFSET($H$3,0,0,'Données projet'!$E$12+1,1))</f>
        <v>398.11190027805549</v>
      </c>
      <c r="CE29" s="59">
        <f t="shared" si="40"/>
        <v>250.47702091764884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2.5115384615384619</v>
      </c>
      <c r="CT29" s="12">
        <f>IF('Données projet'!$A$140&gt;35,CT28+CS29-DB28,IF(A29&lt;'Données projet'!$A$140,$CQ$205^A29,IF(A29='Données projet'!$A$140,'Données projet'!$B$140,CT28+CS29-DB28)))</f>
        <v>42.3434535419672</v>
      </c>
      <c r="CU29" s="17">
        <f>CT29*VLOOKUP('Données projet'!$B$13,Paramètres!$A$1:$I$89,3,0)*VLOOKUP('Données projet'!$B$13,Paramètres!$A$1:$I$89,5,0)</f>
        <v>40.294030390535987</v>
      </c>
      <c r="CV29" s="13">
        <f t="shared" si="41"/>
        <v>12.076546444195872</v>
      </c>
      <c r="CW29" s="20">
        <f t="shared" si="13"/>
        <v>91.212087987157972</v>
      </c>
      <c r="CX29" s="59">
        <f t="shared" si="14"/>
        <v>321.49880203634814</v>
      </c>
      <c r="CY29" s="59">
        <f ca="1">AVERAGE(OFFSET($CX$3,0,0,'Données projet'!$E$13+1,1))-AVERAGE(OFFSET($H$3,0,0,'Données projet'!$E$13+1,1))</f>
        <v>697.21496579281836</v>
      </c>
      <c r="CZ29" s="59">
        <f t="shared" si="42"/>
        <v>215.64914236153456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105.00671999999997</v>
      </c>
      <c r="DQ29" s="13">
        <f t="shared" si="43"/>
        <v>28.151366980410856</v>
      </c>
      <c r="DR29" s="20">
        <f t="shared" si="16"/>
        <v>231.91700149088217</v>
      </c>
      <c r="DS29" s="59">
        <f t="shared" si="17"/>
        <v>462.20371554007238</v>
      </c>
      <c r="DT29" s="59">
        <f ca="1">AVERAGE(OFFSET($DS$3,0,0,'Données projet'!$E$14+1,1))-AVERAGE(OFFSET($H$3,0,0,'Données projet'!$E$14+1,1))</f>
        <v>408.24135864450221</v>
      </c>
      <c r="DU29" s="59">
        <f t="shared" si="44"/>
        <v>394.10236303013903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31.8</v>
      </c>
      <c r="N30" s="13">
        <f>IF('Données projet'!$A$36&gt;35,N29+M30-V29,IF(A30&lt;'Données projet'!$A$36,$K$205^A30,IF(A30='Données projet'!$A$36,'Données projet'!$B$36,N29+M30-V29)))</f>
        <v>284.60000000000008</v>
      </c>
      <c r="O30" s="13">
        <f>N30*VLOOKUP('Données projet'!$B$9,Paramètres!$A$1:$I$89,3,0)*VLOOKUP('Données projet'!$B$9,Paramètres!$A$1:$I$89,5,0)</f>
        <v>133.19280000000003</v>
      </c>
      <c r="P30" s="13">
        <f t="shared" si="33"/>
        <v>34.733076632666538</v>
      </c>
      <c r="Q30" s="20">
        <f t="shared" si="2"/>
        <v>292.47090180189429</v>
      </c>
      <c r="R30" s="59">
        <f t="shared" si="0"/>
        <v>524.98874467445785</v>
      </c>
      <c r="S30" s="59">
        <f ca="1">AVERAGE(OFFSET($R$3,0,0,'Données projet'!$E$9+1,1))-AVERAGE(OFFSET($H$3,0,0,'Données projet'!$E$9+1,1))</f>
        <v>512.58510468904342</v>
      </c>
      <c r="T30" s="59">
        <f t="shared" si="34"/>
        <v>443.6106696463529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24.776038452820227</v>
      </c>
      <c r="AB30" s="21">
        <f>EXP(-LN(2)/2)*AB29+(1-EXP(-LN(2)/2))/(LN(2)/2)*V30*Y30*VLOOKUP('Données projet'!$B$9,Paramètres!$A$1:$I$89,3,0)*0.475*44/12</f>
        <v>2.2949460867943374</v>
      </c>
      <c r="AC30" s="22">
        <f t="shared" si="3"/>
        <v>27.070984539614564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9">
        <f t="shared" si="5"/>
        <v>442.22285893687535</v>
      </c>
      <c r="AN30" s="59">
        <f ca="1">AVERAGE(OFFSET($AM$3,0,0,'Données projet'!$E$10+1,1))-AVERAGE(OFFSET($H$3,0,0,'Données projet'!$E$10+1,1))</f>
        <v>520.95202773768222</v>
      </c>
      <c r="AO30" s="59">
        <f t="shared" si="36"/>
        <v>325.72635759450861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</v>
      </c>
      <c r="BD30" s="12">
        <f>IF('Données projet'!$A$88&gt;35,BD29+BC30-BL29,IF(A30&lt;'Données projet'!$A$88,$BA$205^A30,IF(A30='Données projet'!$A$88,'Données projet'!$B$88,BD29+BC30-BL29)))</f>
        <v>239.00000000000011</v>
      </c>
      <c r="BE30" s="13">
        <f>BD30*VLOOKUP('Données projet'!$B$11,Paramètres!$A$1:$I$89,3,0)*VLOOKUP('Données projet'!$B$11,Paramètres!$A$1:$I$89,5,0)</f>
        <v>142.92200000000008</v>
      </c>
      <c r="BF30" s="13">
        <f t="shared" si="37"/>
        <v>36.965587791044591</v>
      </c>
      <c r="BG30" s="20">
        <f t="shared" si="7"/>
        <v>313.30421540273613</v>
      </c>
      <c r="BH30" s="59">
        <f t="shared" si="8"/>
        <v>545.8220582752997</v>
      </c>
      <c r="BI30" s="59">
        <f ca="1">AVERAGE(OFFSET($BH$3,0,0,'Données projet'!$E$11+1,1))-AVERAGE(OFFSET($H$3,0,0,'Données projet'!$E$11+1,1))</f>
        <v>528.71639224940395</v>
      </c>
      <c r="BJ30" s="59">
        <f t="shared" si="38"/>
        <v>460.93390058676493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39.642067626541518</v>
      </c>
      <c r="BR30" s="21">
        <f>EXP(-LN(2)/2)*BR29+(1-EXP(-LN(2)/2))/(LN(2)/2)*BL30*BO30*VLOOKUP('Données projet'!$B$11,Paramètres!$A$1:$I$89,3,0)*0.475*44/12</f>
        <v>0.14811013742018095</v>
      </c>
      <c r="BS30" s="22">
        <f t="shared" si="9"/>
        <v>39.790177763961701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</v>
      </c>
      <c r="BY30" s="12">
        <f>IF('Données projet'!$A$114&gt;35,BY29+BX30-CG29,IF(A30&lt;'Données projet'!$A$114,$BV$205^A30,IF(A30='Données projet'!$A$114,'Données projet'!$B$114,BY29+BX30-CG29)))</f>
        <v>76</v>
      </c>
      <c r="BZ30" s="13">
        <f>BY30*VLOOKUP('Données projet'!$B$12,Paramètres!$A$1:$I$89,3,0)*VLOOKUP('Données projet'!$B$12,Paramètres!$A$1:$I$89,5,0)</f>
        <v>68.764799999999994</v>
      </c>
      <c r="CA30" s="13">
        <f t="shared" si="39"/>
        <v>19.366396769521369</v>
      </c>
      <c r="CB30" s="20">
        <f t="shared" si="10"/>
        <v>153.49516770691636</v>
      </c>
      <c r="CC30" s="59">
        <f t="shared" si="11"/>
        <v>386.0130105794799</v>
      </c>
      <c r="CD30" s="59">
        <f ca="1">AVERAGE(OFFSET($CC$3,0,0,'Données projet'!$E$12+1,1))-AVERAGE(OFFSET($H$3,0,0,'Données projet'!$E$12+1,1))</f>
        <v>398.11190027805549</v>
      </c>
      <c r="CE30" s="59">
        <f t="shared" si="40"/>
        <v>250.47702091764884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2.5115384615384619</v>
      </c>
      <c r="CT30" s="12">
        <f>IF('Données projet'!$A$140&gt;35,CT29+CS30-DB29,IF(A30&lt;'Données projet'!$A$140,$CQ$205^A30,IF(A30='Données projet'!$A$140,'Données projet'!$B$140,CT29+CS30-DB29)))</f>
        <v>48.90519323324542</v>
      </c>
      <c r="CU30" s="17">
        <f>CT30*VLOOKUP('Données projet'!$B$13,Paramètres!$A$1:$I$89,3,0)*VLOOKUP('Données projet'!$B$13,Paramètres!$A$1:$I$89,5,0)</f>
        <v>46.538181880756341</v>
      </c>
      <c r="CV30" s="13">
        <f t="shared" si="41"/>
        <v>13.716031120822015</v>
      </c>
      <c r="CW30" s="20">
        <f t="shared" si="13"/>
        <v>104.9427543110823</v>
      </c>
      <c r="CX30" s="59">
        <f t="shared" si="14"/>
        <v>337.4605971836458</v>
      </c>
      <c r="CY30" s="59">
        <f ca="1">AVERAGE(OFFSET($CX$3,0,0,'Données projet'!$E$13+1,1))-AVERAGE(OFFSET($H$3,0,0,'Données projet'!$E$13+1,1))</f>
        <v>697.21496579281836</v>
      </c>
      <c r="CZ30" s="59">
        <f t="shared" si="42"/>
        <v>215.64914236153456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117.41183999999997</v>
      </c>
      <c r="DQ30" s="13">
        <f t="shared" si="43"/>
        <v>31.070589593507044</v>
      </c>
      <c r="DR30" s="20">
        <f t="shared" si="16"/>
        <v>258.60689820869135</v>
      </c>
      <c r="DS30" s="59">
        <f t="shared" si="17"/>
        <v>491.12474108125485</v>
      </c>
      <c r="DT30" s="59">
        <f ca="1">AVERAGE(OFFSET($DS$3,0,0,'Données projet'!$E$14+1,1))-AVERAGE(OFFSET($H$3,0,0,'Données projet'!$E$14+1,1))</f>
        <v>408.24135864450221</v>
      </c>
      <c r="DU30" s="59">
        <f t="shared" si="44"/>
        <v>394.10236303013903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31.8</v>
      </c>
      <c r="N31" s="13">
        <f>IF('Données projet'!$A$36&gt;35,N30+M31-V30,IF(A31&lt;'Données projet'!$A$36,$K$205^A31,IF(A31='Données projet'!$A$36,'Données projet'!$B$36,N30+M31-V30)))</f>
        <v>316.40000000000009</v>
      </c>
      <c r="O31" s="13">
        <f>N31*VLOOKUP('Données projet'!$B$9,Paramètres!$A$1:$I$89,3,0)*VLOOKUP('Données projet'!$B$9,Paramètres!$A$1:$I$89,5,0)</f>
        <v>148.07520000000002</v>
      </c>
      <c r="P31" s="13">
        <f t="shared" si="33"/>
        <v>38.140839670017264</v>
      </c>
      <c r="Q31" s="20">
        <f t="shared" si="2"/>
        <v>324.32626909194676</v>
      </c>
      <c r="R31" s="59">
        <f t="shared" si="0"/>
        <v>559.05773851393087</v>
      </c>
      <c r="S31" s="59">
        <f ca="1">AVERAGE(OFFSET($R$3,0,0,'Données projet'!$E$9+1,1))-AVERAGE(OFFSET($H$3,0,0,'Données projet'!$E$9+1,1))</f>
        <v>512.58510468904342</v>
      </c>
      <c r="T31" s="59">
        <f t="shared" si="34"/>
        <v>443.6106696463529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24.098536378412621</v>
      </c>
      <c r="AB31" s="21">
        <f>EXP(-LN(2)/2)*AB30+(1-EXP(-LN(2)/2))/(LN(2)/2)*V31*Y31*VLOOKUP('Données projet'!$B$9,Paramètres!$A$1:$I$89,3,0)*0.475*44/12</f>
        <v>1.6227719404298071</v>
      </c>
      <c r="AC31" s="22">
        <f t="shared" si="3"/>
        <v>25.721308318842429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9">
        <f t="shared" si="5"/>
        <v>464.55795088152234</v>
      </c>
      <c r="AN31" s="59">
        <f ca="1">AVERAGE(OFFSET($AM$3,0,0,'Données projet'!$E$10+1,1))-AVERAGE(OFFSET($H$3,0,0,'Données projet'!$E$10+1,1))</f>
        <v>520.95202773768222</v>
      </c>
      <c r="AO31" s="59">
        <f t="shared" si="36"/>
        <v>325.72635759450861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</v>
      </c>
      <c r="BD31" s="12">
        <f>IF('Données projet'!$A$88&gt;35,BD30+BC31-BL30,IF(A31&lt;'Données projet'!$A$88,$BA$205^A31,IF(A31='Données projet'!$A$88,'Données projet'!$B$88,BD30+BC31-BL30)))</f>
        <v>263.00000000000011</v>
      </c>
      <c r="BE31" s="13">
        <f>BD31*VLOOKUP('Données projet'!$B$11,Paramètres!$A$1:$I$89,3,0)*VLOOKUP('Données projet'!$B$11,Paramètres!$A$1:$I$89,5,0)</f>
        <v>157.27400000000009</v>
      </c>
      <c r="BF31" s="13">
        <f t="shared" si="37"/>
        <v>40.22704491543449</v>
      </c>
      <c r="BG31" s="20">
        <f t="shared" si="7"/>
        <v>343.98098656104861</v>
      </c>
      <c r="BH31" s="59">
        <f t="shared" si="8"/>
        <v>578.71245598303267</v>
      </c>
      <c r="BI31" s="59">
        <f ca="1">AVERAGE(OFFSET($BH$3,0,0,'Données projet'!$E$11+1,1))-AVERAGE(OFFSET($H$3,0,0,'Données projet'!$E$11+1,1))</f>
        <v>528.71639224940395</v>
      </c>
      <c r="BJ31" s="59">
        <f t="shared" si="38"/>
        <v>460.93390058676493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38.558053202608008</v>
      </c>
      <c r="BR31" s="21">
        <f>EXP(-LN(2)/2)*BR30+(1-EXP(-LN(2)/2))/(LN(2)/2)*BL31*BO31*VLOOKUP('Données projet'!$B$11,Paramètres!$A$1:$I$89,3,0)*0.475*44/12</f>
        <v>0.10472968253228138</v>
      </c>
      <c r="BS31" s="22">
        <f t="shared" si="9"/>
        <v>38.662782885140288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</v>
      </c>
      <c r="BY31" s="12">
        <f>IF('Données projet'!$A$114&gt;35,BY30+BX31-CG30,IF(A31&lt;'Données projet'!$A$114,$BV$205^A31,IF(A31='Données projet'!$A$114,'Données projet'!$B$114,BY30+BX31-CG30)))</f>
        <v>83</v>
      </c>
      <c r="BZ31" s="13">
        <f>BY31*VLOOKUP('Données projet'!$B$12,Paramètres!$A$1:$I$89,3,0)*VLOOKUP('Données projet'!$B$12,Paramètres!$A$1:$I$89,5,0)</f>
        <v>75.098399999999998</v>
      </c>
      <c r="CA31" s="13">
        <f t="shared" si="39"/>
        <v>20.934343091450742</v>
      </c>
      <c r="CB31" s="20">
        <f t="shared" si="10"/>
        <v>167.25702755094335</v>
      </c>
      <c r="CC31" s="59">
        <f t="shared" si="11"/>
        <v>401.98849697292746</v>
      </c>
      <c r="CD31" s="59">
        <f ca="1">AVERAGE(OFFSET($CC$3,0,0,'Données projet'!$E$12+1,1))-AVERAGE(OFFSET($H$3,0,0,'Données projet'!$E$12+1,1))</f>
        <v>398.11190027805549</v>
      </c>
      <c r="CE31" s="59">
        <f t="shared" si="40"/>
        <v>250.47702091764884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2.5115384615384619</v>
      </c>
      <c r="CT31" s="12">
        <f>IF('Données projet'!$A$140&gt;35,CT30+CS31-DB30,IF(A31&lt;'Données projet'!$A$140,$CQ$205^A31,IF(A31='Données projet'!$A$140,'Données projet'!$B$140,CT30+CS31-DB30)))</f>
        <v>56.483770810300285</v>
      </c>
      <c r="CU31" s="17">
        <f>CT31*VLOOKUP('Données projet'!$B$13,Paramètres!$A$1:$I$89,3,0)*VLOOKUP('Données projet'!$B$13,Paramètres!$A$1:$I$89,5,0)</f>
        <v>53.74995630308176</v>
      </c>
      <c r="CV31" s="13">
        <f t="shared" si="41"/>
        <v>15.578088535218221</v>
      </c>
      <c r="CW31" s="20">
        <f t="shared" si="13"/>
        <v>120.74634476003911</v>
      </c>
      <c r="CX31" s="59">
        <f t="shared" si="14"/>
        <v>355.47781418202317</v>
      </c>
      <c r="CY31" s="59">
        <f ca="1">AVERAGE(OFFSET($CX$3,0,0,'Données projet'!$E$13+1,1))-AVERAGE(OFFSET($H$3,0,0,'Données projet'!$E$13+1,1))</f>
        <v>697.21496579281836</v>
      </c>
      <c r="CZ31" s="59">
        <f t="shared" si="42"/>
        <v>215.64914236153456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129.81695999999997</v>
      </c>
      <c r="DQ31" s="13">
        <f t="shared" si="43"/>
        <v>33.954060694815986</v>
      </c>
      <c r="DR31" s="20">
        <f t="shared" si="16"/>
        <v>285.23452771013774</v>
      </c>
      <c r="DS31" s="59">
        <f t="shared" si="17"/>
        <v>519.96599713212186</v>
      </c>
      <c r="DT31" s="59">
        <f ca="1">AVERAGE(OFFSET($DS$3,0,0,'Données projet'!$E$14+1,1))-AVERAGE(OFFSET($H$3,0,0,'Données projet'!$E$14+1,1))</f>
        <v>408.24135864450221</v>
      </c>
      <c r="DU31" s="59">
        <f t="shared" si="44"/>
        <v>394.10236303013903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31.8</v>
      </c>
      <c r="N32" s="13">
        <f>IF('Données projet'!$A$36&gt;35,N31+M32-V31,IF(A32&lt;'Données projet'!$A$36,$K$205^A32,IF(A32='Données projet'!$A$36,'Données projet'!$B$36,N31+M32-V31)))</f>
        <v>348.2000000000001</v>
      </c>
      <c r="O32" s="13">
        <f>N32*VLOOKUP('Données projet'!$B$9,Paramètres!$A$1:$I$89,3,0)*VLOOKUP('Données projet'!$B$9,Paramètres!$A$1:$I$89,5,0)</f>
        <v>162.95760000000004</v>
      </c>
      <c r="P32" s="13">
        <f t="shared" si="33"/>
        <v>41.508897552694833</v>
      </c>
      <c r="Q32" s="20">
        <f t="shared" si="2"/>
        <v>356.11248323761021</v>
      </c>
      <c r="R32" s="59">
        <f t="shared" si="0"/>
        <v>593.04038056038598</v>
      </c>
      <c r="S32" s="59">
        <f ca="1">AVERAGE(OFFSET($R$3,0,0,'Données projet'!$E$9+1,1))-AVERAGE(OFFSET($H$3,0,0,'Données projet'!$E$9+1,1))</f>
        <v>512.58510468904342</v>
      </c>
      <c r="T32" s="59">
        <f t="shared" si="34"/>
        <v>443.6106696463529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23.43956063385798</v>
      </c>
      <c r="AB32" s="21">
        <f>EXP(-LN(2)/2)*AB31+(1-EXP(-LN(2)/2))/(LN(2)/2)*V32*Y32*VLOOKUP('Données projet'!$B$9,Paramètres!$A$1:$I$89,3,0)*0.475*44/12</f>
        <v>1.1474730433971687</v>
      </c>
      <c r="AC32" s="22">
        <f t="shared" si="3"/>
        <v>24.58703367725515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9">
        <f t="shared" si="5"/>
        <v>486.8355649583234</v>
      </c>
      <c r="AN32" s="59">
        <f ca="1">AVERAGE(OFFSET($AM$3,0,0,'Données projet'!$E$10+1,1))-AVERAGE(OFFSET($H$3,0,0,'Données projet'!$E$10+1,1))</f>
        <v>520.95202773768222</v>
      </c>
      <c r="AO32" s="59">
        <f t="shared" si="36"/>
        <v>325.72635759450861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</v>
      </c>
      <c r="BD32" s="12">
        <f>IF('Données projet'!$A$88&gt;35,BD31+BC32-BL31,IF(A32&lt;'Données projet'!$A$88,$BA$205^A32,IF(A32='Données projet'!$A$88,'Données projet'!$B$88,BD31+BC32-BL31)))</f>
        <v>287.00000000000011</v>
      </c>
      <c r="BE32" s="13">
        <f>BD32*VLOOKUP('Données projet'!$B$11,Paramètres!$A$1:$I$89,3,0)*VLOOKUP('Données projet'!$B$11,Paramètres!$A$1:$I$89,5,0)</f>
        <v>171.62600000000009</v>
      </c>
      <c r="BF32" s="13">
        <f t="shared" si="37"/>
        <v>43.453991492329642</v>
      </c>
      <c r="BG32" s="20">
        <f t="shared" si="7"/>
        <v>374.5976518491409</v>
      </c>
      <c r="BH32" s="59">
        <f t="shared" si="8"/>
        <v>611.52554917191674</v>
      </c>
      <c r="BI32" s="59">
        <f ca="1">AVERAGE(OFFSET($BH$3,0,0,'Données projet'!$E$11+1,1))-AVERAGE(OFFSET($H$3,0,0,'Données projet'!$E$11+1,1))</f>
        <v>528.71639224940395</v>
      </c>
      <c r="BJ32" s="59">
        <f t="shared" si="38"/>
        <v>460.93390058676493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37.503681210102798</v>
      </c>
      <c r="BR32" s="21">
        <f>EXP(-LN(2)/2)*BR31+(1-EXP(-LN(2)/2))/(LN(2)/2)*BL32*BO32*VLOOKUP('Données projet'!$B$11,Paramètres!$A$1:$I$89,3,0)*0.475*44/12</f>
        <v>7.4055068710090474E-2</v>
      </c>
      <c r="BS32" s="22">
        <f t="shared" si="9"/>
        <v>37.577736278812885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</v>
      </c>
      <c r="BY32" s="12">
        <f>IF('Données projet'!$A$114&gt;35,BY31+BX32-CG31,IF(A32&lt;'Données projet'!$A$114,$BV$205^A32,IF(A32='Données projet'!$A$114,'Données projet'!$B$114,BY31+BX32-CG31)))</f>
        <v>90</v>
      </c>
      <c r="BZ32" s="13">
        <f>BY32*VLOOKUP('Données projet'!$B$12,Paramètres!$A$1:$I$89,3,0)*VLOOKUP('Données projet'!$B$12,Paramètres!$A$1:$I$89,5,0)</f>
        <v>81.432000000000002</v>
      </c>
      <c r="CA32" s="13">
        <f t="shared" si="39"/>
        <v>22.486953220240881</v>
      </c>
      <c r="CB32" s="20">
        <f t="shared" si="10"/>
        <v>180.99217685858619</v>
      </c>
      <c r="CC32" s="59">
        <f t="shared" si="11"/>
        <v>417.920074181362</v>
      </c>
      <c r="CD32" s="59">
        <f ca="1">AVERAGE(OFFSET($CC$3,0,0,'Données projet'!$E$12+1,1))-AVERAGE(OFFSET($H$3,0,0,'Données projet'!$E$12+1,1))</f>
        <v>398.11190027805549</v>
      </c>
      <c r="CE32" s="59">
        <f t="shared" si="40"/>
        <v>250.47702091764884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2.5115384615384619</v>
      </c>
      <c r="CT32" s="12">
        <f>IF('Données projet'!$A$140&gt;35,CT31+CS32-DB31,IF(A32&lt;'Données projet'!$A$140,$CQ$205^A32,IF(A32='Données projet'!$A$140,'Données projet'!$B$140,CT31+CS32-DB31)))</f>
        <v>65.236760229825805</v>
      </c>
      <c r="CU32" s="17">
        <f>CT32*VLOOKUP('Données projet'!$B$13,Paramètres!$A$1:$I$89,3,0)*VLOOKUP('Données projet'!$B$13,Paramètres!$A$1:$I$89,5,0)</f>
        <v>62.07930103470224</v>
      </c>
      <c r="CV32" s="13">
        <f t="shared" si="41"/>
        <v>17.692934659698651</v>
      </c>
      <c r="CW32" s="20">
        <f t="shared" si="13"/>
        <v>138.93664383441487</v>
      </c>
      <c r="CX32" s="59">
        <f t="shared" si="14"/>
        <v>375.86454115719073</v>
      </c>
      <c r="CY32" s="59">
        <f ca="1">AVERAGE(OFFSET($CX$3,0,0,'Données projet'!$E$13+1,1))-AVERAGE(OFFSET($H$3,0,0,'Données projet'!$E$13+1,1))</f>
        <v>697.21496579281836</v>
      </c>
      <c r="CZ32" s="59">
        <f t="shared" si="42"/>
        <v>215.64914236153456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142.22207999999995</v>
      </c>
      <c r="DQ32" s="13">
        <f t="shared" si="43"/>
        <v>36.805585341198615</v>
      </c>
      <c r="DR32" s="20">
        <f t="shared" si="16"/>
        <v>311.80651713592084</v>
      </c>
      <c r="DS32" s="59">
        <f t="shared" si="17"/>
        <v>548.73441445869662</v>
      </c>
      <c r="DT32" s="59">
        <f ca="1">AVERAGE(OFFSET($DS$3,0,0,'Données projet'!$E$14+1,1))-AVERAGE(OFFSET($H$3,0,0,'Données projet'!$E$14+1,1))</f>
        <v>408.24135864450221</v>
      </c>
      <c r="DU32" s="59">
        <f t="shared" si="44"/>
        <v>394.10236303013903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380</v>
      </c>
      <c r="L33" s="12">
        <f>VLOOKUP(A33,'Données projet'!$A$35:$I$55,9,0)</f>
        <v>31.8</v>
      </c>
      <c r="M33" s="12">
        <f t="array" ref="M33">INDEX(L:L,MIN(IF(ISNUMBER(L33:L229),ROW(L33:L229),"")))</f>
        <v>31.8</v>
      </c>
      <c r="N33" s="13">
        <f>IF('Données projet'!$A$36&gt;35,N32+M33-V32,IF(A33&lt;'Données projet'!$A$36,$K$205^A33,IF(A33='Données projet'!$A$36,'Données projet'!$B$36,N32+M33-V32)))</f>
        <v>380.00000000000011</v>
      </c>
      <c r="O33" s="13">
        <f>N33*VLOOKUP('Données projet'!$B$9,Paramètres!$A$1:$I$89,3,0)*VLOOKUP('Données projet'!$B$9,Paramètres!$A$1:$I$89,5,0)</f>
        <v>177.84000000000006</v>
      </c>
      <c r="P33" s="13">
        <f t="shared" si="33"/>
        <v>44.841288830609138</v>
      </c>
      <c r="Q33" s="20">
        <f t="shared" si="2"/>
        <v>387.83657804664432</v>
      </c>
      <c r="R33" s="59">
        <f t="shared" si="0"/>
        <v>626.94400297968627</v>
      </c>
      <c r="S33" s="59">
        <f ca="1">AVERAGE(OFFSET($R$3,0,0,'Données projet'!$E$9+1,1))-AVERAGE(OFFSET($H$3,0,0,'Données projet'!$E$9+1,1))</f>
        <v>512.58510468904342</v>
      </c>
      <c r="T33" s="59">
        <f t="shared" si="34"/>
        <v>443.6106696463529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48.987324233965666</v>
      </c>
      <c r="AB33" s="21">
        <f>EXP(-LN(2)/2)*AB32+(1-EXP(-LN(2)/2))/(LN(2)/2)*V33*Y33*VLOOKUP('Données projet'!$B$9,Paramètres!$A$1:$I$89,3,0)*0.475*44/12</f>
        <v>0.81138597021490355</v>
      </c>
      <c r="AC33" s="22">
        <f t="shared" si="3"/>
        <v>49.798710204180566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9">
        <f t="shared" si="5"/>
        <v>509.05969092784198</v>
      </c>
      <c r="AN33" s="59">
        <f ca="1">AVERAGE(OFFSET($AM$3,0,0,'Données projet'!$E$10+1,1))-AVERAGE(OFFSET($H$3,0,0,'Données projet'!$E$10+1,1))</f>
        <v>520.95202773768222</v>
      </c>
      <c r="AO33" s="59">
        <f t="shared" si="36"/>
        <v>325.72635759450861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311</v>
      </c>
      <c r="BB33" s="12">
        <f>VLOOKUP(A33,'Données projet'!$A$87:$I$107,9,0)</f>
        <v>24</v>
      </c>
      <c r="BC33" s="12">
        <f t="array" ref="BC33">INDEX(BB:BB,MIN(IF(ISNUMBER(BB33:BB229),ROW(BB33:BB229),"")))</f>
        <v>24</v>
      </c>
      <c r="BD33" s="12">
        <f>IF('Données projet'!$A$88&gt;35,BD32+BC33-BL32,IF(A33&lt;'Données projet'!$A$88,$BA$205^A33,IF(A33='Données projet'!$A$88,'Données projet'!$B$88,BD32+BC33-BL32)))</f>
        <v>311.00000000000011</v>
      </c>
      <c r="BE33" s="13">
        <f>BD33*VLOOKUP('Données projet'!$B$11,Paramètres!$A$1:$I$89,3,0)*VLOOKUP('Données projet'!$B$11,Paramètres!$A$1:$I$89,5,0)</f>
        <v>185.97800000000009</v>
      </c>
      <c r="BF33" s="13">
        <f t="shared" si="37"/>
        <v>46.649641523668613</v>
      </c>
      <c r="BG33" s="20">
        <f t="shared" si="7"/>
        <v>405.15980898705629</v>
      </c>
      <c r="BH33" s="59">
        <f t="shared" si="8"/>
        <v>644.26723392009831</v>
      </c>
      <c r="BI33" s="59">
        <f ca="1">AVERAGE(OFFSET($BH$3,0,0,'Données projet'!$E$11+1,1))-AVERAGE(OFFSET($H$3,0,0,'Données projet'!$E$11+1,1))</f>
        <v>528.71639224940395</v>
      </c>
      <c r="BJ33" s="59">
        <f t="shared" si="38"/>
        <v>460.93390058676493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58.87923595527306</v>
      </c>
      <c r="BR33" s="21">
        <f>EXP(-LN(2)/2)*BR32+(1-EXP(-LN(2)/2))/(LN(2)/2)*BL33*BO33*VLOOKUP('Données projet'!$B$11,Paramètres!$A$1:$I$89,3,0)*0.475*44/12</f>
        <v>5.2364841266140688E-2</v>
      </c>
      <c r="BS33" s="22">
        <f t="shared" si="9"/>
        <v>58.9316007965392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7</v>
      </c>
      <c r="BX33" s="12">
        <f t="array" ref="BX33">INDEX(BW:BW,MIN(IF(ISNUMBER(BW33:BW229),ROW(BW33:BW229),"")))</f>
        <v>7</v>
      </c>
      <c r="BY33" s="12">
        <f>IF('Données projet'!$A$114&gt;35,BY32+BX33-CG32,IF(A33&lt;'Données projet'!$A$114,$BV$205^A33,IF(A33='Données projet'!$A$114,'Données projet'!$B$114,BY32+BX33-CG32)))</f>
        <v>97</v>
      </c>
      <c r="BZ33" s="13">
        <f>BY33*VLOOKUP('Données projet'!$B$12,Paramètres!$A$1:$I$89,3,0)*VLOOKUP('Données projet'!$B$12,Paramètres!$A$1:$I$89,5,0)</f>
        <v>87.765600000000006</v>
      </c>
      <c r="CA33" s="13">
        <f t="shared" si="39"/>
        <v>24.025555589247954</v>
      </c>
      <c r="CB33" s="20">
        <f t="shared" si="10"/>
        <v>194.7029293179402</v>
      </c>
      <c r="CC33" s="59">
        <f t="shared" si="11"/>
        <v>433.81035425098219</v>
      </c>
      <c r="CD33" s="59">
        <f ca="1">AVERAGE(OFFSET($CC$3,0,0,'Données projet'!$E$12+1,1))-AVERAGE(OFFSET($H$3,0,0,'Données projet'!$E$12+1,1))</f>
        <v>398.11190027805549</v>
      </c>
      <c r="CE33" s="59">
        <f t="shared" si="40"/>
        <v>250.47702091764884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75.346153846153854</v>
      </c>
      <c r="CR33" s="12">
        <f>VLOOKUP(A33,'Données projet'!$A$139:$I$159,9,0)</f>
        <v>2.5115384615384619</v>
      </c>
      <c r="CS33" s="12">
        <f t="array" ref="CS33">INDEX(CR:CR,MIN(IF(ISNUMBER(CR33:CR229),ROW(CR33:CR229),"")))</f>
        <v>2.5115384615384619</v>
      </c>
      <c r="CT33" s="12">
        <f>IF('Données projet'!$A$140&gt;35,CT32+CS33-DB32,IF(A33&lt;'Données projet'!$A$140,$CQ$205^A33,IF(A33='Données projet'!$A$140,'Données projet'!$B$140,CT32+CS33-DB32)))</f>
        <v>75.346153846153854</v>
      </c>
      <c r="CU33" s="17">
        <f>CT33*VLOOKUP('Données projet'!$B$13,Paramètres!$A$1:$I$89,3,0)*VLOOKUP('Données projet'!$B$13,Paramètres!$A$1:$I$89,5,0)</f>
        <v>71.699400000000011</v>
      </c>
      <c r="CV33" s="13">
        <f t="shared" si="41"/>
        <v>20.094887518751726</v>
      </c>
      <c r="CW33" s="20">
        <f t="shared" si="13"/>
        <v>159.87505076182592</v>
      </c>
      <c r="CX33" s="59">
        <f t="shared" si="14"/>
        <v>398.9824756948679</v>
      </c>
      <c r="CY33" s="59">
        <f ca="1">AVERAGE(OFFSET($CX$3,0,0,'Données projet'!$E$13+1,1))-AVERAGE(OFFSET($H$3,0,0,'Données projet'!$E$13+1,1))</f>
        <v>697.21496579281836</v>
      </c>
      <c r="CZ33" s="59">
        <f t="shared" si="42"/>
        <v>215.64914236153456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154.62719999999996</v>
      </c>
      <c r="DQ33" s="13">
        <f t="shared" si="43"/>
        <v>39.62826685000794</v>
      </c>
      <c r="DR33" s="20">
        <f t="shared" si="16"/>
        <v>338.32827143043039</v>
      </c>
      <c r="DS33" s="59">
        <f t="shared" si="17"/>
        <v>577.4356963634724</v>
      </c>
      <c r="DT33" s="59">
        <f ca="1">AVERAGE(OFFSET($DS$3,0,0,'Données projet'!$E$14+1,1))-AVERAGE(OFFSET($H$3,0,0,'Données projet'!$E$14+1,1))</f>
        <v>408.24135864450221</v>
      </c>
      <c r="DU33" s="59">
        <f t="shared" si="44"/>
        <v>394.10236303013903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31.4</v>
      </c>
      <c r="N34" s="13">
        <f>IF('Données projet'!$A$36&gt;35,N33+M34-V33,IF(A34&lt;'Données projet'!$A$36,$K$205^A34,IF(A34='Données projet'!$A$36,'Données projet'!$B$36,N33+M34-V33)))</f>
        <v>334.40000000000009</v>
      </c>
      <c r="O34" s="13">
        <f>N34*VLOOKUP('Données projet'!$B$9,Paramètres!$A$1:$I$89,3,0)*VLOOKUP('Données projet'!$B$9,Paramètres!$A$1:$I$89,5,0)</f>
        <v>156.49920000000003</v>
      </c>
      <c r="P34" s="13">
        <f t="shared" si="33"/>
        <v>40.051886402928389</v>
      </c>
      <c r="Q34" s="20">
        <f t="shared" si="2"/>
        <v>342.32647548510039</v>
      </c>
      <c r="R34" s="59">
        <f t="shared" si="0"/>
        <v>582.37459869791792</v>
      </c>
      <c r="S34" s="59">
        <f ca="1">AVERAGE(OFFSET($R$3,0,0,'Données projet'!$E$9+1,1))-AVERAGE(OFFSET($H$3,0,0,'Données projet'!$E$9+1,1))</f>
        <v>512.58510468904342</v>
      </c>
      <c r="T34" s="59">
        <f t="shared" si="34"/>
        <v>443.6106696463529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47.647763276656455</v>
      </c>
      <c r="AB34" s="21">
        <f>EXP(-LN(2)/2)*AB33+(1-EXP(-LN(2)/2))/(LN(2)/2)*V34*Y34*VLOOKUP('Données projet'!$B$9,Paramètres!$A$1:$I$89,3,0)*0.475*44/12</f>
        <v>0.57373652169858436</v>
      </c>
      <c r="AC34" s="22">
        <f t="shared" si="3"/>
        <v>48.22149979835504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9">
        <f t="shared" si="5"/>
        <v>472.49608836440564</v>
      </c>
      <c r="AN34" s="59">
        <f ca="1">AVERAGE(OFFSET($AM$3,0,0,'Données projet'!$E$10+1,1))-AVERAGE(OFFSET($H$3,0,0,'Données projet'!$E$10+1,1))</f>
        <v>520.95202773768222</v>
      </c>
      <c r="AO34" s="59">
        <f t="shared" si="36"/>
        <v>325.72635759450861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24.2</v>
      </c>
      <c r="BD34" s="12">
        <f>IF('Données projet'!$A$88&gt;35,BD33+BC34-BL33,IF(A34&lt;'Données projet'!$A$88,$BA$205^A34,IF(A34='Données projet'!$A$88,'Données projet'!$B$88,BD33+BC34-BL33)))</f>
        <v>272.2000000000001</v>
      </c>
      <c r="BE34" s="13">
        <f>BD34*VLOOKUP('Données projet'!$B$11,Paramètres!$A$1:$I$89,3,0)*VLOOKUP('Données projet'!$B$11,Paramètres!$A$1:$I$89,5,0)</f>
        <v>162.77560000000005</v>
      </c>
      <c r="BF34" s="13">
        <f t="shared" si="37"/>
        <v>41.467931707956311</v>
      </c>
      <c r="BG34" s="20">
        <f t="shared" si="7"/>
        <v>355.72415105802401</v>
      </c>
      <c r="BH34" s="59">
        <f t="shared" si="8"/>
        <v>595.77227427084154</v>
      </c>
      <c r="BI34" s="59">
        <f ca="1">AVERAGE(OFFSET($BH$3,0,0,'Données projet'!$E$11+1,1))-AVERAGE(OFFSET($H$3,0,0,'Données projet'!$E$11+1,1))</f>
        <v>528.71639224940395</v>
      </c>
      <c r="BJ34" s="59">
        <f t="shared" si="38"/>
        <v>460.93390058676493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57.269180151751669</v>
      </c>
      <c r="BR34" s="21">
        <f>EXP(-LN(2)/2)*BR33+(1-EXP(-LN(2)/2))/(LN(2)/2)*BL34*BO34*VLOOKUP('Données projet'!$B$11,Paramètres!$A$1:$I$89,3,0)*0.475*44/12</f>
        <v>3.7027534355045237E-2</v>
      </c>
      <c r="BS34" s="22">
        <f t="shared" si="9"/>
        <v>57.306207686106717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</v>
      </c>
      <c r="BZ34" s="13">
        <f>BY34*VLOOKUP('Données projet'!$B$12,Paramètres!$A$1:$I$89,3,0)*VLOOKUP('Données projet'!$B$12,Paramètres!$A$1:$I$89,5,0)</f>
        <v>76.003200000000007</v>
      </c>
      <c r="CA34" s="13">
        <f t="shared" si="39"/>
        <v>21.157049992000456</v>
      </c>
      <c r="CB34" s="20">
        <f t="shared" si="10"/>
        <v>169.22076873606747</v>
      </c>
      <c r="CC34" s="59">
        <f t="shared" si="11"/>
        <v>409.26889194888503</v>
      </c>
      <c r="CD34" s="59">
        <f ca="1">AVERAGE(OFFSET($CC$3,0,0,'Données projet'!$E$12+1,1))-AVERAGE(OFFSET($H$3,0,0,'Données projet'!$E$12+1,1))</f>
        <v>398.11190027805549</v>
      </c>
      <c r="CE34" s="59">
        <f t="shared" si="40"/>
        <v>250.47702091764884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8.0511538461538468</v>
      </c>
      <c r="CT34" s="12">
        <f>IF('Données projet'!$A$140&gt;35,CT33+CS34-DB33,IF(A34&lt;'Données projet'!$A$140,$CQ$205^A34,IF(A34='Données projet'!$A$140,'Données projet'!$B$140,CT33+CS34-DB33)))</f>
        <v>83.397307692307706</v>
      </c>
      <c r="CU34" s="17">
        <f>CT34*VLOOKUP('Données projet'!$B$13,Paramètres!$A$1:$I$89,3,0)*VLOOKUP('Données projet'!$B$13,Paramètres!$A$1:$I$89,5,0)</f>
        <v>79.360878000000014</v>
      </c>
      <c r="CV34" s="13">
        <f t="shared" si="41"/>
        <v>21.980842601257564</v>
      </c>
      <c r="CW34" s="20">
        <f t="shared" si="13"/>
        <v>176.50349671385695</v>
      </c>
      <c r="CX34" s="59">
        <f t="shared" si="14"/>
        <v>416.5516199266745</v>
      </c>
      <c r="CY34" s="59">
        <f ca="1">AVERAGE(OFFSET($CX$3,0,0,'Données projet'!$E$13+1,1))-AVERAGE(OFFSET($H$3,0,0,'Données projet'!$E$13+1,1))</f>
        <v>697.21496579281836</v>
      </c>
      <c r="CZ34" s="59">
        <f t="shared" si="42"/>
        <v>215.64914236153456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135.23327999999995</v>
      </c>
      <c r="DQ34" s="13">
        <f t="shared" si="43"/>
        <v>35.202825080004438</v>
      </c>
      <c r="DR34" s="20">
        <f t="shared" si="16"/>
        <v>296.842883014341</v>
      </c>
      <c r="DS34" s="59">
        <f t="shared" si="17"/>
        <v>536.89100622715853</v>
      </c>
      <c r="DT34" s="59">
        <f ca="1">AVERAGE(OFFSET($DS$3,0,0,'Données projet'!$E$14+1,1))-AVERAGE(OFFSET($H$3,0,0,'Données projet'!$E$14+1,1))</f>
        <v>408.24135864450221</v>
      </c>
      <c r="DU34" s="59">
        <f t="shared" si="44"/>
        <v>394.10236303013903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31.4</v>
      </c>
      <c r="N35" s="13">
        <f>IF('Données projet'!$A$36&gt;35,N34+M35-V34,IF(A35&lt;'Données projet'!$A$36,$K$205^A35,IF(A35='Données projet'!$A$36,'Données projet'!$B$36,N34+M35-V34)))</f>
        <v>365.80000000000007</v>
      </c>
      <c r="O35" s="13">
        <f>N35*VLOOKUP('Données projet'!$B$9,Paramètres!$A$1:$I$89,3,0)*VLOOKUP('Données projet'!$B$9,Paramètres!$A$1:$I$89,5,0)</f>
        <v>171.19440000000003</v>
      </c>
      <c r="P35" s="13">
        <f t="shared" si="33"/>
        <v>43.35742035290977</v>
      </c>
      <c r="Q35" s="20">
        <f t="shared" ref="Q35:Q66" si="53">(O35+P35)*0.475*44/12</f>
        <v>373.6777537813179</v>
      </c>
      <c r="R35" s="59">
        <f t="shared" si="0"/>
        <v>614.6502562618432</v>
      </c>
      <c r="S35" s="59">
        <f ca="1">AVERAGE(OFFSET($R$3,0,0,'Données projet'!$E$9+1,1))-AVERAGE(OFFSET($H$3,0,0,'Données projet'!$E$9+1,1))</f>
        <v>512.58510468904342</v>
      </c>
      <c r="T35" s="59">
        <f t="shared" si="34"/>
        <v>443.6106696463529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46.344832684169312</v>
      </c>
      <c r="AB35" s="21">
        <f>EXP(-LN(2)/2)*AB34+(1-EXP(-LN(2)/2))/(LN(2)/2)*V35*Y35*VLOOKUP('Données projet'!$B$9,Paramètres!$A$1:$I$89,3,0)*0.475*44/12</f>
        <v>0.40569298510745178</v>
      </c>
      <c r="AC35" s="22">
        <f t="shared" si="3"/>
        <v>46.750525669276762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496.98442041815383</v>
      </c>
      <c r="AN35" s="59">
        <f ca="1">AVERAGE(OFFSET($AM$3,0,0,'Données projet'!$E$10+1,1))-AVERAGE(OFFSET($H$3,0,0,'Données projet'!$E$10+1,1))</f>
        <v>520.95202773768222</v>
      </c>
      <c r="AO35" s="59">
        <f t="shared" si="36"/>
        <v>325.72635759450861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24.2</v>
      </c>
      <c r="BD35" s="12">
        <f>IF('Données projet'!$A$88&gt;35,BD34+BC35-BL34,IF(A35&lt;'Données projet'!$A$88,$BA$205^A35,IF(A35='Données projet'!$A$88,'Données projet'!$B$88,BD34+BC35-BL34)))</f>
        <v>296.40000000000009</v>
      </c>
      <c r="BE35" s="13">
        <f>BD35*VLOOKUP('Données projet'!$B$11,Paramètres!$A$1:$I$89,3,0)*VLOOKUP('Données projet'!$B$11,Paramètres!$A$1:$I$89,5,0)</f>
        <v>177.24720000000008</v>
      </c>
      <c r="BF35" s="13">
        <f t="shared" si="37"/>
        <v>44.709190633994517</v>
      </c>
      <c r="BG35" s="20">
        <f t="shared" si="7"/>
        <v>386.57404702087388</v>
      </c>
      <c r="BH35" s="59">
        <f t="shared" si="8"/>
        <v>627.54654950139923</v>
      </c>
      <c r="BI35" s="59">
        <f ca="1">AVERAGE(OFFSET($BH$3,0,0,'Données projet'!$E$11+1,1))-AVERAGE(OFFSET($H$3,0,0,'Données projet'!$E$11+1,1))</f>
        <v>528.71639224940395</v>
      </c>
      <c r="BJ35" s="59">
        <f t="shared" si="38"/>
        <v>460.93390058676493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55.703151408846729</v>
      </c>
      <c r="BR35" s="21">
        <f>EXP(-LN(2)/2)*BR34+(1-EXP(-LN(2)/2))/(LN(2)/2)*BL35*BO35*VLOOKUP('Données projet'!$B$11,Paramètres!$A$1:$I$89,3,0)*0.475*44/12</f>
        <v>2.6182420633070344E-2</v>
      </c>
      <c r="BS35" s="22">
        <f t="shared" si="9"/>
        <v>55.729333829479799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</v>
      </c>
      <c r="BZ35" s="13">
        <f>BY35*VLOOKUP('Données projet'!$B$12,Paramètres!$A$1:$I$89,3,0)*VLOOKUP('Données projet'!$B$12,Paramètres!$A$1:$I$89,5,0)</f>
        <v>83.241600000000005</v>
      </c>
      <c r="CA35" s="13">
        <f t="shared" si="39"/>
        <v>22.927930643846508</v>
      </c>
      <c r="CB35" s="20">
        <f t="shared" si="10"/>
        <v>184.91193253803269</v>
      </c>
      <c r="CC35" s="59">
        <f t="shared" si="11"/>
        <v>425.88443501855801</v>
      </c>
      <c r="CD35" s="59">
        <f ca="1">AVERAGE(OFFSET($CC$3,0,0,'Données projet'!$E$12+1,1))-AVERAGE(OFFSET($H$3,0,0,'Données projet'!$E$12+1,1))</f>
        <v>398.11190027805549</v>
      </c>
      <c r="CE35" s="59">
        <f t="shared" si="40"/>
        <v>250.47702091764884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8.0511538461538468</v>
      </c>
      <c r="CT35" s="12">
        <f>IF('Données projet'!$A$140&gt;35,CT34+CS35-DB34,IF(A35&lt;'Données projet'!$A$140,$CQ$205^A35,IF(A35='Données projet'!$A$140,'Données projet'!$B$140,CT34+CS35-DB34)))</f>
        <v>91.448461538461558</v>
      </c>
      <c r="CU35" s="17">
        <f>CT35*VLOOKUP('Données projet'!$B$13,Paramètres!$A$1:$I$89,3,0)*VLOOKUP('Données projet'!$B$13,Paramètres!$A$1:$I$89,5,0)</f>
        <v>87.022356000000016</v>
      </c>
      <c r="CV35" s="13">
        <f t="shared" si="41"/>
        <v>23.845688831347463</v>
      </c>
      <c r="CW35" s="20">
        <f t="shared" si="13"/>
        <v>193.0951780812635</v>
      </c>
      <c r="CX35" s="59">
        <f t="shared" si="14"/>
        <v>434.06768056178885</v>
      </c>
      <c r="CY35" s="59">
        <f ca="1">AVERAGE(OFFSET($CX$3,0,0,'Données projet'!$E$13+1,1))-AVERAGE(OFFSET($H$3,0,0,'Données projet'!$E$13+1,1))</f>
        <v>697.21496579281836</v>
      </c>
      <c r="CZ35" s="59">
        <f t="shared" si="42"/>
        <v>215.64914236153456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146.41535999999996</v>
      </c>
      <c r="DQ35" s="13">
        <f t="shared" si="43"/>
        <v>37.762820103024467</v>
      </c>
      <c r="DR35" s="20">
        <f t="shared" si="16"/>
        <v>320.77699701276748</v>
      </c>
      <c r="DS35" s="59">
        <f t="shared" si="17"/>
        <v>561.74949949329277</v>
      </c>
      <c r="DT35" s="59">
        <f ca="1">AVERAGE(OFFSET($DS$3,0,0,'Données projet'!$E$14+1,1))-AVERAGE(OFFSET($H$3,0,0,'Données projet'!$E$14+1,1))</f>
        <v>408.24135864450221</v>
      </c>
      <c r="DU35" s="59">
        <f t="shared" si="44"/>
        <v>394.10236303013903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31.4</v>
      </c>
      <c r="N36" s="13">
        <f>IF('Données projet'!$A$36&gt;35,N35+M36-V35,IF(A36&lt;'Données projet'!$A$36,$K$205^A36,IF(A36='Données projet'!$A$36,'Données projet'!$B$36,N35+M36-V35)))</f>
        <v>397.20000000000005</v>
      </c>
      <c r="O36" s="13">
        <f>N36*VLOOKUP('Données projet'!$B$9,Paramètres!$A$1:$I$89,3,0)*VLOOKUP('Données projet'!$B$9,Paramètres!$A$1:$I$89,5,0)</f>
        <v>185.88960000000003</v>
      </c>
      <c r="P36" s="13">
        <f t="shared" si="33"/>
        <v>46.630048262555164</v>
      </c>
      <c r="Q36" s="20">
        <f t="shared" si="53"/>
        <v>404.97172072395028</v>
      </c>
      <c r="R36" s="59">
        <f t="shared" si="0"/>
        <v>646.85256655849105</v>
      </c>
      <c r="S36" s="59">
        <f ca="1">AVERAGE(OFFSET($R$3,0,0,'Données projet'!$E$9+1,1))-AVERAGE(OFFSET($H$3,0,0,'Données projet'!$E$9+1,1))</f>
        <v>512.58510468904342</v>
      </c>
      <c r="T36" s="59">
        <f t="shared" si="34"/>
        <v>443.6106696463529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45.077530797251875</v>
      </c>
      <c r="AB36" s="21">
        <f>EXP(-LN(2)/2)*AB35+(1-EXP(-LN(2)/2))/(LN(2)/2)*V36*Y36*VLOOKUP('Données projet'!$B$9,Paramètres!$A$1:$I$89,3,0)*0.475*44/12</f>
        <v>0.28686826084929218</v>
      </c>
      <c r="AC36" s="22">
        <f t="shared" si="3"/>
        <v>45.364399058101164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521.40764877778633</v>
      </c>
      <c r="AN36" s="59">
        <f ca="1">AVERAGE(OFFSET($AM$3,0,0,'Données projet'!$E$10+1,1))-AVERAGE(OFFSET($H$3,0,0,'Données projet'!$E$10+1,1))</f>
        <v>520.95202773768222</v>
      </c>
      <c r="AO36" s="59">
        <f t="shared" si="36"/>
        <v>325.72635759450861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24.2</v>
      </c>
      <c r="BD36" s="12">
        <f>IF('Données projet'!$A$88&gt;35,BD35+BC36-BL35,IF(A36&lt;'Données projet'!$A$88,$BA$205^A36,IF(A36='Données projet'!$A$88,'Données projet'!$B$88,BD35+BC36-BL35)))</f>
        <v>320.60000000000008</v>
      </c>
      <c r="BE36" s="13">
        <f>BD36*VLOOKUP('Données projet'!$B$11,Paramètres!$A$1:$I$89,3,0)*VLOOKUP('Données projet'!$B$11,Paramètres!$A$1:$I$89,5,0)</f>
        <v>191.71880000000007</v>
      </c>
      <c r="BF36" s="13">
        <f t="shared" si="37"/>
        <v>47.919755728134994</v>
      </c>
      <c r="BG36" s="20">
        <f t="shared" si="7"/>
        <v>417.37048455983518</v>
      </c>
      <c r="BH36" s="59">
        <f t="shared" si="8"/>
        <v>659.25133039437594</v>
      </c>
      <c r="BI36" s="59">
        <f ca="1">AVERAGE(OFFSET($BH$3,0,0,'Données projet'!$E$11+1,1))-AVERAGE(OFFSET($H$3,0,0,'Données projet'!$E$11+1,1))</f>
        <v>528.71639224940395</v>
      </c>
      <c r="BJ36" s="59">
        <f t="shared" si="38"/>
        <v>460.93390058676493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54.179945804270396</v>
      </c>
      <c r="BR36" s="21">
        <f>EXP(-LN(2)/2)*BR35+(1-EXP(-LN(2)/2))/(LN(2)/2)*BL36*BO36*VLOOKUP('Données projet'!$B$11,Paramètres!$A$1:$I$89,3,0)*0.475*44/12</f>
        <v>1.8513767177522619E-2</v>
      </c>
      <c r="BS36" s="22">
        <f t="shared" si="9"/>
        <v>54.19845957144792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</v>
      </c>
      <c r="BZ36" s="13">
        <f>BY36*VLOOKUP('Données projet'!$B$12,Paramètres!$A$1:$I$89,3,0)*VLOOKUP('Données projet'!$B$12,Paramètres!$A$1:$I$89,5,0)</f>
        <v>90.47999999999999</v>
      </c>
      <c r="CA36" s="13">
        <f t="shared" si="39"/>
        <v>24.680953573367994</v>
      </c>
      <c r="CB36" s="20">
        <f t="shared" si="10"/>
        <v>200.57199414028256</v>
      </c>
      <c r="CC36" s="59">
        <f t="shared" si="11"/>
        <v>442.45283997482329</v>
      </c>
      <c r="CD36" s="59">
        <f ca="1">AVERAGE(OFFSET($CC$3,0,0,'Données projet'!$E$12+1,1))-AVERAGE(OFFSET($H$3,0,0,'Données projet'!$E$12+1,1))</f>
        <v>398.11190027805549</v>
      </c>
      <c r="CE36" s="59">
        <f t="shared" si="40"/>
        <v>250.47702091764884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8.0511538461538468</v>
      </c>
      <c r="CT36" s="12">
        <f>IF('Données projet'!$A$140&gt;35,CT35+CS36-DB35,IF(A36&lt;'Données projet'!$A$140,$CQ$205^A36,IF(A36='Données projet'!$A$140,'Données projet'!$B$140,CT35+CS36-DB35)))</f>
        <v>99.49961538461541</v>
      </c>
      <c r="CU36" s="17">
        <f>CT36*VLOOKUP('Données projet'!$B$13,Paramètres!$A$1:$I$89,3,0)*VLOOKUP('Données projet'!$B$13,Paramètres!$A$1:$I$89,5,0)</f>
        <v>94.683834000000033</v>
      </c>
      <c r="CV36" s="13">
        <f t="shared" si="41"/>
        <v>25.69149595753975</v>
      </c>
      <c r="CW36" s="20">
        <f t="shared" si="13"/>
        <v>209.65369967604843</v>
      </c>
      <c r="CX36" s="59">
        <f t="shared" si="14"/>
        <v>451.53454551058917</v>
      </c>
      <c r="CY36" s="59">
        <f ca="1">AVERAGE(OFFSET($CX$3,0,0,'Données projet'!$E$13+1,1))-AVERAGE(OFFSET($H$3,0,0,'Données projet'!$E$13+1,1))</f>
        <v>697.21496579281836</v>
      </c>
      <c r="CZ36" s="59">
        <f t="shared" si="42"/>
        <v>215.64914236153456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157.59743999999998</v>
      </c>
      <c r="DQ36" s="13">
        <f t="shared" si="43"/>
        <v>40.300135037830529</v>
      </c>
      <c r="DR36" s="20">
        <f t="shared" si="16"/>
        <v>344.67160985755481</v>
      </c>
      <c r="DS36" s="59">
        <f t="shared" si="17"/>
        <v>586.55245569209558</v>
      </c>
      <c r="DT36" s="59">
        <f ca="1">AVERAGE(OFFSET($DS$3,0,0,'Données projet'!$E$14+1,1))-AVERAGE(OFFSET($H$3,0,0,'Données projet'!$E$14+1,1))</f>
        <v>408.24135864450221</v>
      </c>
      <c r="DU36" s="59">
        <f t="shared" si="44"/>
        <v>394.10236303013903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31.4</v>
      </c>
      <c r="N37" s="13">
        <f>IF('Données projet'!$A$36&gt;35,N36+M37-V36,IF(A37&lt;'Données projet'!$A$36,$K$205^A37,IF(A37='Données projet'!$A$36,'Données projet'!$B$36,N36+M37-V36)))</f>
        <v>428.6</v>
      </c>
      <c r="O37" s="13">
        <f>N37*VLOOKUP('Données projet'!$B$9,Paramètres!$A$1:$I$89,3,0)*VLOOKUP('Données projet'!$B$9,Paramètres!$A$1:$I$89,5,0)</f>
        <v>200.5848</v>
      </c>
      <c r="P37" s="13">
        <f t="shared" si="33"/>
        <v>49.872667217659334</v>
      </c>
      <c r="Q37" s="20">
        <f t="shared" si="53"/>
        <v>436.21342207075668</v>
      </c>
      <c r="R37" s="59">
        <f t="shared" si="0"/>
        <v>678.98685353287226</v>
      </c>
      <c r="S37" s="59">
        <f ca="1">AVERAGE(OFFSET($R$3,0,0,'Données projet'!$E$9+1,1))-AVERAGE(OFFSET($H$3,0,0,'Données projet'!$E$9+1,1))</f>
        <v>512.58510468904342</v>
      </c>
      <c r="T37" s="59">
        <f t="shared" si="34"/>
        <v>443.6106696463529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43.844883347076703</v>
      </c>
      <c r="AB37" s="21">
        <f>EXP(-LN(2)/2)*AB36+(1-EXP(-LN(2)/2))/(LN(2)/2)*V37*Y37*VLOOKUP('Données projet'!$B$9,Paramètres!$A$1:$I$89,3,0)*0.475*44/12</f>
        <v>0.20284649255372589</v>
      </c>
      <c r="AC37" s="22">
        <f t="shared" si="3"/>
        <v>44.047729839630428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9">
        <f t="shared" si="5"/>
        <v>545.77075804672734</v>
      </c>
      <c r="AN37" s="59">
        <f ca="1">AVERAGE(OFFSET($AM$3,0,0,'Données projet'!$E$10+1,1))-AVERAGE(OFFSET($H$3,0,0,'Données projet'!$E$10+1,1))</f>
        <v>520.95202773768222</v>
      </c>
      <c r="AO37" s="59">
        <f t="shared" si="36"/>
        <v>325.72635759450861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24.2</v>
      </c>
      <c r="BD37" s="12">
        <f>IF('Données projet'!$A$88&gt;35,BD36+BC37-BL36,IF(A37&lt;'Données projet'!$A$88,$BA$205^A37,IF(A37='Données projet'!$A$88,'Données projet'!$B$88,BD36+BC37-BL36)))</f>
        <v>344.80000000000007</v>
      </c>
      <c r="BE37" s="13">
        <f>BD37*VLOOKUP('Données projet'!$B$11,Paramètres!$A$1:$I$89,3,0)*VLOOKUP('Données projet'!$B$11,Paramètres!$A$1:$I$89,5,0)</f>
        <v>206.19040000000004</v>
      </c>
      <c r="BF37" s="13">
        <f t="shared" si="37"/>
        <v>51.102207309460546</v>
      </c>
      <c r="BG37" s="20">
        <f t="shared" si="7"/>
        <v>448.11795773064387</v>
      </c>
      <c r="BH37" s="59">
        <f t="shared" si="8"/>
        <v>690.89138919275945</v>
      </c>
      <c r="BI37" s="59">
        <f ca="1">AVERAGE(OFFSET($BH$3,0,0,'Données projet'!$E$11+1,1))-AVERAGE(OFFSET($H$3,0,0,'Données projet'!$E$11+1,1))</f>
        <v>528.71639224940395</v>
      </c>
      <c r="BJ37" s="59">
        <f t="shared" si="38"/>
        <v>460.93390058676493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52.6983923370531</v>
      </c>
      <c r="BR37" s="21">
        <f>EXP(-LN(2)/2)*BR36+(1-EXP(-LN(2)/2))/(LN(2)/2)*BL37*BO37*VLOOKUP('Données projet'!$B$11,Paramètres!$A$1:$I$89,3,0)*0.475*44/12</f>
        <v>1.3091210316535172E-2</v>
      </c>
      <c r="BS37" s="22">
        <f t="shared" si="9"/>
        <v>52.711483547369639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</v>
      </c>
      <c r="BZ37" s="13">
        <f>BY37*VLOOKUP('Données projet'!$B$12,Paramètres!$A$1:$I$89,3,0)*VLOOKUP('Données projet'!$B$12,Paramètres!$A$1:$I$89,5,0)</f>
        <v>97.718399999999988</v>
      </c>
      <c r="CA37" s="13">
        <f t="shared" si="39"/>
        <v>26.417709819192194</v>
      </c>
      <c r="CB37" s="20">
        <f t="shared" si="10"/>
        <v>216.20372460175972</v>
      </c>
      <c r="CC37" s="59">
        <f t="shared" si="11"/>
        <v>458.97715606387533</v>
      </c>
      <c r="CD37" s="59">
        <f ca="1">AVERAGE(OFFSET($CC$3,0,0,'Données projet'!$E$12+1,1))-AVERAGE(OFFSET($H$3,0,0,'Données projet'!$E$12+1,1))</f>
        <v>398.11190027805549</v>
      </c>
      <c r="CE37" s="59">
        <f t="shared" si="40"/>
        <v>250.47702091764884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8.0511538461538468</v>
      </c>
      <c r="CT37" s="12">
        <f>IF('Données projet'!$A$140&gt;35,CT36+CS37-DB36,IF(A37&lt;'Données projet'!$A$140,$CQ$205^A37,IF(A37='Données projet'!$A$140,'Données projet'!$B$140,CT36+CS37-DB36)))</f>
        <v>107.55076923076926</v>
      </c>
      <c r="CU37" s="17">
        <f>CT37*VLOOKUP('Données projet'!$B$13,Paramètres!$A$1:$I$89,3,0)*VLOOKUP('Données projet'!$B$13,Paramètres!$A$1:$I$89,5,0)</f>
        <v>102.34531200000004</v>
      </c>
      <c r="CV37" s="13">
        <f t="shared" si="41"/>
        <v>27.51997970432944</v>
      </c>
      <c r="CW37" s="20">
        <f t="shared" si="13"/>
        <v>226.18204971837383</v>
      </c>
      <c r="CX37" s="59">
        <f t="shared" si="14"/>
        <v>468.95548118048941</v>
      </c>
      <c r="CY37" s="59">
        <f ca="1">AVERAGE(OFFSET($CX$3,0,0,'Données projet'!$E$13+1,1))-AVERAGE(OFFSET($H$3,0,0,'Données projet'!$E$13+1,1))</f>
        <v>697.21496579281836</v>
      </c>
      <c r="CZ37" s="59">
        <f t="shared" si="42"/>
        <v>215.64914236153456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168.77951999999999</v>
      </c>
      <c r="DQ37" s="13">
        <f t="shared" si="43"/>
        <v>42.816562145177031</v>
      </c>
      <c r="DR37" s="20">
        <f t="shared" si="16"/>
        <v>368.52984306951663</v>
      </c>
      <c r="DS37" s="59">
        <f t="shared" si="17"/>
        <v>611.30327453163227</v>
      </c>
      <c r="DT37" s="59">
        <f ca="1">AVERAGE(OFFSET($DS$3,0,0,'Données projet'!$E$14+1,1))-AVERAGE(OFFSET($H$3,0,0,'Données projet'!$E$14+1,1))</f>
        <v>408.24135864450221</v>
      </c>
      <c r="DU37" s="59">
        <f t="shared" si="44"/>
        <v>394.10236303013903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460</v>
      </c>
      <c r="L38" s="12">
        <f>VLOOKUP(A38,'Données projet'!$A$35:$I$55,9,0)</f>
        <v>31.4</v>
      </c>
      <c r="M38" s="12">
        <f t="array" ref="M38">INDEX(L:L,MIN(IF(ISNUMBER(L38:L234),ROW(L38:L234),"")))</f>
        <v>31.4</v>
      </c>
      <c r="N38" s="13">
        <f>IF('Données projet'!$A$36&gt;35,N37+M38-V37,IF(A38&lt;'Données projet'!$A$36,$K$205^A38,IF(A38='Données projet'!$A$36,'Données projet'!$B$36,N37+M38-V37)))</f>
        <v>460</v>
      </c>
      <c r="O38" s="13">
        <f>N38*VLOOKUP('Données projet'!$B$9,Paramètres!$A$1:$I$89,3,0)*VLOOKUP('Données projet'!$B$9,Paramètres!$A$1:$I$89,5,0)</f>
        <v>215.28</v>
      </c>
      <c r="P38" s="13">
        <f t="shared" si="33"/>
        <v>53.087725740853138</v>
      </c>
      <c r="Q38" s="20">
        <f t="shared" si="53"/>
        <v>467.40712233198587</v>
      </c>
      <c r="R38" s="59">
        <f t="shared" si="0"/>
        <v>711.05765505656041</v>
      </c>
      <c r="S38" s="59">
        <f ca="1">AVERAGE(OFFSET($R$3,0,0,'Données projet'!$E$9+1,1))-AVERAGE(OFFSET($H$3,0,0,'Données projet'!$E$9+1,1))</f>
        <v>512.58510468904342</v>
      </c>
      <c r="T38" s="59">
        <f t="shared" si="34"/>
        <v>443.6106696463529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77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26.2922421939206</v>
      </c>
      <c r="AA38" s="21">
        <f>EXP(-LN(2)/25)*AA37+(1-EXP(-LN(2)/25))/(LN(2)/25)*Calculateur!V38*Calculateur!X38*VLOOKUP('Données projet'!$B$9,Paramètres!$A$1:$I$89,3,0)*0.475*44/12</f>
        <v>42.645942706248682</v>
      </c>
      <c r="AB38" s="21">
        <f>EXP(-LN(2)/2)*AB37+(1-EXP(-LN(2)/2))/(LN(2)/2)*V38*Y38*VLOOKUP('Données projet'!$B$9,Paramètres!$A$1:$I$89,3,0)*0.475*44/12</f>
        <v>0.14343413042464609</v>
      </c>
      <c r="AC38" s="22">
        <f t="shared" si="3"/>
        <v>69.081619030593941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9">
        <f t="shared" si="5"/>
        <v>570.0779391554363</v>
      </c>
      <c r="AN38" s="59">
        <f ca="1">AVERAGE(OFFSET($AM$3,0,0,'Données projet'!$E$10+1,1))-AVERAGE(OFFSET($H$3,0,0,'Données projet'!$E$10+1,1))</f>
        <v>520.95202773768222</v>
      </c>
      <c r="AO38" s="59">
        <f t="shared" si="36"/>
        <v>325.72635759450861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13.496201456750795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13.496201456750795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369</v>
      </c>
      <c r="BB38" s="12">
        <f>VLOOKUP(A38,'Données projet'!$A$87:$I$107,9,0)</f>
        <v>24.2</v>
      </c>
      <c r="BC38" s="12">
        <f t="array" ref="BC38">INDEX(BB:BB,MIN(IF(ISNUMBER(BB38:BB234),ROW(BB38:BB234),"")))</f>
        <v>24.2</v>
      </c>
      <c r="BD38" s="12">
        <f>IF('Données projet'!$A$88&gt;35,BD37+BC38-BL37,IF(A38&lt;'Données projet'!$A$88,$BA$205^A38,IF(A38='Données projet'!$A$88,'Données projet'!$B$88,BD37+BC38-BL37)))</f>
        <v>369.00000000000006</v>
      </c>
      <c r="BE38" s="13">
        <f>BD38*VLOOKUP('Données projet'!$B$11,Paramètres!$A$1:$I$89,3,0)*VLOOKUP('Données projet'!$B$11,Paramètres!$A$1:$I$89,5,0)</f>
        <v>220.66200000000006</v>
      </c>
      <c r="BF38" s="13">
        <f t="shared" si="37"/>
        <v>54.258742979955002</v>
      </c>
      <c r="BG38" s="20">
        <f t="shared" si="7"/>
        <v>478.82029402342181</v>
      </c>
      <c r="BH38" s="59">
        <f t="shared" si="8"/>
        <v>722.47082674799628</v>
      </c>
      <c r="BI38" s="59">
        <f ca="1">AVERAGE(OFFSET($BH$3,0,0,'Données projet'!$E$11+1,1))-AVERAGE(OFFSET($H$3,0,0,'Données projet'!$E$11+1,1))</f>
        <v>528.71639224940395</v>
      </c>
      <c r="BJ38" s="59">
        <f t="shared" si="38"/>
        <v>460.93390058676493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0.45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22.489645182403162</v>
      </c>
      <c r="BQ38" s="21">
        <f>EXP(-LN(2)/25)*BQ37+(1-EXP(-LN(2)/25))/(LN(2)/25)*Calculateur!BL38*Calculateur!BN38*VLOOKUP('Données projet'!$B$11,Paramètres!$A$1:$I$89,3,0)*0.475*44/12</f>
        <v>51.257352027308372</v>
      </c>
      <c r="BR38" s="21">
        <f>EXP(-LN(2)/2)*BR37+(1-EXP(-LN(2)/2))/(LN(2)/2)*BL38*BO38*VLOOKUP('Données projet'!$B$11,Paramètres!$A$1:$I$89,3,0)*0.475*44/12</f>
        <v>9.2568835887613093E-3</v>
      </c>
      <c r="BS38" s="22">
        <f t="shared" si="9"/>
        <v>73.756254093300299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</v>
      </c>
      <c r="BZ38" s="13">
        <f>BY38*VLOOKUP('Données projet'!$B$12,Paramètres!$A$1:$I$89,3,0)*VLOOKUP('Données projet'!$B$12,Paramètres!$A$1:$I$89,5,0)</f>
        <v>104.9568</v>
      </c>
      <c r="CA38" s="13">
        <f t="shared" si="39"/>
        <v>28.139541339232373</v>
      </c>
      <c r="CB38" s="20">
        <f t="shared" si="10"/>
        <v>231.8094611658297</v>
      </c>
      <c r="CC38" s="59">
        <f t="shared" si="11"/>
        <v>475.45999389040423</v>
      </c>
      <c r="CD38" s="59">
        <f ca="1">AVERAGE(OFFSET($CC$3,0,0,'Données projet'!$E$12+1,1))-AVERAGE(OFFSET($H$3,0,0,'Données projet'!$E$12+1,1))</f>
        <v>398.11190027805549</v>
      </c>
      <c r="CE38" s="59">
        <f t="shared" si="40"/>
        <v>250.47702091764884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9.0320732825947605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9.0320732825947605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8.0511538461538468</v>
      </c>
      <c r="CT38" s="12">
        <f>IF('Données projet'!$A$140&gt;35,CT37+CS38-DB37,IF(A38&lt;'Données projet'!$A$140,$CQ$205^A38,IF(A38='Données projet'!$A$140,'Données projet'!$B$140,CT37+CS38-DB37)))</f>
        <v>115.60192307692311</v>
      </c>
      <c r="CU38" s="17">
        <f>CT38*VLOOKUP('Données projet'!$B$13,Paramètres!$A$1:$I$89,3,0)*VLOOKUP('Données projet'!$B$13,Paramètres!$A$1:$I$89,5,0)</f>
        <v>110.00679000000004</v>
      </c>
      <c r="CV38" s="13">
        <f t="shared" si="41"/>
        <v>29.332584343771966</v>
      </c>
      <c r="CW38" s="20">
        <f t="shared" si="13"/>
        <v>242.68274364873625</v>
      </c>
      <c r="CX38" s="59">
        <f t="shared" si="14"/>
        <v>486.33327637331075</v>
      </c>
      <c r="CY38" s="59">
        <f ca="1">AVERAGE(OFFSET($CX$3,0,0,'Données projet'!$E$13+1,1))-AVERAGE(OFFSET($H$3,0,0,'Données projet'!$E$13+1,1))</f>
        <v>697.21496579281836</v>
      </c>
      <c r="CZ38" s="59">
        <f t="shared" si="42"/>
        <v>215.64914236153456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179.9616</v>
      </c>
      <c r="DQ38" s="13">
        <f t="shared" si="43"/>
        <v>45.313642767960104</v>
      </c>
      <c r="DR38" s="20">
        <f t="shared" si="16"/>
        <v>392.35438115419714</v>
      </c>
      <c r="DS38" s="59">
        <f t="shared" si="17"/>
        <v>636.00491387877162</v>
      </c>
      <c r="DT38" s="59">
        <f ca="1">AVERAGE(OFFSET($DS$3,0,0,'Données projet'!$E$14+1,1))-AVERAGE(OFFSET($H$3,0,0,'Données projet'!$E$14+1,1))</f>
        <v>408.24135864450221</v>
      </c>
      <c r="DU38" s="59">
        <f t="shared" si="44"/>
        <v>394.10236303013903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0.53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17.914457032037731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17.914457032037731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30</v>
      </c>
      <c r="N39" s="13">
        <f>IF('Données projet'!$A$36&gt;35,N38+M39-V38,IF(A39&lt;'Données projet'!$A$36,$K$205^A39,IF(A39='Données projet'!$A$36,'Données projet'!$B$36,N38+M39-V38)))</f>
        <v>413</v>
      </c>
      <c r="O39" s="13">
        <f>N39*VLOOKUP('Données projet'!$B$9,Paramètres!$A$1:$I$89,3,0)*VLOOKUP('Données projet'!$B$9,Paramètres!$A$1:$I$89,5,0)</f>
        <v>193.28400000000002</v>
      </c>
      <c r="P39" s="13">
        <f t="shared" si="33"/>
        <v>48.265272920234025</v>
      </c>
      <c r="Q39" s="20">
        <f t="shared" si="53"/>
        <v>420.69831700274091</v>
      </c>
      <c r="R39" s="59">
        <f t="shared" si="0"/>
        <v>665.21073524377539</v>
      </c>
      <c r="S39" s="59">
        <f ca="1">AVERAGE(OFFSET($R$3,0,0,'Données projet'!$E$9+1,1))-AVERAGE(OFFSET($H$3,0,0,'Données projet'!$E$9+1,1))</f>
        <v>512.58510468904342</v>
      </c>
      <c r="T39" s="59">
        <f t="shared" si="34"/>
        <v>443.6106696463529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25.776667361182064</v>
      </c>
      <c r="AA39" s="21">
        <f>EXP(-LN(2)/25)*AA38+(1-EXP(-LN(2)/25))/(LN(2)/25)*Calculateur!V39*Calculateur!X39*VLOOKUP('Données projet'!$B$9,Paramètres!$A$1:$I$89,3,0)*0.475*44/12</f>
        <v>41.479787160293654</v>
      </c>
      <c r="AB39" s="21">
        <f>EXP(-LN(2)/2)*AB38+(1-EXP(-LN(2)/2))/(LN(2)/2)*V39*Y39*VLOOKUP('Données projet'!$B$9,Paramètres!$A$1:$I$89,3,0)*0.475*44/12</f>
        <v>0.10142324627686294</v>
      </c>
      <c r="AC39" s="22">
        <f t="shared" si="3"/>
        <v>67.357877767752584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9">
        <f t="shared" si="5"/>
        <v>534.47579297043865</v>
      </c>
      <c r="AN39" s="59">
        <f ca="1">AVERAGE(OFFSET($AM$3,0,0,'Données projet'!$E$10+1,1))-AVERAGE(OFFSET($H$3,0,0,'Données projet'!$E$10+1,1))</f>
        <v>520.95202773768222</v>
      </c>
      <c r="AO39" s="59">
        <f t="shared" si="36"/>
        <v>325.72635759450861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13.231549178053971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13.231549178053971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23.6</v>
      </c>
      <c r="BD39" s="12">
        <f>IF('Données projet'!$A$88&gt;35,BD38+BC39-BL38,IF(A39&lt;'Données projet'!$A$88,$BA$205^A39,IF(A39='Données projet'!$A$88,'Données projet'!$B$88,BD38+BC39-BL38)))</f>
        <v>329.60000000000008</v>
      </c>
      <c r="BE39" s="13">
        <f>BD39*VLOOKUP('Données projet'!$B$11,Paramètres!$A$1:$I$89,3,0)*VLOOKUP('Données projet'!$B$11,Paramètres!$A$1:$I$89,5,0)</f>
        <v>197.10080000000005</v>
      </c>
      <c r="BF39" s="13">
        <f t="shared" si="37"/>
        <v>49.10647084525754</v>
      </c>
      <c r="BG39" s="20">
        <f t="shared" si="7"/>
        <v>428.81099672215697</v>
      </c>
      <c r="BH39" s="59">
        <f t="shared" si="8"/>
        <v>673.32341496319145</v>
      </c>
      <c r="BI39" s="59">
        <f ca="1">AVERAGE(OFFSET($BH$3,0,0,'Données projet'!$E$11+1,1))-AVERAGE(OFFSET($H$3,0,0,'Données projet'!$E$11+1,1))</f>
        <v>528.71639224940395</v>
      </c>
      <c r="BJ39" s="59">
        <f t="shared" si="38"/>
        <v>460.93390058676493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22.048636957705323</v>
      </c>
      <c r="BQ39" s="21">
        <f>EXP(-LN(2)/25)*BQ38+(1-EXP(-LN(2)/25))/(LN(2)/25)*Calculateur!BL39*Calculateur!BN39*VLOOKUP('Données projet'!$B$11,Paramètres!$A$1:$I$89,3,0)*0.475*44/12</f>
        <v>49.855717040614628</v>
      </c>
      <c r="BR39" s="21">
        <f>EXP(-LN(2)/2)*BR38+(1-EXP(-LN(2)/2))/(LN(2)/2)*BL39*BO39*VLOOKUP('Données projet'!$B$11,Paramètres!$A$1:$I$89,3,0)*0.475*44/12</f>
        <v>6.545605158267586E-3</v>
      </c>
      <c r="BS39" s="22">
        <f t="shared" si="9"/>
        <v>71.910899603478214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</v>
      </c>
      <c r="BZ39" s="13">
        <f>BY39*VLOOKUP('Données projet'!$B$12,Paramètres!$A$1:$I$89,3,0)*VLOOKUP('Données projet'!$B$12,Paramètres!$A$1:$I$89,5,0)</f>
        <v>93.556319999999999</v>
      </c>
      <c r="CA39" s="13">
        <f t="shared" si="39"/>
        <v>25.420979659258073</v>
      </c>
      <c r="CB39" s="20">
        <f t="shared" si="10"/>
        <v>207.21879690654114</v>
      </c>
      <c r="CC39" s="59">
        <f t="shared" si="11"/>
        <v>451.73121514757554</v>
      </c>
      <c r="CD39" s="59">
        <f ca="1">AVERAGE(OFFSET($CC$3,0,0,'Données projet'!$E$12+1,1))-AVERAGE(OFFSET($H$3,0,0,'Données projet'!$E$12+1,1))</f>
        <v>398.11190027805549</v>
      </c>
      <c r="CE39" s="59">
        <f t="shared" si="40"/>
        <v>250.47702091764884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8.8549598345438092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8.8549598345438092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8.0511538461538468</v>
      </c>
      <c r="CT39" s="12">
        <f>IF('Données projet'!$A$140&gt;35,CT38+CS39-DB38,IF(A39&lt;'Données projet'!$A$140,$CQ$205^A39,IF(A39='Données projet'!$A$140,'Données projet'!$B$140,CT38+CS39-DB38)))</f>
        <v>123.65307692307697</v>
      </c>
      <c r="CU39" s="17">
        <f>CT39*VLOOKUP('Données projet'!$B$13,Paramètres!$A$1:$I$89,3,0)*VLOOKUP('Données projet'!$B$13,Paramètres!$A$1:$I$89,5,0)</f>
        <v>117.66826800000005</v>
      </c>
      <c r="CV39" s="13">
        <f t="shared" si="41"/>
        <v>31.130541581842884</v>
      </c>
      <c r="CW39" s="20">
        <f t="shared" si="13"/>
        <v>259.15792668837645</v>
      </c>
      <c r="CX39" s="59">
        <f t="shared" si="14"/>
        <v>503.67034492941087</v>
      </c>
      <c r="CY39" s="59">
        <f ca="1">AVERAGE(OFFSET($CX$3,0,0,'Données projet'!$E$13+1,1))-AVERAGE(OFFSET($H$3,0,0,'Données projet'!$E$13+1,1))</f>
        <v>697.21496579281836</v>
      </c>
      <c r="CZ39" s="59">
        <f t="shared" si="42"/>
        <v>215.64914236153456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159.34464</v>
      </c>
      <c r="DQ39" s="13">
        <f t="shared" si="43"/>
        <v>40.694661837553809</v>
      </c>
      <c r="DR39" s="20">
        <f t="shared" si="16"/>
        <v>348.40178403373949</v>
      </c>
      <c r="DS39" s="59">
        <f t="shared" si="17"/>
        <v>592.91420227477397</v>
      </c>
      <c r="DT39" s="59">
        <f ca="1">AVERAGE(OFFSET($DS$3,0,0,'Données projet'!$E$14+1,1))-AVERAGE(OFFSET($H$3,0,0,'Données projet'!$E$14+1,1))</f>
        <v>408.24135864450221</v>
      </c>
      <c r="DU39" s="59">
        <f t="shared" si="44"/>
        <v>394.10236303013903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17.563165456379334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17.563165456379334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30</v>
      </c>
      <c r="N40" s="13">
        <f>IF('Données projet'!$A$36&gt;35,N39+M40-V39,IF(A40&lt;'Données projet'!$A$36,$K$205^A40,IF(A40='Données projet'!$A$36,'Données projet'!$B$36,N39+M40-V39)))</f>
        <v>443</v>
      </c>
      <c r="O40" s="13">
        <f>N40*VLOOKUP('Données projet'!$B$9,Paramètres!$A$1:$I$89,3,0)*VLOOKUP('Données projet'!$B$9,Paramètres!$A$1:$I$89,5,0)</f>
        <v>207.32399999999998</v>
      </c>
      <c r="P40" s="13">
        <f t="shared" si="33"/>
        <v>51.350376612629674</v>
      </c>
      <c r="Q40" s="20">
        <f t="shared" si="53"/>
        <v>450.52453926699656</v>
      </c>
      <c r="R40" s="59">
        <f t="shared" si="0"/>
        <v>695.88389123766763</v>
      </c>
      <c r="S40" s="59">
        <f ca="1">AVERAGE(OFFSET($R$3,0,0,'Données projet'!$E$9+1,1))-AVERAGE(OFFSET($H$3,0,0,'Données projet'!$E$9+1,1))</f>
        <v>512.58510468904342</v>
      </c>
      <c r="T40" s="59">
        <f t="shared" si="34"/>
        <v>443.6106696463529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25.271202636443935</v>
      </c>
      <c r="AA40" s="21">
        <f>EXP(-LN(2)/25)*AA39+(1-EXP(-LN(2)/25))/(LN(2)/25)*Calculateur!V40*Calculateur!X40*VLOOKUP('Données projet'!$B$9,Paramètres!$A$1:$I$89,3,0)*0.475*44/12</f>
        <v>40.345520199068218</v>
      </c>
      <c r="AB40" s="21">
        <f>EXP(-LN(2)/2)*AB39+(1-EXP(-LN(2)/2))/(LN(2)/2)*V40*Y40*VLOOKUP('Données projet'!$B$9,Paramètres!$A$1:$I$89,3,0)*0.475*44/12</f>
        <v>7.1717065212323045E-2</v>
      </c>
      <c r="AC40" s="22">
        <f t="shared" si="3"/>
        <v>65.688439900724475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9">
        <f t="shared" si="5"/>
        <v>559.64266012432415</v>
      </c>
      <c r="AN40" s="59">
        <f ca="1">AVERAGE(OFFSET($AM$3,0,0,'Données projet'!$E$10+1,1))-AVERAGE(OFFSET($H$3,0,0,'Données projet'!$E$10+1,1))</f>
        <v>520.95202773768222</v>
      </c>
      <c r="AO40" s="59">
        <f t="shared" si="36"/>
        <v>325.72635759450861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12.972086569120441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12.972086569120441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23.6</v>
      </c>
      <c r="BD40" s="12">
        <f>IF('Données projet'!$A$88&gt;35,BD39+BC40-BL39,IF(A40&lt;'Données projet'!$A$88,$BA$205^A40,IF(A40='Données projet'!$A$88,'Données projet'!$B$88,BD39+BC40-BL39)))</f>
        <v>353.2000000000001</v>
      </c>
      <c r="BE40" s="13">
        <f>BD40*VLOOKUP('Données projet'!$B$11,Paramètres!$A$1:$I$89,3,0)*VLOOKUP('Données projet'!$B$11,Paramètres!$A$1:$I$89,5,0)</f>
        <v>211.2136000000001</v>
      </c>
      <c r="BF40" s="13">
        <f t="shared" si="37"/>
        <v>52.20069882503806</v>
      </c>
      <c r="BG40" s="20">
        <f t="shared" si="7"/>
        <v>458.77990378694136</v>
      </c>
      <c r="BH40" s="59">
        <f t="shared" si="8"/>
        <v>704.13925575761243</v>
      </c>
      <c r="BI40" s="59">
        <f ca="1">AVERAGE(OFFSET($BH$3,0,0,'Données projet'!$E$11+1,1))-AVERAGE(OFFSET($H$3,0,0,'Données projet'!$E$11+1,1))</f>
        <v>528.71639224940395</v>
      </c>
      <c r="BJ40" s="59">
        <f t="shared" si="38"/>
        <v>460.93390058676493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21.616276635305354</v>
      </c>
      <c r="BQ40" s="21">
        <f>EXP(-LN(2)/25)*BQ39+(1-EXP(-LN(2)/25))/(LN(2)/25)*Calculateur!BL40*Calculateur!BN40*VLOOKUP('Données projet'!$B$11,Paramètres!$A$1:$I$89,3,0)*0.475*44/12</f>
        <v>48.492409836340812</v>
      </c>
      <c r="BR40" s="21">
        <f>EXP(-LN(2)/2)*BR39+(1-EXP(-LN(2)/2))/(LN(2)/2)*BL40*BO40*VLOOKUP('Données projet'!$B$11,Paramètres!$A$1:$I$89,3,0)*0.475*44/12</f>
        <v>4.6284417943806546E-3</v>
      </c>
      <c r="BS40" s="22">
        <f t="shared" si="9"/>
        <v>70.113314913440547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111.80000000000001</v>
      </c>
      <c r="BZ40" s="13">
        <f>BY40*VLOOKUP('Données projet'!$B$12,Paramètres!$A$1:$I$89,3,0)*VLOOKUP('Données projet'!$B$12,Paramètres!$A$1:$I$89,5,0)</f>
        <v>101.15664000000001</v>
      </c>
      <c r="CA40" s="13">
        <f t="shared" si="39"/>
        <v>27.237366379381644</v>
      </c>
      <c r="CB40" s="20">
        <f t="shared" si="10"/>
        <v>223.61956111075639</v>
      </c>
      <c r="CC40" s="59">
        <f t="shared" si="11"/>
        <v>468.97891308142749</v>
      </c>
      <c r="CD40" s="59">
        <f ca="1">AVERAGE(OFFSET($CC$3,0,0,'Données projet'!$E$12+1,1))-AVERAGE(OFFSET($H$3,0,0,'Données projet'!$E$12+1,1))</f>
        <v>398.11190027805549</v>
      </c>
      <c r="CE40" s="59">
        <f t="shared" si="40"/>
        <v>250.47702091764884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8.6813194731806007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8.6813194731806007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8.0511538461538468</v>
      </c>
      <c r="CT40" s="12">
        <f>IF('Données projet'!$A$140&gt;35,CT39+CS40-DB39,IF(A40&lt;'Données projet'!$A$140,$CQ$205^A40,IF(A40='Données projet'!$A$140,'Données projet'!$B$140,CT39+CS40-DB39)))</f>
        <v>131.7042307692308</v>
      </c>
      <c r="CU40" s="17">
        <f>CT40*VLOOKUP('Données projet'!$B$13,Paramètres!$A$1:$I$89,3,0)*VLOOKUP('Données projet'!$B$13,Paramètres!$A$1:$I$89,5,0)</f>
        <v>125.32974600000004</v>
      </c>
      <c r="CV40" s="13">
        <f t="shared" si="41"/>
        <v>32.914913659143593</v>
      </c>
      <c r="CW40" s="20">
        <f t="shared" si="13"/>
        <v>275.60944890634181</v>
      </c>
      <c r="CX40" s="59">
        <f t="shared" si="14"/>
        <v>520.96880087701288</v>
      </c>
      <c r="CY40" s="59">
        <f ca="1">AVERAGE(OFFSET($CX$3,0,0,'Données projet'!$E$13+1,1))-AVERAGE(OFFSET($H$3,0,0,'Données projet'!$E$13+1,1))</f>
        <v>697.21496579281836</v>
      </c>
      <c r="CZ40" s="59">
        <f t="shared" si="42"/>
        <v>215.64914236153456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169.30368000000001</v>
      </c>
      <c r="DQ40" s="13">
        <f t="shared" si="43"/>
        <v>42.934033834973214</v>
      </c>
      <c r="DR40" s="20">
        <f t="shared" si="16"/>
        <v>369.64735159591169</v>
      </c>
      <c r="DS40" s="59">
        <f t="shared" si="17"/>
        <v>615.00670356658281</v>
      </c>
      <c r="DT40" s="59">
        <f ca="1">AVERAGE(OFFSET($DS$3,0,0,'Données projet'!$E$14+1,1))-AVERAGE(OFFSET($H$3,0,0,'Données projet'!$E$14+1,1))</f>
        <v>408.24135864450221</v>
      </c>
      <c r="DU40" s="59">
        <f t="shared" si="44"/>
        <v>394.10236303013903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17.218762494252896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17.218762494252896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30</v>
      </c>
      <c r="N41" s="13">
        <f>IF('Données projet'!$A$36&gt;35,N40+M41-V40,IF(A41&lt;'Données projet'!$A$36,$K$205^A41,IF(A41='Données projet'!$A$36,'Données projet'!$B$36,N40+M41-V40)))</f>
        <v>473</v>
      </c>
      <c r="O41" s="13">
        <f>N41*VLOOKUP('Données projet'!$B$9,Paramètres!$A$1:$I$89,3,0)*VLOOKUP('Données projet'!$B$9,Paramètres!$A$1:$I$89,5,0)</f>
        <v>221.364</v>
      </c>
      <c r="P41" s="13">
        <f t="shared" si="33"/>
        <v>54.411237653200793</v>
      </c>
      <c r="Q41" s="20">
        <f t="shared" si="53"/>
        <v>480.30853891265809</v>
      </c>
      <c r="R41" s="59">
        <f t="shared" si="0"/>
        <v>726.50013220621679</v>
      </c>
      <c r="S41" s="59">
        <f ca="1">AVERAGE(OFFSET($R$3,0,0,'Données projet'!$E$9+1,1))-AVERAGE(OFFSET($H$3,0,0,'Données projet'!$E$9+1,1))</f>
        <v>512.58510468904342</v>
      </c>
      <c r="T41" s="59">
        <f t="shared" si="34"/>
        <v>443.6106696463529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24.77564976665488</v>
      </c>
      <c r="AA41" s="21">
        <f>EXP(-LN(2)/25)*AA40+(1-EXP(-LN(2)/25))/(LN(2)/25)*Calculateur!V41*Calculateur!X41*VLOOKUP('Données projet'!$B$9,Paramètres!$A$1:$I$89,3,0)*0.475*44/12</f>
        <v>39.242269827546004</v>
      </c>
      <c r="AB41" s="21">
        <f>EXP(-LN(2)/2)*AB40+(1-EXP(-LN(2)/2))/(LN(2)/2)*V41*Y41*VLOOKUP('Données projet'!$B$9,Paramètres!$A$1:$I$89,3,0)*0.475*44/12</f>
        <v>5.0711623138431472E-2</v>
      </c>
      <c r="AC41" s="22">
        <f t="shared" si="3"/>
        <v>64.068631217339316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9">
        <f t="shared" si="5"/>
        <v>584.7531217345454</v>
      </c>
      <c r="AN41" s="59">
        <f ca="1">AVERAGE(OFFSET($AM$3,0,0,'Données projet'!$E$10+1,1))-AVERAGE(OFFSET($H$3,0,0,'Données projet'!$E$10+1,1))</f>
        <v>520.95202773768222</v>
      </c>
      <c r="AO41" s="59">
        <f t="shared" si="36"/>
        <v>325.72635759450861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12.717711863691532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12.717711863691532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23.6</v>
      </c>
      <c r="BD41" s="12">
        <f>IF('Données projet'!$A$88&gt;35,BD40+BC41-BL40,IF(A41&lt;'Données projet'!$A$88,$BA$205^A41,IF(A41='Données projet'!$A$88,'Données projet'!$B$88,BD40+BC41-BL40)))</f>
        <v>376.80000000000013</v>
      </c>
      <c r="BE41" s="13">
        <f>BD41*VLOOKUP('Données projet'!$B$11,Paramètres!$A$1:$I$89,3,0)*VLOOKUP('Données projet'!$B$11,Paramètres!$A$1:$I$89,5,0)</f>
        <v>225.32640000000009</v>
      </c>
      <c r="BF41" s="13">
        <f t="shared" si="37"/>
        <v>55.270935716234675</v>
      </c>
      <c r="BG41" s="20">
        <f t="shared" si="7"/>
        <v>488.70702637244216</v>
      </c>
      <c r="BH41" s="59">
        <f t="shared" si="8"/>
        <v>734.89861966600085</v>
      </c>
      <c r="BI41" s="59">
        <f ca="1">AVERAGE(OFFSET($BH$3,0,0,'Données projet'!$E$11+1,1))-AVERAGE(OFFSET($H$3,0,0,'Données projet'!$E$11+1,1))</f>
        <v>528.71639224940395</v>
      </c>
      <c r="BJ41" s="59">
        <f t="shared" si="38"/>
        <v>460.93390058676493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21.192394635113889</v>
      </c>
      <c r="BQ41" s="21">
        <f>EXP(-LN(2)/25)*BQ40+(1-EXP(-LN(2)/25))/(LN(2)/25)*Calculateur!BL41*Calculateur!BN41*VLOOKUP('Données projet'!$B$11,Paramètres!$A$1:$I$89,3,0)*0.475*44/12</f>
        <v>47.166382339261069</v>
      </c>
      <c r="BR41" s="21">
        <f>EXP(-LN(2)/2)*BR40+(1-EXP(-LN(2)/2))/(LN(2)/2)*BL41*BO41*VLOOKUP('Données projet'!$B$11,Paramètres!$A$1:$I$89,3,0)*0.475*44/12</f>
        <v>3.272802579133793E-3</v>
      </c>
      <c r="BS41" s="22">
        <f t="shared" si="9"/>
        <v>68.362049776954095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120.20000000000002</v>
      </c>
      <c r="BZ41" s="13">
        <f>BY41*VLOOKUP('Données projet'!$B$12,Paramètres!$A$1:$I$89,3,0)*VLOOKUP('Données projet'!$B$12,Paramètres!$A$1:$I$89,5,0)</f>
        <v>108.75696000000002</v>
      </c>
      <c r="CA41" s="13">
        <f t="shared" si="39"/>
        <v>29.037921223305609</v>
      </c>
      <c r="CB41" s="20">
        <f t="shared" si="10"/>
        <v>239.99275146392395</v>
      </c>
      <c r="CC41" s="59">
        <f t="shared" si="11"/>
        <v>486.18434475748268</v>
      </c>
      <c r="CD41" s="59">
        <f ca="1">AVERAGE(OFFSET($CC$3,0,0,'Données projet'!$E$12+1,1))-AVERAGE(OFFSET($H$3,0,0,'Données projet'!$E$12+1,1))</f>
        <v>398.11190027805549</v>
      </c>
      <c r="CE41" s="59">
        <f t="shared" si="40"/>
        <v>250.47702091764884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8.5110840933935616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8.5110840933935616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8.0511538461538468</v>
      </c>
      <c r="CT41" s="12">
        <f>IF('Données projet'!$A$140&gt;35,CT40+CS41-DB40,IF(A41&lt;'Données projet'!$A$140,$CQ$205^A41,IF(A41='Données projet'!$A$140,'Données projet'!$B$140,CT40+CS41-DB40)))</f>
        <v>139.75538461538466</v>
      </c>
      <c r="CU41" s="17">
        <f>CT41*VLOOKUP('Données projet'!$B$13,Paramètres!$A$1:$I$89,3,0)*VLOOKUP('Données projet'!$B$13,Paramètres!$A$1:$I$89,5,0)</f>
        <v>132.99122400000002</v>
      </c>
      <c r="CV41" s="13">
        <f t="shared" si="41"/>
        <v>34.68662560691206</v>
      </c>
      <c r="CW41" s="20">
        <f t="shared" si="13"/>
        <v>292.03892139870516</v>
      </c>
      <c r="CX41" s="59">
        <f t="shared" si="14"/>
        <v>538.23051469226391</v>
      </c>
      <c r="CY41" s="59">
        <f ca="1">AVERAGE(OFFSET($CX$3,0,0,'Données projet'!$E$13+1,1))-AVERAGE(OFFSET($H$3,0,0,'Données projet'!$E$13+1,1))</f>
        <v>697.21496579281836</v>
      </c>
      <c r="CZ41" s="59">
        <f t="shared" si="42"/>
        <v>215.64914236153456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179.26272</v>
      </c>
      <c r="DQ41" s="13">
        <f t="shared" si="43"/>
        <v>45.158115787467153</v>
      </c>
      <c r="DR41" s="20">
        <f t="shared" si="16"/>
        <v>390.86628899650526</v>
      </c>
      <c r="DS41" s="59">
        <f t="shared" si="17"/>
        <v>637.05788229006396</v>
      </c>
      <c r="DT41" s="59">
        <f ca="1">AVERAGE(OFFSET($DS$3,0,0,'Données projet'!$E$14+1,1))-AVERAGE(OFFSET($H$3,0,0,'Données projet'!$E$14+1,1))</f>
        <v>408.24135864450221</v>
      </c>
      <c r="DU41" s="59">
        <f t="shared" si="44"/>
        <v>394.10236303013903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16.881113064148693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16.881113064148693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30</v>
      </c>
      <c r="N42" s="13">
        <f>IF('Données projet'!$A$36&gt;35,N41+M42-V41,IF(A42&lt;'Données projet'!$A$36,$K$205^A42,IF(A42='Données projet'!$A$36,'Données projet'!$B$36,N41+M42-V41)))</f>
        <v>503</v>
      </c>
      <c r="O42" s="13">
        <f>N42*VLOOKUP('Données projet'!$B$9,Paramètres!$A$1:$I$89,3,0)*VLOOKUP('Données projet'!$B$9,Paramètres!$A$1:$I$89,5,0)</f>
        <v>235.404</v>
      </c>
      <c r="P42" s="13">
        <f t="shared" si="33"/>
        <v>57.449568653781753</v>
      </c>
      <c r="Q42" s="20">
        <f t="shared" si="53"/>
        <v>510.05329873866987</v>
      </c>
      <c r="R42" s="59">
        <f t="shared" si="0"/>
        <v>757.06269582877701</v>
      </c>
      <c r="S42" s="59">
        <f ca="1">AVERAGE(OFFSET($R$3,0,0,'Données projet'!$E$9+1,1))-AVERAGE(OFFSET($H$3,0,0,'Données projet'!$E$9+1,1))</f>
        <v>512.58510468904342</v>
      </c>
      <c r="T42" s="59">
        <f t="shared" si="34"/>
        <v>443.6106696463529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24.289814386384982</v>
      </c>
      <c r="AA42" s="21">
        <f>EXP(-LN(2)/25)*AA41+(1-EXP(-LN(2)/25))/(LN(2)/25)*Calculateur!V42*Calculateur!X42*VLOOKUP('Données projet'!$B$9,Paramètres!$A$1:$I$89,3,0)*0.475*44/12</f>
        <v>38.169187895450477</v>
      </c>
      <c r="AB42" s="21">
        <f>EXP(-LN(2)/2)*AB41+(1-EXP(-LN(2)/2))/(LN(2)/2)*V42*Y42*VLOOKUP('Données projet'!$B$9,Paramètres!$A$1:$I$89,3,0)*0.475*44/12</f>
        <v>3.5858532606161522E-2</v>
      </c>
      <c r="AC42" s="22">
        <f t="shared" si="3"/>
        <v>62.494860814441623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9">
        <f t="shared" si="5"/>
        <v>609.81084234682942</v>
      </c>
      <c r="AN42" s="59">
        <f ca="1">AVERAGE(OFFSET($AM$3,0,0,'Données projet'!$E$10+1,1))-AVERAGE(OFFSET($H$3,0,0,'Données projet'!$E$10+1,1))</f>
        <v>520.95202773768222</v>
      </c>
      <c r="AO42" s="59">
        <f t="shared" si="36"/>
        <v>325.72635759450861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12.468325291082834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12.468325291082834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23.6</v>
      </c>
      <c r="BD42" s="12">
        <f>IF('Données projet'!$A$88&gt;35,BD41+BC42-BL41,IF(A42&lt;'Données projet'!$A$88,$BA$205^A42,IF(A42='Données projet'!$A$88,'Données projet'!$B$88,BD41+BC42-BL41)))</f>
        <v>400.40000000000015</v>
      </c>
      <c r="BE42" s="13">
        <f>BD42*VLOOKUP('Données projet'!$B$11,Paramètres!$A$1:$I$89,3,0)*VLOOKUP('Données projet'!$B$11,Paramètres!$A$1:$I$89,5,0)</f>
        <v>239.43920000000011</v>
      </c>
      <c r="BF42" s="13">
        <f t="shared" si="37"/>
        <v>58.318855207171957</v>
      </c>
      <c r="BG42" s="20">
        <f t="shared" si="7"/>
        <v>518.59527948582468</v>
      </c>
      <c r="BH42" s="59">
        <f t="shared" si="8"/>
        <v>765.60467657593176</v>
      </c>
      <c r="BI42" s="59">
        <f ca="1">AVERAGE(OFFSET($BH$3,0,0,'Données projet'!$E$11+1,1))-AVERAGE(OFFSET($H$3,0,0,'Données projet'!$E$11+1,1))</f>
        <v>528.71639224940395</v>
      </c>
      <c r="BJ42" s="59">
        <f t="shared" si="38"/>
        <v>460.93390058676493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20.776824702403687</v>
      </c>
      <c r="BQ42" s="21">
        <f>EXP(-LN(2)/25)*BQ41+(1-EXP(-LN(2)/25))/(LN(2)/25)*Calculateur!BL42*Calculateur!BN42*VLOOKUP('Données projet'!$B$11,Paramètres!$A$1:$I$89,3,0)*0.475*44/12</f>
        <v>45.87661513382173</v>
      </c>
      <c r="BR42" s="21">
        <f>EXP(-LN(2)/2)*BR41+(1-EXP(-LN(2)/2))/(LN(2)/2)*BL42*BO42*VLOOKUP('Données projet'!$B$11,Paramètres!$A$1:$I$89,3,0)*0.475*44/12</f>
        <v>2.3142208971903273E-3</v>
      </c>
      <c r="BS42" s="22">
        <f t="shared" si="9"/>
        <v>66.655754057122607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116.35728000000002</v>
      </c>
      <c r="CA42" s="13">
        <f t="shared" si="39"/>
        <v>30.823876427820704</v>
      </c>
      <c r="CB42" s="20">
        <f t="shared" si="10"/>
        <v>256.34051411178774</v>
      </c>
      <c r="CC42" s="59">
        <f t="shared" si="11"/>
        <v>503.34991120189488</v>
      </c>
      <c r="CD42" s="59">
        <f ca="1">AVERAGE(OFFSET($CC$3,0,0,'Données projet'!$E$12+1,1))-AVERAGE(OFFSET($H$3,0,0,'Données projet'!$E$12+1,1))</f>
        <v>398.11190027805549</v>
      </c>
      <c r="CE42" s="59">
        <f t="shared" si="40"/>
        <v>250.47702091764884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8.344186925570817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8.344186925570817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8.0511538461538468</v>
      </c>
      <c r="CT42" s="12">
        <f>IF('Données projet'!$A$140&gt;35,CT41+CS42-DB41,IF(A42&lt;'Données projet'!$A$140,$CQ$205^A42,IF(A42='Données projet'!$A$140,'Données projet'!$B$140,CT41+CS42-DB41)))</f>
        <v>147.80653846153851</v>
      </c>
      <c r="CU42" s="17">
        <f>CT42*VLOOKUP('Données projet'!$B$13,Paramètres!$A$1:$I$89,3,0)*VLOOKUP('Données projet'!$B$13,Paramètres!$A$1:$I$89,5,0)</f>
        <v>140.65270200000003</v>
      </c>
      <c r="CV42" s="13">
        <f t="shared" si="41"/>
        <v>36.446489856172541</v>
      </c>
      <c r="CW42" s="20">
        <f t="shared" si="13"/>
        <v>308.4477591495006</v>
      </c>
      <c r="CX42" s="59">
        <f t="shared" si="14"/>
        <v>555.45715623960768</v>
      </c>
      <c r="CY42" s="59">
        <f ca="1">AVERAGE(OFFSET($CX$3,0,0,'Données projet'!$E$13+1,1))-AVERAGE(OFFSET($H$3,0,0,'Données projet'!$E$13+1,1))</f>
        <v>697.21496579281836</v>
      </c>
      <c r="CZ42" s="59">
        <f t="shared" si="42"/>
        <v>215.64914236153456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189.22176000000002</v>
      </c>
      <c r="DQ42" s="13">
        <f t="shared" si="43"/>
        <v>47.367853957810077</v>
      </c>
      <c r="DR42" s="20">
        <f t="shared" si="16"/>
        <v>412.06024430985258</v>
      </c>
      <c r="DS42" s="59">
        <f t="shared" si="17"/>
        <v>659.06964139995966</v>
      </c>
      <c r="DT42" s="59">
        <f ca="1">AVERAGE(OFFSET($DS$3,0,0,'Données projet'!$E$14+1,1))-AVERAGE(OFFSET($H$3,0,0,'Données projet'!$E$14+1,1))</f>
        <v>408.24135864450221</v>
      </c>
      <c r="DU42" s="59">
        <f t="shared" si="44"/>
        <v>394.10236303013903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16.550084733423013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16.550084733423013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533</v>
      </c>
      <c r="L43" s="12">
        <f>VLOOKUP(A43,'Données projet'!$A$35:$I$55,9,0)</f>
        <v>30</v>
      </c>
      <c r="M43" s="12">
        <f t="array" ref="M43">INDEX(L:L,MIN(IF(ISNUMBER(L43:L239),ROW(L43:L239),"")))</f>
        <v>30</v>
      </c>
      <c r="N43" s="13">
        <f>IF('Données projet'!$A$36&gt;35,N42+M43-V42,IF(A43&lt;'Données projet'!$A$36,$K$205^A43,IF(A43='Données projet'!$A$36,'Données projet'!$B$36,N42+M43-V42)))</f>
        <v>533</v>
      </c>
      <c r="O43" s="13">
        <f>N43*VLOOKUP('Données projet'!$B$9,Paramètres!$A$1:$I$89,3,0)*VLOOKUP('Données projet'!$B$9,Paramètres!$A$1:$I$89,5,0)</f>
        <v>249.44400000000002</v>
      </c>
      <c r="P43" s="13">
        <f t="shared" si="33"/>
        <v>60.466866397117656</v>
      </c>
      <c r="Q43" s="20">
        <f t="shared" si="53"/>
        <v>539.76142564164661</v>
      </c>
      <c r="R43" s="59">
        <f t="shared" si="0"/>
        <v>787.57443946076739</v>
      </c>
      <c r="S43" s="59">
        <f ca="1">AVERAGE(OFFSET($R$3,0,0,'Données projet'!$E$9+1,1))-AVERAGE(OFFSET($H$3,0,0,'Données projet'!$E$9+1,1))</f>
        <v>512.58510468904342</v>
      </c>
      <c r="T43" s="59">
        <f t="shared" si="34"/>
        <v>443.6106696463529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50.105748135512457</v>
      </c>
      <c r="AA43" s="21">
        <f>EXP(-LN(2)/25)*AA42+(1-EXP(-LN(2)/25))/(LN(2)/25)*Calculateur!V43*Calculateur!X43*VLOOKUP('Données projet'!$B$9,Paramètres!$A$1:$I$89,3,0)*0.475*44/12</f>
        <v>37.125449445219033</v>
      </c>
      <c r="AB43" s="21">
        <f>EXP(-LN(2)/2)*AB42+(1-EXP(-LN(2)/2))/(LN(2)/2)*V43*Y43*VLOOKUP('Données projet'!$B$9,Paramètres!$A$1:$I$89,3,0)*0.475*44/12</f>
        <v>2.5355811569215736E-2</v>
      </c>
      <c r="AC43" s="22">
        <f t="shared" si="3"/>
        <v>87.256553392300702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9">
        <f t="shared" si="5"/>
        <v>634.81898941325244</v>
      </c>
      <c r="AN43" s="59">
        <f ca="1">AVERAGE(OFFSET($AM$3,0,0,'Données projet'!$E$10+1,1))-AVERAGE(OFFSET($H$3,0,0,'Données projet'!$E$10+1,1))</f>
        <v>520.95202773768222</v>
      </c>
      <c r="AO43" s="59">
        <f t="shared" si="36"/>
        <v>325.72635759450861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25.720030493802998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25.720030493802998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424</v>
      </c>
      <c r="BB43" s="12">
        <f>VLOOKUP(A43,'Données projet'!$A$87:$I$107,9,0)</f>
        <v>23.6</v>
      </c>
      <c r="BC43" s="12">
        <f t="array" ref="BC43">INDEX(BB:BB,MIN(IF(ISNUMBER(BB43:BB239),ROW(BB43:BB239),"")))</f>
        <v>23.6</v>
      </c>
      <c r="BD43" s="12">
        <f>IF('Données projet'!$A$88&gt;35,BD42+BC43-BL42,IF(A43&lt;'Données projet'!$A$88,$BA$205^A43,IF(A43='Données projet'!$A$88,'Données projet'!$B$88,BD42+BC43-BL42)))</f>
        <v>424.00000000000017</v>
      </c>
      <c r="BE43" s="13">
        <f>BD43*VLOOKUP('Données projet'!$B$11,Paramètres!$A$1:$I$89,3,0)*VLOOKUP('Données projet'!$B$11,Paramètres!$A$1:$I$89,5,0)</f>
        <v>253.55200000000011</v>
      </c>
      <c r="BF43" s="13">
        <f t="shared" si="37"/>
        <v>61.345922542613536</v>
      </c>
      <c r="BG43" s="20">
        <f t="shared" si="7"/>
        <v>548.447215095052</v>
      </c>
      <c r="BH43" s="59">
        <f t="shared" si="8"/>
        <v>796.26022891417279</v>
      </c>
      <c r="BI43" s="59">
        <f ca="1">AVERAGE(OFFSET($BH$3,0,0,'Données projet'!$E$11+1,1))-AVERAGE(OFFSET($H$3,0,0,'Données projet'!$E$11+1,1))</f>
        <v>528.71639224940395</v>
      </c>
      <c r="BJ43" s="59">
        <f t="shared" si="38"/>
        <v>460.93390058676493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0.45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42.859049025004467</v>
      </c>
      <c r="BQ43" s="21">
        <f>EXP(-LN(2)/25)*BQ42+(1-EXP(-LN(2)/25))/(LN(2)/25)*Calculateur!BL43*Calculateur!BN43*VLOOKUP('Données projet'!$B$11,Paramètres!$A$1:$I$89,3,0)*0.475*44/12</f>
        <v>44.622116680441039</v>
      </c>
      <c r="BR43" s="21">
        <f>EXP(-LN(2)/2)*BR42+(1-EXP(-LN(2)/2))/(LN(2)/2)*BL43*BO43*VLOOKUP('Données projet'!$B$11,Paramètres!$A$1:$I$89,3,0)*0.475*44/12</f>
        <v>1.6364012895668965E-3</v>
      </c>
      <c r="BS43" s="22">
        <f t="shared" si="9"/>
        <v>87.482802106735079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123.95760000000001</v>
      </c>
      <c r="CA43" s="13">
        <f t="shared" si="39"/>
        <v>32.59629414926458</v>
      </c>
      <c r="CB43" s="20">
        <f t="shared" si="10"/>
        <v>272.6646989766358</v>
      </c>
      <c r="CC43" s="59">
        <f t="shared" si="11"/>
        <v>520.47771279575659</v>
      </c>
      <c r="CD43" s="59">
        <f ca="1">AVERAGE(OFFSET($CC$3,0,0,'Données projet'!$E$12+1,1))-AVERAGE(OFFSET($H$3,0,0,'Données projet'!$E$12+1,1))</f>
        <v>398.11190027805549</v>
      </c>
      <c r="CE43" s="59">
        <f t="shared" si="40"/>
        <v>250.47702091764884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17.212635792006616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17.212635792006616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8.0511538461538468</v>
      </c>
      <c r="CT43" s="12">
        <f>IF('Données projet'!$A$140&gt;35,CT42+CS43-DB42,IF(A43&lt;'Données projet'!$A$140,$CQ$205^A43,IF(A43='Données projet'!$A$140,'Données projet'!$B$140,CT42+CS43-DB42)))</f>
        <v>155.85769230769236</v>
      </c>
      <c r="CU43" s="17">
        <f>CT43*VLOOKUP('Données projet'!$B$13,Paramètres!$A$1:$I$89,3,0)*VLOOKUP('Données projet'!$B$13,Paramètres!$A$1:$I$89,5,0)</f>
        <v>148.31418000000005</v>
      </c>
      <c r="CV43" s="13">
        <f t="shared" si="41"/>
        <v>38.195225331529166</v>
      </c>
      <c r="CW43" s="20">
        <f t="shared" si="13"/>
        <v>324.83721428574671</v>
      </c>
      <c r="CX43" s="59">
        <f t="shared" si="14"/>
        <v>572.65022810486755</v>
      </c>
      <c r="CY43" s="59">
        <f ca="1">AVERAGE(OFFSET($CX$3,0,0,'Données projet'!$E$13+1,1))-AVERAGE(OFFSET($H$3,0,0,'Données projet'!$E$13+1,1))</f>
        <v>697.21496579281836</v>
      </c>
      <c r="CZ43" s="59">
        <f t="shared" si="42"/>
        <v>215.64914236153456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199.1808</v>
      </c>
      <c r="DQ43" s="13">
        <f t="shared" si="43"/>
        <v>49.564089376413683</v>
      </c>
      <c r="DR43" s="20">
        <f t="shared" si="16"/>
        <v>433.23068233058711</v>
      </c>
      <c r="DS43" s="59">
        <f t="shared" si="17"/>
        <v>681.0436961497079</v>
      </c>
      <c r="DT43" s="59">
        <f ca="1">AVERAGE(OFFSET($DS$3,0,0,'Données projet'!$E$14+1,1))-AVERAGE(OFFSET($H$3,0,0,'Données projet'!$E$14+1,1))</f>
        <v>408.24135864450221</v>
      </c>
      <c r="DU43" s="59">
        <f t="shared" si="44"/>
        <v>394.10236303013903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0.53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34.140004698393255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34.140004698393255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</v>
      </c>
      <c r="N44" s="13">
        <f>IF('Données projet'!$A$36&gt;35,N43+M44-V43,IF(A44&lt;'Données projet'!$A$36,$K$205^A44,IF(A44='Données projet'!$A$36,'Données projet'!$B$36,N43+M44-V43)))</f>
        <v>484</v>
      </c>
      <c r="O44" s="13">
        <f>N44*VLOOKUP('Données projet'!$B$9,Paramètres!$A$1:$I$89,3,0)*VLOOKUP('Données projet'!$B$9,Paramètres!$A$1:$I$89,5,0)</f>
        <v>226.51199999999997</v>
      </c>
      <c r="P44" s="13">
        <f t="shared" si="33"/>
        <v>55.527824937247544</v>
      </c>
      <c r="Q44" s="20">
        <f t="shared" si="53"/>
        <v>491.21936176570608</v>
      </c>
      <c r="R44" s="59">
        <f t="shared" si="0"/>
        <v>739.82205136021003</v>
      </c>
      <c r="S44" s="59">
        <f ca="1">AVERAGE(OFFSET($R$3,0,0,'Données projet'!$E$9+1,1))-AVERAGE(OFFSET($H$3,0,0,'Données projet'!$E$9+1,1))</f>
        <v>512.58510468904342</v>
      </c>
      <c r="T44" s="59">
        <f t="shared" si="34"/>
        <v>443.6106696463529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49.123204976063725</v>
      </c>
      <c r="AA44" s="21">
        <f>EXP(-LN(2)/25)*AA43+(1-EXP(-LN(2)/25))/(LN(2)/25)*Calculateur!V44*Calculateur!X44*VLOOKUP('Données projet'!$B$9,Paramètres!$A$1:$I$89,3,0)*0.475*44/12</f>
        <v>36.110252077796986</v>
      </c>
      <c r="AB44" s="21">
        <f>EXP(-LN(2)/2)*AB43+(1-EXP(-LN(2)/2))/(LN(2)/2)*V44*Y44*VLOOKUP('Données projet'!$B$9,Paramètres!$A$1:$I$89,3,0)*0.475*44/12</f>
        <v>1.7929266303080761E-2</v>
      </c>
      <c r="AC44" s="22">
        <f t="shared" si="3"/>
        <v>85.251386320163803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9">
        <f t="shared" si="5"/>
        <v>599.72161944683171</v>
      </c>
      <c r="AN44" s="59">
        <f ca="1">AVERAGE(OFFSET($AM$3,0,0,'Données projet'!$E$10+1,1))-AVERAGE(OFFSET($H$3,0,0,'Données projet'!$E$10+1,1))</f>
        <v>520.95202773768222</v>
      </c>
      <c r="AO44" s="59">
        <f t="shared" si="36"/>
        <v>325.72635759450861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25.215676383489093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25.215676383489093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21.6</v>
      </c>
      <c r="BD44" s="12">
        <f>IF('Données projet'!$A$88&gt;35,BD43+BC44-BL43,IF(A44&lt;'Données projet'!$A$88,$BA$205^A44,IF(A44='Données projet'!$A$88,'Données projet'!$B$88,BD43+BC44-BL43)))</f>
        <v>382.60000000000019</v>
      </c>
      <c r="BE44" s="13">
        <f>BD44*VLOOKUP('Données projet'!$B$11,Paramètres!$A$1:$I$89,3,0)*VLOOKUP('Données projet'!$B$11,Paramètres!$A$1:$I$89,5,0)</f>
        <v>228.79480000000012</v>
      </c>
      <c r="BF44" s="13">
        <f t="shared" si="37"/>
        <v>56.022009485811381</v>
      </c>
      <c r="BG44" s="20">
        <f t="shared" si="7"/>
        <v>496.05594318778844</v>
      </c>
      <c r="BH44" s="59">
        <f t="shared" si="8"/>
        <v>744.65863278229244</v>
      </c>
      <c r="BI44" s="59">
        <f ca="1">AVERAGE(OFFSET($BH$3,0,0,'Données projet'!$E$11+1,1))-AVERAGE(OFFSET($H$3,0,0,'Données projet'!$E$11+1,1))</f>
        <v>528.71639224940395</v>
      </c>
      <c r="BJ44" s="59">
        <f t="shared" si="38"/>
        <v>460.93390058676493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42.018609215062781</v>
      </c>
      <c r="BQ44" s="21">
        <f>EXP(-LN(2)/25)*BQ43+(1-EXP(-LN(2)/25))/(LN(2)/25)*Calculateur!BL44*Calculateur!BN44*VLOOKUP('Données projet'!$B$11,Paramètres!$A$1:$I$89,3,0)*0.475*44/12</f>
        <v>43.401922553239245</v>
      </c>
      <c r="BR44" s="21">
        <f>EXP(-LN(2)/2)*BR43+(1-EXP(-LN(2)/2))/(LN(2)/2)*BL44*BO44*VLOOKUP('Données projet'!$B$11,Paramètres!$A$1:$I$89,3,0)*0.475*44/12</f>
        <v>1.1571104485951637E-3</v>
      </c>
      <c r="BS44" s="22">
        <f t="shared" si="9"/>
        <v>85.421688878750615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112.55712000000003</v>
      </c>
      <c r="CA44" s="13">
        <f t="shared" si="39"/>
        <v>29.932653834140599</v>
      </c>
      <c r="CB44" s="20">
        <f t="shared" si="10"/>
        <v>248.16968942779496</v>
      </c>
      <c r="CC44" s="59">
        <f t="shared" si="11"/>
        <v>496.77237902229894</v>
      </c>
      <c r="CD44" s="59">
        <f ca="1">AVERAGE(OFFSET($CC$3,0,0,'Données projet'!$E$12+1,1))-AVERAGE(OFFSET($H$3,0,0,'Données projet'!$E$12+1,1))</f>
        <v>398.11190027805549</v>
      </c>
      <c r="CE44" s="59">
        <f t="shared" si="40"/>
        <v>250.47702091764884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16.875106502796541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16.875106502796541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8.0511538461538468</v>
      </c>
      <c r="CT44" s="12">
        <f>IF('Données projet'!$A$140&gt;35,CT43+CS44-DB43,IF(A44&lt;'Données projet'!$A$140,$CQ$205^A44,IF(A44='Données projet'!$A$140,'Données projet'!$B$140,CT43+CS44-DB43)))</f>
        <v>163.90884615384621</v>
      </c>
      <c r="CU44" s="17">
        <f>CT44*VLOOKUP('Données projet'!$B$13,Paramètres!$A$1:$I$89,3,0)*VLOOKUP('Données projet'!$B$13,Paramètres!$A$1:$I$89,5,0)</f>
        <v>155.97565800000007</v>
      </c>
      <c r="CV44" s="13">
        <f t="shared" si="41"/>
        <v>39.933472487256637</v>
      </c>
      <c r="CW44" s="20">
        <f t="shared" si="13"/>
        <v>341.20840226530544</v>
      </c>
      <c r="CX44" s="59">
        <f t="shared" si="14"/>
        <v>589.81109185980938</v>
      </c>
      <c r="CY44" s="59">
        <f ca="1">AVERAGE(OFFSET($CX$3,0,0,'Données projet'!$E$13+1,1))-AVERAGE(OFFSET($H$3,0,0,'Données projet'!$E$13+1,1))</f>
        <v>697.21496579281836</v>
      </c>
      <c r="CZ44" s="59">
        <f t="shared" si="42"/>
        <v>215.64914236153456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177.16608000000002</v>
      </c>
      <c r="DQ44" s="13">
        <f t="shared" si="43"/>
        <v>44.691110042101649</v>
      </c>
      <c r="DR44" s="20">
        <f t="shared" si="16"/>
        <v>386.40127265666041</v>
      </c>
      <c r="DS44" s="59">
        <f t="shared" si="17"/>
        <v>635.00396225116435</v>
      </c>
      <c r="DT44" s="59">
        <f ca="1">AVERAGE(OFFSET($DS$3,0,0,'Données projet'!$E$14+1,1))-AVERAGE(OFFSET($H$3,0,0,'Données projet'!$E$14+1,1))</f>
        <v>408.24135864450221</v>
      </c>
      <c r="DU44" s="59">
        <f t="shared" si="44"/>
        <v>394.10236303013903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33.470540029604493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33.470540029604493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28</v>
      </c>
      <c r="N45" s="13">
        <f>IF('Données projet'!$A$36&gt;35,N44+M45-V44,IF(A45&lt;'Données projet'!$A$36,$K$205^A45,IF(A45='Données projet'!$A$36,'Données projet'!$B$36,N44+M45-V44)))</f>
        <v>512</v>
      </c>
      <c r="O45" s="13">
        <f>N45*VLOOKUP('Données projet'!$B$9,Paramètres!$A$1:$I$89,3,0)*VLOOKUP('Données projet'!$B$9,Paramètres!$A$1:$I$89,5,0)</f>
        <v>239.61599999999999</v>
      </c>
      <c r="P45" s="13">
        <f t="shared" si="33"/>
        <v>58.356903313490157</v>
      </c>
      <c r="Q45" s="20">
        <f t="shared" si="53"/>
        <v>518.96947327099531</v>
      </c>
      <c r="R45" s="59">
        <f t="shared" si="0"/>
        <v>768.34813953163007</v>
      </c>
      <c r="S45" s="59">
        <f ca="1">AVERAGE(OFFSET($R$3,0,0,'Données projet'!$E$9+1,1))-AVERAGE(OFFSET($H$3,0,0,'Données projet'!$E$9+1,1))</f>
        <v>512.58510468904342</v>
      </c>
      <c r="T45" s="59">
        <f t="shared" si="34"/>
        <v>443.6106696463529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48.15992888867963</v>
      </c>
      <c r="AA45" s="21">
        <f>EXP(-LN(2)/25)*AA44+(1-EXP(-LN(2)/25))/(LN(2)/25)*Calculateur!V45*Calculateur!X45*VLOOKUP('Données projet'!$B$9,Paramètres!$A$1:$I$89,3,0)*0.475*44/12</f>
        <v>35.122815335774</v>
      </c>
      <c r="AB45" s="21">
        <f>EXP(-LN(2)/2)*AB44+(1-EXP(-LN(2)/2))/(LN(2)/2)*V45*Y45*VLOOKUP('Données projet'!$B$9,Paramètres!$A$1:$I$89,3,0)*0.475*44/12</f>
        <v>1.2677905784607868E-2</v>
      </c>
      <c r="AC45" s="22">
        <f t="shared" si="3"/>
        <v>83.295422130238251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625.15105613047353</v>
      </c>
      <c r="AN45" s="59">
        <f ca="1">AVERAGE(OFFSET($AM$3,0,0,'Données projet'!$E$10+1,1))-AVERAGE(OFFSET($H$3,0,0,'Données projet'!$E$10+1,1))</f>
        <v>520.95202773768222</v>
      </c>
      <c r="AO45" s="59">
        <f t="shared" si="36"/>
        <v>325.72635759450861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24.721212349652813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24.721212349652813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21.6</v>
      </c>
      <c r="BD45" s="12">
        <f>IF('Données projet'!$A$88&gt;35,BD44+BC45-BL44,IF(A45&lt;'Données projet'!$A$88,$BA$205^A45,IF(A45='Données projet'!$A$88,'Données projet'!$B$88,BD44+BC45-BL44)))</f>
        <v>404.20000000000022</v>
      </c>
      <c r="BE45" s="13">
        <f>BD45*VLOOKUP('Données projet'!$B$11,Paramètres!$A$1:$I$89,3,0)*VLOOKUP('Données projet'!$B$11,Paramètres!$A$1:$I$89,5,0)</f>
        <v>241.71160000000015</v>
      </c>
      <c r="BF45" s="13">
        <f t="shared" si="37"/>
        <v>58.807637113502857</v>
      </c>
      <c r="BG45" s="20">
        <f t="shared" si="7"/>
        <v>523.40433797268429</v>
      </c>
      <c r="BH45" s="59">
        <f t="shared" si="8"/>
        <v>772.78300423331905</v>
      </c>
      <c r="BI45" s="59">
        <f ca="1">AVERAGE(OFFSET($BH$3,0,0,'Données projet'!$E$11+1,1))-AVERAGE(OFFSET($H$3,0,0,'Données projet'!$E$11+1,1))</f>
        <v>528.71639224940395</v>
      </c>
      <c r="BJ45" s="59">
        <f t="shared" si="38"/>
        <v>460.93390058676493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41.194649917176385</v>
      </c>
      <c r="BQ45" s="21">
        <f>EXP(-LN(2)/25)*BQ44+(1-EXP(-LN(2)/25))/(LN(2)/25)*Calculateur!BL45*Calculateur!BN45*VLOOKUP('Données projet'!$B$11,Paramètres!$A$1:$I$89,3,0)*0.475*44/12</f>
        <v>42.215094698613008</v>
      </c>
      <c r="BR45" s="21">
        <f>EXP(-LN(2)/2)*BR44+(1-EXP(-LN(2)/2))/(LN(2)/2)*BL45*BO45*VLOOKUP('Données projet'!$B$11,Paramètres!$A$1:$I$89,3,0)*0.475*44/12</f>
        <v>8.1820064478344825E-4</v>
      </c>
      <c r="BS45" s="22">
        <f t="shared" si="9"/>
        <v>83.410562816434179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120.15744000000002</v>
      </c>
      <c r="CA45" s="13">
        <f t="shared" si="39"/>
        <v>31.711716786129845</v>
      </c>
      <c r="CB45" s="20">
        <f t="shared" si="10"/>
        <v>264.50544806917623</v>
      </c>
      <c r="CC45" s="59">
        <f t="shared" si="11"/>
        <v>513.88411432981093</v>
      </c>
      <c r="CD45" s="59">
        <f ca="1">AVERAGE(OFFSET($CC$3,0,0,'Données projet'!$E$12+1,1))-AVERAGE(OFFSET($H$3,0,0,'Données projet'!$E$12+1,1))</f>
        <v>398.11190027805549</v>
      </c>
      <c r="CE45" s="59">
        <f t="shared" si="40"/>
        <v>250.47702091764884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16.544195957075338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16.544195957075338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8.0511538461538468</v>
      </c>
      <c r="CS45" s="12">
        <f t="array" ref="CS45">INDEX(CR:CR,MIN(IF(ISNUMBER(CR45:CR241),ROW(CR45:CR241),"")))</f>
        <v>8.0511538461538468</v>
      </c>
      <c r="CT45" s="12">
        <f>IF('Données projet'!$A$140&gt;35,CT44+CS45-DB44,IF(A45&lt;'Données projet'!$A$140,$CQ$205^A45,IF(A45='Données projet'!$A$140,'Données projet'!$B$140,CT44+CS45-DB44)))</f>
        <v>171.96000000000006</v>
      </c>
      <c r="CU45" s="17">
        <f>CT45*VLOOKUP('Données projet'!$B$13,Paramètres!$A$1:$I$89,3,0)*VLOOKUP('Données projet'!$B$13,Paramètres!$A$1:$I$89,5,0)</f>
        <v>163.63713600000005</v>
      </c>
      <c r="CV45" s="13">
        <f t="shared" si="41"/>
        <v>41.661805305260039</v>
      </c>
      <c r="CW45" s="20">
        <f t="shared" si="13"/>
        <v>357.56232277332794</v>
      </c>
      <c r="CX45" s="59">
        <f t="shared" si="14"/>
        <v>606.94098903396264</v>
      </c>
      <c r="CY45" s="59">
        <f ca="1">AVERAGE(OFFSET($CX$3,0,0,'Données projet'!$E$13+1,1))-AVERAGE(OFFSET($H$3,0,0,'Données projet'!$E$13+1,1))</f>
        <v>697.21496579281836</v>
      </c>
      <c r="CZ45" s="59">
        <f t="shared" si="42"/>
        <v>215.64914236153456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0.43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19.545836682262806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19.545836682262806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185.72736000000003</v>
      </c>
      <c r="DQ45" s="13">
        <f t="shared" si="43"/>
        <v>46.594086043363802</v>
      </c>
      <c r="DR45" s="20">
        <f t="shared" si="16"/>
        <v>404.62651852552534</v>
      </c>
      <c r="DS45" s="59">
        <f t="shared" si="17"/>
        <v>654.00518478616004</v>
      </c>
      <c r="DT45" s="59">
        <f ca="1">AVERAGE(OFFSET($DS$3,0,0,'Données projet'!$E$14+1,1))-AVERAGE(OFFSET($H$3,0,0,'Données projet'!$E$14+1,1))</f>
        <v>408.24135864450221</v>
      </c>
      <c r="DU45" s="59">
        <f t="shared" si="44"/>
        <v>394.10236303013903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32.814203154637553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32.814203154637553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28</v>
      </c>
      <c r="N46" s="13">
        <f>IF('Données projet'!$A$36&gt;35,N45+M46-V45,IF(A46&lt;'Données projet'!$A$36,$K$205^A46,IF(A46='Données projet'!$A$36,'Données projet'!$B$36,N45+M46-V45)))</f>
        <v>540</v>
      </c>
      <c r="O46" s="13">
        <f>N46*VLOOKUP('Données projet'!$B$9,Paramètres!$A$1:$I$89,3,0)*VLOOKUP('Données projet'!$B$9,Paramètres!$A$1:$I$89,5,0)</f>
        <v>252.72000000000003</v>
      </c>
      <c r="P46" s="13">
        <f t="shared" si="33"/>
        <v>61.168020584496823</v>
      </c>
      <c r="Q46" s="20">
        <f t="shared" si="53"/>
        <v>546.68830251799864</v>
      </c>
      <c r="R46" s="59">
        <f t="shared" si="0"/>
        <v>796.82948398443068</v>
      </c>
      <c r="S46" s="59">
        <f ca="1">AVERAGE(OFFSET($R$3,0,0,'Données projet'!$E$9+1,1))-AVERAGE(OFFSET($H$3,0,0,'Données projet'!$E$9+1,1))</f>
        <v>512.58510468904342</v>
      </c>
      <c r="T46" s="59">
        <f t="shared" si="34"/>
        <v>443.6106696463529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47.215542057828735</v>
      </c>
      <c r="AA46" s="21">
        <f>EXP(-LN(2)/25)*AA45+(1-EXP(-LN(2)/25))/(LN(2)/25)*Calculateur!V46*Calculateur!X46*VLOOKUP('Données projet'!$B$9,Paramètres!$A$1:$I$89,3,0)*0.475*44/12</f>
        <v>34.162380103388678</v>
      </c>
      <c r="AB46" s="21">
        <f>EXP(-LN(2)/2)*AB45+(1-EXP(-LN(2)/2))/(LN(2)/2)*V46*Y46*VLOOKUP('Données projet'!$B$9,Paramètres!$A$1:$I$89,3,0)*0.475*44/12</f>
        <v>8.9646331515403806E-3</v>
      </c>
      <c r="AC46" s="22">
        <f t="shared" si="3"/>
        <v>81.386886794368948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650.53181420345209</v>
      </c>
      <c r="AN46" s="59">
        <f ca="1">AVERAGE(OFFSET($AM$3,0,0,'Données projet'!$E$10+1,1))-AVERAGE(OFFSET($H$3,0,0,'Données projet'!$E$10+1,1))</f>
        <v>520.95202773768222</v>
      </c>
      <c r="AO46" s="59">
        <f t="shared" si="36"/>
        <v>325.72635759450861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24.236444453926783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24.236444453926783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</v>
      </c>
      <c r="BD46" s="12">
        <f>IF('Données projet'!$A$88&gt;35,BD45+BC46-BL45,IF(A46&lt;'Données projet'!$A$88,$BA$205^A46,IF(A46='Données projet'!$A$88,'Données projet'!$B$88,BD45+BC46-BL45)))</f>
        <v>425.80000000000024</v>
      </c>
      <c r="BE46" s="13">
        <f>BD46*VLOOKUP('Données projet'!$B$11,Paramètres!$A$1:$I$89,3,0)*VLOOKUP('Données projet'!$B$11,Paramètres!$A$1:$I$89,5,0)</f>
        <v>254.62840000000014</v>
      </c>
      <c r="BF46" s="13">
        <f t="shared" si="37"/>
        <v>61.575982433801578</v>
      </c>
      <c r="BG46" s="20">
        <f t="shared" si="7"/>
        <v>550.7226327388712</v>
      </c>
      <c r="BH46" s="59">
        <f t="shared" si="8"/>
        <v>800.86381420530324</v>
      </c>
      <c r="BI46" s="59">
        <f ca="1">AVERAGE(OFFSET($BH$3,0,0,'Données projet'!$E$11+1,1))-AVERAGE(OFFSET($H$3,0,0,'Données projet'!$E$11+1,1))</f>
        <v>528.71639224940395</v>
      </c>
      <c r="BJ46" s="59">
        <f t="shared" si="38"/>
        <v>460.93390058676493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40.386847958555997</v>
      </c>
      <c r="BQ46" s="21">
        <f>EXP(-LN(2)/25)*BQ45+(1-EXP(-LN(2)/25))/(LN(2)/25)*Calculateur!BL46*Calculateur!BN46*VLOOKUP('Données projet'!$B$11,Paramètres!$A$1:$I$89,3,0)*0.475*44/12</f>
        <v>41.060720714084091</v>
      </c>
      <c r="BR46" s="21">
        <f>EXP(-LN(2)/2)*BR45+(1-EXP(-LN(2)/2))/(LN(2)/2)*BL46*BO46*VLOOKUP('Données projet'!$B$11,Paramètres!$A$1:$I$89,3,0)*0.475*44/12</f>
        <v>5.7855522429758183E-4</v>
      </c>
      <c r="BS46" s="22">
        <f t="shared" si="9"/>
        <v>81.448147227864382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127.75776000000003</v>
      </c>
      <c r="CA46" s="13">
        <f t="shared" si="39"/>
        <v>33.477720030956604</v>
      </c>
      <c r="CB46" s="20">
        <f t="shared" si="10"/>
        <v>280.81846105391611</v>
      </c>
      <c r="CC46" s="59">
        <f t="shared" si="11"/>
        <v>530.9596425203481</v>
      </c>
      <c r="CD46" s="59">
        <f ca="1">AVERAGE(OFFSET($CC$3,0,0,'Données projet'!$E$12+1,1))-AVERAGE(OFFSET($H$3,0,0,'Données projet'!$E$12+1,1))</f>
        <v>398.11190027805549</v>
      </c>
      <c r="CE46" s="59">
        <f t="shared" si="40"/>
        <v>250.47702091764884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16.219774365320227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16.219774365320227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9.9475000000000016</v>
      </c>
      <c r="CT46" s="12">
        <f>IF('Données projet'!$A$140&gt;35,CT45+CS46-DB45,IF(A46&lt;'Données projet'!$A$140,$CQ$205^A46,IF(A46='Données projet'!$A$140,'Données projet'!$B$140,CT45+CS46-DB45)))</f>
        <v>138.69750000000005</v>
      </c>
      <c r="CU46" s="17">
        <f>CT46*VLOOKUP('Données projet'!$B$13,Paramètres!$A$1:$I$89,3,0)*VLOOKUP('Données projet'!$B$13,Paramètres!$A$1:$I$89,5,0)</f>
        <v>131.98454100000004</v>
      </c>
      <c r="CV46" s="13">
        <f t="shared" si="41"/>
        <v>34.454523363818936</v>
      </c>
      <c r="CW46" s="20">
        <f t="shared" si="13"/>
        <v>289.88137043365134</v>
      </c>
      <c r="CX46" s="59">
        <f t="shared" si="14"/>
        <v>540.02255190008339</v>
      </c>
      <c r="CY46" s="59">
        <f ca="1">AVERAGE(OFFSET($CX$3,0,0,'Données projet'!$E$13+1,1))-AVERAGE(OFFSET($H$3,0,0,'Données projet'!$E$13+1,1))</f>
        <v>697.21496579281836</v>
      </c>
      <c r="CZ46" s="59">
        <f t="shared" si="42"/>
        <v>215.64914236153456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19.162554746706832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19.162554746706832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194.28864000000004</v>
      </c>
      <c r="DQ46" s="13">
        <f t="shared" si="43"/>
        <v>48.486875029770822</v>
      </c>
      <c r="DR46" s="20">
        <f t="shared" si="16"/>
        <v>422.83402201018424</v>
      </c>
      <c r="DS46" s="59">
        <f t="shared" si="17"/>
        <v>672.97520347661634</v>
      </c>
      <c r="DT46" s="59">
        <f ca="1">AVERAGE(OFFSET($DS$3,0,0,'Données projet'!$E$14+1,1))-AVERAGE(OFFSET($H$3,0,0,'Données projet'!$E$14+1,1))</f>
        <v>408.24135864450221</v>
      </c>
      <c r="DU46" s="59">
        <f t="shared" si="44"/>
        <v>394.10236303013903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32.170736645462746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32.170736645462746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28</v>
      </c>
      <c r="N47" s="13">
        <f>IF('Données projet'!$A$36&gt;35,N46+M47-V46,IF(A47&lt;'Données projet'!$A$36,$K$205^A47,IF(A47='Données projet'!$A$36,'Données projet'!$B$36,N46+M47-V46)))</f>
        <v>568</v>
      </c>
      <c r="O47" s="13">
        <f>N47*VLOOKUP('Données projet'!$B$9,Paramètres!$A$1:$I$89,3,0)*VLOOKUP('Données projet'!$B$9,Paramètres!$A$1:$I$89,5,0)</f>
        <v>265.82400000000001</v>
      </c>
      <c r="P47" s="13">
        <f t="shared" si="33"/>
        <v>63.962214293903529</v>
      </c>
      <c r="Q47" s="20">
        <f t="shared" si="53"/>
        <v>574.37765656188196</v>
      </c>
      <c r="R47" s="59">
        <f t="shared" si="0"/>
        <v>825.26812530001939</v>
      </c>
      <c r="S47" s="59">
        <f ca="1">AVERAGE(OFFSET($R$3,0,0,'Données projet'!$E$9+1,1))-AVERAGE(OFFSET($H$3,0,0,'Données projet'!$E$9+1,1))</f>
        <v>512.58510468904342</v>
      </c>
      <c r="T47" s="59">
        <f t="shared" si="34"/>
        <v>443.6106696463529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46.289674076711741</v>
      </c>
      <c r="AA47" s="21">
        <f>EXP(-LN(2)/25)*AA46+(1-EXP(-LN(2)/25))/(LN(2)/25)*Calculateur!V47*Calculateur!X47*VLOOKUP('Données projet'!$B$9,Paramètres!$A$1:$I$89,3,0)*0.475*44/12</f>
        <v>33.228208022940024</v>
      </c>
      <c r="AB47" s="21">
        <f>EXP(-LN(2)/2)*AB46+(1-EXP(-LN(2)/2))/(LN(2)/2)*V47*Y47*VLOOKUP('Données projet'!$B$9,Paramètres!$A$1:$I$89,3,0)*0.475*44/12</f>
        <v>6.338952892303934E-3</v>
      </c>
      <c r="AC47" s="22">
        <f t="shared" si="3"/>
        <v>79.524221052544064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9">
        <f t="shared" si="5"/>
        <v>675.86659506416686</v>
      </c>
      <c r="AN47" s="59">
        <f ca="1">AVERAGE(OFFSET($AM$3,0,0,'Données projet'!$E$10+1,1))-AVERAGE(OFFSET($H$3,0,0,'Données projet'!$E$10+1,1))</f>
        <v>520.95202773768222</v>
      </c>
      <c r="AO47" s="59">
        <f t="shared" si="36"/>
        <v>325.72635759450861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23.761182560956719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23.761182560956719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</v>
      </c>
      <c r="BD47" s="12">
        <f>IF('Données projet'!$A$88&gt;35,BD46+BC47-BL46,IF(A47&lt;'Données projet'!$A$88,$BA$205^A47,IF(A47='Données projet'!$A$88,'Données projet'!$B$88,BD46+BC47-BL46)))</f>
        <v>447.40000000000026</v>
      </c>
      <c r="BE47" s="13">
        <f>BD47*VLOOKUP('Données projet'!$B$11,Paramètres!$A$1:$I$89,3,0)*VLOOKUP('Données projet'!$B$11,Paramètres!$A$1:$I$89,5,0)</f>
        <v>267.54520000000014</v>
      </c>
      <c r="BF47" s="13">
        <f t="shared" si="37"/>
        <v>64.328022166288974</v>
      </c>
      <c r="BG47" s="20">
        <f t="shared" si="7"/>
        <v>578.01252860628688</v>
      </c>
      <c r="BH47" s="59">
        <f t="shared" si="8"/>
        <v>828.90299734442431</v>
      </c>
      <c r="BI47" s="59">
        <f ca="1">AVERAGE(OFFSET($BH$3,0,0,'Données projet'!$E$11+1,1))-AVERAGE(OFFSET($H$3,0,0,'Données projet'!$E$11+1,1))</f>
        <v>528.71639224940395</v>
      </c>
      <c r="BJ47" s="59">
        <f t="shared" si="38"/>
        <v>460.93390058676493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39.59488650363361</v>
      </c>
      <c r="BQ47" s="21">
        <f>EXP(-LN(2)/25)*BQ46+(1-EXP(-LN(2)/25))/(LN(2)/25)*Calculateur!BL47*Calculateur!BN47*VLOOKUP('Données projet'!$B$11,Paramètres!$A$1:$I$89,3,0)*0.475*44/12</f>
        <v>39.937913146868006</v>
      </c>
      <c r="BR47" s="21">
        <f>EXP(-LN(2)/2)*BR46+(1-EXP(-LN(2)/2))/(LN(2)/2)*BL47*BO47*VLOOKUP('Données projet'!$B$11,Paramètres!$A$1:$I$89,3,0)*0.475*44/12</f>
        <v>4.0910032239172413E-4</v>
      </c>
      <c r="BS47" s="22">
        <f t="shared" si="9"/>
        <v>79.533208750824002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135.35808000000006</v>
      </c>
      <c r="CA47" s="13">
        <f t="shared" si="39"/>
        <v>35.231528980112834</v>
      </c>
      <c r="CB47" s="20">
        <f t="shared" si="10"/>
        <v>297.11023564036327</v>
      </c>
      <c r="CC47" s="59">
        <f t="shared" si="11"/>
        <v>548.0007043785007</v>
      </c>
      <c r="CD47" s="59">
        <f ca="1">AVERAGE(OFFSET($CC$3,0,0,'Données projet'!$E$12+1,1))-AVERAGE(OFFSET($H$3,0,0,'Données projet'!$E$12+1,1))</f>
        <v>398.11190027805549</v>
      </c>
      <c r="CE47" s="59">
        <f t="shared" si="40"/>
        <v>250.47702091764884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15.901714483101799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15.901714483101799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9.9475000000000016</v>
      </c>
      <c r="CT47" s="12">
        <f>IF('Données projet'!$A$140&gt;35,CT46+CS47-DB46,IF(A47&lt;'Données projet'!$A$140,$CQ$205^A47,IF(A47='Données projet'!$A$140,'Données projet'!$B$140,CT46+CS47-DB46)))</f>
        <v>148.64500000000004</v>
      </c>
      <c r="CU47" s="17">
        <f>CT47*VLOOKUP('Données projet'!$B$13,Paramètres!$A$1:$I$89,3,0)*VLOOKUP('Données projet'!$B$13,Paramètres!$A$1:$I$89,5,0)</f>
        <v>141.45058200000003</v>
      </c>
      <c r="CV47" s="13">
        <f t="shared" si="41"/>
        <v>36.629113839026211</v>
      </c>
      <c r="CW47" s="20">
        <f t="shared" si="13"/>
        <v>310.1554702529707</v>
      </c>
      <c r="CX47" s="59">
        <f t="shared" si="14"/>
        <v>561.04593899110819</v>
      </c>
      <c r="CY47" s="59">
        <f ca="1">AVERAGE(OFFSET($CX$3,0,0,'Données projet'!$E$13+1,1))-AVERAGE(OFFSET($H$3,0,0,'Données projet'!$E$13+1,1))</f>
        <v>697.21496579281836</v>
      </c>
      <c r="CZ47" s="59">
        <f t="shared" si="42"/>
        <v>215.64914236153456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18.786788736128212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18.786788736128212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202.84992000000005</v>
      </c>
      <c r="DQ47" s="13">
        <f t="shared" si="43"/>
        <v>50.369977187686075</v>
      </c>
      <c r="DR47" s="20">
        <f t="shared" si="16"/>
        <v>441.02465426855332</v>
      </c>
      <c r="DS47" s="59">
        <f t="shared" si="17"/>
        <v>691.91512300669069</v>
      </c>
      <c r="DT47" s="59">
        <f ca="1">AVERAGE(OFFSET($DS$3,0,0,'Données projet'!$E$14+1,1))-AVERAGE(OFFSET($H$3,0,0,'Données projet'!$E$14+1,1))</f>
        <v>408.24135864450221</v>
      </c>
      <c r="DU47" s="59">
        <f t="shared" si="44"/>
        <v>394.10236303013903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31.539888122057043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31.539888122057043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596</v>
      </c>
      <c r="L48" s="12">
        <f>VLOOKUP(A48,'Données projet'!$A$35:$I$55,9,0)</f>
        <v>28</v>
      </c>
      <c r="M48" s="12">
        <f t="array" ref="M48">INDEX(L:L,MIN(IF(ISNUMBER(L48:L244),ROW(L48:L244),"")))</f>
        <v>28</v>
      </c>
      <c r="N48" s="13">
        <f>IF('Données projet'!$A$36&gt;35,N47+M48-V47,IF(A48&lt;'Données projet'!$A$36,$K$205^A48,IF(A48='Données projet'!$A$36,'Données projet'!$B$36,N47+M48-V47)))</f>
        <v>596</v>
      </c>
      <c r="O48" s="13">
        <f>N48*VLOOKUP('Données projet'!$B$9,Paramètres!$A$1:$I$89,3,0)*VLOOKUP('Données projet'!$B$9,Paramètres!$A$1:$I$89,5,0)</f>
        <v>278.928</v>
      </c>
      <c r="P48" s="13">
        <f t="shared" si="33"/>
        <v>66.740413913415367</v>
      </c>
      <c r="Q48" s="20">
        <f t="shared" si="53"/>
        <v>602.0391542325317</v>
      </c>
      <c r="R48" s="59">
        <f t="shared" si="0"/>
        <v>853.6659117833658</v>
      </c>
      <c r="S48" s="59">
        <f ca="1">AVERAGE(OFFSET($R$3,0,0,'Données projet'!$E$9+1,1))-AVERAGE(OFFSET($H$3,0,0,'Données projet'!$E$9+1,1))</f>
        <v>512.58510468904342</v>
      </c>
      <c r="T48" s="59">
        <f t="shared" si="34"/>
        <v>443.6106696463529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77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71.674203995901337</v>
      </c>
      <c r="AA48" s="21">
        <f>EXP(-LN(2)/25)*AA47+(1-EXP(-LN(2)/25))/(LN(2)/25)*Calculateur!V48*Calculateur!X48*VLOOKUP('Données projet'!$B$9,Paramètres!$A$1:$I$89,3,0)*0.475*44/12</f>
        <v>32.319580927157212</v>
      </c>
      <c r="AB48" s="21">
        <f>EXP(-LN(2)/2)*AB47+(1-EXP(-LN(2)/2))/(LN(2)/2)*V48*Y48*VLOOKUP('Données projet'!$B$9,Paramètres!$A$1:$I$89,3,0)*0.475*44/12</f>
        <v>4.4823165757701903E-3</v>
      </c>
      <c r="AC48" s="22">
        <f t="shared" si="3"/>
        <v>103.99826723963432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9">
        <f t="shared" si="5"/>
        <v>701.15778740877795</v>
      </c>
      <c r="AN48" s="59">
        <f ca="1">AVERAGE(OFFSET($AM$3,0,0,'Données projet'!$E$10+1,1))-AVERAGE(OFFSET($H$3,0,0,'Données projet'!$E$10+1,1))</f>
        <v>520.95202773768222</v>
      </c>
      <c r="AO48" s="59">
        <f t="shared" si="36"/>
        <v>325.72635759450861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36.79144172057746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36.79144172057746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469</v>
      </c>
      <c r="BB48" s="12">
        <f>VLOOKUP(A48,'Données projet'!$A$87:$I$107,9,0)</f>
        <v>21.6</v>
      </c>
      <c r="BC48" s="12">
        <f t="array" ref="BC48">INDEX(BB:BB,MIN(IF(ISNUMBER(BB48:BB244),ROW(BB48:BB244),"")))</f>
        <v>21.6</v>
      </c>
      <c r="BD48" s="12">
        <f>IF('Données projet'!$A$88&gt;35,BD47+BC48-BL47,IF(A48&lt;'Données projet'!$A$88,$BA$205^A48,IF(A48='Données projet'!$A$88,'Données projet'!$B$88,BD47+BC48-BL47)))</f>
        <v>469.00000000000028</v>
      </c>
      <c r="BE48" s="13">
        <f>BD48*VLOOKUP('Données projet'!$B$11,Paramètres!$A$1:$I$89,3,0)*VLOOKUP('Données projet'!$B$11,Paramètres!$A$1:$I$89,5,0)</f>
        <v>280.46200000000022</v>
      </c>
      <c r="BF48" s="13">
        <f t="shared" si="37"/>
        <v>67.064633392006456</v>
      </c>
      <c r="BG48" s="20">
        <f t="shared" si="7"/>
        <v>605.27555315774487</v>
      </c>
      <c r="BH48" s="59">
        <f t="shared" si="8"/>
        <v>856.90231070857897</v>
      </c>
      <c r="BI48" s="59">
        <f ca="1">AVERAGE(OFFSET($BH$3,0,0,'Données projet'!$E$11+1,1))-AVERAGE(OFFSET($H$3,0,0,'Données projet'!$E$11+1,1))</f>
        <v>528.71639224940395</v>
      </c>
      <c r="BJ48" s="59">
        <f t="shared" si="38"/>
        <v>460.93390058676493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60</v>
      </c>
      <c r="BM48" s="16">
        <f>IF(ISNA(VLOOKUP(A48,'Données projet'!$A$87:$I$107,5,0)),0%,VLOOKUP(A48,'Données projet'!$A$87:$I$107,5,0)*VLOOKUP('Données projet'!$B$11,Paramètres!$A$1:$I$89,7,0))</f>
        <v>0.45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60.237164627320283</v>
      </c>
      <c r="BQ48" s="21">
        <f>EXP(-LN(2)/25)*BQ47+(1-EXP(-LN(2)/25))/(LN(2)/25)*Calculateur!BL48*Calculateur!BN48*VLOOKUP('Données projet'!$B$11,Paramètres!$A$1:$I$89,3,0)*0.475*44/12</f>
        <v>38.845808811623328</v>
      </c>
      <c r="BR48" s="21">
        <f>EXP(-LN(2)/2)*BR47+(1-EXP(-LN(2)/2))/(LN(2)/2)*BL48*BO48*VLOOKUP('Données projet'!$B$11,Paramètres!$A$1:$I$89,3,0)*0.475*44/12</f>
        <v>2.8927761214879091E-4</v>
      </c>
      <c r="BS48" s="22">
        <f t="shared" si="9"/>
        <v>99.083262716555765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142.95840000000004</v>
      </c>
      <c r="CA48" s="13">
        <f t="shared" si="39"/>
        <v>36.973906370811264</v>
      </c>
      <c r="CB48" s="20">
        <f t="shared" si="10"/>
        <v>313.38210026249641</v>
      </c>
      <c r="CC48" s="59">
        <f t="shared" si="11"/>
        <v>565.00885781333056</v>
      </c>
      <c r="CD48" s="59">
        <f ca="1">AVERAGE(OFFSET($CC$3,0,0,'Données projet'!$E$12+1,1))-AVERAGE(OFFSET($H$3,0,0,'Données projet'!$E$12+1,1))</f>
        <v>398.11190027805549</v>
      </c>
      <c r="CE48" s="59">
        <f t="shared" si="40"/>
        <v>250.47702091764884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24.62196484377106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24.62196484377106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9.9475000000000016</v>
      </c>
      <c r="CT48" s="12">
        <f>IF('Données projet'!$A$140&gt;35,CT47+CS48-DB47,IF(A48&lt;'Données projet'!$A$140,$CQ$205^A48,IF(A48='Données projet'!$A$140,'Données projet'!$B$140,CT47+CS48-DB47)))</f>
        <v>158.59250000000003</v>
      </c>
      <c r="CU48" s="17">
        <f>CT48*VLOOKUP('Données projet'!$B$13,Paramètres!$A$1:$I$89,3,0)*VLOOKUP('Données projet'!$B$13,Paramètres!$A$1:$I$89,5,0)</f>
        <v>150.91662300000004</v>
      </c>
      <c r="CV48" s="13">
        <f t="shared" si="41"/>
        <v>38.786817570784009</v>
      </c>
      <c r="CW48" s="20">
        <f t="shared" si="13"/>
        <v>330.40015899411554</v>
      </c>
      <c r="CX48" s="59">
        <f t="shared" si="14"/>
        <v>582.0269165449497</v>
      </c>
      <c r="CY48" s="59">
        <f ca="1">AVERAGE(OFFSET($CX$3,0,0,'Données projet'!$E$13+1,1))-AVERAGE(OFFSET($H$3,0,0,'Données projet'!$E$13+1,1))</f>
        <v>697.21496579281836</v>
      </c>
      <c r="CZ48" s="59">
        <f t="shared" si="42"/>
        <v>215.64914236153456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18.418391267822404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18.418391267822404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211.41120000000006</v>
      </c>
      <c r="DQ48" s="13">
        <f t="shared" si="43"/>
        <v>52.243848094411156</v>
      </c>
      <c r="DR48" s="20">
        <f t="shared" si="16"/>
        <v>459.19920876443285</v>
      </c>
      <c r="DS48" s="59">
        <f t="shared" si="17"/>
        <v>710.82596631526701</v>
      </c>
      <c r="DT48" s="59">
        <f ca="1">AVERAGE(OFFSET($DS$3,0,0,'Données projet'!$E$14+1,1))-AVERAGE(OFFSET($H$3,0,0,'Données projet'!$E$14+1,1))</f>
        <v>408.24135864450221</v>
      </c>
      <c r="DU48" s="59">
        <f t="shared" si="44"/>
        <v>394.10236303013903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0.53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43.205609261098736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43.205609261098736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26.4</v>
      </c>
      <c r="N49" s="13">
        <f>IF('Données projet'!$A$36&gt;35,N48+M49-V48,IF(A49&lt;'Données projet'!$A$36,$K$205^A49,IF(A49='Données projet'!$A$36,'Données projet'!$B$36,N48+M49-V48)))</f>
        <v>545.4</v>
      </c>
      <c r="O49" s="13">
        <f>N49*VLOOKUP('Données projet'!$B$9,Paramètres!$A$1:$I$89,3,0)*VLOOKUP('Données projet'!$B$9,Paramètres!$A$1:$I$89,5,0)</f>
        <v>255.24719999999999</v>
      </c>
      <c r="P49" s="13">
        <f t="shared" si="33"/>
        <v>61.708187819081218</v>
      </c>
      <c r="Q49" s="20">
        <f t="shared" si="53"/>
        <v>552.03063378489981</v>
      </c>
      <c r="R49" s="59">
        <f t="shared" si="0"/>
        <v>804.38090718362548</v>
      </c>
      <c r="S49" s="59">
        <f ca="1">AVERAGE(OFFSET($R$3,0,0,'Données projet'!$E$9+1,1))-AVERAGE(OFFSET($H$3,0,0,'Données projet'!$E$9+1,1))</f>
        <v>512.58510468904342</v>
      </c>
      <c r="T49" s="59">
        <f t="shared" si="34"/>
        <v>443.6106696463529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70.268716572489453</v>
      </c>
      <c r="AA49" s="21">
        <f>EXP(-LN(2)/25)*AA48+(1-EXP(-LN(2)/25))/(LN(2)/25)*Calculateur!V49*Calculateur!X49*VLOOKUP('Données projet'!$B$9,Paramètres!$A$1:$I$89,3,0)*0.475*44/12</f>
        <v>31.435800287091205</v>
      </c>
      <c r="AB49" s="21">
        <f>EXP(-LN(2)/2)*AB48+(1-EXP(-LN(2)/2))/(LN(2)/2)*V49*Y49*VLOOKUP('Données projet'!$B$9,Paramètres!$A$1:$I$89,3,0)*0.475*44/12</f>
        <v>3.169476446151967E-3</v>
      </c>
      <c r="AC49" s="22">
        <f t="shared" si="3"/>
        <v>101.7076863360268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9">
        <f t="shared" si="5"/>
        <v>665.25326532140161</v>
      </c>
      <c r="AN49" s="59">
        <f ca="1">AVERAGE(OFFSET($AM$3,0,0,'Données projet'!$E$10+1,1))-AVERAGE(OFFSET($H$3,0,0,'Données projet'!$E$10+1,1))</f>
        <v>520.95202773768222</v>
      </c>
      <c r="AO49" s="59">
        <f t="shared" si="36"/>
        <v>325.72635759450861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36.069983989000562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36.069983989000562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20</v>
      </c>
      <c r="BD49" s="12">
        <f>IF('Données projet'!$A$88&gt;35,BD48+BC49-BL48,IF(A49&lt;'Données projet'!$A$88,$BA$205^A49,IF(A49='Données projet'!$A$88,'Données projet'!$B$88,BD48+BC49-BL48)))</f>
        <v>429.00000000000028</v>
      </c>
      <c r="BE49" s="13">
        <f>BD49*VLOOKUP('Données projet'!$B$11,Paramètres!$A$1:$I$89,3,0)*VLOOKUP('Données projet'!$B$11,Paramètres!$A$1:$I$89,5,0)</f>
        <v>256.5420000000002</v>
      </c>
      <c r="BF49" s="13">
        <f t="shared" si="37"/>
        <v>61.984698688972557</v>
      </c>
      <c r="BG49" s="20">
        <f t="shared" si="7"/>
        <v>554.76733354996088</v>
      </c>
      <c r="BH49" s="59">
        <f t="shared" si="8"/>
        <v>807.11760694868656</v>
      </c>
      <c r="BI49" s="59">
        <f ca="1">AVERAGE(OFFSET($BH$3,0,0,'Données projet'!$E$11+1,1))-AVERAGE(OFFSET($H$3,0,0,'Données projet'!$E$11+1,1))</f>
        <v>528.71639224940395</v>
      </c>
      <c r="BJ49" s="59">
        <f t="shared" si="38"/>
        <v>460.93390058676493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59.055950570021075</v>
      </c>
      <c r="BQ49" s="21">
        <f>EXP(-LN(2)/25)*BQ48+(1-EXP(-LN(2)/25))/(LN(2)/25)*Calculateur!BL49*Calculateur!BN49*VLOOKUP('Données projet'!$B$11,Paramètres!$A$1:$I$89,3,0)*0.475*44/12</f>
        <v>37.783568126857183</v>
      </c>
      <c r="BR49" s="21">
        <f>EXP(-LN(2)/2)*BR48+(1-EXP(-LN(2)/2))/(LN(2)/2)*BL49*BO49*VLOOKUP('Données projet'!$B$11,Paramètres!$A$1:$I$89,3,0)*0.475*44/12</f>
        <v>2.0455016119586206E-4</v>
      </c>
      <c r="BS49" s="22">
        <f t="shared" si="9"/>
        <v>96.839723247039458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131.37696000000003</v>
      </c>
      <c r="CA49" s="13">
        <f t="shared" si="39"/>
        <v>34.314338988223334</v>
      </c>
      <c r="CB49" s="20">
        <f t="shared" si="10"/>
        <v>288.57901240448905</v>
      </c>
      <c r="CC49" s="59">
        <f t="shared" si="11"/>
        <v>540.92928580321473</v>
      </c>
      <c r="CD49" s="59">
        <f ca="1">AVERAGE(OFFSET($CC$3,0,0,'Données projet'!$E$12+1,1))-AVERAGE(OFFSET($H$3,0,0,'Données projet'!$E$12+1,1))</f>
        <v>398.11190027805549</v>
      </c>
      <c r="CE49" s="59">
        <f t="shared" si="40"/>
        <v>250.47702091764884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24.139143131100369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24.139143131100369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9.9475000000000016</v>
      </c>
      <c r="CT49" s="12">
        <f>IF('Données projet'!$A$140&gt;35,CT48+CS49-DB48,IF(A49&lt;'Données projet'!$A$140,$CQ$205^A49,IF(A49='Données projet'!$A$140,'Données projet'!$B$140,CT48+CS49-DB48)))</f>
        <v>168.54000000000002</v>
      </c>
      <c r="CU49" s="17">
        <f>CT49*VLOOKUP('Données projet'!$B$13,Paramètres!$A$1:$I$89,3,0)*VLOOKUP('Données projet'!$B$13,Paramètres!$A$1:$I$89,5,0)</f>
        <v>160.38266400000003</v>
      </c>
      <c r="CV49" s="13">
        <f t="shared" si="41"/>
        <v>40.928814336751095</v>
      </c>
      <c r="CW49" s="20">
        <f t="shared" si="13"/>
        <v>350.61749143650815</v>
      </c>
      <c r="CX49" s="59">
        <f t="shared" si="14"/>
        <v>602.96776483523377</v>
      </c>
      <c r="CY49" s="59">
        <f ca="1">AVERAGE(OFFSET($CX$3,0,0,'Données projet'!$E$13+1,1))-AVERAGE(OFFSET($H$3,0,0,'Données projet'!$E$13+1,1))</f>
        <v>697.21496579281836</v>
      </c>
      <c r="CZ49" s="59">
        <f t="shared" si="42"/>
        <v>215.64914236153456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18.057217849169803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18.057217849169803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197.95776000000006</v>
      </c>
      <c r="DQ49" s="13">
        <f t="shared" si="43"/>
        <v>49.295077435194649</v>
      </c>
      <c r="DR49" s="20">
        <f t="shared" si="16"/>
        <v>430.63202519963079</v>
      </c>
      <c r="DS49" s="59">
        <f t="shared" si="17"/>
        <v>682.98229859835646</v>
      </c>
      <c r="DT49" s="59">
        <f ca="1">AVERAGE(OFFSET($DS$3,0,0,'Données projet'!$E$14+1,1))-AVERAGE(OFFSET($H$3,0,0,'Données projet'!$E$14+1,1))</f>
        <v>408.24135864450221</v>
      </c>
      <c r="DU49" s="59">
        <f t="shared" si="44"/>
        <v>394.10236303013903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42.358373616308114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42.358373616308114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26.4</v>
      </c>
      <c r="N50" s="13">
        <f>IF('Données projet'!$A$36&gt;35,N49+M50-V49,IF(A50&lt;'Données projet'!$A$36,$K$205^A50,IF(A50='Données projet'!$A$36,'Données projet'!$B$36,N49+M50-V49)))</f>
        <v>571.79999999999995</v>
      </c>
      <c r="O50" s="13">
        <f>N50*VLOOKUP('Données projet'!$B$9,Paramètres!$A$1:$I$89,3,0)*VLOOKUP('Données projet'!$B$9,Paramètres!$A$1:$I$89,5,0)</f>
        <v>267.60239999999999</v>
      </c>
      <c r="P50" s="13">
        <f t="shared" si="33"/>
        <v>64.340174211244943</v>
      </c>
      <c r="Q50" s="20">
        <f t="shared" si="53"/>
        <v>578.13331675125153</v>
      </c>
      <c r="R50" s="59">
        <f t="shared" si="0"/>
        <v>831.19455461544692</v>
      </c>
      <c r="S50" s="59">
        <f ca="1">AVERAGE(OFFSET($R$3,0,0,'Données projet'!$E$9+1,1))-AVERAGE(OFFSET($H$3,0,0,'Données projet'!$E$9+1,1))</f>
        <v>512.58510468904342</v>
      </c>
      <c r="T50" s="59">
        <f t="shared" si="34"/>
        <v>443.6106696463529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68.890789900187997</v>
      </c>
      <c r="AA50" s="21">
        <f>EXP(-LN(2)/25)*AA49+(1-EXP(-LN(2)/25))/(LN(2)/25)*Calculateur!V50*Calculateur!X50*VLOOKUP('Données projet'!$B$9,Paramètres!$A$1:$I$89,3,0)*0.475*44/12</f>
        <v>30.576186675103806</v>
      </c>
      <c r="AB50" s="21">
        <f>EXP(-LN(2)/2)*AB49+(1-EXP(-LN(2)/2))/(LN(2)/2)*V50*Y50*VLOOKUP('Données projet'!$B$9,Paramètres!$A$1:$I$89,3,0)*0.475*44/12</f>
        <v>2.2411582878850951E-3</v>
      </c>
      <c r="AC50" s="22">
        <f t="shared" si="3"/>
        <v>99.469217733579683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689.67232542152533</v>
      </c>
      <c r="AN50" s="59">
        <f ca="1">AVERAGE(OFFSET($AM$3,0,0,'Données projet'!$E$10+1,1))-AVERAGE(OFFSET($H$3,0,0,'Données projet'!$E$10+1,1))</f>
        <v>520.95202773768222</v>
      </c>
      <c r="AO50" s="59">
        <f t="shared" si="36"/>
        <v>325.72635759450861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35.362673603494123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35.362673603494123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20</v>
      </c>
      <c r="BD50" s="12">
        <f>IF('Données projet'!$A$88&gt;35,BD49+BC50-BL49,IF(A50&lt;'Données projet'!$A$88,$BA$205^A50,IF(A50='Données projet'!$A$88,'Données projet'!$B$88,BD49+BC50-BL49)))</f>
        <v>449.00000000000028</v>
      </c>
      <c r="BE50" s="13">
        <f>BD50*VLOOKUP('Données projet'!$B$11,Paramètres!$A$1:$I$89,3,0)*VLOOKUP('Données projet'!$B$11,Paramètres!$A$1:$I$89,5,0)</f>
        <v>268.50200000000018</v>
      </c>
      <c r="BF50" s="13">
        <f t="shared" si="37"/>
        <v>64.531253013339224</v>
      </c>
      <c r="BG50" s="20">
        <f t="shared" si="7"/>
        <v>580.03291566489941</v>
      </c>
      <c r="BH50" s="59">
        <f t="shared" si="8"/>
        <v>833.0941535290948</v>
      </c>
      <c r="BI50" s="59">
        <f ca="1">AVERAGE(OFFSET($BH$3,0,0,'Données projet'!$E$11+1,1))-AVERAGE(OFFSET($H$3,0,0,'Données projet'!$E$11+1,1))</f>
        <v>528.71639224940395</v>
      </c>
      <c r="BJ50" s="59">
        <f t="shared" si="38"/>
        <v>460.93390058676493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57.897899399916071</v>
      </c>
      <c r="BQ50" s="21">
        <f>EXP(-LN(2)/25)*BQ49+(1-EXP(-LN(2)/25))/(LN(2)/25)*Calculateur!BL50*Calculateur!BN50*VLOOKUP('Données projet'!$B$11,Paramètres!$A$1:$I$89,3,0)*0.475*44/12</f>
        <v>36.750374469476782</v>
      </c>
      <c r="BR50" s="21">
        <f>EXP(-LN(2)/2)*BR49+(1-EXP(-LN(2)/2))/(LN(2)/2)*BL50*BO50*VLOOKUP('Données projet'!$B$11,Paramètres!$A$1:$I$89,3,0)*0.475*44/12</f>
        <v>1.4463880607439546E-4</v>
      </c>
      <c r="BS50" s="22">
        <f t="shared" si="9"/>
        <v>94.64841850819893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138.79632000000001</v>
      </c>
      <c r="CA50" s="13">
        <f t="shared" si="39"/>
        <v>36.021120886354588</v>
      </c>
      <c r="CB50" s="20">
        <f t="shared" si="10"/>
        <v>304.47370954373423</v>
      </c>
      <c r="CC50" s="59">
        <f t="shared" si="11"/>
        <v>557.53494740792962</v>
      </c>
      <c r="CD50" s="59">
        <f ca="1">AVERAGE(OFFSET($CC$3,0,0,'Données projet'!$E$12+1,1))-AVERAGE(OFFSET($H$3,0,0,'Données projet'!$E$12+1,1))</f>
        <v>398.11190027805549</v>
      </c>
      <c r="CE50" s="59">
        <f t="shared" si="40"/>
        <v>250.47702091764884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23.665789257722984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23.665789257722984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9.9475000000000016</v>
      </c>
      <c r="CT50" s="12">
        <f>IF('Données projet'!$A$140&gt;35,CT49+CS50-DB49,IF(A50&lt;'Données projet'!$A$140,$CQ$205^A50,IF(A50='Données projet'!$A$140,'Données projet'!$B$140,CT49+CS50-DB49)))</f>
        <v>178.48750000000001</v>
      </c>
      <c r="CU50" s="17">
        <f>CT50*VLOOKUP('Données projet'!$B$13,Paramètres!$A$1:$I$89,3,0)*VLOOKUP('Données projet'!$B$13,Paramètres!$A$1:$I$89,5,0)</f>
        <v>169.848705</v>
      </c>
      <c r="CV50" s="13">
        <f t="shared" si="41"/>
        <v>43.056136782537017</v>
      </c>
      <c r="CW50" s="20">
        <f t="shared" si="13"/>
        <v>370.80926610458528</v>
      </c>
      <c r="CX50" s="59">
        <f t="shared" si="14"/>
        <v>623.87050396878067</v>
      </c>
      <c r="CY50" s="59">
        <f ca="1">AVERAGE(OFFSET($CX$3,0,0,'Données projet'!$E$13+1,1))-AVERAGE(OFFSET($H$3,0,0,'Données projet'!$E$13+1,1))</f>
        <v>697.21496579281836</v>
      </c>
      <c r="CZ50" s="59">
        <f t="shared" si="42"/>
        <v>215.64914236153456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17.703126820962947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17.703126820962947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205.47072000000009</v>
      </c>
      <c r="DQ50" s="13">
        <f t="shared" si="43"/>
        <v>50.944571570352757</v>
      </c>
      <c r="DR50" s="20">
        <f t="shared" si="16"/>
        <v>446.58996615169781</v>
      </c>
      <c r="DS50" s="59">
        <f t="shared" si="17"/>
        <v>699.6512040158932</v>
      </c>
      <c r="DT50" s="59">
        <f ca="1">AVERAGE(OFFSET($DS$3,0,0,'Données projet'!$E$14+1,1))-AVERAGE(OFFSET($H$3,0,0,'Données projet'!$E$14+1,1))</f>
        <v>408.24135864450221</v>
      </c>
      <c r="DU50" s="59">
        <f t="shared" si="44"/>
        <v>394.10236303013903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41.527751745749121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41.527751745749121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26.4</v>
      </c>
      <c r="N51" s="13">
        <f>IF('Données projet'!$A$36&gt;35,N50+M51-V50,IF(A51&lt;'Données projet'!$A$36,$K$205^A51,IF(A51='Données projet'!$A$36,'Données projet'!$B$36,N50+M51-V50)))</f>
        <v>598.19999999999993</v>
      </c>
      <c r="O51" s="13">
        <f>N51*VLOOKUP('Données projet'!$B$9,Paramètres!$A$1:$I$89,3,0)*VLOOKUP('Données projet'!$B$9,Paramètres!$A$1:$I$89,5,0)</f>
        <v>279.95759999999996</v>
      </c>
      <c r="P51" s="13">
        <f t="shared" si="33"/>
        <v>66.958048463279056</v>
      </c>
      <c r="Q51" s="20">
        <f t="shared" si="53"/>
        <v>604.21142107354433</v>
      </c>
      <c r="R51" s="59">
        <f t="shared" si="0"/>
        <v>857.97128975921203</v>
      </c>
      <c r="S51" s="59">
        <f ca="1">AVERAGE(OFFSET($R$3,0,0,'Données projet'!$E$9+1,1))-AVERAGE(OFFSET($H$3,0,0,'Données projet'!$E$9+1,1))</f>
        <v>512.58510468904342</v>
      </c>
      <c r="T51" s="59">
        <f t="shared" si="34"/>
        <v>443.6106696463529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67.539883529478089</v>
      </c>
      <c r="AA51" s="21">
        <f>EXP(-LN(2)/25)*AA50+(1-EXP(-LN(2)/25))/(LN(2)/25)*Calculateur!V51*Calculateur!X51*VLOOKUP('Données projet'!$B$9,Paramètres!$A$1:$I$89,3,0)*0.475*44/12</f>
        <v>29.740079242541317</v>
      </c>
      <c r="AB51" s="21">
        <f>EXP(-LN(2)/2)*AB50+(1-EXP(-LN(2)/2))/(LN(2)/2)*V51*Y51*VLOOKUP('Données projet'!$B$9,Paramètres!$A$1:$I$89,3,0)*0.475*44/12</f>
        <v>1.5847382230759835E-3</v>
      </c>
      <c r="AC51" s="22">
        <f t="shared" si="3"/>
        <v>97.281547510242476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9">
        <f t="shared" si="5"/>
        <v>714.05143888534076</v>
      </c>
      <c r="AN51" s="59">
        <f ca="1">AVERAGE(OFFSET($AM$3,0,0,'Données projet'!$E$10+1,1))-AVERAGE(OFFSET($H$3,0,0,'Données projet'!$E$10+1,1))</f>
        <v>520.95202773768222</v>
      </c>
      <c r="AO51" s="59">
        <f t="shared" si="36"/>
        <v>325.72635759450861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34.669233143230727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34.669233143230727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20</v>
      </c>
      <c r="BD51" s="12">
        <f>IF('Données projet'!$A$88&gt;35,BD50+BC51-BL50,IF(A51&lt;'Données projet'!$A$88,$BA$205^A51,IF(A51='Données projet'!$A$88,'Données projet'!$B$88,BD50+BC51-BL50)))</f>
        <v>469.00000000000028</v>
      </c>
      <c r="BE51" s="13">
        <f>BD51*VLOOKUP('Données projet'!$B$11,Paramètres!$A$1:$I$89,3,0)*VLOOKUP('Données projet'!$B$11,Paramètres!$A$1:$I$89,5,0)</f>
        <v>280.46200000000022</v>
      </c>
      <c r="BF51" s="13">
        <f t="shared" si="37"/>
        <v>67.064633392006456</v>
      </c>
      <c r="BG51" s="20">
        <f t="shared" si="7"/>
        <v>605.27555315774487</v>
      </c>
      <c r="BH51" s="59">
        <f t="shared" si="8"/>
        <v>859.03542184341256</v>
      </c>
      <c r="BI51" s="59">
        <f ca="1">AVERAGE(OFFSET($BH$3,0,0,'Données projet'!$E$11+1,1))-AVERAGE(OFFSET($H$3,0,0,'Données projet'!$E$11+1,1))</f>
        <v>528.71639224940395</v>
      </c>
      <c r="BJ51" s="59">
        <f t="shared" si="38"/>
        <v>460.93390058676493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56.762556906915357</v>
      </c>
      <c r="BQ51" s="21">
        <f>EXP(-LN(2)/25)*BQ50+(1-EXP(-LN(2)/25))/(LN(2)/25)*Calculateur!BL51*Calculateur!BN51*VLOOKUP('Données projet'!$B$11,Paramètres!$A$1:$I$89,3,0)*0.475*44/12</f>
        <v>35.745433546990739</v>
      </c>
      <c r="BR51" s="21">
        <f>EXP(-LN(2)/2)*BR50+(1-EXP(-LN(2)/2))/(LN(2)/2)*BL51*BO51*VLOOKUP('Données projet'!$B$11,Paramètres!$A$1:$I$89,3,0)*0.475*44/12</f>
        <v>1.0227508059793103E-4</v>
      </c>
      <c r="BS51" s="22">
        <f t="shared" si="9"/>
        <v>92.508092728986696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146.21568000000002</v>
      </c>
      <c r="CA51" s="13">
        <f t="shared" si="39"/>
        <v>37.717310552893402</v>
      </c>
      <c r="CB51" s="20">
        <f t="shared" si="10"/>
        <v>320.34995854628937</v>
      </c>
      <c r="CC51" s="59">
        <f t="shared" si="11"/>
        <v>574.10982723195707</v>
      </c>
      <c r="CD51" s="59">
        <f ca="1">AVERAGE(OFFSET($CC$3,0,0,'Données projet'!$E$12+1,1))-AVERAGE(OFFSET($H$3,0,0,'Données projet'!$E$12+1,1))</f>
        <v>398.11190027805549</v>
      </c>
      <c r="CE51" s="59">
        <f t="shared" si="40"/>
        <v>250.47702091764884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23.201717565085175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23.201717565085175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9.9475000000000016</v>
      </c>
      <c r="CT51" s="12">
        <f>IF('Données projet'!$A$140&gt;35,CT50+CS51-DB50,IF(A51&lt;'Données projet'!$A$140,$CQ$205^A51,IF(A51='Données projet'!$A$140,'Données projet'!$B$140,CT50+CS51-DB50)))</f>
        <v>188.435</v>
      </c>
      <c r="CU51" s="17">
        <f>CT51*VLOOKUP('Données projet'!$B$13,Paramètres!$A$1:$I$89,3,0)*VLOOKUP('Données projet'!$B$13,Paramètres!$A$1:$I$89,5,0)</f>
        <v>179.31474600000001</v>
      </c>
      <c r="CV51" s="13">
        <f t="shared" si="41"/>
        <v>45.169695949598257</v>
      </c>
      <c r="CW51" s="20">
        <f t="shared" si="13"/>
        <v>390.97706972888363</v>
      </c>
      <c r="CX51" s="59">
        <f t="shared" si="14"/>
        <v>644.73693841455133</v>
      </c>
      <c r="CY51" s="59">
        <f ca="1">AVERAGE(OFFSET($CX$3,0,0,'Données projet'!$E$13+1,1))-AVERAGE(OFFSET($H$3,0,0,'Données projet'!$E$13+1,1))</f>
        <v>697.21496579281836</v>
      </c>
      <c r="CZ51" s="59">
        <f t="shared" si="42"/>
        <v>215.64914236153456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17.355979301845025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17.355979301845025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212.98368000000008</v>
      </c>
      <c r="DQ51" s="13">
        <f t="shared" si="43"/>
        <v>52.587058525970363</v>
      </c>
      <c r="DR51" s="20">
        <f t="shared" si="16"/>
        <v>462.53570293273191</v>
      </c>
      <c r="DS51" s="59">
        <f t="shared" si="17"/>
        <v>716.29557161839966</v>
      </c>
      <c r="DT51" s="59">
        <f ca="1">AVERAGE(OFFSET($DS$3,0,0,'Données projet'!$E$14+1,1))-AVERAGE(OFFSET($H$3,0,0,'Données projet'!$E$14+1,1))</f>
        <v>408.24135864450221</v>
      </c>
      <c r="DU51" s="59">
        <f t="shared" si="44"/>
        <v>394.10236303013903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40.713417863442473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40.713417863442473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26.4</v>
      </c>
      <c r="N52" s="13">
        <f>IF('Données projet'!$A$36&gt;35,N51+M52-V51,IF(A52&lt;'Données projet'!$A$36,$K$205^A52,IF(A52='Données projet'!$A$36,'Données projet'!$B$36,N51+M52-V51)))</f>
        <v>624.59999999999991</v>
      </c>
      <c r="O52" s="13">
        <f>N52*VLOOKUP('Données projet'!$B$9,Paramètres!$A$1:$I$89,3,0)*VLOOKUP('Données projet'!$B$9,Paramètres!$A$1:$I$89,5,0)</f>
        <v>292.31279999999998</v>
      </c>
      <c r="P52" s="13">
        <f t="shared" si="33"/>
        <v>69.562504549179678</v>
      </c>
      <c r="Q52" s="20">
        <f t="shared" si="53"/>
        <v>630.26615542315449</v>
      </c>
      <c r="R52" s="59">
        <f t="shared" si="0"/>
        <v>884.71253524744645</v>
      </c>
      <c r="S52" s="59">
        <f ca="1">AVERAGE(OFFSET($R$3,0,0,'Données projet'!$E$9+1,1))-AVERAGE(OFFSET($H$3,0,0,'Données projet'!$E$9+1,1))</f>
        <v>512.58510468904342</v>
      </c>
      <c r="T52" s="59">
        <f t="shared" si="34"/>
        <v>443.6106696463529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66.215467608726286</v>
      </c>
      <c r="AA52" s="21">
        <f>EXP(-LN(2)/25)*AA51+(1-EXP(-LN(2)/25))/(LN(2)/25)*Calculateur!V52*Calculateur!X52*VLOOKUP('Données projet'!$B$9,Paramètres!$A$1:$I$89,3,0)*0.475*44/12</f>
        <v>28.92683521169123</v>
      </c>
      <c r="AB52" s="21">
        <f>EXP(-LN(2)/2)*AB51+(1-EXP(-LN(2)/2))/(LN(2)/2)*V52*Y52*VLOOKUP('Données projet'!$B$9,Paramètres!$A$1:$I$89,3,0)*0.475*44/12</f>
        <v>1.1205791439425476E-3</v>
      </c>
      <c r="AC52" s="22">
        <f t="shared" si="3"/>
        <v>95.143423399561456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9">
        <f t="shared" si="5"/>
        <v>738.39243872858447</v>
      </c>
      <c r="AN52" s="59">
        <f ca="1">AVERAGE(OFFSET($AM$3,0,0,'Données projet'!$E$10+1,1))-AVERAGE(OFFSET($H$3,0,0,'Données projet'!$E$10+1,1))</f>
        <v>520.95202773768222</v>
      </c>
      <c r="AO52" s="59">
        <f t="shared" si="36"/>
        <v>325.72635759450861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33.98939062743618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33.98939062743618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</v>
      </c>
      <c r="BD52" s="12">
        <f>IF('Données projet'!$A$88&gt;35,BD51+BC52-BL51,IF(A52&lt;'Données projet'!$A$88,$BA$205^A52,IF(A52='Données projet'!$A$88,'Données projet'!$B$88,BD51+BC52-BL51)))</f>
        <v>489.00000000000028</v>
      </c>
      <c r="BE52" s="13">
        <f>BD52*VLOOKUP('Données projet'!$B$11,Paramètres!$A$1:$I$89,3,0)*VLOOKUP('Données projet'!$B$11,Paramètres!$A$1:$I$89,5,0)</f>
        <v>292.4220000000002</v>
      </c>
      <c r="BF52" s="13">
        <f t="shared" si="37"/>
        <v>69.585465839061499</v>
      </c>
      <c r="BG52" s="20">
        <f t="shared" si="7"/>
        <v>630.49633633636574</v>
      </c>
      <c r="BH52" s="59">
        <f t="shared" si="8"/>
        <v>884.94271616065771</v>
      </c>
      <c r="BI52" s="59">
        <f ca="1">AVERAGE(OFFSET($BH$3,0,0,'Données projet'!$E$11+1,1))-AVERAGE(OFFSET($H$3,0,0,'Données projet'!$E$11+1,1))</f>
        <v>528.71639224940395</v>
      </c>
      <c r="BJ52" s="59">
        <f t="shared" si="38"/>
        <v>460.93390058676493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55.649477787711845</v>
      </c>
      <c r="BQ52" s="21">
        <f>EXP(-LN(2)/25)*BQ51+(1-EXP(-LN(2)/25))/(LN(2)/25)*Calculateur!BL52*Calculateur!BN52*VLOOKUP('Données projet'!$B$11,Paramètres!$A$1:$I$89,3,0)*0.475*44/12</f>
        <v>34.767972786877621</v>
      </c>
      <c r="BR52" s="21">
        <f>EXP(-LN(2)/2)*BR51+(1-EXP(-LN(2)/2))/(LN(2)/2)*BL52*BO52*VLOOKUP('Données projet'!$B$11,Paramètres!$A$1:$I$89,3,0)*0.475*44/12</f>
        <v>7.2319403037197729E-5</v>
      </c>
      <c r="BS52" s="22">
        <f t="shared" si="9"/>
        <v>90.417522893992498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153.63504</v>
      </c>
      <c r="CA52" s="13">
        <f t="shared" si="39"/>
        <v>39.403506785222667</v>
      </c>
      <c r="CB52" s="20">
        <f t="shared" si="10"/>
        <v>336.20880231759617</v>
      </c>
      <c r="CC52" s="59">
        <f t="shared" si="11"/>
        <v>590.65518214188819</v>
      </c>
      <c r="CD52" s="59">
        <f ca="1">AVERAGE(OFFSET($CC$3,0,0,'Données projet'!$E$12+1,1))-AVERAGE(OFFSET($H$3,0,0,'Données projet'!$E$12+1,1))</f>
        <v>398.11190027805549</v>
      </c>
      <c r="CE52" s="59">
        <f t="shared" si="40"/>
        <v>250.47702091764884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22.746746035284211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22.746746035284211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9.9475000000000016</v>
      </c>
      <c r="CT52" s="12">
        <f>IF('Données projet'!$A$140&gt;35,CT51+CS52-DB51,IF(A52&lt;'Données projet'!$A$140,$CQ$205^A52,IF(A52='Données projet'!$A$140,'Données projet'!$B$140,CT51+CS52-DB51)))</f>
        <v>198.38249999999999</v>
      </c>
      <c r="CU52" s="17">
        <f>CT52*VLOOKUP('Données projet'!$B$13,Paramètres!$A$1:$I$89,3,0)*VLOOKUP('Données projet'!$B$13,Paramètres!$A$1:$I$89,5,0)</f>
        <v>188.780787</v>
      </c>
      <c r="CV52" s="13">
        <f t="shared" si="41"/>
        <v>47.270301258838543</v>
      </c>
      <c r="CW52" s="20">
        <f t="shared" si="13"/>
        <v>411.12231205081048</v>
      </c>
      <c r="CX52" s="59">
        <f t="shared" si="14"/>
        <v>665.56869187510245</v>
      </c>
      <c r="CY52" s="59">
        <f ca="1">AVERAGE(OFFSET($CX$3,0,0,'Données projet'!$E$13+1,1))-AVERAGE(OFFSET($H$3,0,0,'Données projet'!$E$13+1,1))</f>
        <v>697.21496579281836</v>
      </c>
      <c r="CZ52" s="59">
        <f t="shared" si="42"/>
        <v>215.64914236153456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17.015639133837926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17.015639133837926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220.49664000000004</v>
      </c>
      <c r="DQ52" s="13">
        <f t="shared" si="43"/>
        <v>54.222813800824916</v>
      </c>
      <c r="DR52" s="20">
        <f t="shared" si="16"/>
        <v>478.46971536977009</v>
      </c>
      <c r="DS52" s="59">
        <f t="shared" si="17"/>
        <v>732.91609519406211</v>
      </c>
      <c r="DT52" s="59">
        <f ca="1">AVERAGE(OFFSET($DS$3,0,0,'Données projet'!$E$14+1,1))-AVERAGE(OFFSET($H$3,0,0,'Données projet'!$E$14+1,1))</f>
        <v>408.24135864450221</v>
      </c>
      <c r="DU52" s="59">
        <f t="shared" si="44"/>
        <v>394.10236303013903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39.915052571873233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39.915052571873233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651</v>
      </c>
      <c r="L53" s="12">
        <f>VLOOKUP(A53,'Données projet'!$A$35:$I$55,9,0)</f>
        <v>26.4</v>
      </c>
      <c r="M53" s="12">
        <f t="array" ref="M53">INDEX(L:L,MIN(IF(ISNUMBER(L53:L249),ROW(L53:L249),"")))</f>
        <v>26.4</v>
      </c>
      <c r="N53" s="13">
        <f>IF('Données projet'!$A$36&gt;35,N52+M53-V52,IF(A53&lt;'Données projet'!$A$36,$K$205^A53,IF(A53='Données projet'!$A$36,'Données projet'!$B$36,N52+M53-V52)))</f>
        <v>650.99999999999989</v>
      </c>
      <c r="O53" s="13">
        <f>N53*VLOOKUP('Données projet'!$B$9,Paramètres!$A$1:$I$89,3,0)*VLOOKUP('Données projet'!$B$9,Paramètres!$A$1:$I$89,5,0)</f>
        <v>304.66799999999995</v>
      </c>
      <c r="P53" s="13">
        <f t="shared" si="33"/>
        <v>72.154174460006061</v>
      </c>
      <c r="Q53" s="20">
        <f t="shared" si="53"/>
        <v>656.29862051784369</v>
      </c>
      <c r="R53" s="59">
        <f t="shared" si="0"/>
        <v>911.41960204731379</v>
      </c>
      <c r="S53" s="59">
        <f ca="1">AVERAGE(OFFSET($R$3,0,0,'Données projet'!$E$9+1,1))-AVERAGE(OFFSET($H$3,0,0,'Données projet'!$E$9+1,1))</f>
        <v>512.58510468904342</v>
      </c>
      <c r="T53" s="59">
        <f t="shared" si="34"/>
        <v>443.6106696463529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76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90.867807179456932</v>
      </c>
      <c r="AA53" s="21">
        <f>EXP(-LN(2)/25)*AA52+(1-EXP(-LN(2)/25))/(LN(2)/25)*Calculateur!V53*Calculateur!X53*VLOOKUP('Données projet'!$B$9,Paramètres!$A$1:$I$89,3,0)*0.475*44/12</f>
        <v>28.135829381631382</v>
      </c>
      <c r="AB53" s="21">
        <f>EXP(-LN(2)/2)*AB52+(1-EXP(-LN(2)/2))/(LN(2)/2)*V53*Y53*VLOOKUP('Données projet'!$B$9,Paramètres!$A$1:$I$89,3,0)*0.475*44/12</f>
        <v>7.9236911153799175E-4</v>
      </c>
      <c r="AC53" s="22">
        <f t="shared" si="3"/>
        <v>119.00442893019985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9">
        <f t="shared" si="5"/>
        <v>762.69698320382963</v>
      </c>
      <c r="AN53" s="59">
        <f ca="1">AVERAGE(OFFSET($AM$3,0,0,'Données projet'!$E$10+1,1))-AVERAGE(OFFSET($H$3,0,0,'Données projet'!$E$10+1,1))</f>
        <v>520.95202773768222</v>
      </c>
      <c r="AO53" s="59">
        <f t="shared" si="36"/>
        <v>325.72635759450861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46.819080865464173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46.819080865464173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20</v>
      </c>
      <c r="BC53" s="12">
        <f t="array" ref="BC53">INDEX(BB:BB,MIN(IF(ISNUMBER(BB53:BB249),ROW(BB53:BB249),"")))</f>
        <v>20</v>
      </c>
      <c r="BD53" s="12">
        <f>IF('Données projet'!$A$88&gt;35,BD52+BC53-BL52,IF(A53&lt;'Données projet'!$A$88,$BA$205^A53,IF(A53='Données projet'!$A$88,'Données projet'!$B$88,BD52+BC53-BL52)))</f>
        <v>509.00000000000028</v>
      </c>
      <c r="BE53" s="13">
        <f>BD53*VLOOKUP('Données projet'!$B$11,Paramètres!$A$1:$I$89,3,0)*VLOOKUP('Données projet'!$B$11,Paramètres!$A$1:$I$89,5,0)</f>
        <v>304.38200000000018</v>
      </c>
      <c r="BF53" s="13">
        <f t="shared" si="37"/>
        <v>72.094322263150417</v>
      </c>
      <c r="BG53" s="20">
        <f t="shared" si="7"/>
        <v>655.69626127498725</v>
      </c>
      <c r="BH53" s="59">
        <f t="shared" si="8"/>
        <v>910.81724280445735</v>
      </c>
      <c r="BI53" s="59">
        <f ca="1">AVERAGE(OFFSET($BH$3,0,0,'Données projet'!$E$11+1,1))-AVERAGE(OFFSET($H$3,0,0,'Données projet'!$E$11+1,1))</f>
        <v>528.71639224940395</v>
      </c>
      <c r="BJ53" s="59">
        <f t="shared" si="38"/>
        <v>460.93390058676493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0.45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73.478085703940053</v>
      </c>
      <c r="BQ53" s="21">
        <f>EXP(-LN(2)/25)*BQ52+(1-EXP(-LN(2)/25))/(LN(2)/25)*Calculateur!BL53*Calculateur!BN53*VLOOKUP('Données projet'!$B$11,Paramètres!$A$1:$I$89,3,0)*0.475*44/12</f>
        <v>33.817240742652224</v>
      </c>
      <c r="BR53" s="21">
        <f>EXP(-LN(2)/2)*BR52+(1-EXP(-LN(2)/2))/(LN(2)/2)*BL53*BO53*VLOOKUP('Données projet'!$B$11,Paramètres!$A$1:$I$89,3,0)*0.475*44/12</f>
        <v>5.1137540298965516E-5</v>
      </c>
      <c r="BS53" s="22">
        <f t="shared" si="9"/>
        <v>107.29537758413257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161.05439999999999</v>
      </c>
      <c r="CA53" s="13">
        <f t="shared" si="39"/>
        <v>41.080247278685491</v>
      </c>
      <c r="CB53" s="20">
        <f t="shared" si="10"/>
        <v>352.05117734371055</v>
      </c>
      <c r="CC53" s="59">
        <f t="shared" si="11"/>
        <v>607.17215887318071</v>
      </c>
      <c r="CD53" s="59">
        <f ca="1">AVERAGE(OFFSET($CC$3,0,0,'Données projet'!$E$12+1,1))-AVERAGE(OFFSET($H$3,0,0,'Données projet'!$E$12+1,1))</f>
        <v>398.11190027805549</v>
      </c>
      <c r="CE53" s="59">
        <f t="shared" si="40"/>
        <v>250.47702091764884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31.332769502272171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31.332769502272171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9.9475000000000016</v>
      </c>
      <c r="CS53" s="12">
        <f t="array" ref="CS53">INDEX(CR:CR,MIN(IF(ISNUMBER(CR53:CR249),ROW(CR53:CR249),"")))</f>
        <v>9.9475000000000016</v>
      </c>
      <c r="CT53" s="12">
        <f>IF('Données projet'!$A$140&gt;35,CT52+CS53-DB52,IF(A53&lt;'Données projet'!$A$140,$CQ$205^A53,IF(A53='Données projet'!$A$140,'Données projet'!$B$140,CT52+CS53-DB52)))</f>
        <v>208.32999999999998</v>
      </c>
      <c r="CU53" s="17">
        <f>CT53*VLOOKUP('Données projet'!$B$13,Paramètres!$A$1:$I$89,3,0)*VLOOKUP('Données projet'!$B$13,Paramètres!$A$1:$I$89,5,0)</f>
        <v>198.24682799999999</v>
      </c>
      <c r="CV53" s="13">
        <f t="shared" si="41"/>
        <v>49.358676372128365</v>
      </c>
      <c r="CW53" s="20">
        <f t="shared" si="13"/>
        <v>431.24625344812353</v>
      </c>
      <c r="CX53" s="59">
        <f t="shared" si="14"/>
        <v>686.36723497759363</v>
      </c>
      <c r="CY53" s="59">
        <f ca="1">AVERAGE(OFFSET($CX$3,0,0,'Données projet'!$E$13+1,1))-AVERAGE(OFFSET($H$3,0,0,'Données projet'!$E$13+1,1))</f>
        <v>697.21496579281836</v>
      </c>
      <c r="CZ53" s="59">
        <f t="shared" si="42"/>
        <v>215.64914236153456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32.77641553097294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32.77641553097294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228.00960000000009</v>
      </c>
      <c r="DQ53" s="13">
        <f t="shared" si="43"/>
        <v>55.852093054619878</v>
      </c>
      <c r="DR53" s="20">
        <f t="shared" si="16"/>
        <v>494.3924487367965</v>
      </c>
      <c r="DS53" s="59">
        <f t="shared" si="17"/>
        <v>749.5134302662666</v>
      </c>
      <c r="DT53" s="59">
        <f ca="1">AVERAGE(OFFSET($DS$3,0,0,'Données projet'!$E$14+1,1))-AVERAGE(OFFSET($H$3,0,0,'Données projet'!$E$14+1,1))</f>
        <v>408.24135864450221</v>
      </c>
      <c r="DU53" s="59">
        <f t="shared" si="44"/>
        <v>394.10236303013903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0.53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48.857333696965974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48.857333696965974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24.4</v>
      </c>
      <c r="N54" s="13">
        <f>IF('Données projet'!$A$36&gt;35,N53+M54-V53,IF(A54&lt;'Données projet'!$A$36,$K$205^A54,IF(A54='Données projet'!$A$36,'Données projet'!$B$36,N53+M54-V53)))</f>
        <v>599.39999999999986</v>
      </c>
      <c r="O54" s="13">
        <f>N54*VLOOKUP('Données projet'!$B$9,Paramètres!$A$1:$I$89,3,0)*VLOOKUP('Données projet'!$B$9,Paramètres!$A$1:$I$89,5,0)</f>
        <v>280.5191999999999</v>
      </c>
      <c r="P54" s="13">
        <f t="shared" si="33"/>
        <v>67.076718933381159</v>
      </c>
      <c r="Q54" s="20">
        <f t="shared" si="53"/>
        <v>605.39622547563874</v>
      </c>
      <c r="R54" s="59">
        <f t="shared" si="0"/>
        <v>861.18010587888557</v>
      </c>
      <c r="S54" s="59">
        <f ca="1">AVERAGE(OFFSET($R$3,0,0,'Données projet'!$E$9+1,1))-AVERAGE(OFFSET($H$3,0,0,'Données projet'!$E$9+1,1))</f>
        <v>512.58510468904342</v>
      </c>
      <c r="T54" s="59">
        <f t="shared" si="34"/>
        <v>443.6106696463529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89.085944904557508</v>
      </c>
      <c r="AA54" s="21">
        <f>EXP(-LN(2)/25)*AA53+(1-EXP(-LN(2)/25))/(LN(2)/25)*Calculateur!V54*Calculateur!X54*VLOOKUP('Données projet'!$B$9,Paramètres!$A$1:$I$89,3,0)*0.475*44/12</f>
        <v>27.366453647591708</v>
      </c>
      <c r="AB54" s="21">
        <f>EXP(-LN(2)/2)*AB53+(1-EXP(-LN(2)/2))/(LN(2)/2)*V54*Y54*VLOOKUP('Données projet'!$B$9,Paramètres!$A$1:$I$89,3,0)*0.475*44/12</f>
        <v>5.6028957197127379E-4</v>
      </c>
      <c r="AC54" s="22">
        <f t="shared" si="3"/>
        <v>116.45295884172118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9">
        <f t="shared" si="5"/>
        <v>725.11015000272687</v>
      </c>
      <c r="AN54" s="59">
        <f ca="1">AVERAGE(OFFSET($AM$3,0,0,'Données projet'!$E$10+1,1))-AVERAGE(OFFSET($H$3,0,0,'Données projet'!$E$10+1,1))</f>
        <v>520.95202773768222</v>
      </c>
      <c r="AO54" s="59">
        <f t="shared" si="36"/>
        <v>325.72635759450861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45.900987246511995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45.900987246511995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18.399999999999999</v>
      </c>
      <c r="BD54" s="12">
        <f>IF('Données projet'!$A$88&gt;35,BD53+BC54-BL53,IF(A54&lt;'Données projet'!$A$88,$BA$205^A54,IF(A54='Données projet'!$A$88,'Données projet'!$B$88,BD53+BC54-BL53)))</f>
        <v>474.40000000000032</v>
      </c>
      <c r="BE54" s="13">
        <f>BD54*VLOOKUP('Données projet'!$B$11,Paramètres!$A$1:$I$89,3,0)*VLOOKUP('Données projet'!$B$11,Paramètres!$A$1:$I$89,5,0)</f>
        <v>283.69120000000021</v>
      </c>
      <c r="BF54" s="13">
        <f t="shared" si="37"/>
        <v>67.746469973847553</v>
      </c>
      <c r="BG54" s="20">
        <f t="shared" si="7"/>
        <v>612.08727520445143</v>
      </c>
      <c r="BH54" s="59">
        <f t="shared" si="8"/>
        <v>867.87115560769826</v>
      </c>
      <c r="BI54" s="59">
        <f ca="1">AVERAGE(OFFSET($BH$3,0,0,'Données projet'!$E$11+1,1))-AVERAGE(OFFSET($H$3,0,0,'Données projet'!$E$11+1,1))</f>
        <v>528.71639224940395</v>
      </c>
      <c r="BJ54" s="59">
        <f t="shared" si="38"/>
        <v>460.93390058676493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72.037225260492733</v>
      </c>
      <c r="BQ54" s="21">
        <f>EXP(-LN(2)/25)*BQ53+(1-EXP(-LN(2)/25))/(LN(2)/25)*Calculateur!BL54*Calculateur!BN54*VLOOKUP('Données projet'!$B$11,Paramètres!$A$1:$I$89,3,0)*0.475*44/12</f>
        <v>32.892506516173</v>
      </c>
      <c r="BR54" s="21">
        <f>EXP(-LN(2)/2)*BR53+(1-EXP(-LN(2)/2))/(LN(2)/2)*BL54*BO54*VLOOKUP('Données projet'!$B$11,Paramètres!$A$1:$I$89,3,0)*0.475*44/12</f>
        <v>3.6159701518598864E-5</v>
      </c>
      <c r="BS54" s="22">
        <f t="shared" si="9"/>
        <v>104.92976793636726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149.29199999999997</v>
      </c>
      <c r="CA54" s="13">
        <f t="shared" si="39"/>
        <v>38.417645803815411</v>
      </c>
      <c r="CB54" s="20">
        <f t="shared" si="10"/>
        <v>326.9276331083118</v>
      </c>
      <c r="CC54" s="59">
        <f t="shared" si="11"/>
        <v>582.71151351155868</v>
      </c>
      <c r="CD54" s="59">
        <f ca="1">AVERAGE(OFFSET($CC$3,0,0,'Données projet'!$E$12+1,1))-AVERAGE(OFFSET($H$3,0,0,'Données projet'!$E$12+1,1))</f>
        <v>398.11190027805549</v>
      </c>
      <c r="CE54" s="59">
        <f t="shared" si="40"/>
        <v>250.47702091764884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30.718353003434945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30.718353003434945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10.118749999999999</v>
      </c>
      <c r="CT54" s="12">
        <f>IF('Données projet'!$A$140&gt;35,CT53+CS54-DB53,IF(A54&lt;'Données projet'!$A$140,$CQ$205^A54,IF(A54='Données projet'!$A$140,'Données projet'!$B$140,CT53+CS54-DB53)))</f>
        <v>182.86874999999998</v>
      </c>
      <c r="CU54" s="17">
        <f>CT54*VLOOKUP('Données projet'!$B$13,Paramètres!$A$1:$I$89,3,0)*VLOOKUP('Données projet'!$B$13,Paramètres!$A$1:$I$89,5,0)</f>
        <v>174.01790249999999</v>
      </c>
      <c r="CV54" s="13">
        <f t="shared" si="41"/>
        <v>43.988673023158164</v>
      </c>
      <c r="CW54" s="20">
        <f t="shared" si="13"/>
        <v>379.69478570283377</v>
      </c>
      <c r="CX54" s="59">
        <f t="shared" si="14"/>
        <v>635.4786661060806</v>
      </c>
      <c r="CY54" s="59">
        <f ca="1">AVERAGE(OFFSET($CX$3,0,0,'Données projet'!$E$13+1,1))-AVERAGE(OFFSET($H$3,0,0,'Données projet'!$E$13+1,1))</f>
        <v>697.21496579281836</v>
      </c>
      <c r="CZ54" s="59">
        <f t="shared" si="42"/>
        <v>215.64914236153456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32.133690014050025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32.133690014050025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217.87584000000007</v>
      </c>
      <c r="DQ54" s="13">
        <f t="shared" si="43"/>
        <v>53.652949670124926</v>
      </c>
      <c r="DR54" s="20">
        <f t="shared" si="16"/>
        <v>472.91264200880101</v>
      </c>
      <c r="DS54" s="59">
        <f t="shared" si="17"/>
        <v>728.6965224120479</v>
      </c>
      <c r="DT54" s="59">
        <f ca="1">AVERAGE(OFFSET($DS$3,0,0,'Données projet'!$E$14+1,1))-AVERAGE(OFFSET($H$3,0,0,'Données projet'!$E$14+1,1))</f>
        <v>408.24135864450221</v>
      </c>
      <c r="DU54" s="59">
        <f t="shared" si="44"/>
        <v>394.10236303013903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47.899271183199517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47.899271183199517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24.4</v>
      </c>
      <c r="N55" s="13">
        <f>IF('Données projet'!$A$36&gt;35,N54+M55-V54,IF(A55&lt;'Données projet'!$A$36,$K$205^A55,IF(A55='Données projet'!$A$36,'Données projet'!$B$36,N54+M55-V54)))</f>
        <v>623.79999999999984</v>
      </c>
      <c r="O55" s="13">
        <f>N55*VLOOKUP('Données projet'!$B$9,Paramètres!$A$1:$I$89,3,0)*VLOOKUP('Données projet'!$B$9,Paramètres!$A$1:$I$89,5,0)</f>
        <v>291.93839999999989</v>
      </c>
      <c r="P55" s="13">
        <f t="shared" si="33"/>
        <v>69.48377254397181</v>
      </c>
      <c r="Q55" s="20">
        <f t="shared" si="53"/>
        <v>629.47695051408391</v>
      </c>
      <c r="R55" s="59">
        <f t="shared" si="0"/>
        <v>885.91222997766727</v>
      </c>
      <c r="S55" s="59">
        <f ca="1">AVERAGE(OFFSET($R$3,0,0,'Données projet'!$E$9+1,1))-AVERAGE(OFFSET($H$3,0,0,'Données projet'!$E$9+1,1))</f>
        <v>512.58510468904342</v>
      </c>
      <c r="T55" s="59">
        <f t="shared" si="34"/>
        <v>443.6106696463529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87.339023862040193</v>
      </c>
      <c r="AA55" s="21">
        <f>EXP(-LN(2)/25)*AA54+(1-EXP(-LN(2)/25))/(LN(2)/25)*Calculateur!V55*Calculateur!X55*VLOOKUP('Données projet'!$B$9,Paramètres!$A$1:$I$89,3,0)*0.475*44/12</f>
        <v>26.618116533459062</v>
      </c>
      <c r="AB55" s="21">
        <f>EXP(-LN(2)/2)*AB54+(1-EXP(-LN(2)/2))/(LN(2)/2)*V55*Y55*VLOOKUP('Données projet'!$B$9,Paramètres!$A$1:$I$89,3,0)*0.475*44/12</f>
        <v>3.9618455576899587E-4</v>
      </c>
      <c r="AC55" s="22">
        <f t="shared" si="3"/>
        <v>113.95753658005502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747.68769645403472</v>
      </c>
      <c r="AN55" s="59">
        <f ca="1">AVERAGE(OFFSET($AM$3,0,0,'Données projet'!$E$10+1,1))-AVERAGE(OFFSET($H$3,0,0,'Données projet'!$E$10+1,1))</f>
        <v>520.95202773768222</v>
      </c>
      <c r="AO55" s="59">
        <f t="shared" si="36"/>
        <v>325.72635759450861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45.000896883445655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45.000896883445655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18.399999999999999</v>
      </c>
      <c r="BD55" s="12">
        <f>IF('Données projet'!$A$88&gt;35,BD54+BC55-BL54,IF(A55&lt;'Données projet'!$A$88,$BA$205^A55,IF(A55='Données projet'!$A$88,'Données projet'!$B$88,BD54+BC55-BL54)))</f>
        <v>492.8000000000003</v>
      </c>
      <c r="BE55" s="13">
        <f>BD55*VLOOKUP('Données projet'!$B$11,Paramètres!$A$1:$I$89,3,0)*VLOOKUP('Données projet'!$B$11,Paramètres!$A$1:$I$89,5,0)</f>
        <v>294.6944000000002</v>
      </c>
      <c r="BF55" s="13">
        <f t="shared" si="37"/>
        <v>70.063053488002765</v>
      </c>
      <c r="BG55" s="20">
        <f t="shared" si="7"/>
        <v>635.28589815827183</v>
      </c>
      <c r="BH55" s="59">
        <f t="shared" si="8"/>
        <v>891.72117762185519</v>
      </c>
      <c r="BI55" s="59">
        <f ca="1">AVERAGE(OFFSET($BH$3,0,0,'Données projet'!$E$11+1,1))-AVERAGE(OFFSET($H$3,0,0,'Données projet'!$E$11+1,1))</f>
        <v>528.71639224940395</v>
      </c>
      <c r="BJ55" s="59">
        <f t="shared" si="38"/>
        <v>460.93390058676493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70.62461921150333</v>
      </c>
      <c r="BQ55" s="21">
        <f>EXP(-LN(2)/25)*BQ54+(1-EXP(-LN(2)/25))/(LN(2)/25)*Calculateur!BL55*Calculateur!BN55*VLOOKUP('Données projet'!$B$11,Paramètres!$A$1:$I$89,3,0)*0.475*44/12</f>
        <v>31.993059195746508</v>
      </c>
      <c r="BR55" s="21">
        <f>EXP(-LN(2)/2)*BR54+(1-EXP(-LN(2)/2))/(LN(2)/2)*BL55*BO55*VLOOKUP('Données projet'!$B$11,Paramètres!$A$1:$I$89,3,0)*0.475*44/12</f>
        <v>2.5568770149482758E-5</v>
      </c>
      <c r="BS55" s="22">
        <f t="shared" si="9"/>
        <v>102.61770397602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156.53039999999999</v>
      </c>
      <c r="CA55" s="13">
        <f t="shared" si="39"/>
        <v>40.058941713182037</v>
      </c>
      <c r="CB55" s="20">
        <f t="shared" si="10"/>
        <v>342.393103483792</v>
      </c>
      <c r="CC55" s="59">
        <f t="shared" si="11"/>
        <v>598.8283829473753</v>
      </c>
      <c r="CD55" s="59">
        <f ca="1">AVERAGE(OFFSET($CC$3,0,0,'Données projet'!$E$12+1,1))-AVERAGE(OFFSET($H$3,0,0,'Données projet'!$E$12+1,1))</f>
        <v>398.11190027805549</v>
      </c>
      <c r="CE55" s="59">
        <f t="shared" si="40"/>
        <v>250.47702091764884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30.115984837382857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30.115984837382857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10.118749999999999</v>
      </c>
      <c r="CT55" s="12">
        <f>IF('Données projet'!$A$140&gt;35,CT54+CS55-DB54,IF(A55&lt;'Données projet'!$A$140,$CQ$205^A55,IF(A55='Données projet'!$A$140,'Données projet'!$B$140,CT54+CS55-DB54)))</f>
        <v>192.98749999999998</v>
      </c>
      <c r="CU55" s="17">
        <f>CT55*VLOOKUP('Données projet'!$B$13,Paramètres!$A$1:$I$89,3,0)*VLOOKUP('Données projet'!$B$13,Paramètres!$A$1:$I$89,5,0)</f>
        <v>183.64690499999998</v>
      </c>
      <c r="CV55" s="13">
        <f t="shared" si="41"/>
        <v>46.132605737026424</v>
      </c>
      <c r="CW55" s="20">
        <f t="shared" si="13"/>
        <v>400.19931453365422</v>
      </c>
      <c r="CX55" s="59">
        <f t="shared" si="14"/>
        <v>656.63459399723752</v>
      </c>
      <c r="CY55" s="59">
        <f ca="1">AVERAGE(OFFSET($CX$3,0,0,'Données projet'!$E$13+1,1))-AVERAGE(OFFSET($H$3,0,0,'Données projet'!$E$13+1,1))</f>
        <v>697.21496579281836</v>
      </c>
      <c r="CZ55" s="59">
        <f t="shared" si="42"/>
        <v>215.64914236153456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31.503567952490112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31.503567952490112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224.34048000000004</v>
      </c>
      <c r="DQ55" s="13">
        <f t="shared" si="43"/>
        <v>55.057192232003722</v>
      </c>
      <c r="DR55" s="20">
        <f t="shared" si="16"/>
        <v>486.61761247073986</v>
      </c>
      <c r="DS55" s="59">
        <f t="shared" si="17"/>
        <v>743.05289193432327</v>
      </c>
      <c r="DT55" s="59">
        <f ca="1">AVERAGE(OFFSET($DS$3,0,0,'Données projet'!$E$14+1,1))-AVERAGE(OFFSET($H$3,0,0,'Données projet'!$E$14+1,1))</f>
        <v>408.24135864450221</v>
      </c>
      <c r="DU55" s="59">
        <f t="shared" si="44"/>
        <v>394.10236303013903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46.959995690967588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46.959995690967588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24.4</v>
      </c>
      <c r="N56" s="13">
        <f>IF('Données projet'!$A$36&gt;35,N55+M56-V55,IF(A56&lt;'Données projet'!$A$36,$K$205^A56,IF(A56='Données projet'!$A$36,'Données projet'!$B$36,N55+M56-V55)))</f>
        <v>648.19999999999982</v>
      </c>
      <c r="O56" s="13">
        <f>N56*VLOOKUP('Données projet'!$B$9,Paramètres!$A$1:$I$89,3,0)*VLOOKUP('Données projet'!$B$9,Paramètres!$A$1:$I$89,5,0)</f>
        <v>303.35759999999988</v>
      </c>
      <c r="P56" s="13">
        <f t="shared" si="33"/>
        <v>71.879888810204818</v>
      </c>
      <c r="Q56" s="20">
        <f t="shared" si="53"/>
        <v>653.53862634443976</v>
      </c>
      <c r="R56" s="59">
        <f t="shared" si="0"/>
        <v>910.61400455097305</v>
      </c>
      <c r="S56" s="59">
        <f ca="1">AVERAGE(OFFSET($R$3,0,0,'Données projet'!$E$9+1,1))-AVERAGE(OFFSET($H$3,0,0,'Données projet'!$E$9+1,1))</f>
        <v>512.58510468904342</v>
      </c>
      <c r="T56" s="59">
        <f t="shared" si="34"/>
        <v>443.6106696463529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85.626358875650013</v>
      </c>
      <c r="AA56" s="21">
        <f>EXP(-LN(2)/25)*AA55+(1-EXP(-LN(2)/25))/(LN(2)/25)*Calculateur!V56*Calculateur!X56*VLOOKUP('Données projet'!$B$9,Paramètres!$A$1:$I$89,3,0)*0.475*44/12</f>
        <v>25.890242737065712</v>
      </c>
      <c r="AB56" s="21">
        <f>EXP(-LN(2)/2)*AB55+(1-EXP(-LN(2)/2))/(LN(2)/2)*V56*Y56*VLOOKUP('Données projet'!$B$9,Paramètres!$A$1:$I$89,3,0)*0.475*44/12</f>
        <v>2.8014478598563689E-4</v>
      </c>
      <c r="AC56" s="22">
        <f t="shared" si="3"/>
        <v>111.51688175750172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9">
        <f t="shared" si="5"/>
        <v>770.23319712141074</v>
      </c>
      <c r="AN56" s="59">
        <f ca="1">AVERAGE(OFFSET($AM$3,0,0,'Données projet'!$E$10+1,1))-AVERAGE(OFFSET($H$3,0,0,'Données projet'!$E$10+1,1))</f>
        <v>520.95202773768222</v>
      </c>
      <c r="AO56" s="59">
        <f t="shared" si="36"/>
        <v>325.72635759450861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44.118456743398134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44.118456743398134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18.399999999999999</v>
      </c>
      <c r="BD56" s="12">
        <f>IF('Données projet'!$A$88&gt;35,BD55+BC56-BL55,IF(A56&lt;'Données projet'!$A$88,$BA$205^A56,IF(A56='Données projet'!$A$88,'Données projet'!$B$88,BD55+BC56-BL55)))</f>
        <v>511.20000000000027</v>
      </c>
      <c r="BE56" s="13">
        <f>BD56*VLOOKUP('Données projet'!$B$11,Paramètres!$A$1:$I$89,3,0)*VLOOKUP('Données projet'!$B$11,Paramètres!$A$1:$I$89,5,0)</f>
        <v>305.69760000000019</v>
      </c>
      <c r="BF56" s="13">
        <f t="shared" si="37"/>
        <v>72.369588270212418</v>
      </c>
      <c r="BG56" s="20">
        <f t="shared" si="7"/>
        <v>658.46701957062021</v>
      </c>
      <c r="BH56" s="59">
        <f t="shared" si="8"/>
        <v>915.54239777715338</v>
      </c>
      <c r="BI56" s="59">
        <f ca="1">AVERAGE(OFFSET($BH$3,0,0,'Données projet'!$E$11+1,1))-AVERAGE(OFFSET($H$3,0,0,'Données projet'!$E$11+1,1))</f>
        <v>528.71639224940395</v>
      </c>
      <c r="BJ56" s="59">
        <f t="shared" si="38"/>
        <v>460.93390058676493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69.239713505529991</v>
      </c>
      <c r="BQ56" s="21">
        <f>EXP(-LN(2)/25)*BQ55+(1-EXP(-LN(2)/25))/(LN(2)/25)*Calculateur!BL56*Calculateur!BN56*VLOOKUP('Données projet'!$B$11,Paramètres!$A$1:$I$89,3,0)*0.475*44/12</f>
        <v>31.118207309596958</v>
      </c>
      <c r="BR56" s="21">
        <f>EXP(-LN(2)/2)*BR55+(1-EXP(-LN(2)/2))/(LN(2)/2)*BL56*BO56*VLOOKUP('Données projet'!$B$11,Paramètres!$A$1:$I$89,3,0)*0.475*44/12</f>
        <v>1.8079850759299432E-5</v>
      </c>
      <c r="BS56" s="22">
        <f t="shared" si="9"/>
        <v>100.35793889497771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163.7688</v>
      </c>
      <c r="CA56" s="13">
        <f t="shared" si="39"/>
        <v>41.691423503509803</v>
      </c>
      <c r="CB56" s="20">
        <f t="shared" si="10"/>
        <v>357.84322260194625</v>
      </c>
      <c r="CC56" s="59">
        <f t="shared" si="11"/>
        <v>614.91860080847948</v>
      </c>
      <c r="CD56" s="59">
        <f ca="1">AVERAGE(OFFSET($CC$3,0,0,'Données projet'!$E$12+1,1))-AVERAGE(OFFSET($H$3,0,0,'Données projet'!$E$12+1,1))</f>
        <v>398.11190027805549</v>
      </c>
      <c r="CE56" s="59">
        <f t="shared" si="40"/>
        <v>250.47702091764884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29.525428743658747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29.525428743658747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10.118749999999999</v>
      </c>
      <c r="CT56" s="12">
        <f>IF('Données projet'!$A$140&gt;35,CT55+CS56-DB55,IF(A56&lt;'Données projet'!$A$140,$CQ$205^A56,IF(A56='Données projet'!$A$140,'Données projet'!$B$140,CT55+CS56-DB55)))</f>
        <v>203.10624999999999</v>
      </c>
      <c r="CU56" s="17">
        <f>CT56*VLOOKUP('Données projet'!$B$13,Paramètres!$A$1:$I$89,3,0)*VLOOKUP('Données projet'!$B$13,Paramètres!$A$1:$I$89,5,0)</f>
        <v>193.27590749999999</v>
      </c>
      <c r="CV56" s="13">
        <f t="shared" si="41"/>
        <v>48.263487344253761</v>
      </c>
      <c r="CW56" s="20">
        <f t="shared" si="13"/>
        <v>420.68111268707526</v>
      </c>
      <c r="CX56" s="59">
        <f t="shared" si="14"/>
        <v>677.75649089360854</v>
      </c>
      <c r="CY56" s="59">
        <f ca="1">AVERAGE(OFFSET($CX$3,0,0,'Données projet'!$E$13+1,1))-AVERAGE(OFFSET($H$3,0,0,'Données projet'!$E$13+1,1))</f>
        <v>697.21496579281836</v>
      </c>
      <c r="CZ56" s="59">
        <f t="shared" si="42"/>
        <v>215.64914236153456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30.88580220022088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30.88580220022088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230.80512000000002</v>
      </c>
      <c r="DQ56" s="13">
        <f t="shared" si="43"/>
        <v>56.456731878408327</v>
      </c>
      <c r="DR56" s="20">
        <f t="shared" si="16"/>
        <v>500.3143920215611</v>
      </c>
      <c r="DS56" s="59">
        <f t="shared" si="17"/>
        <v>757.38977022809433</v>
      </c>
      <c r="DT56" s="59">
        <f ca="1">AVERAGE(OFFSET($DS$3,0,0,'Données projet'!$E$14+1,1))-AVERAGE(OFFSET($H$3,0,0,'Données projet'!$E$14+1,1))</f>
        <v>408.24135864450221</v>
      </c>
      <c r="DU56" s="59">
        <f t="shared" si="44"/>
        <v>394.10236303013903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46.03913881823685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46.03913881823685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24.4</v>
      </c>
      <c r="N57" s="13">
        <f>IF('Données projet'!$A$36&gt;35,N56+M57-V56,IF(A57&lt;'Données projet'!$A$36,$K$205^A57,IF(A57='Données projet'!$A$36,'Données projet'!$B$36,N56+M57-V56)))</f>
        <v>672.5999999999998</v>
      </c>
      <c r="O57" s="13">
        <f>N57*VLOOKUP('Données projet'!$B$9,Paramètres!$A$1:$I$89,3,0)*VLOOKUP('Données projet'!$B$9,Paramètres!$A$1:$I$89,5,0)</f>
        <v>314.77679999999987</v>
      </c>
      <c r="P57" s="13">
        <f t="shared" si="33"/>
        <v>74.265526581536733</v>
      </c>
      <c r="Q57" s="20">
        <f t="shared" si="53"/>
        <v>677.58205212950963</v>
      </c>
      <c r="R57" s="59">
        <f t="shared" si="0"/>
        <v>935.28642479684891</v>
      </c>
      <c r="S57" s="59">
        <f ca="1">AVERAGE(OFFSET($R$3,0,0,'Données projet'!$E$9+1,1))-AVERAGE(OFFSET($H$3,0,0,'Données projet'!$E$9+1,1))</f>
        <v>512.58510468904342</v>
      </c>
      <c r="T57" s="59">
        <f t="shared" si="34"/>
        <v>443.6106696463529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83.947278205020453</v>
      </c>
      <c r="AA57" s="21">
        <f>EXP(-LN(2)/25)*AA56+(1-EXP(-LN(2)/25))/(LN(2)/25)*Calculateur!V57*Calculateur!X57*VLOOKUP('Données projet'!$B$9,Paramètres!$A$1:$I$89,3,0)*0.475*44/12</f>
        <v>25.182272687911958</v>
      </c>
      <c r="AB57" s="21">
        <f>EXP(-LN(2)/2)*AB56+(1-EXP(-LN(2)/2))/(LN(2)/2)*V57*Y57*VLOOKUP('Données projet'!$B$9,Paramètres!$A$1:$I$89,3,0)*0.475*44/12</f>
        <v>1.9809227788449794E-4</v>
      </c>
      <c r="AC57" s="22">
        <f t="shared" si="3"/>
        <v>109.1297489852103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792.74785740689208</v>
      </c>
      <c r="AN57" s="59">
        <f ca="1">AVERAGE(OFFSET($AM$3,0,0,'Données projet'!$E$10+1,1))-AVERAGE(OFFSET($H$3,0,0,'Données projet'!$E$10+1,1))</f>
        <v>520.95202773768222</v>
      </c>
      <c r="AO57" s="59">
        <f t="shared" si="36"/>
        <v>325.72635759450861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43.253320716261605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43.253320716261605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18.399999999999999</v>
      </c>
      <c r="BD57" s="12">
        <f>IF('Données projet'!$A$88&gt;35,BD56+BC57-BL56,IF(A57&lt;'Données projet'!$A$88,$BA$205^A57,IF(A57='Données projet'!$A$88,'Données projet'!$B$88,BD56+BC57-BL56)))</f>
        <v>529.60000000000025</v>
      </c>
      <c r="BE57" s="13">
        <f>BD57*VLOOKUP('Données projet'!$B$11,Paramètres!$A$1:$I$89,3,0)*VLOOKUP('Données projet'!$B$11,Paramètres!$A$1:$I$89,5,0)</f>
        <v>316.70080000000019</v>
      </c>
      <c r="BF57" s="13">
        <f t="shared" si="37"/>
        <v>74.666477445141737</v>
      </c>
      <c r="BG57" s="20">
        <f t="shared" si="7"/>
        <v>681.63134155028877</v>
      </c>
      <c r="BH57" s="59">
        <f t="shared" si="8"/>
        <v>939.33571421762804</v>
      </c>
      <c r="BI57" s="59">
        <f ca="1">AVERAGE(OFFSET($BH$3,0,0,'Données projet'!$E$11+1,1))-AVERAGE(OFFSET($H$3,0,0,'Données projet'!$E$11+1,1))</f>
        <v>528.71639224940395</v>
      </c>
      <c r="BJ57" s="59">
        <f t="shared" si="38"/>
        <v>460.93390058676493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67.881964955741722</v>
      </c>
      <c r="BQ57" s="21">
        <f>EXP(-LN(2)/25)*BQ56+(1-EXP(-LN(2)/25))/(LN(2)/25)*Calculateur!BL57*Calculateur!BN57*VLOOKUP('Données projet'!$B$11,Paramètres!$A$1:$I$89,3,0)*0.475*44/12</f>
        <v>30.267278294280629</v>
      </c>
      <c r="BR57" s="21">
        <f>EXP(-LN(2)/2)*BR56+(1-EXP(-LN(2)/2))/(LN(2)/2)*BL57*BO57*VLOOKUP('Données projet'!$B$11,Paramètres!$A$1:$I$89,3,0)*0.475*44/12</f>
        <v>1.2784385074741379E-5</v>
      </c>
      <c r="BS57" s="22">
        <f t="shared" si="9"/>
        <v>98.149256034407429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171.00719999999998</v>
      </c>
      <c r="CA57" s="13">
        <f t="shared" si="39"/>
        <v>43.315525267338089</v>
      </c>
      <c r="CB57" s="20">
        <f t="shared" si="10"/>
        <v>373.27874650728046</v>
      </c>
      <c r="CC57" s="59">
        <f t="shared" si="11"/>
        <v>630.98311917461979</v>
      </c>
      <c r="CD57" s="59">
        <f ca="1">AVERAGE(OFFSET($CC$3,0,0,'Données projet'!$E$12+1,1))-AVERAGE(OFFSET($H$3,0,0,'Données projet'!$E$12+1,1))</f>
        <v>398.11190027805549</v>
      </c>
      <c r="CE57" s="59">
        <f t="shared" si="40"/>
        <v>250.47702091764884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28.946453094728916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28.946453094728916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10.118749999999999</v>
      </c>
      <c r="CT57" s="12">
        <f>IF('Données projet'!$A$140&gt;35,CT56+CS57-DB56,IF(A57&lt;'Données projet'!$A$140,$CQ$205^A57,IF(A57='Données projet'!$A$140,'Données projet'!$B$140,CT56+CS57-DB56)))</f>
        <v>213.22499999999999</v>
      </c>
      <c r="CU57" s="17">
        <f>CT57*VLOOKUP('Données projet'!$B$13,Paramètres!$A$1:$I$89,3,0)*VLOOKUP('Données projet'!$B$13,Paramètres!$A$1:$I$89,5,0)</f>
        <v>202.90491</v>
      </c>
      <c r="CV57" s="13">
        <f t="shared" si="41"/>
        <v>50.382042247767416</v>
      </c>
      <c r="CW57" s="20">
        <f t="shared" si="13"/>
        <v>441.14144183152825</v>
      </c>
      <c r="CX57" s="59">
        <f t="shared" si="14"/>
        <v>698.84581449886764</v>
      </c>
      <c r="CY57" s="59">
        <f ca="1">AVERAGE(OFFSET($CX$3,0,0,'Données projet'!$E$13+1,1))-AVERAGE(OFFSET($H$3,0,0,'Données projet'!$E$13+1,1))</f>
        <v>697.21496579281836</v>
      </c>
      <c r="CZ57" s="59">
        <f t="shared" si="42"/>
        <v>215.64914236153456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30.280150457553745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30.280150457553745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237.26976000000002</v>
      </c>
      <c r="DQ57" s="13">
        <f t="shared" si="43"/>
        <v>57.851715465847946</v>
      </c>
      <c r="DR57" s="20">
        <f t="shared" si="16"/>
        <v>514.00323643635181</v>
      </c>
      <c r="DS57" s="59">
        <f t="shared" si="17"/>
        <v>771.70760910369108</v>
      </c>
      <c r="DT57" s="59">
        <f ca="1">AVERAGE(OFFSET($DS$3,0,0,'Données projet'!$E$14+1,1))-AVERAGE(OFFSET($H$3,0,0,'Données projet'!$E$14+1,1))</f>
        <v>408.24135864450221</v>
      </c>
      <c r="DU57" s="59">
        <f t="shared" si="44"/>
        <v>394.10236303013903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45.136339387113125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45.136339387113125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697</v>
      </c>
      <c r="L58" s="12">
        <f>VLOOKUP(A58,'Données projet'!$A$35:$I$55,9,0)</f>
        <v>24.4</v>
      </c>
      <c r="M58" s="12">
        <f t="array" ref="M58">INDEX(L:L,MIN(IF(ISNUMBER(L58:L254),ROW(L58:L254),"")))</f>
        <v>24.4</v>
      </c>
      <c r="N58" s="13">
        <f>IF('Données projet'!$A$36&gt;35,N57+M58-V57,IF(A58&lt;'Données projet'!$A$36,$K$205^A58,IF(A58='Données projet'!$A$36,'Données projet'!$B$36,N57+M58-V57)))</f>
        <v>696.99999999999977</v>
      </c>
      <c r="O58" s="13">
        <f>N58*VLOOKUP('Données projet'!$B$9,Paramètres!$A$1:$I$89,3,0)*VLOOKUP('Données projet'!$B$9,Paramètres!$A$1:$I$89,5,0)</f>
        <v>326.19599999999986</v>
      </c>
      <c r="P58" s="13">
        <f t="shared" si="33"/>
        <v>76.641109529113464</v>
      </c>
      <c r="Q58" s="20">
        <f t="shared" si="53"/>
        <v>701.6079657632057</v>
      </c>
      <c r="R58" s="59">
        <f t="shared" si="0"/>
        <v>959.93042124367707</v>
      </c>
      <c r="S58" s="59">
        <f ca="1">AVERAGE(OFFSET($R$3,0,0,'Données projet'!$E$9+1,1))-AVERAGE(OFFSET($H$3,0,0,'Données projet'!$E$9+1,1))</f>
        <v>512.58510468904342</v>
      </c>
      <c r="T58" s="59">
        <f t="shared" si="34"/>
        <v>443.6106696463529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66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104.83733087699294</v>
      </c>
      <c r="AA58" s="21">
        <f>EXP(-LN(2)/25)*AA57+(1-EXP(-LN(2)/25))/(LN(2)/25)*Calculateur!V58*Calculateur!X58*VLOOKUP('Données projet'!$B$9,Paramètres!$A$1:$I$89,3,0)*0.475*44/12</f>
        <v>24.49366211698284</v>
      </c>
      <c r="AB58" s="21">
        <f>EXP(-LN(2)/2)*AB57+(1-EXP(-LN(2)/2))/(LN(2)/2)*V58*Y58*VLOOKUP('Données projet'!$B$9,Paramètres!$A$1:$I$89,3,0)*0.475*44/12</f>
        <v>1.4007239299281845E-4</v>
      </c>
      <c r="AC58" s="22">
        <f t="shared" si="3"/>
        <v>129.33113306636875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815.23279007471092</v>
      </c>
      <c r="AN58" s="59">
        <f ca="1">AVERAGE(OFFSET($AM$3,0,0,'Données projet'!$E$10+1,1))-AVERAGE(OFFSET($H$3,0,0,'Données projet'!$E$10+1,1))</f>
        <v>520.95202773768222</v>
      </c>
      <c r="AO58" s="59">
        <f t="shared" si="36"/>
        <v>325.72635759450861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55.901350935687148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55.901350935687148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548</v>
      </c>
      <c r="BB58" s="12">
        <f>VLOOKUP(A58,'Données projet'!$A$87:$I$107,9,0)</f>
        <v>18.399999999999999</v>
      </c>
      <c r="BC58" s="12">
        <f t="array" ref="BC58">INDEX(BB:BB,MIN(IF(ISNUMBER(BB58:BB254),ROW(BB58:BB254),"")))</f>
        <v>18.399999999999999</v>
      </c>
      <c r="BD58" s="12">
        <f>IF('Données projet'!$A$88&gt;35,BD57+BC58-BL57,IF(A58&lt;'Données projet'!$A$88,$BA$205^A58,IF(A58='Données projet'!$A$88,'Données projet'!$B$88,BD57+BC58-BL57)))</f>
        <v>548.00000000000023</v>
      </c>
      <c r="BE58" s="13">
        <f>BD58*VLOOKUP('Données projet'!$B$11,Paramètres!$A$1:$I$89,3,0)*VLOOKUP('Données projet'!$B$11,Paramètres!$A$1:$I$89,5,0)</f>
        <v>327.70400000000018</v>
      </c>
      <c r="BF58" s="13">
        <f t="shared" si="37"/>
        <v>76.954094537214459</v>
      </c>
      <c r="BG58" s="20">
        <f t="shared" si="7"/>
        <v>704.77951465231547</v>
      </c>
      <c r="BH58" s="59">
        <f t="shared" si="8"/>
        <v>963.10197013278685</v>
      </c>
      <c r="BI58" s="59">
        <f ca="1">AVERAGE(OFFSET($BH$3,0,0,'Données projet'!$E$11+1,1))-AVERAGE(OFFSET($H$3,0,0,'Données projet'!$E$11+1,1))</f>
        <v>528.71639224940395</v>
      </c>
      <c r="BJ58" s="59">
        <f t="shared" si="38"/>
        <v>460.93390058676493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45</v>
      </c>
      <c r="BM58" s="16">
        <f>IF(ISNA(VLOOKUP(A58,'Données projet'!$A$87:$I$107,5,0)),0%,VLOOKUP(A58,'Données projet'!$A$87:$I$107,5,0)*VLOOKUP('Données projet'!$B$11,Paramètres!$A$1:$I$89,7,0))</f>
        <v>0.45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82.614873300015063</v>
      </c>
      <c r="BQ58" s="21">
        <f>EXP(-LN(2)/25)*BQ57+(1-EXP(-LN(2)/25))/(LN(2)/25)*Calculateur!BL58*Calculateur!BN58*VLOOKUP('Données projet'!$B$11,Paramètres!$A$1:$I$89,3,0)*0.475*44/12</f>
        <v>29.439617977636537</v>
      </c>
      <c r="BR58" s="21">
        <f>EXP(-LN(2)/2)*BR57+(1-EXP(-LN(2)/2))/(LN(2)/2)*BL58*BO58*VLOOKUP('Données projet'!$B$11,Paramètres!$A$1:$I$89,3,0)*0.475*44/12</f>
        <v>9.0399253796497161E-6</v>
      </c>
      <c r="BS58" s="22">
        <f t="shared" si="9"/>
        <v>112.05450031757698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178.2456</v>
      </c>
      <c r="CA58" s="13">
        <f t="shared" si="39"/>
        <v>44.931642269910427</v>
      </c>
      <c r="CB58" s="20">
        <f t="shared" si="10"/>
        <v>388.70036362009404</v>
      </c>
      <c r="CC58" s="59">
        <f t="shared" si="11"/>
        <v>647.02281910056536</v>
      </c>
      <c r="CD58" s="59">
        <f ca="1">AVERAGE(OFFSET($CC$3,0,0,'Données projet'!$E$12+1,1))-AVERAGE(OFFSET($H$3,0,0,'Données projet'!$E$12+1,1))</f>
        <v>398.11190027805549</v>
      </c>
      <c r="CE58" s="59">
        <f t="shared" si="40"/>
        <v>250.47702091764884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37.410904087729087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37.410904087729087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10.118749999999999</v>
      </c>
      <c r="CT58" s="12">
        <f>IF('Données projet'!$A$140&gt;35,CT57+CS58-DB57,IF(A58&lt;'Données projet'!$A$140,$CQ$205^A58,IF(A58='Données projet'!$A$140,'Données projet'!$B$140,CT57+CS58-DB57)))</f>
        <v>223.34375</v>
      </c>
      <c r="CU58" s="17">
        <f>CT58*VLOOKUP('Données projet'!$B$13,Paramètres!$A$1:$I$89,3,0)*VLOOKUP('Données projet'!$B$13,Paramètres!$A$1:$I$89,5,0)</f>
        <v>212.53391250000001</v>
      </c>
      <c r="CV58" s="13">
        <f t="shared" si="41"/>
        <v>52.4889222112512</v>
      </c>
      <c r="CW58" s="20">
        <f t="shared" si="13"/>
        <v>461.58143712209585</v>
      </c>
      <c r="CX58" s="59">
        <f t="shared" si="14"/>
        <v>719.90389260256723</v>
      </c>
      <c r="CY58" s="59">
        <f ca="1">AVERAGE(OFFSET($CX$3,0,0,'Données projet'!$E$13+1,1))-AVERAGE(OFFSET($H$3,0,0,'Données projet'!$E$13+1,1))</f>
        <v>697.21496579281836</v>
      </c>
      <c r="CZ58" s="59">
        <f t="shared" si="42"/>
        <v>215.64914236153456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29.686375176149227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29.686375176149227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243.73439999999997</v>
      </c>
      <c r="DQ58" s="13">
        <f t="shared" si="43"/>
        <v>59.242281392848817</v>
      </c>
      <c r="DR58" s="20">
        <f t="shared" si="16"/>
        <v>527.68438675921152</v>
      </c>
      <c r="DS58" s="59">
        <f t="shared" si="17"/>
        <v>786.0068422396829</v>
      </c>
      <c r="DT58" s="59">
        <f ca="1">AVERAGE(OFFSET($DS$3,0,0,'Données projet'!$E$14+1,1))-AVERAGE(OFFSET($H$3,0,0,'Données projet'!$E$14+1,1))</f>
        <v>408.24135864450221</v>
      </c>
      <c r="DU58" s="59">
        <f t="shared" si="44"/>
        <v>394.10236303013903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0.53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52.440709373969128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52.440709373969128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22.6</v>
      </c>
      <c r="N59" s="13">
        <f>IF('Données projet'!$A$36&gt;35,N58+M59-V58,IF(A59&lt;'Données projet'!$A$36,$K$205^A59,IF(A59='Données projet'!$A$36,'Données projet'!$B$36,N58+M59-V58)))</f>
        <v>653.5999999999998</v>
      </c>
      <c r="O59" s="13">
        <f>N59*VLOOKUP('Données projet'!$B$9,Paramètres!$A$1:$I$89,3,0)*VLOOKUP('Données projet'!$B$9,Paramètres!$A$1:$I$89,5,0)</f>
        <v>305.88479999999987</v>
      </c>
      <c r="P59" s="13">
        <f t="shared" si="33"/>
        <v>72.408745336772242</v>
      </c>
      <c r="Q59" s="20">
        <f t="shared" si="53"/>
        <v>658.86125812821149</v>
      </c>
      <c r="R59" s="59">
        <f t="shared" si="0"/>
        <v>917.79107406683329</v>
      </c>
      <c r="S59" s="59">
        <f ca="1">AVERAGE(OFFSET($R$3,0,0,'Données projet'!$E$9+1,1))-AVERAGE(OFFSET($H$3,0,0,'Données projet'!$E$9+1,1))</f>
        <v>512.58510468904342</v>
      </c>
      <c r="T59" s="59">
        <f t="shared" si="34"/>
        <v>443.6106696463529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102.78153476295294</v>
      </c>
      <c r="AA59" s="21">
        <f>EXP(-LN(2)/25)*AA58+(1-EXP(-LN(2)/25))/(LN(2)/25)*Calculateur!V59*Calculateur!X59*VLOOKUP('Données projet'!$B$9,Paramètres!$A$1:$I$89,3,0)*0.475*44/12</f>
        <v>23.823881638328235</v>
      </c>
      <c r="AB59" s="21">
        <f>EXP(-LN(2)/2)*AB58+(1-EXP(-LN(2)/2))/(LN(2)/2)*V59*Y59*VLOOKUP('Données projet'!$B$9,Paramètres!$A$1:$I$89,3,0)*0.475*44/12</f>
        <v>9.9046138942248969E-5</v>
      </c>
      <c r="AC59" s="22">
        <f t="shared" si="3"/>
        <v>126.60551544742012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775.95121797579418</v>
      </c>
      <c r="AN59" s="59">
        <f ca="1">AVERAGE(OFFSET($AM$3,0,0,'Données projet'!$E$10+1,1))-AVERAGE(OFFSET($H$3,0,0,'Données projet'!$E$10+1,1))</f>
        <v>520.95202773768222</v>
      </c>
      <c r="AO59" s="59">
        <f t="shared" si="36"/>
        <v>325.72635759450861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54.805159540295648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54.805159540295648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520.00000000000023</v>
      </c>
      <c r="BE59" s="13">
        <f>BD59*VLOOKUP('Données projet'!$B$11,Paramètres!$A$1:$I$89,3,0)*VLOOKUP('Données projet'!$B$11,Paramètres!$A$1:$I$89,5,0)</f>
        <v>310.96000000000015</v>
      </c>
      <c r="BF59" s="13">
        <f t="shared" si="37"/>
        <v>73.4692802883242</v>
      </c>
      <c r="BG59" s="20">
        <f t="shared" si="7"/>
        <v>669.54766316883149</v>
      </c>
      <c r="BH59" s="59">
        <f t="shared" si="8"/>
        <v>928.47747910745329</v>
      </c>
      <c r="BI59" s="59">
        <f ca="1">AVERAGE(OFFSET($BH$3,0,0,'Données projet'!$E$11+1,1))-AVERAGE(OFFSET($H$3,0,0,'Données projet'!$E$11+1,1))</f>
        <v>528.71639224940395</v>
      </c>
      <c r="BJ59" s="59">
        <f t="shared" si="38"/>
        <v>460.93390058676493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80.994846024698873</v>
      </c>
      <c r="BQ59" s="21">
        <f>EXP(-LN(2)/25)*BQ58+(1-EXP(-LN(2)/25))/(LN(2)/25)*Calculateur!BL59*Calculateur!BN59*VLOOKUP('Données projet'!$B$11,Paramètres!$A$1:$I$89,3,0)*0.475*44/12</f>
        <v>28.634590075875842</v>
      </c>
      <c r="BR59" s="21">
        <f>EXP(-LN(2)/2)*BR58+(1-EXP(-LN(2)/2))/(LN(2)/2)*BL59*BO59*VLOOKUP('Données projet'!$B$11,Paramètres!$A$1:$I$89,3,0)*0.475*44/12</f>
        <v>6.3921925373706895E-6</v>
      </c>
      <c r="BS59" s="22">
        <f t="shared" si="9"/>
        <v>109.62944249276724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166.12127999999998</v>
      </c>
      <c r="CA59" s="13">
        <f t="shared" si="39"/>
        <v>42.220155874487318</v>
      </c>
      <c r="CB59" s="20">
        <f t="shared" si="10"/>
        <v>362.8613341480654</v>
      </c>
      <c r="CC59" s="59">
        <f t="shared" si="11"/>
        <v>621.79115008668714</v>
      </c>
      <c r="CD59" s="59">
        <f ca="1">AVERAGE(OFFSET($CC$3,0,0,'Données projet'!$E$12+1,1))-AVERAGE(OFFSET($H$3,0,0,'Données projet'!$E$12+1,1))</f>
        <v>398.11190027805549</v>
      </c>
      <c r="CE59" s="59">
        <f t="shared" si="40"/>
        <v>250.47702091764884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36.677299076967081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36.677299076967081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10.118749999999999</v>
      </c>
      <c r="CT59" s="12">
        <f>IF('Données projet'!$A$140&gt;35,CT58+CS59-DB58,IF(A59&lt;'Données projet'!$A$140,$CQ$205^A59,IF(A59='Données projet'!$A$140,'Données projet'!$B$140,CT58+CS59-DB58)))</f>
        <v>233.46250000000001</v>
      </c>
      <c r="CU59" s="17">
        <f>CT59*VLOOKUP('Données projet'!$B$13,Paramètres!$A$1:$I$89,3,0)*VLOOKUP('Données projet'!$B$13,Paramètres!$A$1:$I$89,5,0)</f>
        <v>222.16291500000003</v>
      </c>
      <c r="CV59" s="13">
        <f t="shared" si="41"/>
        <v>54.58471660275751</v>
      </c>
      <c r="CW59" s="20">
        <f t="shared" si="13"/>
        <v>482.00212504146936</v>
      </c>
      <c r="CX59" s="59">
        <f t="shared" si="14"/>
        <v>740.9319409800911</v>
      </c>
      <c r="CY59" s="59">
        <f ca="1">AVERAGE(OFFSET($CX$3,0,0,'Données projet'!$E$13+1,1))-AVERAGE(OFFSET($H$3,0,0,'Données projet'!$E$13+1,1))</f>
        <v>697.21496579281836</v>
      </c>
      <c r="CZ59" s="59">
        <f t="shared" si="42"/>
        <v>215.64914236153456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29.10424346584589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29.10424346584589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235.17311999999998</v>
      </c>
      <c r="DQ59" s="13">
        <f t="shared" si="43"/>
        <v>57.399778925799218</v>
      </c>
      <c r="DR59" s="20">
        <f t="shared" si="16"/>
        <v>509.56446562910031</v>
      </c>
      <c r="DS59" s="59">
        <f t="shared" si="17"/>
        <v>768.49428156772206</v>
      </c>
      <c r="DT59" s="59">
        <f ca="1">AVERAGE(OFFSET($DS$3,0,0,'Données projet'!$E$14+1,1))-AVERAGE(OFFSET($H$3,0,0,'Données projet'!$E$14+1,1))</f>
        <v>408.24135864450221</v>
      </c>
      <c r="DU59" s="59">
        <f t="shared" si="44"/>
        <v>394.10236303013903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51.412379048819986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51.412379048819986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22.6</v>
      </c>
      <c r="N60" s="13">
        <f>IF('Données projet'!$A$36&gt;35,N59+M60-V59,IF(A60&lt;'Données projet'!$A$36,$K$205^A60,IF(A60='Données projet'!$A$36,'Données projet'!$B$36,N59+M60-V59)))</f>
        <v>676.19999999999982</v>
      </c>
      <c r="O60" s="13">
        <f>N60*VLOOKUP('Données projet'!$B$9,Paramètres!$A$1:$I$89,3,0)*VLOOKUP('Données projet'!$B$9,Paramètres!$A$1:$I$89,5,0)</f>
        <v>316.46159999999992</v>
      </c>
      <c r="P60" s="13">
        <f t="shared" si="33"/>
        <v>74.616644967491681</v>
      </c>
      <c r="Q60" s="20">
        <f t="shared" si="53"/>
        <v>681.1279433183812</v>
      </c>
      <c r="R60" s="59">
        <f t="shared" si="0"/>
        <v>940.65458336905886</v>
      </c>
      <c r="S60" s="59">
        <f ca="1">AVERAGE(OFFSET($R$3,0,0,'Données projet'!$E$9+1,1))-AVERAGE(OFFSET($H$3,0,0,'Données projet'!$E$9+1,1))</f>
        <v>512.58510468904342</v>
      </c>
      <c r="T60" s="59">
        <f t="shared" si="34"/>
        <v>443.6106696463529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100.76605155679746</v>
      </c>
      <c r="AA60" s="21">
        <f>EXP(-LN(2)/25)*AA59+(1-EXP(-LN(2)/25))/(LN(2)/25)*Calculateur!V60*Calculateur!X60*VLOOKUP('Données projet'!$B$9,Paramètres!$A$1:$I$89,3,0)*0.475*44/12</f>
        <v>23.172416342084663</v>
      </c>
      <c r="AB60" s="21">
        <f>EXP(-LN(2)/2)*AB59+(1-EXP(-LN(2)/2))/(LN(2)/2)*V60*Y60*VLOOKUP('Données projet'!$B$9,Paramètres!$A$1:$I$89,3,0)*0.475*44/12</f>
        <v>7.0036196496409223E-5</v>
      </c>
      <c r="AC60" s="22">
        <f t="shared" si="3"/>
        <v>123.93853793507861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796.71475132965043</v>
      </c>
      <c r="AN60" s="59">
        <f ca="1">AVERAGE(OFFSET($AM$3,0,0,'Données projet'!$E$10+1,1))-AVERAGE(OFFSET($H$3,0,0,'Données projet'!$E$10+1,1))</f>
        <v>520.95202773768222</v>
      </c>
      <c r="AO60" s="59">
        <f t="shared" si="36"/>
        <v>325.72635759450861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53.730463789557042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53.730463789557042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537.00000000000023</v>
      </c>
      <c r="BE60" s="13">
        <f>BD60*VLOOKUP('Données projet'!$B$11,Paramètres!$A$1:$I$89,3,0)*VLOOKUP('Données projet'!$B$11,Paramètres!$A$1:$I$89,5,0)</f>
        <v>321.12600000000015</v>
      </c>
      <c r="BF60" s="13">
        <f t="shared" si="37"/>
        <v>75.587591944000323</v>
      </c>
      <c r="BG60" s="20">
        <f t="shared" si="7"/>
        <v>690.94283930246741</v>
      </c>
      <c r="BH60" s="59">
        <f t="shared" si="8"/>
        <v>950.46947935314506</v>
      </c>
      <c r="BI60" s="59">
        <f ca="1">AVERAGE(OFFSET($BH$3,0,0,'Données projet'!$E$11+1,1))-AVERAGE(OFFSET($H$3,0,0,'Données projet'!$E$11+1,1))</f>
        <v>528.71639224940395</v>
      </c>
      <c r="BJ60" s="59">
        <f t="shared" si="38"/>
        <v>460.93390058676493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79.406586496132562</v>
      </c>
      <c r="BQ60" s="21">
        <f>EXP(-LN(2)/25)*BQ59+(1-EXP(-LN(2)/25))/(LN(2)/25)*Calculateur!BL60*Calculateur!BN60*VLOOKUP('Données projet'!$B$11,Paramètres!$A$1:$I$89,3,0)*0.475*44/12</f>
        <v>27.851575704423372</v>
      </c>
      <c r="BR60" s="21">
        <f>EXP(-LN(2)/2)*BR59+(1-EXP(-LN(2)/2))/(LN(2)/2)*BL60*BO60*VLOOKUP('Données projet'!$B$11,Paramètres!$A$1:$I$89,3,0)*0.475*44/12</f>
        <v>4.519962689824858E-6</v>
      </c>
      <c r="BS60" s="22">
        <f t="shared" si="9"/>
        <v>107.25816672051862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172.99775999999997</v>
      </c>
      <c r="CA60" s="13">
        <f t="shared" si="39"/>
        <v>43.760737531919609</v>
      </c>
      <c r="CB60" s="20">
        <f t="shared" si="10"/>
        <v>377.52104986809326</v>
      </c>
      <c r="CC60" s="59">
        <f t="shared" si="11"/>
        <v>637.04768991877097</v>
      </c>
      <c r="CD60" s="59">
        <f ca="1">AVERAGE(OFFSET($CC$3,0,0,'Données projet'!$E$12+1,1))-AVERAGE(OFFSET($H$3,0,0,'Données projet'!$E$12+1,1))</f>
        <v>398.11190027805549</v>
      </c>
      <c r="CE60" s="59">
        <f t="shared" si="40"/>
        <v>250.47702091764884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35.958079613011243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35.958079613011243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10.118749999999999</v>
      </c>
      <c r="CT60" s="12">
        <f>IF('Données projet'!$A$140&gt;35,CT59+CS60-DB59,IF(A60&lt;'Données projet'!$A$140,$CQ$205^A60,IF(A60='Données projet'!$A$140,'Données projet'!$B$140,CT59+CS60-DB59)))</f>
        <v>243.58125000000001</v>
      </c>
      <c r="CU60" s="17">
        <f>CT60*VLOOKUP('Données projet'!$B$13,Paramètres!$A$1:$I$89,3,0)*VLOOKUP('Données projet'!$B$13,Paramètres!$A$1:$I$89,5,0)</f>
        <v>231.79191750000001</v>
      </c>
      <c r="CV60" s="13">
        <f t="shared" si="41"/>
        <v>56.669960812295315</v>
      </c>
      <c r="CW60" s="20">
        <f t="shared" si="13"/>
        <v>502.40443806058096</v>
      </c>
      <c r="CX60" s="59">
        <f t="shared" si="14"/>
        <v>761.93107811125867</v>
      </c>
      <c r="CY60" s="59">
        <f ca="1">AVERAGE(OFFSET($CX$3,0,0,'Données projet'!$E$13+1,1))-AVERAGE(OFFSET($H$3,0,0,'Données projet'!$E$13+1,1))</f>
        <v>697.21496579281836</v>
      </c>
      <c r="CZ60" s="59">
        <f t="shared" si="42"/>
        <v>215.64914236153456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28.533527003316319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28.533527003316319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240.58943999999994</v>
      </c>
      <c r="DQ60" s="13">
        <f t="shared" si="43"/>
        <v>58.56633325847811</v>
      </c>
      <c r="DR60" s="20">
        <f t="shared" si="16"/>
        <v>521.02963842518261</v>
      </c>
      <c r="DS60" s="59">
        <f t="shared" si="17"/>
        <v>780.55627847586038</v>
      </c>
      <c r="DT60" s="59">
        <f ca="1">AVERAGE(OFFSET($DS$3,0,0,'Données projet'!$E$14+1,1))-AVERAGE(OFFSET($H$3,0,0,'Données projet'!$E$14+1,1))</f>
        <v>408.24135864450221</v>
      </c>
      <c r="DU60" s="59">
        <f t="shared" si="44"/>
        <v>394.10236303013903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50.404213654127453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50.404213654127453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22.6</v>
      </c>
      <c r="N61" s="13">
        <f>IF('Données projet'!$A$36&gt;35,N60+M61-V60,IF(A61&lt;'Données projet'!$A$36,$K$205^A61,IF(A61='Données projet'!$A$36,'Données projet'!$B$36,N60+M61-V60)))</f>
        <v>698.79999999999984</v>
      </c>
      <c r="O61" s="13">
        <f>N61*VLOOKUP('Données projet'!$B$9,Paramètres!$A$1:$I$89,3,0)*VLOOKUP('Données projet'!$B$9,Paramètres!$A$1:$I$89,5,0)</f>
        <v>327.03839999999991</v>
      </c>
      <c r="P61" s="13">
        <f t="shared" si="33"/>
        <v>76.815970143630011</v>
      </c>
      <c r="Q61" s="20">
        <f t="shared" si="53"/>
        <v>703.37969466682216</v>
      </c>
      <c r="R61" s="59">
        <f t="shared" si="0"/>
        <v>963.49280526551058</v>
      </c>
      <c r="S61" s="59">
        <f ca="1">AVERAGE(OFFSET($R$3,0,0,'Données projet'!$E$9+1,1))-AVERAGE(OFFSET($H$3,0,0,'Données projet'!$E$9+1,1))</f>
        <v>512.58510468904342</v>
      </c>
      <c r="T61" s="59">
        <f t="shared" si="34"/>
        <v>443.6106696463529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98.790090746991325</v>
      </c>
      <c r="AA61" s="21">
        <f>EXP(-LN(2)/25)*AA60+(1-EXP(-LN(2)/25))/(LN(2)/25)*Calculateur!V61*Calculateur!X61*VLOOKUP('Données projet'!$B$9,Paramètres!$A$1:$I$89,3,0)*0.475*44/12</f>
        <v>22.538765398625944</v>
      </c>
      <c r="AB61" s="21">
        <f>EXP(-LN(2)/2)*AB60+(1-EXP(-LN(2)/2))/(LN(2)/2)*V61*Y61*VLOOKUP('Données projet'!$B$9,Paramètres!$A$1:$I$89,3,0)*0.475*44/12</f>
        <v>4.9523069471124484E-5</v>
      </c>
      <c r="AC61" s="22">
        <f t="shared" si="3"/>
        <v>121.32890566868674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817.45202465285615</v>
      </c>
      <c r="AN61" s="59">
        <f ca="1">AVERAGE(OFFSET($AM$3,0,0,'Données projet'!$E$10+1,1))-AVERAGE(OFFSET($H$3,0,0,'Données projet'!$E$10+1,1))</f>
        <v>520.95202773768222</v>
      </c>
      <c r="AO61" s="59">
        <f t="shared" si="36"/>
        <v>325.72635759450861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52.676842166990738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52.676842166990738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554.00000000000023</v>
      </c>
      <c r="BE61" s="13">
        <f>BD61*VLOOKUP('Données projet'!$B$11,Paramètres!$A$1:$I$89,3,0)*VLOOKUP('Données projet'!$B$11,Paramètres!$A$1:$I$89,5,0)</f>
        <v>331.29200000000014</v>
      </c>
      <c r="BF61" s="13">
        <f t="shared" si="37"/>
        <v>77.698110787752142</v>
      </c>
      <c r="BG61" s="20">
        <f t="shared" si="7"/>
        <v>712.32444295533526</v>
      </c>
      <c r="BH61" s="59">
        <f t="shared" si="8"/>
        <v>972.43755355402368</v>
      </c>
      <c r="BI61" s="59">
        <f ca="1">AVERAGE(OFFSET($BH$3,0,0,'Données projet'!$E$11+1,1))-AVERAGE(OFFSET($H$3,0,0,'Données projet'!$E$11+1,1))</f>
        <v>528.71639224940395</v>
      </c>
      <c r="BJ61" s="59">
        <f t="shared" si="38"/>
        <v>460.93390058676493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77.849471768178773</v>
      </c>
      <c r="BQ61" s="21">
        <f>EXP(-LN(2)/25)*BQ60+(1-EXP(-LN(2)/25))/(LN(2)/25)*Calculateur!BL61*Calculateur!BN61*VLOOKUP('Données projet'!$B$11,Paramètres!$A$1:$I$89,3,0)*0.475*44/12</f>
        <v>27.089972902135205</v>
      </c>
      <c r="BR61" s="21">
        <f>EXP(-LN(2)/2)*BR60+(1-EXP(-LN(2)/2))/(LN(2)/2)*BL61*BO61*VLOOKUP('Données projet'!$B$11,Paramètres!$A$1:$I$89,3,0)*0.475*44/12</f>
        <v>3.1960962686853447E-6</v>
      </c>
      <c r="BS61" s="22">
        <f t="shared" si="9"/>
        <v>104.93944786641025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179.87423999999999</v>
      </c>
      <c r="CA61" s="13">
        <f t="shared" si="39"/>
        <v>45.294205745553846</v>
      </c>
      <c r="CB61" s="20">
        <f t="shared" si="10"/>
        <v>392.16837634017293</v>
      </c>
      <c r="CC61" s="59">
        <f t="shared" si="11"/>
        <v>652.28148693886135</v>
      </c>
      <c r="CD61" s="59">
        <f ca="1">AVERAGE(OFFSET($CC$3,0,0,'Données projet'!$E$12+1,1))-AVERAGE(OFFSET($H$3,0,0,'Données projet'!$E$12+1,1))</f>
        <v>398.11190027805549</v>
      </c>
      <c r="CE61" s="59">
        <f t="shared" si="40"/>
        <v>250.47702091764884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35.252963604063027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35.252963604063027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10.118749999999999</v>
      </c>
      <c r="CS61" s="12">
        <f t="array" ref="CS61">INDEX(CR:CR,MIN(IF(ISNUMBER(CR61:CR257),ROW(CR61:CR257),"")))</f>
        <v>10.118749999999999</v>
      </c>
      <c r="CT61" s="12">
        <f>IF('Données projet'!$A$140&gt;35,CT60+CS61-DB60,IF(A61&lt;'Données projet'!$A$140,$CQ$205^A61,IF(A61='Données projet'!$A$140,'Données projet'!$B$140,CT60+CS61-DB60)))</f>
        <v>253.70000000000002</v>
      </c>
      <c r="CU61" s="17">
        <f>CT61*VLOOKUP('Données projet'!$B$13,Paramètres!$A$1:$I$89,3,0)*VLOOKUP('Données projet'!$B$13,Paramètres!$A$1:$I$89,5,0)</f>
        <v>241.42092000000002</v>
      </c>
      <c r="CV61" s="13">
        <f t="shared" si="41"/>
        <v>58.745143231289255</v>
      </c>
      <c r="CW61" s="20">
        <f t="shared" si="13"/>
        <v>522.78922679449545</v>
      </c>
      <c r="CX61" s="59">
        <f t="shared" si="14"/>
        <v>782.90233739318387</v>
      </c>
      <c r="CY61" s="59">
        <f ca="1">AVERAGE(OFFSET($CX$3,0,0,'Données projet'!$E$13+1,1))-AVERAGE(OFFSET($H$3,0,0,'Données projet'!$E$13+1,1))</f>
        <v>697.21496579281836</v>
      </c>
      <c r="CZ61" s="59">
        <f t="shared" si="42"/>
        <v>215.64914236153456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0.43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48.297872392272851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48.297872392272851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246.00575999999995</v>
      </c>
      <c r="DQ61" s="13">
        <f t="shared" si="43"/>
        <v>59.729834388897928</v>
      </c>
      <c r="DR61" s="20">
        <f t="shared" si="16"/>
        <v>532.48949356066385</v>
      </c>
      <c r="DS61" s="59">
        <f t="shared" si="17"/>
        <v>792.60260415935227</v>
      </c>
      <c r="DT61" s="59">
        <f ca="1">AVERAGE(OFFSET($DS$3,0,0,'Données projet'!$E$14+1,1))-AVERAGE(OFFSET($H$3,0,0,'Données projet'!$E$14+1,1))</f>
        <v>408.24135864450221</v>
      </c>
      <c r="DU61" s="59">
        <f t="shared" si="44"/>
        <v>394.10236303013903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49.41581776790467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49.41581776790467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22.6</v>
      </c>
      <c r="N62" s="13">
        <f>IF('Données projet'!$A$36&gt;35,N61+M62-V61,IF(A62&lt;'Données projet'!$A$36,$K$205^A62,IF(A62='Données projet'!$A$36,'Données projet'!$B$36,N61+M62-V61)))</f>
        <v>721.39999999999986</v>
      </c>
      <c r="O62" s="13">
        <f>N62*VLOOKUP('Données projet'!$B$9,Paramètres!$A$1:$I$89,3,0)*VLOOKUP('Données projet'!$B$9,Paramètres!$A$1:$I$89,5,0)</f>
        <v>337.61519999999996</v>
      </c>
      <c r="P62" s="13">
        <f t="shared" si="33"/>
        <v>79.007029978996599</v>
      </c>
      <c r="Q62" s="20">
        <f t="shared" si="53"/>
        <v>725.61705054675224</v>
      </c>
      <c r="R62" s="59">
        <f t="shared" si="0"/>
        <v>986.30645774059508</v>
      </c>
      <c r="S62" s="59">
        <f ca="1">AVERAGE(OFFSET($R$3,0,0,'Données projet'!$E$9+1,1))-AVERAGE(OFFSET($H$3,0,0,'Données projet'!$E$9+1,1))</f>
        <v>512.58510468904342</v>
      </c>
      <c r="T62" s="59">
        <f t="shared" si="34"/>
        <v>443.6106696463529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96.852877323448396</v>
      </c>
      <c r="AA62" s="21">
        <f>EXP(-LN(2)/25)*AA61+(1-EXP(-LN(2)/25))/(LN(2)/25)*Calculateur!V62*Calculateur!X62*VLOOKUP('Données projet'!$B$9,Paramètres!$A$1:$I$89,3,0)*0.475*44/12</f>
        <v>21.922441673538358</v>
      </c>
      <c r="AB62" s="21">
        <f>EXP(-LN(2)/2)*AB61+(1-EXP(-LN(2)/2))/(LN(2)/2)*V62*Y62*VLOOKUP('Données projet'!$B$9,Paramètres!$A$1:$I$89,3,0)*0.475*44/12</f>
        <v>3.5018098248204612E-5</v>
      </c>
      <c r="AC62" s="22">
        <f t="shared" si="3"/>
        <v>118.775354015085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9">
        <f t="shared" si="5"/>
        <v>838.16387311737799</v>
      </c>
      <c r="AN62" s="59">
        <f ca="1">AVERAGE(OFFSET($AM$3,0,0,'Données projet'!$E$10+1,1))-AVERAGE(OFFSET($H$3,0,0,'Données projet'!$E$10+1,1))</f>
        <v>520.95202773768222</v>
      </c>
      <c r="AO62" s="59">
        <f t="shared" si="36"/>
        <v>325.72635759450861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51.643881421797225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51.643881421797225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571.00000000000023</v>
      </c>
      <c r="BE62" s="13">
        <f>BD62*VLOOKUP('Données projet'!$B$11,Paramètres!$A$1:$I$89,3,0)*VLOOKUP('Données projet'!$B$11,Paramètres!$A$1:$I$89,5,0)</f>
        <v>341.4580000000002</v>
      </c>
      <c r="BF62" s="13">
        <f t="shared" si="37"/>
        <v>79.801103392528489</v>
      </c>
      <c r="BG62" s="20">
        <f t="shared" si="7"/>
        <v>733.69293840865419</v>
      </c>
      <c r="BH62" s="59">
        <f t="shared" si="8"/>
        <v>994.38234560249703</v>
      </c>
      <c r="BI62" s="59">
        <f ca="1">AVERAGE(OFFSET($BH$3,0,0,'Données projet'!$E$11+1,1))-AVERAGE(OFFSET($H$3,0,0,'Données projet'!$E$11+1,1))</f>
        <v>528.71639224940395</v>
      </c>
      <c r="BJ62" s="59">
        <f t="shared" si="38"/>
        <v>460.93390058676493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76.322891110293966</v>
      </c>
      <c r="BQ62" s="21">
        <f>EXP(-LN(2)/25)*BQ61+(1-EXP(-LN(2)/25))/(LN(2)/25)*Calculateur!BL62*Calculateur!BN62*VLOOKUP('Données projet'!$B$11,Paramètres!$A$1:$I$89,3,0)*0.475*44/12</f>
        <v>26.349196168526557</v>
      </c>
      <c r="BR62" s="21">
        <f>EXP(-LN(2)/2)*BR61+(1-EXP(-LN(2)/2))/(LN(2)/2)*BL62*BO62*VLOOKUP('Données projet'!$B$11,Paramètres!$A$1:$I$89,3,0)*0.475*44/12</f>
        <v>2.259981344912429E-6</v>
      </c>
      <c r="BS62" s="22">
        <f t="shared" si="9"/>
        <v>102.67208953880187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186.75071999999997</v>
      </c>
      <c r="CA62" s="13">
        <f t="shared" si="39"/>
        <v>46.820863587839391</v>
      </c>
      <c r="CB62" s="20">
        <f t="shared" si="10"/>
        <v>406.80384141548689</v>
      </c>
      <c r="CC62" s="59">
        <f t="shared" si="11"/>
        <v>667.49324860932961</v>
      </c>
      <c r="CD62" s="59">
        <f ca="1">AVERAGE(OFFSET($CC$3,0,0,'Données projet'!$E$12+1,1))-AVERAGE(OFFSET($H$3,0,0,'Données projet'!$E$12+1,1))</f>
        <v>398.11190027805549</v>
      </c>
      <c r="CE62" s="59">
        <f t="shared" si="40"/>
        <v>250.47702091764884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34.561674489971985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34.561674489971985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9.75</v>
      </c>
      <c r="CT62" s="12">
        <f>IF('Données projet'!$A$140&gt;35,CT61+CS62-DB61,IF(A62&lt;'Données projet'!$A$140,$CQ$205^A62,IF(A62='Données projet'!$A$140,'Données projet'!$B$140,CT61+CS62-DB61)))</f>
        <v>218.52000000000004</v>
      </c>
      <c r="CU62" s="17">
        <f>CT62*VLOOKUP('Données projet'!$B$13,Paramètres!$A$1:$I$89,3,0)*VLOOKUP('Données projet'!$B$13,Paramètres!$A$1:$I$89,5,0)</f>
        <v>207.94363200000006</v>
      </c>
      <c r="CV62" s="13">
        <f t="shared" si="41"/>
        <v>51.485960516377354</v>
      </c>
      <c r="CW62" s="20">
        <f t="shared" si="13"/>
        <v>451.83987363269057</v>
      </c>
      <c r="CX62" s="59">
        <f t="shared" si="14"/>
        <v>712.5292808265333</v>
      </c>
      <c r="CY62" s="59">
        <f ca="1">AVERAGE(OFFSET($CX$3,0,0,'Données projet'!$E$13+1,1))-AVERAGE(OFFSET($H$3,0,0,'Données projet'!$E$13+1,1))</f>
        <v>697.21496579281836</v>
      </c>
      <c r="CZ62" s="59">
        <f t="shared" si="42"/>
        <v>215.64914236153456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47.350780573453726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47.350780573453726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251.42207999999994</v>
      </c>
      <c r="DQ62" s="13">
        <f t="shared" si="43"/>
        <v>60.890357280401872</v>
      </c>
      <c r="DR62" s="20">
        <f t="shared" si="16"/>
        <v>543.94416159669981</v>
      </c>
      <c r="DS62" s="59">
        <f t="shared" si="17"/>
        <v>804.63356879054254</v>
      </c>
      <c r="DT62" s="59">
        <f ca="1">AVERAGE(OFFSET($DS$3,0,0,'Données projet'!$E$14+1,1))-AVERAGE(OFFSET($H$3,0,0,'Données projet'!$E$14+1,1))</f>
        <v>408.24135864450221</v>
      </c>
      <c r="DU62" s="59">
        <f t="shared" si="44"/>
        <v>394.10236303013903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48.446803722148751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48.446803722148751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744</v>
      </c>
      <c r="L63" s="12">
        <f>VLOOKUP(A63,'Données projet'!$A$35:$I$55,9,0)</f>
        <v>22.6</v>
      </c>
      <c r="M63" s="12">
        <f t="array" ref="M63">INDEX(L:L,MIN(IF(ISNUMBER(L63:L259),ROW(L63:L259),"")))</f>
        <v>22.6</v>
      </c>
      <c r="N63" s="13">
        <f>IF('Données projet'!$A$36&gt;35,N62+M63-V62,IF(A63&lt;'Données projet'!$A$36,$K$205^A63,IF(A63='Données projet'!$A$36,'Données projet'!$B$36,N62+M63-V62)))</f>
        <v>743.99999999999989</v>
      </c>
      <c r="O63" s="13">
        <f>N63*VLOOKUP('Données projet'!$B$9,Paramètres!$A$1:$I$89,3,0)*VLOOKUP('Données projet'!$B$9,Paramètres!$A$1:$I$89,5,0)</f>
        <v>348.19200000000001</v>
      </c>
      <c r="P63" s="13">
        <f t="shared" si="33"/>
        <v>81.190113119538722</v>
      </c>
      <c r="Q63" s="20">
        <f t="shared" si="53"/>
        <v>747.84051368319672</v>
      </c>
      <c r="R63" s="59">
        <f t="shared" si="0"/>
        <v>1009.0962200146741</v>
      </c>
      <c r="S63" s="59">
        <f ca="1">AVERAGE(OFFSET($R$3,0,0,'Données projet'!$E$9+1,1))-AVERAGE(OFFSET($H$3,0,0,'Données projet'!$E$9+1,1))</f>
        <v>512.58510468904342</v>
      </c>
      <c r="T63" s="59">
        <f t="shared" si="34"/>
        <v>443.6106696463529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60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115.44111292336589</v>
      </c>
      <c r="AA63" s="21">
        <f>EXP(-LN(2)/25)*AA62+(1-EXP(-LN(2)/25))/(LN(2)/25)*Calculateur!V63*Calculateur!X63*VLOOKUP('Données projet'!$B$9,Paramètres!$A$1:$I$89,3,0)*0.475*44/12</f>
        <v>21.322971353124348</v>
      </c>
      <c r="AB63" s="21">
        <f>EXP(-LN(2)/2)*AB62+(1-EXP(-LN(2)/2))/(LN(2)/2)*V63*Y63*VLOOKUP('Données projet'!$B$9,Paramètres!$A$1:$I$89,3,0)*0.475*44/12</f>
        <v>2.4761534735562242E-5</v>
      </c>
      <c r="AC63" s="22">
        <f t="shared" si="3"/>
        <v>136.764109038025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9">
        <f t="shared" si="5"/>
        <v>858.85107937411522</v>
      </c>
      <c r="AN63" s="59">
        <f ca="1">AVERAGE(OFFSET($AM$3,0,0,'Données projet'!$E$10+1,1))-AVERAGE(OFFSET($H$3,0,0,'Données projet'!$E$10+1,1))</f>
        <v>520.95202773768222</v>
      </c>
      <c r="AO63" s="59">
        <f t="shared" si="36"/>
        <v>325.72635759450861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64.127377863523904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64.127377863523904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588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588.00000000000023</v>
      </c>
      <c r="BE63" s="13">
        <f>BD63*VLOOKUP('Données projet'!$B$11,Paramètres!$A$1:$I$89,3,0)*VLOOKUP('Données projet'!$B$11,Paramètres!$A$1:$I$89,5,0)</f>
        <v>351.62400000000019</v>
      </c>
      <c r="BF63" s="13">
        <f t="shared" si="37"/>
        <v>81.89681955603848</v>
      </c>
      <c r="BG63" s="20">
        <f t="shared" si="7"/>
        <v>755.04876072676723</v>
      </c>
      <c r="BH63" s="59">
        <f t="shared" si="8"/>
        <v>1016.3044670582447</v>
      </c>
      <c r="BI63" s="59">
        <f ca="1">AVERAGE(OFFSET($BH$3,0,0,'Données projet'!$E$11+1,1))-AVERAGE(OFFSET($H$3,0,0,'Données projet'!$E$11+1,1))</f>
        <v>528.71639224940395</v>
      </c>
      <c r="BJ63" s="59">
        <f t="shared" si="38"/>
        <v>460.93390058676493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39</v>
      </c>
      <c r="BM63" s="16">
        <f>IF(ISNA(VLOOKUP(A63,'Données projet'!$A$87:$I$107,5,0)),0%,VLOOKUP(A63,'Données projet'!$A$87:$I$107,5,0)*VLOOKUP('Données projet'!$B$11,Paramètres!$A$1:$I$89,7,0))</f>
        <v>0.45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88.748407071380441</v>
      </c>
      <c r="BQ63" s="21">
        <f>EXP(-LN(2)/25)*BQ62+(1-EXP(-LN(2)/25))/(LN(2)/25)*Calculateur!BL63*Calculateur!BN63*VLOOKUP('Données projet'!$B$11,Paramètres!$A$1:$I$89,3,0)*0.475*44/12</f>
        <v>25.628676013654193</v>
      </c>
      <c r="BR63" s="21">
        <f>EXP(-LN(2)/2)*BR62+(1-EXP(-LN(2)/2))/(LN(2)/2)*BL63*BO63*VLOOKUP('Données projet'!$B$11,Paramètres!$A$1:$I$89,3,0)*0.475*44/12</f>
        <v>1.5980481343426724E-6</v>
      </c>
      <c r="BS63" s="22">
        <f t="shared" si="9"/>
        <v>114.37708468308276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193.62719999999996</v>
      </c>
      <c r="CA63" s="13">
        <f t="shared" si="39"/>
        <v>48.340990547231193</v>
      </c>
      <c r="CB63" s="20">
        <f t="shared" si="10"/>
        <v>421.42793186976087</v>
      </c>
      <c r="CC63" s="59">
        <f t="shared" si="11"/>
        <v>682.68363820123841</v>
      </c>
      <c r="CD63" s="59">
        <f ca="1">AVERAGE(OFFSET($CC$3,0,0,'Données projet'!$E$12+1,1))-AVERAGE(OFFSET($H$3,0,0,'Données projet'!$E$12+1,1))</f>
        <v>398.11190027805549</v>
      </c>
      <c r="CE63" s="59">
        <f t="shared" si="40"/>
        <v>250.47702091764884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42.916014416358301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42.916014416358301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</v>
      </c>
      <c r="CT63" s="12">
        <f>IF('Données projet'!$A$140&gt;35,CT62+CS63-DB62,IF(A63&lt;'Données projet'!$A$140,$CQ$205^A63,IF(A63='Données projet'!$A$140,'Données projet'!$B$140,CT62+CS63-DB62)))</f>
        <v>228.27000000000004</v>
      </c>
      <c r="CU63" s="17">
        <f>CT63*VLOOKUP('Données projet'!$B$13,Paramètres!$A$1:$I$89,3,0)*VLOOKUP('Données projet'!$B$13,Paramètres!$A$1:$I$89,5,0)</f>
        <v>217.22173200000003</v>
      </c>
      <c r="CV63" s="13">
        <f t="shared" si="41"/>
        <v>53.51059698665523</v>
      </c>
      <c r="CW63" s="20">
        <f t="shared" si="13"/>
        <v>471.52547298509126</v>
      </c>
      <c r="CX63" s="59">
        <f t="shared" si="14"/>
        <v>732.7811793165688</v>
      </c>
      <c r="CY63" s="59">
        <f ca="1">AVERAGE(OFFSET($CX$3,0,0,'Données projet'!$E$13+1,1))-AVERAGE(OFFSET($H$3,0,0,'Données projet'!$E$13+1,1))</f>
        <v>697.21496579281836</v>
      </c>
      <c r="CZ63" s="59">
        <f t="shared" si="42"/>
        <v>215.64914236153456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46.422260647532674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46.422260647532674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256.83839999999992</v>
      </c>
      <c r="DQ63" s="13">
        <f t="shared" si="43"/>
        <v>62.047973482014044</v>
      </c>
      <c r="DR63" s="20">
        <f t="shared" si="16"/>
        <v>555.39376714784089</v>
      </c>
      <c r="DS63" s="59">
        <f t="shared" si="17"/>
        <v>816.64947347931843</v>
      </c>
      <c r="DT63" s="59">
        <f ca="1">AVERAGE(OFFSET($DS$3,0,0,'Données projet'!$E$14+1,1))-AVERAGE(OFFSET($H$3,0,0,'Données projet'!$E$14+1,1))</f>
        <v>408.24135864450221</v>
      </c>
      <c r="DU63" s="59">
        <f t="shared" si="44"/>
        <v>394.10236303013903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0.53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54.662574263604988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54.662574263604988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21.2</v>
      </c>
      <c r="N64" s="13">
        <f>IF('Données projet'!$A$36&gt;35,N63+M64-V63,IF(A64&lt;'Données projet'!$A$36,$K$205^A64,IF(A64='Données projet'!$A$36,'Données projet'!$B$36,N63+M64-V63)))</f>
        <v>705.19999999999993</v>
      </c>
      <c r="O64" s="13">
        <f>N64*VLOOKUP('Données projet'!$B$9,Paramètres!$A$1:$I$89,3,0)*VLOOKUP('Données projet'!$B$9,Paramètres!$A$1:$I$89,5,0)</f>
        <v>330.03359999999998</v>
      </c>
      <c r="P64" s="13">
        <f t="shared" si="33"/>
        <v>77.437273267793145</v>
      </c>
      <c r="Q64" s="20">
        <f t="shared" si="53"/>
        <v>709.67843760807307</v>
      </c>
      <c r="R64" s="59">
        <f t="shared" si="0"/>
        <v>971.49061905320241</v>
      </c>
      <c r="S64" s="59">
        <f ca="1">AVERAGE(OFFSET($R$3,0,0,'Données projet'!$E$9+1,1))-AVERAGE(OFFSET($H$3,0,0,'Données projet'!$E$9+1,1))</f>
        <v>512.58510468904342</v>
      </c>
      <c r="T64" s="59">
        <f t="shared" si="34"/>
        <v>443.6106696463529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113.17738311106496</v>
      </c>
      <c r="AA64" s="21">
        <f>EXP(-LN(2)/25)*AA63+(1-EXP(-LN(2)/25))/(LN(2)/25)*Calculateur!V64*Calculateur!X64*VLOOKUP('Données projet'!$B$9,Paramètres!$A$1:$I$89,3,0)*0.475*44/12</f>
        <v>20.739893580146834</v>
      </c>
      <c r="AB64" s="21">
        <f>EXP(-LN(2)/2)*AB63+(1-EXP(-LN(2)/2))/(LN(2)/2)*V64*Y64*VLOOKUP('Données projet'!$B$9,Paramètres!$A$1:$I$89,3,0)*0.475*44/12</f>
        <v>1.7509049124102306E-5</v>
      </c>
      <c r="AC64" s="22">
        <f t="shared" si="3"/>
        <v>133.9172942002609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9">
        <f t="shared" si="5"/>
        <v>818.29392967124522</v>
      </c>
      <c r="AN64" s="59">
        <f ca="1">AVERAGE(OFFSET($AM$3,0,0,'Données projet'!$E$10+1,1))-AVERAGE(OFFSET($H$3,0,0,'Données projet'!$E$10+1,1))</f>
        <v>520.95202773768222</v>
      </c>
      <c r="AO64" s="59">
        <f t="shared" si="36"/>
        <v>325.72635759450861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62.869879097458529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62.869879097458529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15.6</v>
      </c>
      <c r="BD64" s="12">
        <f>IF('Données projet'!$A$88&gt;35,BD63+BC64-BL63,IF(A64&lt;'Données projet'!$A$88,$BA$205^A64,IF(A64='Données projet'!$A$88,'Données projet'!$B$88,BD63+BC64-BL63)))</f>
        <v>564.60000000000025</v>
      </c>
      <c r="BE64" s="13">
        <f>BD64*VLOOKUP('Données projet'!$B$11,Paramètres!$A$1:$I$89,3,0)*VLOOKUP('Données projet'!$B$11,Paramètres!$A$1:$I$89,5,0)</f>
        <v>337.63080000000019</v>
      </c>
      <c r="BF64" s="13">
        <f t="shared" si="37"/>
        <v>79.01025567088999</v>
      </c>
      <c r="BG64" s="20">
        <f t="shared" si="7"/>
        <v>725.64983862680037</v>
      </c>
      <c r="BH64" s="59">
        <f t="shared" si="8"/>
        <v>987.46202007192971</v>
      </c>
      <c r="BI64" s="59">
        <f ca="1">AVERAGE(OFFSET($BH$3,0,0,'Données projet'!$E$11+1,1))-AVERAGE(OFFSET($H$3,0,0,'Données projet'!$E$11+1,1))</f>
        <v>528.71639224940395</v>
      </c>
      <c r="BJ64" s="59">
        <f t="shared" si="38"/>
        <v>460.93390058676493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87.008104939893968</v>
      </c>
      <c r="BQ64" s="21">
        <f>EXP(-LN(2)/25)*BQ63+(1-EXP(-LN(2)/25))/(LN(2)/25)*Calculateur!BL64*Calculateur!BN64*VLOOKUP('Données projet'!$B$11,Paramètres!$A$1:$I$89,3,0)*0.475*44/12</f>
        <v>24.927858520307321</v>
      </c>
      <c r="BR64" s="21">
        <f>EXP(-LN(2)/2)*BR63+(1-EXP(-LN(2)/2))/(LN(2)/2)*BL64*BO64*VLOOKUP('Données projet'!$B$11,Paramètres!$A$1:$I$89,3,0)*0.475*44/12</f>
        <v>1.1299906724562145E-6</v>
      </c>
      <c r="BS64" s="22">
        <f t="shared" si="9"/>
        <v>111.93596459019197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181.14095999999995</v>
      </c>
      <c r="CA64" s="13">
        <f t="shared" si="39"/>
        <v>45.575935320610945</v>
      </c>
      <c r="CB64" s="20">
        <f t="shared" si="10"/>
        <v>394.86525935006392</v>
      </c>
      <c r="CC64" s="59">
        <f t="shared" si="11"/>
        <v>656.67744079519321</v>
      </c>
      <c r="CD64" s="59">
        <f ca="1">AVERAGE(OFFSET($CC$3,0,0,'Données projet'!$E$12+1,1))-AVERAGE(OFFSET($H$3,0,0,'Données projet'!$E$12+1,1))</f>
        <v>398.11190027805549</v>
      </c>
      <c r="CE64" s="59">
        <f t="shared" si="40"/>
        <v>250.47702091764884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42.074457549837625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42.074457549837625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</v>
      </c>
      <c r="CT64" s="12">
        <f>IF('Données projet'!$A$140&gt;35,CT63+CS64-DB63,IF(A64&lt;'Données projet'!$A$140,$CQ$205^A64,IF(A64='Données projet'!$A$140,'Données projet'!$B$140,CT63+CS64-DB63)))</f>
        <v>238.02000000000004</v>
      </c>
      <c r="CU64" s="17">
        <f>CT64*VLOOKUP('Données projet'!$B$13,Paramètres!$A$1:$I$89,3,0)*VLOOKUP('Données projet'!$B$13,Paramètres!$A$1:$I$89,5,0)</f>
        <v>226.49983200000003</v>
      </c>
      <c r="CV64" s="13">
        <f t="shared" si="41"/>
        <v>55.525189238843865</v>
      </c>
      <c r="CW64" s="20">
        <f t="shared" si="13"/>
        <v>491.19357865765318</v>
      </c>
      <c r="CX64" s="59">
        <f t="shared" si="14"/>
        <v>753.00576010278246</v>
      </c>
      <c r="CY64" s="59">
        <f ca="1">AVERAGE(OFFSET($CX$3,0,0,'Données projet'!$E$13+1,1))-AVERAGE(OFFSET($H$3,0,0,'Données projet'!$E$13+1,1))</f>
        <v>697.21496579281836</v>
      </c>
      <c r="CZ64" s="59">
        <f t="shared" si="42"/>
        <v>215.64914236153456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45.5119484310177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45.5119484310177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285.19999999999987</v>
      </c>
      <c r="DP64" s="17">
        <f>DO64*VLOOKUP('Données projet'!$B$14,Paramètres!$A$1:$I$89,3,0)*VLOOKUP('Données projet'!$B$14,Paramètres!$A$1:$I$89,5,0)</f>
        <v>249.15071999999989</v>
      </c>
      <c r="DQ64" s="13">
        <f t="shared" si="43"/>
        <v>60.404044320946248</v>
      </c>
      <c r="DR64" s="20">
        <f t="shared" si="16"/>
        <v>539.1412145256478</v>
      </c>
      <c r="DS64" s="59">
        <f t="shared" si="17"/>
        <v>800.95339597077714</v>
      </c>
      <c r="DT64" s="59">
        <f ca="1">AVERAGE(OFFSET($DS$3,0,0,'Données projet'!$E$14+1,1))-AVERAGE(OFFSET($H$3,0,0,'Données projet'!$E$14+1,1))</f>
        <v>408.24135864450221</v>
      </c>
      <c r="DU64" s="59">
        <f t="shared" si="44"/>
        <v>394.10236303013903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53.59067452317386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53.59067452317386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21.2</v>
      </c>
      <c r="N65" s="13">
        <f>IF('Données projet'!$A$36&gt;35,N64+M65-V64,IF(A65&lt;'Données projet'!$A$36,$K$205^A65,IF(A65='Données projet'!$A$36,'Données projet'!$B$36,N64+M65-V64)))</f>
        <v>726.4</v>
      </c>
      <c r="O65" s="13">
        <f>N65*VLOOKUP('Données projet'!$B$9,Paramètres!$A$1:$I$89,3,0)*VLOOKUP('Données projet'!$B$9,Paramètres!$A$1:$I$89,5,0)</f>
        <v>339.95519999999999</v>
      </c>
      <c r="P65" s="13">
        <f t="shared" si="33"/>
        <v>79.49069038716631</v>
      </c>
      <c r="Q65" s="20">
        <f t="shared" si="53"/>
        <v>730.53492575764778</v>
      </c>
      <c r="R65" s="59">
        <f t="shared" si="0"/>
        <v>992.8939287172991</v>
      </c>
      <c r="S65" s="59">
        <f ca="1">AVERAGE(OFFSET($R$3,0,0,'Données projet'!$E$9+1,1))-AVERAGE(OFFSET($H$3,0,0,'Données projet'!$E$9+1,1))</f>
        <v>512.58510468904342</v>
      </c>
      <c r="T65" s="59">
        <f t="shared" si="34"/>
        <v>443.6106696463529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110.95804365964439</v>
      </c>
      <c r="AA65" s="21">
        <f>EXP(-LN(2)/25)*AA64+(1-EXP(-LN(2)/25))/(LN(2)/25)*Calculateur!V65*Calculateur!X65*VLOOKUP('Données projet'!$B$9,Paramètres!$A$1:$I$89,3,0)*0.475*44/12</f>
        <v>20.172760099534116</v>
      </c>
      <c r="AB65" s="21">
        <f>EXP(-LN(2)/2)*AB64+(1-EXP(-LN(2)/2))/(LN(2)/2)*V65*Y65*VLOOKUP('Données projet'!$B$9,Paramètres!$A$1:$I$89,3,0)*0.475*44/12</f>
        <v>1.2380767367781121E-5</v>
      </c>
      <c r="AC65" s="22">
        <f t="shared" si="3"/>
        <v>131.13081613994586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9">
        <f t="shared" si="5"/>
        <v>837.69209524592566</v>
      </c>
      <c r="AN65" s="59">
        <f ca="1">AVERAGE(OFFSET($AM$3,0,0,'Données projet'!$E$10+1,1))-AVERAGE(OFFSET($H$3,0,0,'Données projet'!$E$10+1,1))</f>
        <v>520.95202773768222</v>
      </c>
      <c r="AO65" s="59">
        <f t="shared" si="36"/>
        <v>325.72635759450861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61.637039115197183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61.637039115197183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15.6</v>
      </c>
      <c r="BD65" s="12">
        <f>IF('Données projet'!$A$88&gt;35,BD64+BC65-BL64,IF(A65&lt;'Données projet'!$A$88,$BA$205^A65,IF(A65='Données projet'!$A$88,'Données projet'!$B$88,BD64+BC65-BL64)))</f>
        <v>580.20000000000027</v>
      </c>
      <c r="BE65" s="13">
        <f>BD65*VLOOKUP('Données projet'!$B$11,Paramètres!$A$1:$I$89,3,0)*VLOOKUP('Données projet'!$B$11,Paramètres!$A$1:$I$89,5,0)</f>
        <v>346.95960000000014</v>
      </c>
      <c r="BF65" s="13">
        <f t="shared" si="37"/>
        <v>80.936143758770243</v>
      </c>
      <c r="BG65" s="20">
        <f t="shared" si="7"/>
        <v>745.25175371319165</v>
      </c>
      <c r="BH65" s="59">
        <f t="shared" si="8"/>
        <v>1007.610756672843</v>
      </c>
      <c r="BI65" s="59">
        <f ca="1">AVERAGE(OFFSET($BH$3,0,0,'Données projet'!$E$11+1,1))-AVERAGE(OFFSET($H$3,0,0,'Données projet'!$E$11+1,1))</f>
        <v>528.71639224940395</v>
      </c>
      <c r="BJ65" s="59">
        <f t="shared" si="38"/>
        <v>460.93390058676493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85.301929071726462</v>
      </c>
      <c r="BQ65" s="21">
        <f>EXP(-LN(2)/25)*BQ64+(1-EXP(-LN(2)/25))/(LN(2)/25)*Calculateur!BL65*Calculateur!BN65*VLOOKUP('Données projet'!$B$11,Paramètres!$A$1:$I$89,3,0)*0.475*44/12</f>
        <v>24.246204918170413</v>
      </c>
      <c r="BR65" s="21">
        <f>EXP(-LN(2)/2)*BR64+(1-EXP(-LN(2)/2))/(LN(2)/2)*BL65*BO65*VLOOKUP('Données projet'!$B$11,Paramètres!$A$1:$I$89,3,0)*0.475*44/12</f>
        <v>7.9902406717133618E-7</v>
      </c>
      <c r="BS65" s="22">
        <f t="shared" si="9"/>
        <v>109.54813478892095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187.65551999999994</v>
      </c>
      <c r="CA65" s="13">
        <f t="shared" si="39"/>
        <v>47.021247649900147</v>
      </c>
      <c r="CB65" s="20">
        <f t="shared" si="10"/>
        <v>408.72870365690932</v>
      </c>
      <c r="CC65" s="59">
        <f t="shared" si="11"/>
        <v>671.08770661656058</v>
      </c>
      <c r="CD65" s="59">
        <f ca="1">AVERAGE(OFFSET($CC$3,0,0,'Données projet'!$E$12+1,1))-AVERAGE(OFFSET($H$3,0,0,'Données projet'!$E$12+1,1))</f>
        <v>398.11190027805549</v>
      </c>
      <c r="CE65" s="59">
        <f t="shared" si="40"/>
        <v>250.47702091764884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41.249403100170419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41.249403100170419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</v>
      </c>
      <c r="CT65" s="12">
        <f>IF('Données projet'!$A$140&gt;35,CT64+CS65-DB64,IF(A65&lt;'Données projet'!$A$140,$CQ$205^A65,IF(A65='Données projet'!$A$140,'Données projet'!$B$140,CT64+CS65-DB64)))</f>
        <v>247.77000000000004</v>
      </c>
      <c r="CU65" s="17">
        <f>CT65*VLOOKUP('Données projet'!$B$13,Paramètres!$A$1:$I$89,3,0)*VLOOKUP('Données projet'!$B$13,Paramètres!$A$1:$I$89,5,0)</f>
        <v>235.77793200000005</v>
      </c>
      <c r="CV65" s="13">
        <f t="shared" si="41"/>
        <v>57.530195773489787</v>
      </c>
      <c r="CW65" s="20">
        <f t="shared" si="13"/>
        <v>510.84498920549476</v>
      </c>
      <c r="CX65" s="59">
        <f t="shared" si="14"/>
        <v>773.20399216514602</v>
      </c>
      <c r="CY65" s="59">
        <f ca="1">AVERAGE(OFFSET($CX$3,0,0,'Données projet'!$E$13+1,1))-AVERAGE(OFFSET($H$3,0,0,'Données projet'!$E$13+1,1))</f>
        <v>697.21496579281836</v>
      </c>
      <c r="CZ65" s="59">
        <f t="shared" si="42"/>
        <v>215.64914236153456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44.619486881832955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44.619486881832955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290.39999999999986</v>
      </c>
      <c r="DP65" s="17">
        <f>DO65*VLOOKUP('Données projet'!$B$14,Paramètres!$A$1:$I$89,3,0)*VLOOKUP('Données projet'!$B$14,Paramètres!$A$1:$I$89,5,0)</f>
        <v>253.69343999999992</v>
      </c>
      <c r="DQ65" s="13">
        <f t="shared" si="43"/>
        <v>61.376159112289358</v>
      </c>
      <c r="DR65" s="20">
        <f t="shared" si="16"/>
        <v>548.74621845390379</v>
      </c>
      <c r="DS65" s="59">
        <f t="shared" si="17"/>
        <v>811.10522141355511</v>
      </c>
      <c r="DT65" s="59">
        <f ca="1">AVERAGE(OFFSET($DS$3,0,0,'Données projet'!$E$14+1,1))-AVERAGE(OFFSET($H$3,0,0,'Données projet'!$E$14+1,1))</f>
        <v>408.24135864450221</v>
      </c>
      <c r="DU65" s="59">
        <f t="shared" si="44"/>
        <v>394.10236303013903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52.5397940828583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52.5397940828583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21.2</v>
      </c>
      <c r="N66" s="13">
        <f>IF('Données projet'!$A$36&gt;35,N65+M66-V65,IF(A66&lt;'Données projet'!$A$36,$K$205^A66,IF(A66='Données projet'!$A$36,'Données projet'!$B$36,N65+M66-V65)))</f>
        <v>747.6</v>
      </c>
      <c r="O66" s="13">
        <f>N66*VLOOKUP('Données projet'!$B$9,Paramètres!$A$1:$I$89,3,0)*VLOOKUP('Données projet'!$B$9,Paramètres!$A$1:$I$89,5,0)</f>
        <v>349.87680000000006</v>
      </c>
      <c r="P66" s="13">
        <f t="shared" si="33"/>
        <v>81.537142558789228</v>
      </c>
      <c r="Q66" s="20">
        <f t="shared" si="53"/>
        <v>751.3792832898913</v>
      </c>
      <c r="R66" s="59">
        <f t="shared" si="0"/>
        <v>1014.2756216332974</v>
      </c>
      <c r="S66" s="59">
        <f ca="1">AVERAGE(OFFSET($R$3,0,0,'Données projet'!$E$9+1,1))-AVERAGE(OFFSET($H$3,0,0,'Données projet'!$E$9+1,1))</f>
        <v>512.58510468904342</v>
      </c>
      <c r="T66" s="59">
        <f t="shared" si="34"/>
        <v>443.6106696463529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108.78222410120277</v>
      </c>
      <c r="AA66" s="21">
        <f>EXP(-LN(2)/25)*AA65+(1-EXP(-LN(2)/25))/(LN(2)/25)*Calculateur!V66*Calculateur!X66*VLOOKUP('Données projet'!$B$9,Paramètres!$A$1:$I$89,3,0)*0.475*44/12</f>
        <v>19.621134913773009</v>
      </c>
      <c r="AB66" s="21">
        <f>EXP(-LN(2)/2)*AB65+(1-EXP(-LN(2)/2))/(LN(2)/2)*V66*Y66*VLOOKUP('Données projet'!$B$9,Paramètres!$A$1:$I$89,3,0)*0.475*44/12</f>
        <v>8.7545245620511529E-6</v>
      </c>
      <c r="AC66" s="22">
        <f t="shared" si="3"/>
        <v>128.40336776950036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857.06788561606015</v>
      </c>
      <c r="AN66" s="59">
        <f ca="1">AVERAGE(OFFSET($AM$3,0,0,'Données projet'!$E$10+1,1))-AVERAGE(OFFSET($H$3,0,0,'Données projet'!$E$10+1,1))</f>
        <v>520.95202773768222</v>
      </c>
      <c r="AO66" s="59">
        <f t="shared" si="36"/>
        <v>325.72635759450861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60.42837437302984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60.42837437302984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15.6</v>
      </c>
      <c r="BD66" s="12">
        <f>IF('Données projet'!$A$88&gt;35,BD65+BC66-BL65,IF(A66&lt;'Données projet'!$A$88,$BA$205^A66,IF(A66='Données projet'!$A$88,'Données projet'!$B$88,BD65+BC66-BL65)))</f>
        <v>595.8000000000003</v>
      </c>
      <c r="BE66" s="13">
        <f>BD66*VLOOKUP('Données projet'!$B$11,Paramètres!$A$1:$I$89,3,0)*VLOOKUP('Données projet'!$B$11,Paramètres!$A$1:$I$89,5,0)</f>
        <v>356.28840000000019</v>
      </c>
      <c r="BF66" s="13">
        <f t="shared" si="37"/>
        <v>82.856013090111389</v>
      </c>
      <c r="BG66" s="20">
        <f t="shared" si="7"/>
        <v>764.84318613194444</v>
      </c>
      <c r="BH66" s="59">
        <f t="shared" si="8"/>
        <v>1027.7395244753507</v>
      </c>
      <c r="BI66" s="59">
        <f ca="1">AVERAGE(OFFSET($BH$3,0,0,'Données projet'!$E$11+1,1))-AVERAGE(OFFSET($H$3,0,0,'Données projet'!$E$11+1,1))</f>
        <v>528.71639224940395</v>
      </c>
      <c r="BJ66" s="59">
        <f t="shared" si="38"/>
        <v>460.93390058676493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83.629210271669194</v>
      </c>
      <c r="BQ66" s="21">
        <f>EXP(-LN(2)/25)*BQ65+(1-EXP(-LN(2)/25))/(LN(2)/25)*Calculateur!BL66*Calculateur!BN66*VLOOKUP('Données projet'!$B$11,Paramètres!$A$1:$I$89,3,0)*0.475*44/12</f>
        <v>23.583191169630542</v>
      </c>
      <c r="BR66" s="21">
        <f>EXP(-LN(2)/2)*BR65+(1-EXP(-LN(2)/2))/(LN(2)/2)*BL66*BO66*VLOOKUP('Données projet'!$B$11,Paramètres!$A$1:$I$89,3,0)*0.475*44/12</f>
        <v>5.6499533622810726E-7</v>
      </c>
      <c r="BS66" s="22">
        <f t="shared" si="9"/>
        <v>107.21240200629506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194.17007999999996</v>
      </c>
      <c r="CA66" s="13">
        <f t="shared" si="39"/>
        <v>48.460730182351035</v>
      </c>
      <c r="CB66" s="20">
        <f t="shared" si="10"/>
        <v>422.5819944009279</v>
      </c>
      <c r="CC66" s="59">
        <f t="shared" si="11"/>
        <v>685.47833274433401</v>
      </c>
      <c r="CD66" s="59">
        <f ca="1">AVERAGE(OFFSET($CC$3,0,0,'Données projet'!$E$12+1,1))-AVERAGE(OFFSET($H$3,0,0,'Données projet'!$E$12+1,1))</f>
        <v>398.11190027805549</v>
      </c>
      <c r="CE66" s="59">
        <f t="shared" si="40"/>
        <v>250.47702091764884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40.440527465027657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40.440527465027657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</v>
      </c>
      <c r="CT66" s="12">
        <f>IF('Données projet'!$A$140&gt;35,CT65+CS66-DB65,IF(A66&lt;'Données projet'!$A$140,$CQ$205^A66,IF(A66='Données projet'!$A$140,'Données projet'!$B$140,CT65+CS66-DB65)))</f>
        <v>257.52000000000004</v>
      </c>
      <c r="CU66" s="17">
        <f>CT66*VLOOKUP('Données projet'!$B$13,Paramètres!$A$1:$I$89,3,0)*VLOOKUP('Données projet'!$B$13,Paramètres!$A$1:$I$89,5,0)</f>
        <v>245.05603200000004</v>
      </c>
      <c r="CV66" s="13">
        <f t="shared" si="41"/>
        <v>59.52603696328277</v>
      </c>
      <c r="CW66" s="20">
        <f t="shared" si="13"/>
        <v>530.48043677771761</v>
      </c>
      <c r="CX66" s="59">
        <f t="shared" si="14"/>
        <v>793.37677512112373</v>
      </c>
      <c r="CY66" s="59">
        <f ca="1">AVERAGE(OFFSET($CX$3,0,0,'Données projet'!$E$13+1,1))-AVERAGE(OFFSET($H$3,0,0,'Données projet'!$E$13+1,1))</f>
        <v>697.21496579281836</v>
      </c>
      <c r="CZ66" s="59">
        <f t="shared" si="42"/>
        <v>215.64914236153456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43.744525959279933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43.744525959279933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295.59999999999985</v>
      </c>
      <c r="DP66" s="17">
        <f>DO66*VLOOKUP('Données projet'!$B$14,Paramètres!$A$1:$I$89,3,0)*VLOOKUP('Données projet'!$B$14,Paramètres!$A$1:$I$89,5,0)</f>
        <v>258.23615999999993</v>
      </c>
      <c r="DQ66" s="13">
        <f t="shared" si="43"/>
        <v>62.346249722937728</v>
      </c>
      <c r="DR66" s="20">
        <f t="shared" si="16"/>
        <v>558.34769693411636</v>
      </c>
      <c r="DS66" s="59">
        <f t="shared" si="17"/>
        <v>821.24403527752247</v>
      </c>
      <c r="DT66" s="59">
        <f ca="1">AVERAGE(OFFSET($DS$3,0,0,'Données projet'!$E$14+1,1))-AVERAGE(OFFSET($H$3,0,0,'Données projet'!$E$14+1,1))</f>
        <v>408.24135864450221</v>
      </c>
      <c r="DU66" s="59">
        <f t="shared" si="44"/>
        <v>394.10236303013903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51.509520767003551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51.509520767003551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21.2</v>
      </c>
      <c r="N67" s="13">
        <f>IF('Données projet'!$A$36&gt;35,N66+M67-V66,IF(A67&lt;'Données projet'!$A$36,$K$205^A67,IF(A67='Données projet'!$A$36,'Données projet'!$B$36,N66+M67-V66)))</f>
        <v>768.80000000000007</v>
      </c>
      <c r="O67" s="13">
        <f>N67*VLOOKUP('Données projet'!$B$9,Paramètres!$A$1:$I$89,3,0)*VLOOKUP('Données projet'!$B$9,Paramètres!$A$1:$I$89,5,0)</f>
        <v>359.79840000000007</v>
      </c>
      <c r="P67" s="13">
        <f t="shared" si="33"/>
        <v>83.576849976748889</v>
      </c>
      <c r="Q67" s="20">
        <f t="shared" ref="Q67:Q98" si="54">(O67+P67)*0.475*44/12</f>
        <v>772.21189370950435</v>
      </c>
      <c r="R67" s="59">
        <f t="shared" ref="R67:R130" si="55">Q67+(I67+J67)*44/12</f>
        <v>1035.6362458690592</v>
      </c>
      <c r="S67" s="59">
        <f ca="1">AVERAGE(OFFSET($R$3,0,0,'Données projet'!$E$9+1,1))-AVERAGE(OFFSET($H$3,0,0,'Données projet'!$E$9+1,1))</f>
        <v>512.58510468904342</v>
      </c>
      <c r="T67" s="59">
        <f t="shared" si="34"/>
        <v>443.6106696463529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106.6490710371833</v>
      </c>
      <c r="AA67" s="21">
        <f>EXP(-LN(2)/25)*AA66+(1-EXP(-LN(2)/25))/(LN(2)/25)*Calculateur!V67*Calculateur!X67*VLOOKUP('Données projet'!$B$9,Paramètres!$A$1:$I$89,3,0)*0.475*44/12</f>
        <v>19.084593947725246</v>
      </c>
      <c r="AB67" s="21">
        <f>EXP(-LN(2)/2)*AB66+(1-EXP(-LN(2)/2))/(LN(2)/2)*V67*Y67*VLOOKUP('Données projet'!$B$9,Paramètres!$A$1:$I$89,3,0)*0.475*44/12</f>
        <v>6.1903836838905605E-6</v>
      </c>
      <c r="AC67" s="22">
        <f t="shared" si="3"/>
        <v>125.73367117529224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876.42193119855779</v>
      </c>
      <c r="AN67" s="59">
        <f ca="1">AVERAGE(OFFSET($AM$3,0,0,'Données projet'!$E$10+1,1))-AVERAGE(OFFSET($H$3,0,0,'Données projet'!$E$10+1,1))</f>
        <v>520.95202773768222</v>
      </c>
      <c r="AO67" s="59">
        <f t="shared" si="36"/>
        <v>325.72635759450861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59.243410809243699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59.243410809243699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15.6</v>
      </c>
      <c r="BD67" s="12">
        <f>IF('Données projet'!$A$88&gt;35,BD66+BC67-BL66,IF(A67&lt;'Données projet'!$A$88,$BA$205^A67,IF(A67='Données projet'!$A$88,'Données projet'!$B$88,BD66+BC67-BL66)))</f>
        <v>611.40000000000032</v>
      </c>
      <c r="BE67" s="13">
        <f>BD67*VLOOKUP('Données projet'!$B$11,Paramètres!$A$1:$I$89,3,0)*VLOOKUP('Données projet'!$B$11,Paramètres!$A$1:$I$89,5,0)</f>
        <v>365.6172000000002</v>
      </c>
      <c r="BF67" s="13">
        <f t="shared" si="37"/>
        <v>84.770039372098395</v>
      </c>
      <c r="BG67" s="20">
        <f t="shared" si="7"/>
        <v>784.42444190640492</v>
      </c>
      <c r="BH67" s="59">
        <f t="shared" si="8"/>
        <v>1047.8487940659597</v>
      </c>
      <c r="BI67" s="59">
        <f ca="1">AVERAGE(OFFSET($BH$3,0,0,'Données projet'!$E$11+1,1))-AVERAGE(OFFSET($H$3,0,0,'Données projet'!$E$11+1,1))</f>
        <v>528.71639224940395</v>
      </c>
      <c r="BJ67" s="59">
        <f t="shared" si="38"/>
        <v>460.93390058676493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81.989292467023333</v>
      </c>
      <c r="BQ67" s="21">
        <f>EXP(-LN(2)/25)*BQ66+(1-EXP(-LN(2)/25))/(LN(2)/25)*Calculateur!BL67*Calculateur!BN67*VLOOKUP('Données projet'!$B$11,Paramètres!$A$1:$I$89,3,0)*0.475*44/12</f>
        <v>22.938307566910872</v>
      </c>
      <c r="BR67" s="21">
        <f>EXP(-LN(2)/2)*BR66+(1-EXP(-LN(2)/2))/(LN(2)/2)*BL67*BO67*VLOOKUP('Données projet'!$B$11,Paramètres!$A$1:$I$89,3,0)*0.475*44/12</f>
        <v>3.9951203358566809E-7</v>
      </c>
      <c r="BS67" s="22">
        <f t="shared" si="9"/>
        <v>104.92760043344623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200.68463999999992</v>
      </c>
      <c r="CA67" s="13">
        <f t="shared" si="39"/>
        <v>49.894600936700193</v>
      </c>
      <c r="CB67" s="20">
        <f t="shared" si="10"/>
        <v>436.42551129808606</v>
      </c>
      <c r="CC67" s="59">
        <f t="shared" si="11"/>
        <v>699.84986345764082</v>
      </c>
      <c r="CD67" s="59">
        <f ca="1">AVERAGE(OFFSET($CC$3,0,0,'Données projet'!$E$12+1,1))-AVERAGE(OFFSET($H$3,0,0,'Données projet'!$E$12+1,1))</f>
        <v>398.11190027805549</v>
      </c>
      <c r="CE67" s="59">
        <f t="shared" si="40"/>
        <v>250.47702091764884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39.647513387724622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39.647513387724622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</v>
      </c>
      <c r="CT67" s="12">
        <f>IF('Données projet'!$A$140&gt;35,CT66+CS67-DB66,IF(A67&lt;'Données projet'!$A$140,$CQ$205^A67,IF(A67='Données projet'!$A$140,'Données projet'!$B$140,CT66+CS67-DB66)))</f>
        <v>267.27000000000004</v>
      </c>
      <c r="CU67" s="17">
        <f>CT67*VLOOKUP('Données projet'!$B$13,Paramètres!$A$1:$I$89,3,0)*VLOOKUP('Données projet'!$B$13,Paramètres!$A$1:$I$89,5,0)</f>
        <v>254.33413200000004</v>
      </c>
      <c r="CV67" s="13">
        <f t="shared" si="41"/>
        <v>61.513099546301312</v>
      </c>
      <c r="CW67" s="20">
        <f t="shared" si="13"/>
        <v>550.10059494314157</v>
      </c>
      <c r="CX67" s="59">
        <f t="shared" si="14"/>
        <v>813.52494710269639</v>
      </c>
      <c r="CY67" s="59">
        <f ca="1">AVERAGE(OFFSET($CX$3,0,0,'Données projet'!$E$13+1,1))-AVERAGE(OFFSET($H$3,0,0,'Données projet'!$E$13+1,1))</f>
        <v>697.21496579281836</v>
      </c>
      <c r="CZ67" s="59">
        <f t="shared" si="42"/>
        <v>215.64914236153456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42.886722486744709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42.886722486744709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300.79999999999984</v>
      </c>
      <c r="DP67" s="17">
        <f>DO67*VLOOKUP('Données projet'!$B$14,Paramètres!$A$1:$I$89,3,0)*VLOOKUP('Données projet'!$B$14,Paramètres!$A$1:$I$89,5,0)</f>
        <v>262.7788799999999</v>
      </c>
      <c r="DQ67" s="13">
        <f t="shared" si="43"/>
        <v>63.314355869176104</v>
      </c>
      <c r="DR67" s="20">
        <f t="shared" si="16"/>
        <v>567.94571913881475</v>
      </c>
      <c r="DS67" s="59">
        <f t="shared" si="17"/>
        <v>831.37007129836957</v>
      </c>
      <c r="DT67" s="59">
        <f ca="1">AVERAGE(OFFSET($DS$3,0,0,'Données projet'!$E$14+1,1))-AVERAGE(OFFSET($H$3,0,0,'Données projet'!$E$14+1,1))</f>
        <v>408.24135864450221</v>
      </c>
      <c r="DU67" s="59">
        <f t="shared" si="44"/>
        <v>394.10236303013903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50.499450482468035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50.499450482468035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790</v>
      </c>
      <c r="L68" s="12">
        <f>VLOOKUP(A68,'Données projet'!$A$35:$I$55,9,0)</f>
        <v>21.2</v>
      </c>
      <c r="M68" s="12">
        <f t="array" ref="M68">INDEX(L:L,MIN(IF(ISNUMBER(L68:L264),ROW(L68:L264),"")))</f>
        <v>21.2</v>
      </c>
      <c r="N68" s="13">
        <f>IF('Données projet'!$A$36&gt;35,N67+M68-V67,IF(A68&lt;'Données projet'!$A$36,$K$205^A68,IF(A68='Données projet'!$A$36,'Données projet'!$B$36,N67+M68-V67)))</f>
        <v>790.00000000000011</v>
      </c>
      <c r="O68" s="13">
        <f>N68*VLOOKUP('Données projet'!$B$9,Paramètres!$A$1:$I$89,3,0)*VLOOKUP('Données projet'!$B$9,Paramètres!$A$1:$I$89,5,0)</f>
        <v>369.72000000000008</v>
      </c>
      <c r="P68" s="13">
        <f t="shared" si="33"/>
        <v>85.610020000143891</v>
      </c>
      <c r="Q68" s="20">
        <f t="shared" si="54"/>
        <v>793.03311816691746</v>
      </c>
      <c r="R68" s="59">
        <f t="shared" si="55"/>
        <v>1056.9763242833726</v>
      </c>
      <c r="S68" s="59">
        <f ca="1">AVERAGE(OFFSET($R$3,0,0,'Données projet'!$E$9+1,1))-AVERAGE(OFFSET($H$3,0,0,'Données projet'!$E$9+1,1))</f>
        <v>512.58510468904342</v>
      </c>
      <c r="T68" s="59">
        <f t="shared" si="34"/>
        <v>443.6106696463529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56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123.67937849014207</v>
      </c>
      <c r="AA68" s="21">
        <f>EXP(-LN(2)/25)*AA67+(1-EXP(-LN(2)/25))/(LN(2)/25)*Calculateur!V68*Calculateur!X68*VLOOKUP('Données projet'!$B$9,Paramètres!$A$1:$I$89,3,0)*0.475*44/12</f>
        <v>18.56272472260952</v>
      </c>
      <c r="AB68" s="21">
        <f>EXP(-LN(2)/2)*AB67+(1-EXP(-LN(2)/2))/(LN(2)/2)*V68*Y68*VLOOKUP('Données projet'!$B$9,Paramètres!$A$1:$I$89,3,0)*0.475*44/12</f>
        <v>4.3772622810255764E-6</v>
      </c>
      <c r="AC68" s="22">
        <f t="shared" ref="AC68:AC131" si="57">SUM(Z68:AB68)</f>
        <v>142.24210759001389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9">
        <f t="shared" ref="AM68:AM131" si="59">AL68+(AD68+AE68)*44/12</f>
        <v>895.75482863228171</v>
      </c>
      <c r="AN68" s="59">
        <f ca="1">AVERAGE(OFFSET($AM$3,0,0,'Données projet'!$E$10+1,1))-AVERAGE(OFFSET($H$3,0,0,'Données projet'!$E$10+1,1))</f>
        <v>520.95202773768222</v>
      </c>
      <c r="AO68" s="59">
        <f t="shared" si="36"/>
        <v>325.72635759450861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71.577885114937786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71.577885114937786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627</v>
      </c>
      <c r="BB68" s="12">
        <f>VLOOKUP(A68,'Données projet'!$A$87:$I$107,9,0)</f>
        <v>15.6</v>
      </c>
      <c r="BC68" s="12">
        <f t="array" ref="BC68">INDEX(BB:BB,MIN(IF(ISNUMBER(BB68:BB264),ROW(BB68:BB264),"")))</f>
        <v>15.6</v>
      </c>
      <c r="BD68" s="12">
        <f>IF('Données projet'!$A$88&gt;35,BD67+BC68-BL67,IF(A68&lt;'Données projet'!$A$88,$BA$205^A68,IF(A68='Données projet'!$A$88,'Données projet'!$B$88,BD67+BC68-BL67)))</f>
        <v>627.00000000000034</v>
      </c>
      <c r="BE68" s="13">
        <f>BD68*VLOOKUP('Données projet'!$B$11,Paramètres!$A$1:$I$89,3,0)*VLOOKUP('Données projet'!$B$11,Paramètres!$A$1:$I$89,5,0)</f>
        <v>374.94600000000025</v>
      </c>
      <c r="BF68" s="13">
        <f t="shared" si="37"/>
        <v>86.678388834633466</v>
      </c>
      <c r="BG68" s="20">
        <f t="shared" ref="BG68:BG131" si="61">(BE68+BF68)*0.475*44/12</f>
        <v>803.99581055365354</v>
      </c>
      <c r="BH68" s="59">
        <f t="shared" ref="BH68:BH131" si="62">BG68+(AY68+AZ68)*44/12</f>
        <v>1067.9390166701087</v>
      </c>
      <c r="BI68" s="59">
        <f ca="1">AVERAGE(OFFSET($BH$3,0,0,'Données projet'!$E$11+1,1))-AVERAGE(OFFSET($H$3,0,0,'Données projet'!$E$11+1,1))</f>
        <v>528.71639224940395</v>
      </c>
      <c r="BJ68" s="59">
        <f t="shared" si="38"/>
        <v>460.93390058676493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34</v>
      </c>
      <c r="BM68" s="16">
        <f>IF(ISNA(VLOOKUP(A68,'Données projet'!$A$87:$I$107,5,0)),0%,VLOOKUP(A68,'Données projet'!$A$87:$I$107,5,0)*VLOOKUP('Données projet'!$B$11,Paramètres!$A$1:$I$89,7,0))</f>
        <v>0.45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92.518801278874008</v>
      </c>
      <c r="BQ68" s="21">
        <f>EXP(-LN(2)/25)*BQ67+(1-EXP(-LN(2)/25))/(LN(2)/25)*Calculateur!BL68*Calculateur!BN68*VLOOKUP('Données projet'!$B$11,Paramètres!$A$1:$I$89,3,0)*0.475*44/12</f>
        <v>22.311058340220526</v>
      </c>
      <c r="BR68" s="21">
        <f>EXP(-LN(2)/2)*BR67+(1-EXP(-LN(2)/2))/(LN(2)/2)*BL68*BO68*VLOOKUP('Données projet'!$B$11,Paramètres!$A$1:$I$89,3,0)*0.475*44/12</f>
        <v>2.8249766811405363E-7</v>
      </c>
      <c r="BS68" s="22">
        <f t="shared" ref="BS68:BS131" si="63">SUM(BP68:BR68)</f>
        <v>114.8298599015922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207.19919999999991</v>
      </c>
      <c r="CA68" s="13">
        <f t="shared" si="39"/>
        <v>51.3230629736655</v>
      </c>
      <c r="CB68" s="20">
        <f t="shared" ref="CB68:CB131" si="64">(BZ68+CA68)*0.475*44/12</f>
        <v>450.25960801246725</v>
      </c>
      <c r="CC68" s="59">
        <f t="shared" ref="CC68:CC131" si="65">CB68+(BT68+BU68)*44/12</f>
        <v>714.20281412892245</v>
      </c>
      <c r="CD68" s="59">
        <f ca="1">AVERAGE(OFFSET($CC$3,0,0,'Données projet'!$E$12+1,1))-AVERAGE(OFFSET($H$3,0,0,'Données projet'!$E$12+1,1))</f>
        <v>398.11190027805549</v>
      </c>
      <c r="CE68" s="59">
        <f t="shared" si="40"/>
        <v>250.47702091764884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47.902123115381436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47.902123115381436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</v>
      </c>
      <c r="CT68" s="12">
        <f>IF('Données projet'!$A$140&gt;35,CT67+CS68-DB67,IF(A68&lt;'Données projet'!$A$140,$CQ$205^A68,IF(A68='Données projet'!$A$140,'Données projet'!$B$140,CT67+CS68-DB67)))</f>
        <v>277.02000000000004</v>
      </c>
      <c r="CU68" s="17">
        <f>CT68*VLOOKUP('Données projet'!$B$13,Paramètres!$A$1:$I$89,3,0)*VLOOKUP('Données projet'!$B$13,Paramètres!$A$1:$I$89,5,0)</f>
        <v>263.61223200000001</v>
      </c>
      <c r="CV68" s="13">
        <f t="shared" si="41"/>
        <v>63.491740445176504</v>
      </c>
      <c r="CW68" s="20">
        <f t="shared" ref="CW68:CW131" si="67">(CU68+CV68)*0.475*44/12</f>
        <v>569.70608534201574</v>
      </c>
      <c r="CX68" s="59">
        <f t="shared" ref="CX68:CX131" si="68">CW68+(CO68+CP68)*44/12</f>
        <v>833.649291458471</v>
      </c>
      <c r="CY68" s="59">
        <f ca="1">AVERAGE(OFFSET($CX$3,0,0,'Données projet'!$E$13+1,1))-AVERAGE(OFFSET($H$3,0,0,'Données projet'!$E$13+1,1))</f>
        <v>697.21496579281836</v>
      </c>
      <c r="CZ68" s="59">
        <f t="shared" si="42"/>
        <v>215.64914236153456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42.045740017097444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42.045740017097444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306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305.99999999999983</v>
      </c>
      <c r="DP68" s="17">
        <f>DO68*VLOOKUP('Données projet'!$B$14,Paramètres!$A$1:$I$89,3,0)*VLOOKUP('Données projet'!$B$14,Paramètres!$A$1:$I$89,5,0)</f>
        <v>267.32159999999988</v>
      </c>
      <c r="DQ68" s="13">
        <f t="shared" si="43"/>
        <v>64.280515815446321</v>
      </c>
      <c r="DR68" s="20">
        <f t="shared" ref="DR68:DR131" si="70">(DP68+DQ68)*0.475*44/12</f>
        <v>577.54035171190208</v>
      </c>
      <c r="DS68" s="59">
        <f t="shared" ref="DS68:DS131" si="71">DR68+(DJ68+DK68)*44/12</f>
        <v>841.48355782835733</v>
      </c>
      <c r="DT68" s="59">
        <f ca="1">AVERAGE(OFFSET($DS$3,0,0,'Données projet'!$E$14+1,1))-AVERAGE(OFFSET($H$3,0,0,'Données projet'!$E$14+1,1))</f>
        <v>408.24135864450221</v>
      </c>
      <c r="DU68" s="59">
        <f t="shared" si="44"/>
        <v>394.10236303013903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13</v>
      </c>
      <c r="DX68" s="16">
        <f>IF(ISNA(VLOOKUP(A68,'Données projet'!$A$165:$I$185,5,0)),0%,VLOOKUP(A68,'Données projet'!$A$165:$I$185,5,0)*VLOOKUP('Données projet'!$B$14,Paramètres!$A$1:$I$89,7,0))</f>
        <v>0.53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56.163128243458523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56.163128243458523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19.399999999999999</v>
      </c>
      <c r="N69" s="13">
        <f>IF('Données projet'!$A$36&gt;35,N68+M69-V68,IF(A69&lt;'Données projet'!$A$36,$K$205^A69,IF(A69='Données projet'!$A$36,'Données projet'!$B$36,N68+M69-V68)))</f>
        <v>753.40000000000009</v>
      </c>
      <c r="O69" s="13">
        <f>N69*VLOOKUP('Données projet'!$B$9,Paramètres!$A$1:$I$89,3,0)*VLOOKUP('Données projet'!$B$9,Paramètres!$A$1:$I$89,5,0)</f>
        <v>352.59120000000007</v>
      </c>
      <c r="P69" s="13">
        <f t="shared" ref="P69:P132" si="87">EXP(-1.0587+0.8836*LN(O69)+0.284)</f>
        <v>82.095836961982101</v>
      </c>
      <c r="Q69" s="20">
        <f t="shared" si="54"/>
        <v>757.07992270878549</v>
      </c>
      <c r="R69" s="59">
        <f t="shared" si="55"/>
        <v>1021.5329818259726</v>
      </c>
      <c r="S69" s="59">
        <f ca="1">AVERAGE(OFFSET($R$3,0,0,'Données projet'!$E$9+1,1))-AVERAGE(OFFSET($H$3,0,0,'Données projet'!$E$9+1,1))</f>
        <v>512.58510468904342</v>
      </c>
      <c r="T69" s="59">
        <f t="shared" ref="T69:T132" si="88">$T$3</f>
        <v>443.6106696463529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121.25410131492248</v>
      </c>
      <c r="AA69" s="21">
        <f>EXP(-LN(2)/25)*AA68+(1-EXP(-LN(2)/25))/(LN(2)/25)*Calculateur!V69*Calculateur!X69*VLOOKUP('Données projet'!$B$9,Paramètres!$A$1:$I$89,3,0)*0.475*44/12</f>
        <v>18.055126038898496</v>
      </c>
      <c r="AB69" s="21">
        <f>EXP(-LN(2)/2)*AB68+(1-EXP(-LN(2)/2))/(LN(2)/2)*V69*Y69*VLOOKUP('Données projet'!$B$9,Paramètres!$A$1:$I$89,3,0)*0.475*44/12</f>
        <v>3.0951918419452803E-6</v>
      </c>
      <c r="AC69" s="22">
        <f t="shared" si="57"/>
        <v>139.3092304490128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853.91617496488834</v>
      </c>
      <c r="AN69" s="59">
        <f ca="1">AVERAGE(OFFSET($AM$3,0,0,'Données projet'!$E$10+1,1))-AVERAGE(OFFSET($H$3,0,0,'Données projet'!$E$10+1,1))</f>
        <v>520.95202773768222</v>
      </c>
      <c r="AO69" s="59">
        <f t="shared" ref="AO69:AO132" si="90">$AO$3</f>
        <v>325.72635759450861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70.17428644603288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70.17428644603288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13.8</v>
      </c>
      <c r="BD69" s="12">
        <f>IF('Données projet'!$A$88&gt;35,BD68+BC69-BL68,IF(A69&lt;'Données projet'!$A$88,$BA$205^A69,IF(A69='Données projet'!$A$88,'Données projet'!$B$88,BD68+BC69-BL68)))</f>
        <v>606.8000000000003</v>
      </c>
      <c r="BE69" s="13">
        <f>BD69*VLOOKUP('Données projet'!$B$11,Paramètres!$A$1:$I$89,3,0)*VLOOKUP('Données projet'!$B$11,Paramètres!$A$1:$I$89,5,0)</f>
        <v>362.86640000000023</v>
      </c>
      <c r="BF69" s="13">
        <f t="shared" ref="BF69:BF132" si="91">EXP(-1.0587+0.8836*LN(BE69)+0.284)</f>
        <v>84.206244461628913</v>
      </c>
      <c r="BG69" s="20">
        <f t="shared" si="61"/>
        <v>778.65152243733735</v>
      </c>
      <c r="BH69" s="59">
        <f t="shared" si="62"/>
        <v>1043.1045815545244</v>
      </c>
      <c r="BI69" s="59">
        <f ca="1">AVERAGE(OFFSET($BH$3,0,0,'Données projet'!$E$11+1,1))-AVERAGE(OFFSET($H$3,0,0,'Données projet'!$E$11+1,1))</f>
        <v>528.71639224940395</v>
      </c>
      <c r="BJ69" s="59">
        <f t="shared" ref="BJ69:BJ132" si="92">$BJ$3</f>
        <v>460.93390058676493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90.704564016691975</v>
      </c>
      <c r="BQ69" s="21">
        <f>EXP(-LN(2)/25)*BQ68+(1-EXP(-LN(2)/25))/(LN(2)/25)*Calculateur!BL69*Calculateur!BN69*VLOOKUP('Données projet'!$B$11,Paramètres!$A$1:$I$89,3,0)*0.475*44/12</f>
        <v>21.70096127661963</v>
      </c>
      <c r="BR69" s="21">
        <f>EXP(-LN(2)/2)*BR68+(1-EXP(-LN(2)/2))/(LN(2)/2)*BL69*BO69*VLOOKUP('Données projet'!$B$11,Paramètres!$A$1:$I$89,3,0)*0.475*44/12</f>
        <v>1.9975601679283405E-7</v>
      </c>
      <c r="BS69" s="22">
        <f t="shared" si="63"/>
        <v>112.40552549306761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194.35103999999993</v>
      </c>
      <c r="CA69" s="13">
        <f t="shared" ref="CA69:CA132" si="93">EXP(-1.0587+0.8836*LN(BZ69)+0.284)</f>
        <v>48.500634729810159</v>
      </c>
      <c r="CB69" s="20">
        <f t="shared" si="64"/>
        <v>422.96666682108594</v>
      </c>
      <c r="CC69" s="59">
        <f t="shared" si="65"/>
        <v>687.41972593827302</v>
      </c>
      <c r="CD69" s="59">
        <f ca="1">AVERAGE(OFFSET($CC$3,0,0,'Données projet'!$E$12+1,1))-AVERAGE(OFFSET($H$3,0,0,'Données projet'!$E$12+1,1))</f>
        <v>398.11190027805549</v>
      </c>
      <c r="CE69" s="59">
        <f t="shared" ref="CE69:CE132" si="94">$CE$3</f>
        <v>250.47702091764884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46.962791698498926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46.962791698498926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9.75</v>
      </c>
      <c r="CS69" s="12">
        <f t="array" ref="CS69">INDEX(CR:CR,MIN(IF(ISNUMBER(CR69:CR265),ROW(CR69:CR265),"")))</f>
        <v>9.75</v>
      </c>
      <c r="CT69" s="12">
        <f>IF('Données projet'!$A$140&gt;35,CT68+CS69-DB68,IF(A69&lt;'Données projet'!$A$140,$CQ$205^A69,IF(A69='Données projet'!$A$140,'Données projet'!$B$140,CT68+CS69-DB68)))</f>
        <v>286.77000000000004</v>
      </c>
      <c r="CU69" s="17">
        <f>CT69*VLOOKUP('Données projet'!$B$13,Paramètres!$A$1:$I$89,3,0)*VLOOKUP('Données projet'!$B$13,Paramètres!$A$1:$I$89,5,0)</f>
        <v>272.89033200000006</v>
      </c>
      <c r="CV69" s="13">
        <f t="shared" ref="CV69:CV132" si="95">EXP(-1.0587+0.8836*LN(CU69)+0.284)</f>
        <v>65.462290033470694</v>
      </c>
      <c r="CW69" s="20">
        <f t="shared" si="67"/>
        <v>589.29748337496153</v>
      </c>
      <c r="CX69" s="59">
        <f t="shared" si="68"/>
        <v>853.75054249214861</v>
      </c>
      <c r="CY69" s="59">
        <f ca="1">AVERAGE(OFFSET($CX$3,0,0,'Données projet'!$E$13+1,1))-AVERAGE(OFFSET($H$3,0,0,'Données projet'!$E$13+1,1))</f>
        <v>697.21496579281836</v>
      </c>
      <c r="CZ69" s="59">
        <f t="shared" ref="CZ69:CZ132" si="96">$CZ$3</f>
        <v>215.64914236153456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0.43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63.79779831451831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63.79779831451831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297.59999999999985</v>
      </c>
      <c r="DP69" s="17">
        <f>DO69*VLOOKUP('Données projet'!$B$14,Paramètres!$A$1:$I$89,3,0)*VLOOKUP('Données projet'!$B$14,Paramètres!$A$1:$I$89,5,0)</f>
        <v>259.98335999999989</v>
      </c>
      <c r="DQ69" s="13">
        <f t="shared" ref="DQ69:DQ132" si="97">EXP(-1.0587+0.8836*LN(DP69)+0.284)</f>
        <v>62.718830967388186</v>
      </c>
      <c r="DR69" s="20">
        <f t="shared" si="70"/>
        <v>562.03964926820083</v>
      </c>
      <c r="DS69" s="59">
        <f t="shared" si="71"/>
        <v>826.49270838538791</v>
      </c>
      <c r="DT69" s="59">
        <f ca="1">AVERAGE(OFFSET($DS$3,0,0,'Données projet'!$E$14+1,1))-AVERAGE(OFFSET($H$3,0,0,'Données projet'!$E$14+1,1))</f>
        <v>408.24135864450221</v>
      </c>
      <c r="DU69" s="59">
        <f t="shared" ref="DU69:DU132" si="98">$DU$3</f>
        <v>394.10236303013903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55.06180355473002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55.06180355473002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19.399999999999999</v>
      </c>
      <c r="N70" s="13">
        <f>IF('Données projet'!$A$36&gt;35,N69+M70-V69,IF(A70&lt;'Données projet'!$A$36,$K$205^A70,IF(A70='Données projet'!$A$36,'Données projet'!$B$36,N69+M70-V69)))</f>
        <v>772.80000000000007</v>
      </c>
      <c r="O70" s="13">
        <f>N70*VLOOKUP('Données projet'!$B$9,Paramètres!$A$1:$I$89,3,0)*VLOOKUP('Données projet'!$B$9,Paramètres!$A$1:$I$89,5,0)</f>
        <v>361.67040000000003</v>
      </c>
      <c r="P70" s="13">
        <f t="shared" si="87"/>
        <v>83.96096124513258</v>
      </c>
      <c r="Q70" s="20">
        <f t="shared" si="54"/>
        <v>776.14128750193925</v>
      </c>
      <c r="R70" s="59">
        <f t="shared" si="55"/>
        <v>1041.0953548101561</v>
      </c>
      <c r="S70" s="59">
        <f ca="1">AVERAGE(OFFSET($R$3,0,0,'Données projet'!$E$9+1,1))-AVERAGE(OFFSET($H$3,0,0,'Données projet'!$E$9+1,1))</f>
        <v>512.58510468904342</v>
      </c>
      <c r="T70" s="59">
        <f t="shared" si="88"/>
        <v>443.6106696463529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118.87638234583594</v>
      </c>
      <c r="AA70" s="21">
        <f>EXP(-LN(2)/25)*AA69+(1-EXP(-LN(2)/25))/(LN(2)/25)*Calculateur!V70*Calculateur!X70*VLOOKUP('Données projet'!$B$9,Paramètres!$A$1:$I$89,3,0)*0.475*44/12</f>
        <v>17.561407667887003</v>
      </c>
      <c r="AB70" s="21">
        <f>EXP(-LN(2)/2)*AB69+(1-EXP(-LN(2)/2))/(LN(2)/2)*V70*Y70*VLOOKUP('Données projet'!$B$9,Paramètres!$A$1:$I$89,3,0)*0.475*44/12</f>
        <v>2.1886311405127882E-6</v>
      </c>
      <c r="AC70" s="22">
        <f t="shared" si="57"/>
        <v>136.43779220235407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9">
        <f t="shared" si="59"/>
        <v>871.96286585616463</v>
      </c>
      <c r="AN70" s="59">
        <f ca="1">AVERAGE(OFFSET($AM$3,0,0,'Données projet'!$E$10+1,1))-AVERAGE(OFFSET($H$3,0,0,'Données projet'!$E$10+1,1))</f>
        <v>520.95202773768222</v>
      </c>
      <c r="AO70" s="59">
        <f t="shared" si="90"/>
        <v>325.72635759450861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68.798211490914554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68.798211490914554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13.8</v>
      </c>
      <c r="BD70" s="12">
        <f>IF('Données projet'!$A$88&gt;35,BD69+BC70-BL69,IF(A70&lt;'Données projet'!$A$88,$BA$205^A70,IF(A70='Données projet'!$A$88,'Données projet'!$B$88,BD69+BC70-BL69)))</f>
        <v>620.60000000000025</v>
      </c>
      <c r="BE70" s="13">
        <f>BD70*VLOOKUP('Données projet'!$B$11,Paramètres!$A$1:$I$89,3,0)*VLOOKUP('Données projet'!$B$11,Paramètres!$A$1:$I$89,5,0)</f>
        <v>371.11880000000014</v>
      </c>
      <c r="BF70" s="13">
        <f t="shared" si="91"/>
        <v>85.896152691454745</v>
      </c>
      <c r="BG70" s="20">
        <f t="shared" si="61"/>
        <v>795.96770927095042</v>
      </c>
      <c r="BH70" s="59">
        <f t="shared" si="62"/>
        <v>1060.9217765791673</v>
      </c>
      <c r="BI70" s="59">
        <f ca="1">AVERAGE(OFFSET($BH$3,0,0,'Données projet'!$E$11+1,1))-AVERAGE(OFFSET($H$3,0,0,'Données projet'!$E$11+1,1))</f>
        <v>528.71639224940395</v>
      </c>
      <c r="BJ70" s="59">
        <f t="shared" si="92"/>
        <v>460.93390058676493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88.925902840645875</v>
      </c>
      <c r="BQ70" s="21">
        <f>EXP(-LN(2)/25)*BQ69+(1-EXP(-LN(2)/25))/(LN(2)/25)*Calculateur!BL70*Calculateur!BN70*VLOOKUP('Données projet'!$B$11,Paramètres!$A$1:$I$89,3,0)*0.475*44/12</f>
        <v>21.107547349306511</v>
      </c>
      <c r="BR70" s="21">
        <f>EXP(-LN(2)/2)*BR69+(1-EXP(-LN(2)/2))/(LN(2)/2)*BL70*BO70*VLOOKUP('Données projet'!$B$11,Paramètres!$A$1:$I$89,3,0)*0.475*44/12</f>
        <v>1.4124883405702681E-7</v>
      </c>
      <c r="BS70" s="22">
        <f t="shared" si="63"/>
        <v>110.03345033120122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200.50367999999995</v>
      </c>
      <c r="CA70" s="13">
        <f t="shared" si="93"/>
        <v>49.854845135229887</v>
      </c>
      <c r="CB70" s="20">
        <f t="shared" si="64"/>
        <v>436.04109794385857</v>
      </c>
      <c r="CC70" s="59">
        <f t="shared" si="65"/>
        <v>700.99516525207548</v>
      </c>
      <c r="CD70" s="59">
        <f ca="1">AVERAGE(OFFSET($CC$3,0,0,'Données projet'!$E$12+1,1))-AVERAGE(OFFSET($H$3,0,0,'Données projet'!$E$12+1,1))</f>
        <v>398.11190027805549</v>
      </c>
      <c r="CE70" s="59">
        <f t="shared" si="94"/>
        <v>250.47702091764884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46.041879997765889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46.041879997765889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9.2624999999999993</v>
      </c>
      <c r="CT70" s="12">
        <f>IF('Données projet'!$A$140&gt;35,CT69+CS70-DB69,IF(A70&lt;'Données projet'!$A$140,$CQ$205^A70,IF(A70='Données projet'!$A$140,'Données projet'!$B$140,CT69+CS70-DB69)))</f>
        <v>246.12250000000003</v>
      </c>
      <c r="CU70" s="17">
        <f>CT70*VLOOKUP('Données projet'!$B$13,Paramètres!$A$1:$I$89,3,0)*VLOOKUP('Données projet'!$B$13,Paramètres!$A$1:$I$89,5,0)</f>
        <v>234.210171</v>
      </c>
      <c r="CV70" s="13">
        <f t="shared" si="95"/>
        <v>57.192055644634451</v>
      </c>
      <c r="CW70" s="20">
        <f t="shared" si="67"/>
        <v>507.52554473940489</v>
      </c>
      <c r="CX70" s="59">
        <f t="shared" si="68"/>
        <v>772.4796120476218</v>
      </c>
      <c r="CY70" s="59">
        <f ca="1">AVERAGE(OFFSET($CX$3,0,0,'Données projet'!$E$13+1,1))-AVERAGE(OFFSET($H$3,0,0,'Données projet'!$E$13+1,1))</f>
        <v>697.21496579281836</v>
      </c>
      <c r="CZ70" s="59">
        <f t="shared" si="96"/>
        <v>215.64914236153456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62.546762402385255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62.546762402385255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302.19999999999987</v>
      </c>
      <c r="DP70" s="17">
        <f>DO70*VLOOKUP('Données projet'!$B$14,Paramètres!$A$1:$I$89,3,0)*VLOOKUP('Données projet'!$B$14,Paramètres!$A$1:$I$89,5,0)</f>
        <v>264.00191999999993</v>
      </c>
      <c r="DQ70" s="13">
        <f t="shared" si="97"/>
        <v>63.574665748345318</v>
      </c>
      <c r="DR70" s="20">
        <f t="shared" si="70"/>
        <v>570.52922017836795</v>
      </c>
      <c r="DS70" s="59">
        <f t="shared" si="71"/>
        <v>835.48328748658491</v>
      </c>
      <c r="DT70" s="59">
        <f ca="1">AVERAGE(OFFSET($DS$3,0,0,'Données projet'!$E$14+1,1))-AVERAGE(OFFSET($H$3,0,0,'Données projet'!$E$14+1,1))</f>
        <v>408.24135864450221</v>
      </c>
      <c r="DU70" s="59">
        <f t="shared" si="98"/>
        <v>394.10236303013903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53.982075171405747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53.982075171405747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19.399999999999999</v>
      </c>
      <c r="N71" s="13">
        <f>IF('Données projet'!$A$36&gt;35,N70+M71-V70,IF(A71&lt;'Données projet'!$A$36,$K$205^A71,IF(A71='Données projet'!$A$36,'Données projet'!$B$36,N70+M71-V70)))</f>
        <v>792.2</v>
      </c>
      <c r="O71" s="13">
        <f>N71*VLOOKUP('Données projet'!$B$9,Paramètres!$A$1:$I$89,3,0)*VLOOKUP('Données projet'!$B$9,Paramètres!$A$1:$I$89,5,0)</f>
        <v>370.74960000000004</v>
      </c>
      <c r="P71" s="13">
        <f t="shared" si="87"/>
        <v>85.820642893140644</v>
      </c>
      <c r="Q71" s="20">
        <f t="shared" si="54"/>
        <v>795.19317303888658</v>
      </c>
      <c r="R71" s="59">
        <f t="shared" si="55"/>
        <v>1060.6395571661055</v>
      </c>
      <c r="S71" s="59">
        <f ca="1">AVERAGE(OFFSET($R$3,0,0,'Données projet'!$E$9+1,1))-AVERAGE(OFFSET($H$3,0,0,'Données projet'!$E$9+1,1))</f>
        <v>512.58510468904342</v>
      </c>
      <c r="T71" s="59">
        <f t="shared" si="88"/>
        <v>443.6106696463529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116.54528899546781</v>
      </c>
      <c r="AA71" s="21">
        <f>EXP(-LN(2)/25)*AA70+(1-EXP(-LN(2)/25))/(LN(2)/25)*Calculateur!V71*Calculateur!X71*VLOOKUP('Données projet'!$B$9,Paramètres!$A$1:$I$89,3,0)*0.475*44/12</f>
        <v>17.081190051694342</v>
      </c>
      <c r="AB71" s="21">
        <f>EXP(-LN(2)/2)*AB70+(1-EXP(-LN(2)/2))/(LN(2)/2)*V71*Y71*VLOOKUP('Données projet'!$B$9,Paramètres!$A$1:$I$89,3,0)*0.475*44/12</f>
        <v>1.5475959209726401E-6</v>
      </c>
      <c r="AC71" s="22">
        <f t="shared" si="57"/>
        <v>133.62648059475808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889.99033898854589</v>
      </c>
      <c r="AN71" s="59">
        <f ca="1">AVERAGE(OFFSET($AM$3,0,0,'Données projet'!$E$10+1,1))-AVERAGE(OFFSET($H$3,0,0,'Données projet'!$E$10+1,1))</f>
        <v>520.95202773768222</v>
      </c>
      <c r="AO71" s="59">
        <f t="shared" si="90"/>
        <v>325.72635759450861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67.449120526343251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67.449120526343251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13.8</v>
      </c>
      <c r="BD71" s="12">
        <f>IF('Données projet'!$A$88&gt;35,BD70+BC71-BL70,IF(A71&lt;'Données projet'!$A$88,$BA$205^A71,IF(A71='Données projet'!$A$88,'Données projet'!$B$88,BD70+BC71-BL70)))</f>
        <v>634.4000000000002</v>
      </c>
      <c r="BE71" s="13">
        <f>BD71*VLOOKUP('Données projet'!$B$11,Paramètres!$A$1:$I$89,3,0)*VLOOKUP('Données projet'!$B$11,Paramètres!$A$1:$I$89,5,0)</f>
        <v>379.37120000000016</v>
      </c>
      <c r="BF71" s="13">
        <f t="shared" si="91"/>
        <v>87.58169214989708</v>
      </c>
      <c r="BG71" s="20">
        <f t="shared" si="61"/>
        <v>813.27628716107108</v>
      </c>
      <c r="BH71" s="59">
        <f t="shared" si="62"/>
        <v>1078.7226712882898</v>
      </c>
      <c r="BI71" s="59">
        <f ca="1">AVERAGE(OFFSET($BH$3,0,0,'Données projet'!$E$11+1,1))-AVERAGE(OFFSET($H$3,0,0,'Données projet'!$E$11+1,1))</f>
        <v>528.71639224940395</v>
      </c>
      <c r="BJ71" s="59">
        <f t="shared" si="92"/>
        <v>460.93390058676493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87.182120125385836</v>
      </c>
      <c r="BQ71" s="21">
        <f>EXP(-LN(2)/25)*BQ70+(1-EXP(-LN(2)/25))/(LN(2)/25)*Calculateur!BL71*Calculateur!BN71*VLOOKUP('Données projet'!$B$11,Paramètres!$A$1:$I$89,3,0)*0.475*44/12</f>
        <v>20.530360357042053</v>
      </c>
      <c r="BR71" s="21">
        <f>EXP(-LN(2)/2)*BR70+(1-EXP(-LN(2)/2))/(LN(2)/2)*BL71*BO71*VLOOKUP('Données projet'!$B$11,Paramètres!$A$1:$I$89,3,0)*0.475*44/12</f>
        <v>9.9878008396417023E-8</v>
      </c>
      <c r="BS71" s="22">
        <f t="shared" si="63"/>
        <v>107.7124805823059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206.65631999999994</v>
      </c>
      <c r="CA71" s="13">
        <f t="shared" si="93"/>
        <v>51.20422634371338</v>
      </c>
      <c r="CB71" s="20">
        <f t="shared" si="64"/>
        <v>449.10711821530072</v>
      </c>
      <c r="CC71" s="59">
        <f t="shared" si="65"/>
        <v>714.55350234251955</v>
      </c>
      <c r="CD71" s="59">
        <f ca="1">AVERAGE(OFFSET($CC$3,0,0,'Données projet'!$E$12+1,1))-AVERAGE(OFFSET($H$3,0,0,'Données projet'!$E$12+1,1))</f>
        <v>398.11190027805549</v>
      </c>
      <c r="CE71" s="59">
        <f t="shared" si="94"/>
        <v>250.47702091764884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45.139026813783552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45.139026813783552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9.2624999999999993</v>
      </c>
      <c r="CT71" s="12">
        <f>IF('Données projet'!$A$140&gt;35,CT70+CS71-DB70,IF(A71&lt;'Données projet'!$A$140,$CQ$205^A71,IF(A71='Données projet'!$A$140,'Données projet'!$B$140,CT70+CS71-DB70)))</f>
        <v>255.38500000000002</v>
      </c>
      <c r="CU71" s="17">
        <f>CT71*VLOOKUP('Données projet'!$B$13,Paramètres!$A$1:$I$89,3,0)*VLOOKUP('Données projet'!$B$13,Paramètres!$A$1:$I$89,5,0)</f>
        <v>243.02436600000001</v>
      </c>
      <c r="CV71" s="13">
        <f t="shared" si="95"/>
        <v>59.089762548878838</v>
      </c>
      <c r="CW71" s="20">
        <f t="shared" si="67"/>
        <v>526.18210722263063</v>
      </c>
      <c r="CX71" s="59">
        <f t="shared" si="68"/>
        <v>791.62849134984947</v>
      </c>
      <c r="CY71" s="59">
        <f ca="1">AVERAGE(OFFSET($CX$3,0,0,'Données projet'!$E$13+1,1))-AVERAGE(OFFSET($H$3,0,0,'Données projet'!$E$13+1,1))</f>
        <v>697.21496579281836</v>
      </c>
      <c r="CZ71" s="59">
        <f t="shared" si="96"/>
        <v>215.64914236153456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61.320258541432572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61.320258541432572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306.7999999999999</v>
      </c>
      <c r="DP71" s="17">
        <f>DO71*VLOOKUP('Données projet'!$B$14,Paramètres!$A$1:$I$89,3,0)*VLOOKUP('Données projet'!$B$14,Paramètres!$A$1:$I$89,5,0)</f>
        <v>268.02047999999996</v>
      </c>
      <c r="DQ71" s="13">
        <f t="shared" si="97"/>
        <v>64.42898543616613</v>
      </c>
      <c r="DR71" s="20">
        <f t="shared" si="70"/>
        <v>579.01615230132256</v>
      </c>
      <c r="DS71" s="59">
        <f t="shared" si="71"/>
        <v>844.4625364285414</v>
      </c>
      <c r="DT71" s="59">
        <f ca="1">AVERAGE(OFFSET($DS$3,0,0,'Données projet'!$E$14+1,1))-AVERAGE(OFFSET($H$3,0,0,'Données projet'!$E$14+1,1))</f>
        <v>408.24135864450221</v>
      </c>
      <c r="DU71" s="59">
        <f t="shared" si="98"/>
        <v>394.10236303013903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52.923519603109177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52.923519603109177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19.399999999999999</v>
      </c>
      <c r="N72" s="13">
        <f>IF('Données projet'!$A$36&gt;35,N71+M72-V71,IF(A72&lt;'Données projet'!$A$36,$K$205^A72,IF(A72='Données projet'!$A$36,'Données projet'!$B$36,N71+M72-V71)))</f>
        <v>811.6</v>
      </c>
      <c r="O72" s="13">
        <f>N72*VLOOKUP('Données projet'!$B$9,Paramètres!$A$1:$I$89,3,0)*VLOOKUP('Données projet'!$B$9,Paramètres!$A$1:$I$89,5,0)</f>
        <v>379.8288</v>
      </c>
      <c r="P72" s="13">
        <f t="shared" si="87"/>
        <v>87.675030521782332</v>
      </c>
      <c r="Q72" s="20">
        <f t="shared" si="54"/>
        <v>814.23583815877089</v>
      </c>
      <c r="R72" s="59">
        <f t="shared" si="55"/>
        <v>1080.1659985088374</v>
      </c>
      <c r="S72" s="59">
        <f ca="1">AVERAGE(OFFSET($R$3,0,0,'Données projet'!$E$9+1,1))-AVERAGE(OFFSET($H$3,0,0,'Données projet'!$E$9+1,1))</f>
        <v>512.58510468904342</v>
      </c>
      <c r="T72" s="59">
        <f t="shared" si="88"/>
        <v>443.6106696463529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114.25990696387386</v>
      </c>
      <c r="AA72" s="21">
        <f>EXP(-LN(2)/25)*AA71+(1-EXP(-LN(2)/25))/(LN(2)/25)*Calculateur!V72*Calculateur!X72*VLOOKUP('Données projet'!$B$9,Paramètres!$A$1:$I$89,3,0)*0.475*44/12</f>
        <v>16.614104011470015</v>
      </c>
      <c r="AB72" s="21">
        <f>EXP(-LN(2)/2)*AB71+(1-EXP(-LN(2)/2))/(LN(2)/2)*V72*Y72*VLOOKUP('Données projet'!$B$9,Paramètres!$A$1:$I$89,3,0)*0.475*44/12</f>
        <v>1.0943155702563941E-6</v>
      </c>
      <c r="AC72" s="22">
        <f t="shared" si="57"/>
        <v>130.87401206965944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9">
        <f t="shared" si="59"/>
        <v>907.99908207609633</v>
      </c>
      <c r="AN72" s="59">
        <f ca="1">AVERAGE(OFFSET($AM$3,0,0,'Données projet'!$E$10+1,1))-AVERAGE(OFFSET($H$3,0,0,'Données projet'!$E$10+1,1))</f>
        <v>520.95202773768222</v>
      </c>
      <c r="AO72" s="59">
        <f t="shared" si="90"/>
        <v>325.72635759450861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66.126484412722959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66.126484412722959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13.8</v>
      </c>
      <c r="BD72" s="12">
        <f>IF('Données projet'!$A$88&gt;35,BD71+BC72-BL71,IF(A72&lt;'Données projet'!$A$88,$BA$205^A72,IF(A72='Données projet'!$A$88,'Données projet'!$B$88,BD71+BC72-BL71)))</f>
        <v>648.20000000000016</v>
      </c>
      <c r="BE72" s="13">
        <f>BD72*VLOOKUP('Données projet'!$B$11,Paramètres!$A$1:$I$89,3,0)*VLOOKUP('Données projet'!$B$11,Paramètres!$A$1:$I$89,5,0)</f>
        <v>387.62360000000012</v>
      </c>
      <c r="BF72" s="13">
        <f t="shared" si="91"/>
        <v>89.262968814668071</v>
      </c>
      <c r="BG72" s="20">
        <f t="shared" si="61"/>
        <v>830.57744068554712</v>
      </c>
      <c r="BH72" s="59">
        <f t="shared" si="62"/>
        <v>1096.5076010356138</v>
      </c>
      <c r="BI72" s="59">
        <f ca="1">AVERAGE(OFFSET($BH$3,0,0,'Données projet'!$E$11+1,1))-AVERAGE(OFFSET($H$3,0,0,'Données projet'!$E$11+1,1))</f>
        <v>528.71639224940395</v>
      </c>
      <c r="BJ72" s="59">
        <f t="shared" si="92"/>
        <v>460.93390058676493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85.472531925569612</v>
      </c>
      <c r="BQ72" s="21">
        <f>EXP(-LN(2)/25)*BQ71+(1-EXP(-LN(2)/25))/(LN(2)/25)*Calculateur!BL72*Calculateur!BN72*VLOOKUP('Données projet'!$B$11,Paramètres!$A$1:$I$89,3,0)*0.475*44/12</f>
        <v>19.96895657343401</v>
      </c>
      <c r="BR72" s="21">
        <f>EXP(-LN(2)/2)*BR71+(1-EXP(-LN(2)/2))/(LN(2)/2)*BL72*BO72*VLOOKUP('Données projet'!$B$11,Paramètres!$A$1:$I$89,3,0)*0.475*44/12</f>
        <v>7.0624417028513407E-8</v>
      </c>
      <c r="BS72" s="22">
        <f t="shared" si="63"/>
        <v>105.44148856962805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212.80895999999996</v>
      </c>
      <c r="CA72" s="13">
        <f t="shared" si="93"/>
        <v>52.548938637485847</v>
      </c>
      <c r="CB72" s="20">
        <f t="shared" si="64"/>
        <v>462.16500679362099</v>
      </c>
      <c r="CC72" s="59">
        <f t="shared" si="65"/>
        <v>728.0951671436876</v>
      </c>
      <c r="CD72" s="59">
        <f ca="1">AVERAGE(OFFSET($CC$3,0,0,'Données projet'!$E$12+1,1))-AVERAGE(OFFSET($H$3,0,0,'Données projet'!$E$12+1,1))</f>
        <v>398.11190027805549</v>
      </c>
      <c r="CE72" s="59">
        <f t="shared" si="94"/>
        <v>250.47702091764884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44.253878030053045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44.253878030053045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9.2624999999999993</v>
      </c>
      <c r="CT72" s="12">
        <f>IF('Données projet'!$A$140&gt;35,CT71+CS72-DB71,IF(A72&lt;'Données projet'!$A$140,$CQ$205^A72,IF(A72='Données projet'!$A$140,'Données projet'!$B$140,CT71+CS72-DB71)))</f>
        <v>264.64750000000004</v>
      </c>
      <c r="CU72" s="17">
        <f>CT72*VLOOKUP('Données projet'!$B$13,Paramètres!$A$1:$I$89,3,0)*VLOOKUP('Données projet'!$B$13,Paramètres!$A$1:$I$89,5,0)</f>
        <v>251.83856100000003</v>
      </c>
      <c r="CV72" s="13">
        <f t="shared" si="95"/>
        <v>60.979472967975418</v>
      </c>
      <c r="CW72" s="20">
        <f t="shared" si="67"/>
        <v>544.82474249422387</v>
      </c>
      <c r="CX72" s="59">
        <f t="shared" si="68"/>
        <v>810.75490284429043</v>
      </c>
      <c r="CY72" s="59">
        <f ca="1">AVERAGE(OFFSET($CX$3,0,0,'Données projet'!$E$13+1,1))-AVERAGE(OFFSET($H$3,0,0,'Données projet'!$E$13+1,1))</f>
        <v>697.21496579281836</v>
      </c>
      <c r="CZ72" s="59">
        <f t="shared" si="96"/>
        <v>215.64914236153456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60.117805673099681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60.117805673099681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311.39999999999992</v>
      </c>
      <c r="DP72" s="17">
        <f>DO72*VLOOKUP('Données projet'!$B$14,Paramètres!$A$1:$I$89,3,0)*VLOOKUP('Données projet'!$B$14,Paramètres!$A$1:$I$89,5,0)</f>
        <v>272.03904</v>
      </c>
      <c r="DQ72" s="13">
        <f t="shared" si="97"/>
        <v>65.281815371368268</v>
      </c>
      <c r="DR72" s="20">
        <f t="shared" si="70"/>
        <v>587.50048977179972</v>
      </c>
      <c r="DS72" s="59">
        <f t="shared" si="71"/>
        <v>853.43065012186628</v>
      </c>
      <c r="DT72" s="59">
        <f ca="1">AVERAGE(OFFSET($DS$3,0,0,'Données projet'!$E$14+1,1))-AVERAGE(OFFSET($H$3,0,0,'Données projet'!$E$14+1,1))</f>
        <v>408.24135864450221</v>
      </c>
      <c r="DU72" s="59">
        <f t="shared" si="98"/>
        <v>394.10236303013903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51.885721663851761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51.885721663851761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831</v>
      </c>
      <c r="L73" s="12">
        <f>VLOOKUP(A73,'Données projet'!$A$35:$I$55,9,0)</f>
        <v>19.399999999999999</v>
      </c>
      <c r="M73" s="12">
        <f t="array" ref="M73">INDEX(L:L,MIN(IF(ISNUMBER(L73:L269),ROW(L73:L269),"")))</f>
        <v>19.399999999999999</v>
      </c>
      <c r="N73" s="13">
        <f>IF('Données projet'!$A$36&gt;35,N72+M73-V72,IF(A73&lt;'Données projet'!$A$36,$K$205^A73,IF(A73='Données projet'!$A$36,'Données projet'!$B$36,N72+M73-V72)))</f>
        <v>831</v>
      </c>
      <c r="O73" s="13">
        <f>N73*VLOOKUP('Données projet'!$B$9,Paramètres!$A$1:$I$89,3,0)*VLOOKUP('Données projet'!$B$9,Paramètres!$A$1:$I$89,5,0)</f>
        <v>388.90799999999996</v>
      </c>
      <c r="P73" s="13">
        <f t="shared" si="87"/>
        <v>89.524265236783094</v>
      </c>
      <c r="Q73" s="20">
        <f t="shared" si="54"/>
        <v>833.2695286207304</v>
      </c>
      <c r="R73" s="59">
        <f t="shared" si="55"/>
        <v>1099.6750727577398</v>
      </c>
      <c r="S73" s="59">
        <f ca="1">AVERAGE(OFFSET($R$3,0,0,'Données projet'!$E$9+1,1))-AVERAGE(OFFSET($H$3,0,0,'Données projet'!$E$9+1,1))</f>
        <v>512.58510468904342</v>
      </c>
      <c r="T73" s="59">
        <f t="shared" si="88"/>
        <v>443.6106696463529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53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130.11659749397134</v>
      </c>
      <c r="AA73" s="21">
        <f>EXP(-LN(2)/25)*AA72+(1-EXP(-LN(2)/25))/(LN(2)/25)*Calculateur!V73*Calculateur!X73*VLOOKUP('Données projet'!$B$9,Paramètres!$A$1:$I$89,3,0)*0.475*44/12</f>
        <v>16.159790463578609</v>
      </c>
      <c r="AB73" s="21">
        <f>EXP(-LN(2)/2)*AB72+(1-EXP(-LN(2)/2))/(LN(2)/2)*V73*Y73*VLOOKUP('Données projet'!$B$9,Paramètres!$A$1:$I$89,3,0)*0.475*44/12</f>
        <v>7.7379796048632007E-7</v>
      </c>
      <c r="AC73" s="22">
        <f t="shared" si="57"/>
        <v>146.27638873134791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9">
        <f t="shared" si="59"/>
        <v>925.9895603391351</v>
      </c>
      <c r="AN73" s="59">
        <f ca="1">AVERAGE(OFFSET($AM$3,0,0,'Données projet'!$E$10+1,1))-AVERAGE(OFFSET($H$3,0,0,'Données projet'!$E$10+1,1))</f>
        <v>520.95202773768222</v>
      </c>
      <c r="AO73" s="59">
        <f t="shared" si="90"/>
        <v>325.72635759450861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78.325985843313177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78.325985843313177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662</v>
      </c>
      <c r="BB73" s="12">
        <f>VLOOKUP(A73,'Données projet'!$A$87:$I$107,9,0)</f>
        <v>13.8</v>
      </c>
      <c r="BC73" s="12">
        <f t="array" ref="BC73">INDEX(BB:BB,MIN(IF(ISNUMBER(BB73:BB269),ROW(BB73:BB269),"")))</f>
        <v>13.8</v>
      </c>
      <c r="BD73" s="12">
        <f>IF('Données projet'!$A$88&gt;35,BD72+BC73-BL72,IF(A73&lt;'Données projet'!$A$88,$BA$205^A73,IF(A73='Données projet'!$A$88,'Données projet'!$B$88,BD72+BC73-BL72)))</f>
        <v>662.00000000000011</v>
      </c>
      <c r="BE73" s="13">
        <f>BD73*VLOOKUP('Données projet'!$B$11,Paramètres!$A$1:$I$89,3,0)*VLOOKUP('Données projet'!$B$11,Paramètres!$A$1:$I$89,5,0)</f>
        <v>395.87600000000009</v>
      </c>
      <c r="BF73" s="13">
        <f t="shared" si="91"/>
        <v>90.940083893210655</v>
      </c>
      <c r="BG73" s="20">
        <f t="shared" si="61"/>
        <v>847.8713461140087</v>
      </c>
      <c r="BH73" s="59">
        <f t="shared" si="62"/>
        <v>1114.2768902510181</v>
      </c>
      <c r="BI73" s="59">
        <f ca="1">AVERAGE(OFFSET($BH$3,0,0,'Données projet'!$E$11+1,1))-AVERAGE(OFFSET($H$3,0,0,'Données projet'!$E$11+1,1))</f>
        <v>528.71639224940395</v>
      </c>
      <c r="BJ73" s="59">
        <f t="shared" si="92"/>
        <v>460.93390058676493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31</v>
      </c>
      <c r="BM73" s="16">
        <f>IF(ISNA(VLOOKUP(A73,'Données projet'!$A$87:$I$107,5,0)),0%,VLOOKUP(A73,'Données projet'!$A$87:$I$107,5,0)*VLOOKUP('Données projet'!$B$11,Paramètres!$A$1:$I$89,7,0))</f>
        <v>0.45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94.862801051328148</v>
      </c>
      <c r="BQ73" s="21">
        <f>EXP(-LN(2)/25)*BQ72+(1-EXP(-LN(2)/25))/(LN(2)/25)*Calculateur!BL73*Calculateur!BN73*VLOOKUP('Données projet'!$B$11,Paramètres!$A$1:$I$89,3,0)*0.475*44/12</f>
        <v>19.422904405811671</v>
      </c>
      <c r="BR73" s="21">
        <f>EXP(-LN(2)/2)*BR72+(1-EXP(-LN(2)/2))/(LN(2)/2)*BL73*BO73*VLOOKUP('Données projet'!$B$11,Paramètres!$A$1:$I$89,3,0)*0.475*44/12</f>
        <v>4.9939004198208511E-8</v>
      </c>
      <c r="BS73" s="22">
        <f t="shared" si="63"/>
        <v>114.28570550707882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218.96159999999998</v>
      </c>
      <c r="CA73" s="13">
        <f t="shared" si="93"/>
        <v>53.88913250370743</v>
      </c>
      <c r="CB73" s="20">
        <f t="shared" si="64"/>
        <v>475.21502577729035</v>
      </c>
      <c r="CC73" s="59">
        <f t="shared" si="65"/>
        <v>741.62056991429984</v>
      </c>
      <c r="CD73" s="59">
        <f ca="1">AVERAGE(OFFSET($CC$3,0,0,'Données projet'!$E$12+1,1))-AVERAGE(OFFSET($H$3,0,0,'Données projet'!$E$12+1,1))</f>
        <v>398.11190027805549</v>
      </c>
      <c r="CE73" s="59">
        <f t="shared" si="94"/>
        <v>250.47702091764884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52.418159756678804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52.418159756678804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9.2624999999999993</v>
      </c>
      <c r="CT73" s="12">
        <f>IF('Données projet'!$A$140&gt;35,CT72+CS73-DB72,IF(A73&lt;'Données projet'!$A$140,$CQ$205^A73,IF(A73='Données projet'!$A$140,'Données projet'!$B$140,CT72+CS73-DB72)))</f>
        <v>273.91000000000003</v>
      </c>
      <c r="CU73" s="17">
        <f>CT73*VLOOKUP('Données projet'!$B$13,Paramètres!$A$1:$I$89,3,0)*VLOOKUP('Données projet'!$B$13,Paramètres!$A$1:$I$89,5,0)</f>
        <v>260.65275600000001</v>
      </c>
      <c r="CV73" s="13">
        <f t="shared" si="95"/>
        <v>62.861498844981192</v>
      </c>
      <c r="CW73" s="20">
        <f t="shared" si="67"/>
        <v>563.45399385500889</v>
      </c>
      <c r="CX73" s="59">
        <f t="shared" si="68"/>
        <v>829.85953799201843</v>
      </c>
      <c r="CY73" s="59">
        <f ca="1">AVERAGE(OFFSET($CX$3,0,0,'Données projet'!$E$13+1,1))-AVERAGE(OFFSET($H$3,0,0,'Données projet'!$E$13+1,1))</f>
        <v>697.21496579281836</v>
      </c>
      <c r="CZ73" s="59">
        <f t="shared" si="96"/>
        <v>215.64914236153456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58.938932172090972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58.938932172090972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276.05759999999998</v>
      </c>
      <c r="DQ73" s="13">
        <f t="shared" si="97"/>
        <v>66.133180102831929</v>
      </c>
      <c r="DR73" s="20">
        <f t="shared" si="70"/>
        <v>595.98227534576563</v>
      </c>
      <c r="DS73" s="59">
        <f t="shared" si="71"/>
        <v>862.38781948277506</v>
      </c>
      <c r="DT73" s="59">
        <f ca="1">AVERAGE(OFFSET($DS$3,0,0,'Données projet'!$E$14+1,1))-AVERAGE(OFFSET($H$3,0,0,'Données projet'!$E$14+1,1))</f>
        <v>408.24135864450221</v>
      </c>
      <c r="DU73" s="59">
        <f t="shared" si="98"/>
        <v>394.10236303013903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13</v>
      </c>
      <c r="DX73" s="16">
        <f>IF(ISNA(VLOOKUP(A73,'Données projet'!$A$165:$I$185,5,0)),0%,VLOOKUP(A73,'Données projet'!$A$165:$I$185,5,0)*VLOOKUP('Données projet'!$B$14,Paramètres!$A$1:$I$89,7,0))</f>
        <v>0.53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57.522215492517248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57.522215492517248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18</v>
      </c>
      <c r="N74" s="13">
        <f>IF('Données projet'!$A$36&gt;35,N73+M74-V73,IF(A74&lt;'Données projet'!$A$36,$K$205^A74,IF(A74='Données projet'!$A$36,'Données projet'!$B$36,N73+M74-V73)))</f>
        <v>796</v>
      </c>
      <c r="O74" s="13">
        <f>N74*VLOOKUP('Données projet'!$B$9,Paramètres!$A$1:$I$89,3,0)*VLOOKUP('Données projet'!$B$9,Paramètres!$A$1:$I$89,5,0)</f>
        <v>372.52800000000002</v>
      </c>
      <c r="P74" s="13">
        <f t="shared" si="87"/>
        <v>86.184285854222622</v>
      </c>
      <c r="Q74" s="20">
        <f t="shared" si="54"/>
        <v>798.92389786277101</v>
      </c>
      <c r="R74" s="59">
        <f t="shared" si="55"/>
        <v>1065.796578940819</v>
      </c>
      <c r="S74" s="59">
        <f ca="1">AVERAGE(OFFSET($R$3,0,0,'Données projet'!$E$9+1,1))-AVERAGE(OFFSET($H$3,0,0,'Données projet'!$E$9+1,1))</f>
        <v>512.58510468904342</v>
      </c>
      <c r="T74" s="59">
        <f t="shared" si="88"/>
        <v>443.6106696463529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127.56509038040257</v>
      </c>
      <c r="AA74" s="21">
        <f>EXP(-LN(2)/25)*AA73+(1-EXP(-LN(2)/25))/(LN(2)/25)*Calculateur!V74*Calculateur!X74*VLOOKUP('Données projet'!$B$9,Paramètres!$A$1:$I$89,3,0)*0.475*44/12</f>
        <v>15.717900143545606</v>
      </c>
      <c r="AB74" s="21">
        <f>EXP(-LN(2)/2)*AB73+(1-EXP(-LN(2)/2))/(LN(2)/2)*V74*Y74*VLOOKUP('Données projet'!$B$9,Paramètres!$A$1:$I$89,3,0)*0.475*44/12</f>
        <v>5.4715778512819706E-7</v>
      </c>
      <c r="AC74" s="22">
        <f t="shared" si="57"/>
        <v>143.28299107110595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9">
        <f t="shared" si="59"/>
        <v>882.86419446423474</v>
      </c>
      <c r="AN74" s="59">
        <f ca="1">AVERAGE(OFFSET($AM$3,0,0,'Données projet'!$E$10+1,1))-AVERAGE(OFFSET($H$3,0,0,'Données projet'!$E$10+1,1))</f>
        <v>520.95202773768222</v>
      </c>
      <c r="AO74" s="59">
        <f t="shared" si="90"/>
        <v>325.72635759450861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76.790061035059864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76.790061035059864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12.4</v>
      </c>
      <c r="BD74" s="12">
        <f>IF('Données projet'!$A$88&gt;35,BD73+BC74-BL73,IF(A74&lt;'Données projet'!$A$88,$BA$205^A74,IF(A74='Données projet'!$A$88,'Données projet'!$B$88,BD73+BC74-BL73)))</f>
        <v>643.40000000000009</v>
      </c>
      <c r="BE74" s="13">
        <f>BD74*VLOOKUP('Données projet'!$B$11,Paramètres!$A$1:$I$89,3,0)*VLOOKUP('Données projet'!$B$11,Paramètres!$A$1:$I$89,5,0)</f>
        <v>384.75320000000011</v>
      </c>
      <c r="BF74" s="13">
        <f t="shared" si="91"/>
        <v>88.678654005282596</v>
      </c>
      <c r="BG74" s="20">
        <f t="shared" si="61"/>
        <v>824.5604790592007</v>
      </c>
      <c r="BH74" s="59">
        <f t="shared" si="62"/>
        <v>1091.4331601372487</v>
      </c>
      <c r="BI74" s="59">
        <f ca="1">AVERAGE(OFFSET($BH$3,0,0,'Données projet'!$E$11+1,1))-AVERAGE(OFFSET($H$3,0,0,'Données projet'!$E$11+1,1))</f>
        <v>528.71639224940395</v>
      </c>
      <c r="BJ74" s="59">
        <f t="shared" si="92"/>
        <v>460.93390058676493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93.002599383306986</v>
      </c>
      <c r="BQ74" s="21">
        <f>EXP(-LN(2)/25)*BQ73+(1-EXP(-LN(2)/25))/(LN(2)/25)*Calculateur!BL74*Calculateur!BN74*VLOOKUP('Données projet'!$B$11,Paramètres!$A$1:$I$89,3,0)*0.475*44/12</f>
        <v>18.891784063428599</v>
      </c>
      <c r="BR74" s="21">
        <f>EXP(-LN(2)/2)*BR73+(1-EXP(-LN(2)/2))/(LN(2)/2)*BL74*BO74*VLOOKUP('Données projet'!$B$11,Paramètres!$A$1:$I$89,3,0)*0.475*44/12</f>
        <v>3.5312208514256703E-8</v>
      </c>
      <c r="BS74" s="22">
        <f t="shared" si="63"/>
        <v>111.8943834820478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205.57055999999997</v>
      </c>
      <c r="CA74" s="13">
        <f t="shared" si="93"/>
        <v>50.966443946767392</v>
      </c>
      <c r="CB74" s="20">
        <f t="shared" si="64"/>
        <v>446.80194854061978</v>
      </c>
      <c r="CC74" s="59">
        <f t="shared" si="65"/>
        <v>713.67462961866772</v>
      </c>
      <c r="CD74" s="59">
        <f ca="1">AVERAGE(OFFSET($CC$3,0,0,'Données projet'!$E$12+1,1))-AVERAGE(OFFSET($H$3,0,0,'Données projet'!$E$12+1,1))</f>
        <v>398.11190027805549</v>
      </c>
      <c r="CE74" s="59">
        <f t="shared" si="94"/>
        <v>250.47702091764884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51.390271615770821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51.390271615770821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9.2624999999999993</v>
      </c>
      <c r="CT74" s="12">
        <f>IF('Données projet'!$A$140&gt;35,CT73+CS74-DB73,IF(A74&lt;'Données projet'!$A$140,$CQ$205^A74,IF(A74='Données projet'!$A$140,'Données projet'!$B$140,CT73+CS74-DB73)))</f>
        <v>283.17250000000001</v>
      </c>
      <c r="CU74" s="17">
        <f>CT74*VLOOKUP('Données projet'!$B$13,Paramètres!$A$1:$I$89,3,0)*VLOOKUP('Données projet'!$B$13,Paramètres!$A$1:$I$89,5,0)</f>
        <v>269.46695100000005</v>
      </c>
      <c r="CV74" s="13">
        <f t="shared" si="95"/>
        <v>64.736129828806455</v>
      </c>
      <c r="CW74" s="20">
        <f t="shared" si="67"/>
        <v>582.070365776838</v>
      </c>
      <c r="CX74" s="59">
        <f t="shared" si="68"/>
        <v>848.94304685488601</v>
      </c>
      <c r="CY74" s="59">
        <f ca="1">AVERAGE(OFFSET($CX$3,0,0,'Données projet'!$E$13+1,1))-AVERAGE(OFFSET($H$3,0,0,'Données projet'!$E$13+1,1))</f>
        <v>697.21496579281836</v>
      </c>
      <c r="CZ74" s="59">
        <f t="shared" si="96"/>
        <v>215.64914236153456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57.783175661395205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57.783175661395205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</v>
      </c>
      <c r="DO74" s="12">
        <f>IF('Données projet'!$A$166&gt;35,DO73+DN74-DW73,IF(A74&lt;'Données projet'!$A$166,$DL$205^A74,IF(A74='Données projet'!$A$166,'Données projet'!$B$166,DO73+DN74-DW73)))</f>
        <v>307.19999999999993</v>
      </c>
      <c r="DP74" s="17">
        <f>DO74*VLOOKUP('Données projet'!$B$14,Paramètres!$A$1:$I$89,3,0)*VLOOKUP('Données projet'!$B$14,Paramètres!$A$1:$I$89,5,0)</f>
        <v>268.36991999999998</v>
      </c>
      <c r="DQ74" s="13">
        <f t="shared" si="97"/>
        <v>64.503203342054107</v>
      </c>
      <c r="DR74" s="20">
        <f t="shared" si="70"/>
        <v>579.75402315407757</v>
      </c>
      <c r="DS74" s="59">
        <f t="shared" si="71"/>
        <v>846.62670423212558</v>
      </c>
      <c r="DT74" s="59">
        <f ca="1">AVERAGE(OFFSET($DS$3,0,0,'Données projet'!$E$14+1,1))-AVERAGE(OFFSET($H$3,0,0,'Données projet'!$E$14+1,1))</f>
        <v>408.24135864450221</v>
      </c>
      <c r="DU74" s="59">
        <f t="shared" si="98"/>
        <v>394.10236303013903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56.394239931796072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56.394239931796072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18</v>
      </c>
      <c r="N75" s="13">
        <f>IF('Données projet'!$A$36&gt;35,N74+M75-V74,IF(A75&lt;'Données projet'!$A$36,$K$205^A75,IF(A75='Données projet'!$A$36,'Données projet'!$B$36,N74+M75-V74)))</f>
        <v>814</v>
      </c>
      <c r="O75" s="13">
        <f>N75*VLOOKUP('Données projet'!$B$9,Paramètres!$A$1:$I$89,3,0)*VLOOKUP('Données projet'!$B$9,Paramètres!$A$1:$I$89,5,0)</f>
        <v>380.95199999999994</v>
      </c>
      <c r="P75" s="13">
        <f t="shared" si="87"/>
        <v>87.904078344580199</v>
      </c>
      <c r="Q75" s="20">
        <f t="shared" si="54"/>
        <v>816.5910031168105</v>
      </c>
      <c r="R75" s="59">
        <f t="shared" si="55"/>
        <v>1083.9227173543316</v>
      </c>
      <c r="S75" s="59">
        <f ca="1">AVERAGE(OFFSET($R$3,0,0,'Données projet'!$E$9+1,1))-AVERAGE(OFFSET($H$3,0,0,'Données projet'!$E$9+1,1))</f>
        <v>512.58510468904342</v>
      </c>
      <c r="T75" s="59">
        <f t="shared" si="88"/>
        <v>443.6106696463529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125.06361676506519</v>
      </c>
      <c r="AA75" s="21">
        <f>EXP(-LN(2)/25)*AA74+(1-EXP(-LN(2)/25))/(LN(2)/25)*Calculateur!V75*Calculateur!X75*VLOOKUP('Données projet'!$B$9,Paramètres!$A$1:$I$89,3,0)*0.475*44/12</f>
        <v>15.288093337551906</v>
      </c>
      <c r="AB75" s="21">
        <f>EXP(-LN(2)/2)*AB74+(1-EXP(-LN(2)/2))/(LN(2)/2)*V75*Y75*VLOOKUP('Données projet'!$B$9,Paramètres!$A$1:$I$89,3,0)*0.475*44/12</f>
        <v>3.8689898024316003E-7</v>
      </c>
      <c r="AC75" s="22">
        <f t="shared" si="57"/>
        <v>140.35171048951608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9">
        <f t="shared" si="59"/>
        <v>899.57079256308293</v>
      </c>
      <c r="AN75" s="59">
        <f ca="1">AVERAGE(OFFSET($AM$3,0,0,'Données projet'!$E$10+1,1))-AVERAGE(OFFSET($H$3,0,0,'Données projet'!$E$10+1,1))</f>
        <v>520.95202773768222</v>
      </c>
      <c r="AO75" s="59">
        <f t="shared" si="90"/>
        <v>325.72635759450861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75.284254775474764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75.284254775474764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12.4</v>
      </c>
      <c r="BD75" s="12">
        <f>IF('Données projet'!$A$88&gt;35,BD74+BC75-BL74,IF(A75&lt;'Données projet'!$A$88,$BA$205^A75,IF(A75='Données projet'!$A$88,'Données projet'!$B$88,BD74+BC75-BL74)))</f>
        <v>655.80000000000007</v>
      </c>
      <c r="BE75" s="13">
        <f>BD75*VLOOKUP('Données projet'!$B$11,Paramètres!$A$1:$I$89,3,0)*VLOOKUP('Données projet'!$B$11,Paramètres!$A$1:$I$89,5,0)</f>
        <v>392.16840000000008</v>
      </c>
      <c r="BF75" s="13">
        <f t="shared" si="91"/>
        <v>90.187105966373196</v>
      </c>
      <c r="BG75" s="20">
        <f t="shared" si="61"/>
        <v>840.10250622476667</v>
      </c>
      <c r="BH75" s="59">
        <f t="shared" si="62"/>
        <v>1107.4342204622878</v>
      </c>
      <c r="BI75" s="59">
        <f ca="1">AVERAGE(OFFSET($BH$3,0,0,'Données projet'!$E$11+1,1))-AVERAGE(OFFSET($H$3,0,0,'Données projet'!$E$11+1,1))</f>
        <v>528.71639224940395</v>
      </c>
      <c r="BJ75" s="59">
        <f t="shared" si="92"/>
        <v>460.93390058676493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91.178875135384729</v>
      </c>
      <c r="BQ75" s="21">
        <f>EXP(-LN(2)/25)*BQ74+(1-EXP(-LN(2)/25))/(LN(2)/25)*Calculateur!BL75*Calculateur!BN75*VLOOKUP('Données projet'!$B$11,Paramètres!$A$1:$I$89,3,0)*0.475*44/12</f>
        <v>18.375187234738398</v>
      </c>
      <c r="BR75" s="21">
        <f>EXP(-LN(2)/2)*BR74+(1-EXP(-LN(2)/2))/(LN(2)/2)*BL75*BO75*VLOOKUP('Données projet'!$B$11,Paramètres!$A$1:$I$89,3,0)*0.475*44/12</f>
        <v>2.4969502099104256E-8</v>
      </c>
      <c r="BS75" s="22">
        <f t="shared" si="63"/>
        <v>109.55406239509263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211.18031999999994</v>
      </c>
      <c r="CA75" s="13">
        <f t="shared" si="93"/>
        <v>52.193431117443019</v>
      </c>
      <c r="CB75" s="20">
        <f t="shared" si="64"/>
        <v>458.70928319621316</v>
      </c>
      <c r="CC75" s="59">
        <f t="shared" si="65"/>
        <v>726.04099743373422</v>
      </c>
      <c r="CD75" s="59">
        <f ca="1">AVERAGE(OFFSET($CC$3,0,0,'Données projet'!$E$12+1,1))-AVERAGE(OFFSET($H$3,0,0,'Données projet'!$E$12+1,1))</f>
        <v>398.11190027805549</v>
      </c>
      <c r="CE75" s="59">
        <f t="shared" si="94"/>
        <v>250.47702091764884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50.382539734356179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50.382539734356179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9.2624999999999993</v>
      </c>
      <c r="CT75" s="12">
        <f>IF('Données projet'!$A$140&gt;35,CT74+CS75-DB74,IF(A75&lt;'Données projet'!$A$140,$CQ$205^A75,IF(A75='Données projet'!$A$140,'Données projet'!$B$140,CT74+CS75-DB74)))</f>
        <v>292.435</v>
      </c>
      <c r="CU75" s="17">
        <f>CT75*VLOOKUP('Données projet'!$B$13,Paramètres!$A$1:$I$89,3,0)*VLOOKUP('Données projet'!$B$13,Paramètres!$A$1:$I$89,5,0)</f>
        <v>278.28114599999998</v>
      </c>
      <c r="CV75" s="13">
        <f t="shared" si="95"/>
        <v>66.603635544137703</v>
      </c>
      <c r="CW75" s="20">
        <f t="shared" si="67"/>
        <v>600.67432785603978</v>
      </c>
      <c r="CX75" s="59">
        <f t="shared" si="68"/>
        <v>868.00604209356084</v>
      </c>
      <c r="CY75" s="59">
        <f ca="1">AVERAGE(OFFSET($CX$3,0,0,'Données projet'!$E$13+1,1))-AVERAGE(OFFSET($H$3,0,0,'Données projet'!$E$13+1,1))</f>
        <v>697.21496579281836</v>
      </c>
      <c r="CZ75" s="59">
        <f t="shared" si="96"/>
        <v>215.64914236153456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56.65008283093232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56.65008283093232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</v>
      </c>
      <c r="DO75" s="12">
        <f>IF('Données projet'!$A$166&gt;35,DO74+DN75-DW74,IF(A75&lt;'Données projet'!$A$166,$DL$205^A75,IF(A75='Données projet'!$A$166,'Données projet'!$B$166,DO74+DN75-DW74)))</f>
        <v>311.39999999999992</v>
      </c>
      <c r="DP75" s="17">
        <f>DO75*VLOOKUP('Données projet'!$B$14,Paramètres!$A$1:$I$89,3,0)*VLOOKUP('Données projet'!$B$14,Paramètres!$A$1:$I$89,5,0)</f>
        <v>272.03904</v>
      </c>
      <c r="DQ75" s="13">
        <f t="shared" si="97"/>
        <v>65.281815371368268</v>
      </c>
      <c r="DR75" s="20">
        <f t="shared" si="70"/>
        <v>587.50048977179972</v>
      </c>
      <c r="DS75" s="59">
        <f t="shared" si="71"/>
        <v>854.83220400932078</v>
      </c>
      <c r="DT75" s="59">
        <f ca="1">AVERAGE(OFFSET($DS$3,0,0,'Données projet'!$E$14+1,1))-AVERAGE(OFFSET($H$3,0,0,'Données projet'!$E$14+1,1))</f>
        <v>408.24135864450221</v>
      </c>
      <c r="DU75" s="59">
        <f t="shared" si="98"/>
        <v>394.10236303013903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55.288383283823478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55.288383283823478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18</v>
      </c>
      <c r="N76" s="13">
        <f>IF('Données projet'!$A$36&gt;35,N75+M76-V75,IF(A76&lt;'Données projet'!$A$36,$K$205^A76,IF(A76='Données projet'!$A$36,'Données projet'!$B$36,N75+M76-V75)))</f>
        <v>832</v>
      </c>
      <c r="O76" s="13">
        <f>N76*VLOOKUP('Données projet'!$B$9,Paramètres!$A$1:$I$89,3,0)*VLOOKUP('Données projet'!$B$9,Paramètres!$A$1:$I$89,5,0)</f>
        <v>389.37599999999998</v>
      </c>
      <c r="P76" s="13">
        <f t="shared" si="87"/>
        <v>89.619449476412427</v>
      </c>
      <c r="Q76" s="20">
        <f t="shared" si="54"/>
        <v>834.25040783808493</v>
      </c>
      <c r="R76" s="59">
        <f t="shared" si="55"/>
        <v>1102.0331920360068</v>
      </c>
      <c r="S76" s="59">
        <f ca="1">AVERAGE(OFFSET($R$3,0,0,'Données projet'!$E$9+1,1))-AVERAGE(OFFSET($H$3,0,0,'Données projet'!$E$9+1,1))</f>
        <v>512.58510468904342</v>
      </c>
      <c r="T76" s="59">
        <f t="shared" si="88"/>
        <v>443.6106696463529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122.61119552157633</v>
      </c>
      <c r="AA76" s="21">
        <f>EXP(-LN(2)/25)*AA75+(1-EXP(-LN(2)/25))/(LN(2)/25)*Calculateur!V76*Calculateur!X76*VLOOKUP('Données projet'!$B$9,Paramètres!$A$1:$I$89,3,0)*0.475*44/12</f>
        <v>14.870039621270662</v>
      </c>
      <c r="AB76" s="21">
        <f>EXP(-LN(2)/2)*AB75+(1-EXP(-LN(2)/2))/(LN(2)/2)*V76*Y76*VLOOKUP('Données projet'!$B$9,Paramètres!$A$1:$I$89,3,0)*0.475*44/12</f>
        <v>2.7357889256409853E-7</v>
      </c>
      <c r="AC76" s="22">
        <f t="shared" si="57"/>
        <v>137.4812354164259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9">
        <f t="shared" si="59"/>
        <v>916.26079637748694</v>
      </c>
      <c r="AN76" s="59">
        <f ca="1">AVERAGE(OFFSET($AM$3,0,0,'Données projet'!$E$10+1,1))-AVERAGE(OFFSET($H$3,0,0,'Données projet'!$E$10+1,1))</f>
        <v>520.95202773768222</v>
      </c>
      <c r="AO76" s="59">
        <f t="shared" si="90"/>
        <v>325.72635759450861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73.807976458189003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73.807976458189003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12.4</v>
      </c>
      <c r="BD76" s="12">
        <f>IF('Données projet'!$A$88&gt;35,BD75+BC76-BL75,IF(A76&lt;'Données projet'!$A$88,$BA$205^A76,IF(A76='Données projet'!$A$88,'Données projet'!$B$88,BD75+BC76-BL75)))</f>
        <v>668.2</v>
      </c>
      <c r="BE76" s="13">
        <f>BD76*VLOOKUP('Données projet'!$B$11,Paramètres!$A$1:$I$89,3,0)*VLOOKUP('Données projet'!$B$11,Paramètres!$A$1:$I$89,5,0)</f>
        <v>399.58360000000005</v>
      </c>
      <c r="BF76" s="13">
        <f t="shared" si="91"/>
        <v>91.692241394947928</v>
      </c>
      <c r="BG76" s="20">
        <f t="shared" si="61"/>
        <v>855.63875709620106</v>
      </c>
      <c r="BH76" s="59">
        <f t="shared" si="62"/>
        <v>1123.4215412941228</v>
      </c>
      <c r="BI76" s="59">
        <f ca="1">AVERAGE(OFFSET($BH$3,0,0,'Données projet'!$E$11+1,1))-AVERAGE(OFFSET($H$3,0,0,'Données projet'!$E$11+1,1))</f>
        <v>528.71639224940395</v>
      </c>
      <c r="BJ76" s="59">
        <f t="shared" si="92"/>
        <v>460.93390058676493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89.390913007602279</v>
      </c>
      <c r="BQ76" s="21">
        <f>EXP(-LN(2)/25)*BQ75+(1-EXP(-LN(2)/25))/(LN(2)/25)*Calculateur!BL76*Calculateur!BN76*VLOOKUP('Données projet'!$B$11,Paramètres!$A$1:$I$89,3,0)*0.475*44/12</f>
        <v>17.872716773495377</v>
      </c>
      <c r="BR76" s="21">
        <f>EXP(-LN(2)/2)*BR75+(1-EXP(-LN(2)/2))/(LN(2)/2)*BL76*BO76*VLOOKUP('Données projet'!$B$11,Paramètres!$A$1:$I$89,3,0)*0.475*44/12</f>
        <v>1.7656104257128352E-8</v>
      </c>
      <c r="BS76" s="22">
        <f t="shared" si="63"/>
        <v>107.26362979875375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216.79007999999996</v>
      </c>
      <c r="CA76" s="13">
        <f t="shared" si="93"/>
        <v>53.416629794462551</v>
      </c>
      <c r="CB76" s="20">
        <f t="shared" si="64"/>
        <v>470.61001955868886</v>
      </c>
      <c r="CC76" s="59">
        <f t="shared" si="65"/>
        <v>738.39280375661065</v>
      </c>
      <c r="CD76" s="59">
        <f ca="1">AVERAGE(OFFSET($CC$3,0,0,'Données projet'!$E$12+1,1))-AVERAGE(OFFSET($H$3,0,0,'Données projet'!$E$12+1,1))</f>
        <v>398.11190027805549</v>
      </c>
      <c r="CE76" s="59">
        <f t="shared" si="94"/>
        <v>250.47702091764884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49.394568860480327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49.394568860480327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9.2624999999999993</v>
      </c>
      <c r="CT76" s="12">
        <f>IF('Données projet'!$A$140&gt;35,CT75+CS76-DB75,IF(A76&lt;'Données projet'!$A$140,$CQ$205^A76,IF(A76='Données projet'!$A$140,'Données projet'!$B$140,CT75+CS76-DB75)))</f>
        <v>301.69749999999999</v>
      </c>
      <c r="CU76" s="17">
        <f>CT76*VLOOKUP('Données projet'!$B$13,Paramètres!$A$1:$I$89,3,0)*VLOOKUP('Données projet'!$B$13,Paramètres!$A$1:$I$89,5,0)</f>
        <v>287.09534100000002</v>
      </c>
      <c r="CV76" s="13">
        <f t="shared" si="95"/>
        <v>68.464267565694144</v>
      </c>
      <c r="CW76" s="20">
        <f t="shared" si="67"/>
        <v>619.26631825191726</v>
      </c>
      <c r="CX76" s="59">
        <f t="shared" si="68"/>
        <v>887.04910244983898</v>
      </c>
      <c r="CY76" s="59">
        <f ca="1">AVERAGE(OFFSET($CX$3,0,0,'Données projet'!$E$13+1,1))-AVERAGE(OFFSET($H$3,0,0,'Données projet'!$E$13+1,1))</f>
        <v>697.21496579281836</v>
      </c>
      <c r="CZ76" s="59">
        <f t="shared" si="96"/>
        <v>215.64914236153456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55.539209259756426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55.539209259756426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</v>
      </c>
      <c r="DO76" s="12">
        <f>IF('Données projet'!$A$166&gt;35,DO75+DN76-DW75,IF(A76&lt;'Données projet'!$A$166,$DL$205^A76,IF(A76='Données projet'!$A$166,'Données projet'!$B$166,DO75+DN76-DW75)))</f>
        <v>315.59999999999991</v>
      </c>
      <c r="DP76" s="17">
        <f>DO76*VLOOKUP('Données projet'!$B$14,Paramètres!$A$1:$I$89,3,0)*VLOOKUP('Données projet'!$B$14,Paramètres!$A$1:$I$89,5,0)</f>
        <v>275.70815999999996</v>
      </c>
      <c r="DQ76" s="13">
        <f t="shared" si="97"/>
        <v>66.05920594467139</v>
      </c>
      <c r="DR76" s="20">
        <f t="shared" si="70"/>
        <v>595.24482902030275</v>
      </c>
      <c r="DS76" s="59">
        <f t="shared" si="71"/>
        <v>863.02761321822459</v>
      </c>
      <c r="DT76" s="59">
        <f ca="1">AVERAGE(OFFSET($DS$3,0,0,'Données projet'!$E$14+1,1))-AVERAGE(OFFSET($H$3,0,0,'Données projet'!$E$14+1,1))</f>
        <v>408.24135864450221</v>
      </c>
      <c r="DU76" s="59">
        <f t="shared" si="98"/>
        <v>394.10236303013903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54.204211810211675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54.204211810211675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18</v>
      </c>
      <c r="N77" s="13">
        <f>IF('Données projet'!$A$36&gt;35,N76+M77-V76,IF(A77&lt;'Données projet'!$A$36,$K$205^A77,IF(A77='Données projet'!$A$36,'Données projet'!$B$36,N76+M77-V76)))</f>
        <v>850</v>
      </c>
      <c r="O77" s="13">
        <f>N77*VLOOKUP('Données projet'!$B$9,Paramètres!$A$1:$I$89,3,0)*VLOOKUP('Données projet'!$B$9,Paramètres!$A$1:$I$89,5,0)</f>
        <v>397.8</v>
      </c>
      <c r="P77" s="13">
        <f t="shared" si="87"/>
        <v>91.330505920740748</v>
      </c>
      <c r="Q77" s="20">
        <f t="shared" si="54"/>
        <v>851.90229781195683</v>
      </c>
      <c r="R77" s="59">
        <f t="shared" si="55"/>
        <v>1120.1283269149076</v>
      </c>
      <c r="S77" s="59">
        <f ca="1">AVERAGE(OFFSET($R$3,0,0,'Données projet'!$E$9+1,1))-AVERAGE(OFFSET($H$3,0,0,'Données projet'!$E$9+1,1))</f>
        <v>512.58510468904342</v>
      </c>
      <c r="T77" s="59">
        <f t="shared" si="88"/>
        <v>443.6106696463529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120.20686476284304</v>
      </c>
      <c r="AA77" s="21">
        <f>EXP(-LN(2)/25)*AA76+(1-EXP(-LN(2)/25))/(LN(2)/25)*Calculateur!V77*Calculateur!X77*VLOOKUP('Données projet'!$B$9,Paramètres!$A$1:$I$89,3,0)*0.475*44/12</f>
        <v>14.463417605845617</v>
      </c>
      <c r="AB77" s="21">
        <f>EXP(-LN(2)/2)*AB76+(1-EXP(-LN(2)/2))/(LN(2)/2)*V77*Y77*VLOOKUP('Données projet'!$B$9,Paramètres!$A$1:$I$89,3,0)*0.475*44/12</f>
        <v>1.9344949012158002E-7</v>
      </c>
      <c r="AC77" s="22">
        <f t="shared" si="57"/>
        <v>134.67028256213814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9">
        <f t="shared" si="59"/>
        <v>932.93459047566841</v>
      </c>
      <c r="AN77" s="59">
        <f ca="1">AVERAGE(OFFSET($AM$3,0,0,'Données projet'!$E$10+1,1))-AVERAGE(OFFSET($H$3,0,0,'Données projet'!$E$10+1,1))</f>
        <v>520.95202773768222</v>
      </c>
      <c r="AO77" s="59">
        <f t="shared" si="90"/>
        <v>325.72635759450861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72.360647058264362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72.360647058264362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12.4</v>
      </c>
      <c r="BD77" s="12">
        <f>IF('Données projet'!$A$88&gt;35,BD76+BC77-BL76,IF(A77&lt;'Données projet'!$A$88,$BA$205^A77,IF(A77='Données projet'!$A$88,'Données projet'!$B$88,BD76+BC77-BL76)))</f>
        <v>680.6</v>
      </c>
      <c r="BE77" s="13">
        <f>BD77*VLOOKUP('Données projet'!$B$11,Paramètres!$A$1:$I$89,3,0)*VLOOKUP('Données projet'!$B$11,Paramètres!$A$1:$I$89,5,0)</f>
        <v>406.99880000000002</v>
      </c>
      <c r="BF77" s="13">
        <f t="shared" si="91"/>
        <v>93.194128934694703</v>
      </c>
      <c r="BG77" s="20">
        <f t="shared" si="61"/>
        <v>871.16935122792665</v>
      </c>
      <c r="BH77" s="59">
        <f t="shared" si="62"/>
        <v>1139.3953803308775</v>
      </c>
      <c r="BI77" s="59">
        <f ca="1">AVERAGE(OFFSET($BH$3,0,0,'Données projet'!$E$11+1,1))-AVERAGE(OFFSET($H$3,0,0,'Données projet'!$E$11+1,1))</f>
        <v>528.71639224940395</v>
      </c>
      <c r="BJ77" s="59">
        <f t="shared" si="92"/>
        <v>460.93390058676493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87.638011726596432</v>
      </c>
      <c r="BQ77" s="21">
        <f>EXP(-LN(2)/25)*BQ76+(1-EXP(-LN(2)/25))/(LN(2)/25)*Calculateur!BL77*Calculateur!BN77*VLOOKUP('Données projet'!$B$11,Paramètres!$A$1:$I$89,3,0)*0.475*44/12</f>
        <v>17.383986393438818</v>
      </c>
      <c r="BR77" s="21">
        <f>EXP(-LN(2)/2)*BR76+(1-EXP(-LN(2)/2))/(LN(2)/2)*BL77*BO77*VLOOKUP('Données projet'!$B$11,Paramètres!$A$1:$I$89,3,0)*0.475*44/12</f>
        <v>1.2484751049552128E-8</v>
      </c>
      <c r="BS77" s="22">
        <f t="shared" si="63"/>
        <v>105.02199813252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222.3998399999999</v>
      </c>
      <c r="CA77" s="13">
        <f t="shared" si="93"/>
        <v>54.636149281681448</v>
      </c>
      <c r="CB77" s="20">
        <f t="shared" si="64"/>
        <v>482.50434799892832</v>
      </c>
      <c r="CC77" s="59">
        <f t="shared" si="65"/>
        <v>750.73037710187918</v>
      </c>
      <c r="CD77" s="59">
        <f ca="1">AVERAGE(OFFSET($CC$3,0,0,'Données projet'!$E$12+1,1))-AVERAGE(OFFSET($H$3,0,0,'Données projet'!$E$12+1,1))</f>
        <v>398.11190027805549</v>
      </c>
      <c r="CE77" s="59">
        <f t="shared" si="94"/>
        <v>250.47702091764884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48.42597149283845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48.42597149283845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9.2624999999999993</v>
      </c>
      <c r="CS77" s="12">
        <f t="array" ref="CS77">INDEX(CR:CR,MIN(IF(ISNUMBER(CR77:CR273),ROW(CR77:CR273),"")))</f>
        <v>9.2624999999999993</v>
      </c>
      <c r="CT77" s="12">
        <f>IF('Données projet'!$A$140&gt;35,CT76+CS77-DB76,IF(A77&lt;'Données projet'!$A$140,$CQ$205^A77,IF(A77='Données projet'!$A$140,'Données projet'!$B$140,CT76+CS77-DB76)))</f>
        <v>310.95999999999998</v>
      </c>
      <c r="CU77" s="17">
        <f>CT77*VLOOKUP('Données projet'!$B$13,Paramètres!$A$1:$I$89,3,0)*VLOOKUP('Données projet'!$B$13,Paramètres!$A$1:$I$89,5,0)</f>
        <v>295.909536</v>
      </c>
      <c r="CV77" s="13">
        <f t="shared" si="95"/>
        <v>70.31826114322331</v>
      </c>
      <c r="CW77" s="20">
        <f t="shared" si="67"/>
        <v>637.84674669111394</v>
      </c>
      <c r="CX77" s="59">
        <f t="shared" si="68"/>
        <v>906.0727757940648</v>
      </c>
      <c r="CY77" s="59">
        <f ca="1">AVERAGE(OFFSET($CX$3,0,0,'Données projet'!$E$13+1,1))-AVERAGE(OFFSET($H$3,0,0,'Données projet'!$E$13+1,1))</f>
        <v>697.21496579281836</v>
      </c>
      <c r="CZ77" s="59">
        <f t="shared" si="96"/>
        <v>215.64914236153456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0.43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75.891282369244891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75.891282369244891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</v>
      </c>
      <c r="DO77" s="12">
        <f>IF('Données projet'!$A$166&gt;35,DO76+DN77-DW76,IF(A77&lt;'Données projet'!$A$166,$DL$205^A77,IF(A77='Données projet'!$A$166,'Données projet'!$B$166,DO76+DN77-DW76)))</f>
        <v>319.7999999999999</v>
      </c>
      <c r="DP77" s="17">
        <f>DO77*VLOOKUP('Données projet'!$B$14,Paramètres!$A$1:$I$89,3,0)*VLOOKUP('Données projet'!$B$14,Paramètres!$A$1:$I$89,5,0)</f>
        <v>279.37727999999993</v>
      </c>
      <c r="DQ77" s="13">
        <f t="shared" si="97"/>
        <v>66.835393196206056</v>
      </c>
      <c r="DR77" s="20">
        <f t="shared" si="70"/>
        <v>602.98707248339201</v>
      </c>
      <c r="DS77" s="59">
        <f t="shared" si="71"/>
        <v>871.21310158634287</v>
      </c>
      <c r="DT77" s="59">
        <f ca="1">AVERAGE(OFFSET($DS$3,0,0,'Données projet'!$E$14+1,1))-AVERAGE(OFFSET($H$3,0,0,'Données projet'!$E$14+1,1))</f>
        <v>408.24135864450221</v>
      </c>
      <c r="DU77" s="59">
        <f t="shared" si="98"/>
        <v>394.10236303013903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53.141300277918099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53.141300277918099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868</v>
      </c>
      <c r="L78" s="12">
        <f>VLOOKUP(A78,'Données projet'!$A$35:$I$55,9,0)</f>
        <v>18</v>
      </c>
      <c r="M78" s="12">
        <f t="array" ref="M78">INDEX(L:L,MIN(IF(ISNUMBER(L78:L274),ROW(L78:L274),"")))</f>
        <v>18</v>
      </c>
      <c r="N78" s="13">
        <f>IF('Données projet'!$A$36&gt;35,N77+M78-V77,IF(A78&lt;'Données projet'!$A$36,$K$205^A78,IF(A78='Données projet'!$A$36,'Données projet'!$B$36,N77+M78-V77)))</f>
        <v>868</v>
      </c>
      <c r="O78" s="13">
        <f>N78*VLOOKUP('Données projet'!$B$9,Paramètres!$A$1:$I$89,3,0)*VLOOKUP('Données projet'!$B$9,Paramètres!$A$1:$I$89,5,0)</f>
        <v>406.22399999999999</v>
      </c>
      <c r="P78" s="13">
        <f t="shared" si="87"/>
        <v>93.03734957263255</v>
      </c>
      <c r="Q78" s="20">
        <f t="shared" si="54"/>
        <v>869.5468505056682</v>
      </c>
      <c r="R78" s="59">
        <f t="shared" si="55"/>
        <v>1138.2084352054931</v>
      </c>
      <c r="S78" s="59">
        <f ca="1">AVERAGE(OFFSET($R$3,0,0,'Données projet'!$E$9+1,1))-AVERAGE(OFFSET($H$3,0,0,'Données projet'!$E$9+1,1))</f>
        <v>512.58510468904342</v>
      </c>
      <c r="T78" s="59">
        <f t="shared" si="88"/>
        <v>443.6106696463529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50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134.92256600529845</v>
      </c>
      <c r="AA78" s="21">
        <f>EXP(-LN(2)/25)*AA77+(1-EXP(-LN(2)/25))/(LN(2)/25)*Calculateur!V78*Calculateur!X78*VLOOKUP('Données projet'!$B$9,Paramètres!$A$1:$I$89,3,0)*0.475*44/12</f>
        <v>14.067914690815693</v>
      </c>
      <c r="AB78" s="21">
        <f>EXP(-LN(2)/2)*AB77+(1-EXP(-LN(2)/2))/(LN(2)/2)*V78*Y78*VLOOKUP('Données projet'!$B$9,Paramètres!$A$1:$I$89,3,0)*0.475*44/12</f>
        <v>1.3678944628204926E-7</v>
      </c>
      <c r="AC78" s="22">
        <f t="shared" si="57"/>
        <v>148.99048083290359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949.59254402300598</v>
      </c>
      <c r="AN78" s="59">
        <f ca="1">AVERAGE(OFFSET($AM$3,0,0,'Données projet'!$E$10+1,1))-AVERAGE(OFFSET($H$3,0,0,'Données projet'!$E$10+1,1))</f>
        <v>520.95202773768222</v>
      </c>
      <c r="AO78" s="59">
        <f t="shared" si="90"/>
        <v>325.72635759450861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84.437900361839269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84.437900361839269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693</v>
      </c>
      <c r="BB78" s="12">
        <f>VLOOKUP(A78,'Données projet'!$A$87:$I$107,9,0)</f>
        <v>12.4</v>
      </c>
      <c r="BC78" s="12">
        <f t="array" ref="BC78">INDEX(BB:BB,MIN(IF(ISNUMBER(BB78:BB274),ROW(BB78:BB274),"")))</f>
        <v>12.4</v>
      </c>
      <c r="BD78" s="12">
        <f>IF('Données projet'!$A$88&gt;35,BD77+BC78-BL77,IF(A78&lt;'Données projet'!$A$88,$BA$205^A78,IF(A78='Données projet'!$A$88,'Données projet'!$B$88,BD77+BC78-BL77)))</f>
        <v>693</v>
      </c>
      <c r="BE78" s="13">
        <f>BD78*VLOOKUP('Données projet'!$B$11,Paramètres!$A$1:$I$89,3,0)*VLOOKUP('Données projet'!$B$11,Paramètres!$A$1:$I$89,5,0)</f>
        <v>414.41400000000004</v>
      </c>
      <c r="BF78" s="13">
        <f t="shared" si="91"/>
        <v>94.692834584825818</v>
      </c>
      <c r="BG78" s="20">
        <f t="shared" si="61"/>
        <v>886.6944035685716</v>
      </c>
      <c r="BH78" s="59">
        <f t="shared" si="62"/>
        <v>1155.3559882683965</v>
      </c>
      <c r="BI78" s="59">
        <f ca="1">AVERAGE(OFFSET($BH$3,0,0,'Données projet'!$E$11+1,1))-AVERAGE(OFFSET($H$3,0,0,'Données projet'!$E$11+1,1))</f>
        <v>528.71639224940395</v>
      </c>
      <c r="BJ78" s="59">
        <f t="shared" si="92"/>
        <v>460.93390058676493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30</v>
      </c>
      <c r="BM78" s="16">
        <f>IF(ISNA(VLOOKUP(A78,'Données projet'!$A$87:$I$107,5,0)),0%,VLOOKUP(A78,'Données projet'!$A$87:$I$107,5,0)*VLOOKUP('Données projet'!$B$11,Paramètres!$A$1:$I$89,7,0))</f>
        <v>0.45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96.628838619310301</v>
      </c>
      <c r="BQ78" s="21">
        <f>EXP(-LN(2)/25)*BQ77+(1-EXP(-LN(2)/25))/(LN(2)/25)*Calculateur!BL78*Calculateur!BN78*VLOOKUP('Données projet'!$B$11,Paramètres!$A$1:$I$89,3,0)*0.475*44/12</f>
        <v>16.908620371326119</v>
      </c>
      <c r="BR78" s="21">
        <f>EXP(-LN(2)/2)*BR77+(1-EXP(-LN(2)/2))/(LN(2)/2)*BL78*BO78*VLOOKUP('Données projet'!$B$11,Paramètres!$A$1:$I$89,3,0)*0.475*44/12</f>
        <v>8.8280521285641759E-9</v>
      </c>
      <c r="BS78" s="22">
        <f t="shared" si="63"/>
        <v>113.53745899946448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228.00959999999992</v>
      </c>
      <c r="CA78" s="13">
        <f t="shared" si="93"/>
        <v>55.852093054619829</v>
      </c>
      <c r="CB78" s="20">
        <f t="shared" si="64"/>
        <v>494.3924487367961</v>
      </c>
      <c r="CC78" s="59">
        <f t="shared" si="65"/>
        <v>763.0540334366209</v>
      </c>
      <c r="CD78" s="59">
        <f ca="1">AVERAGE(OFFSET($CC$3,0,0,'Données projet'!$E$12+1,1))-AVERAGE(OFFSET($H$3,0,0,'Données projet'!$E$12+1,1))</f>
        <v>398.11190027805549</v>
      </c>
      <c r="CE78" s="59">
        <f t="shared" si="94"/>
        <v>250.47702091764884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56.508441011384726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56.508441011384726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9.1529999999999969</v>
      </c>
      <c r="CT78" s="12">
        <f>IF('Données projet'!$A$140&gt;35,CT77+CS78-DB77,IF(A78&lt;'Données projet'!$A$140,$CQ$205^A78,IF(A78='Données projet'!$A$140,'Données projet'!$B$140,CT77+CS78-DB77)))</f>
        <v>272.71300000000002</v>
      </c>
      <c r="CU78" s="17">
        <f>CT78*VLOOKUP('Données projet'!$B$13,Paramètres!$A$1:$I$89,3,0)*VLOOKUP('Données projet'!$B$13,Paramètres!$A$1:$I$89,5,0)</f>
        <v>259.51369080000001</v>
      </c>
      <c r="CV78" s="13">
        <f t="shared" si="95"/>
        <v>62.618705194634003</v>
      </c>
      <c r="CW78" s="20">
        <f t="shared" si="67"/>
        <v>561.04725635732086</v>
      </c>
      <c r="CX78" s="59">
        <f t="shared" si="68"/>
        <v>829.70884105714572</v>
      </c>
      <c r="CY78" s="59">
        <f ca="1">AVERAGE(OFFSET($CX$3,0,0,'Données projet'!$E$13+1,1))-AVERAGE(OFFSET($H$3,0,0,'Données projet'!$E$13+1,1))</f>
        <v>697.21496579281836</v>
      </c>
      <c r="CZ78" s="59">
        <f t="shared" si="96"/>
        <v>215.64914236153456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74.403100611095567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74.403100611095567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324</v>
      </c>
      <c r="DM78" s="12">
        <f>VLOOKUP(A78,'Données projet'!$A$165:$I$185,9,0)</f>
        <v>4.2</v>
      </c>
      <c r="DN78" s="12">
        <f t="array" ref="DN78">INDEX(DM:DM,MIN(IF(ISNUMBER(DM78:DM274),ROW(DM78:DM274),"")))</f>
        <v>4.2</v>
      </c>
      <c r="DO78" s="12">
        <f>IF('Données projet'!$A$166&gt;35,DO77+DN78-DW77,IF(A78&lt;'Données projet'!$A$166,$DL$205^A78,IF(A78='Données projet'!$A$166,'Données projet'!$B$166,DO77+DN78-DW77)))</f>
        <v>323.99999999999989</v>
      </c>
      <c r="DP78" s="17">
        <f>DO78*VLOOKUP('Données projet'!$B$14,Paramètres!$A$1:$I$89,3,0)*VLOOKUP('Données projet'!$B$14,Paramètres!$A$1:$I$89,5,0)</f>
        <v>283.04639999999989</v>
      </c>
      <c r="DQ78" s="13">
        <f t="shared" si="97"/>
        <v>67.610394756513259</v>
      </c>
      <c r="DR78" s="20">
        <f t="shared" si="70"/>
        <v>610.72725086759363</v>
      </c>
      <c r="DS78" s="59">
        <f t="shared" si="71"/>
        <v>879.38883556741848</v>
      </c>
      <c r="DT78" s="59">
        <f ca="1">AVERAGE(OFFSET($DS$3,0,0,'Données projet'!$E$14+1,1))-AVERAGE(OFFSET($H$3,0,0,'Données projet'!$E$14+1,1))</f>
        <v>408.24135864450221</v>
      </c>
      <c r="DU78" s="59">
        <f t="shared" si="98"/>
        <v>394.10236303013903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12</v>
      </c>
      <c r="DX78" s="16">
        <f>IF(ISNA(VLOOKUP(A78,'Données projet'!$A$165:$I$185,5,0)),0%,VLOOKUP(A78,'Données projet'!$A$165:$I$185,5,0)*VLOOKUP('Données projet'!$B$14,Paramètres!$A$1:$I$89,7,0))</f>
        <v>0.53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58.241331346302289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58.241331346302289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16.600000000000001</v>
      </c>
      <c r="N79" s="13">
        <f>IF('Données projet'!$A$36&gt;35,N78+M79-V78,IF(A79&lt;'Données projet'!$A$36,$K$205^A79,IF(A79='Données projet'!$A$36,'Données projet'!$B$36,N78+M79-V78)))</f>
        <v>834.6</v>
      </c>
      <c r="O79" s="13">
        <f>N79*VLOOKUP('Données projet'!$B$9,Paramètres!$A$1:$I$89,3,0)*VLOOKUP('Données projet'!$B$9,Paramètres!$A$1:$I$89,5,0)</f>
        <v>390.59280000000001</v>
      </c>
      <c r="P79" s="13">
        <f t="shared" si="87"/>
        <v>89.866866226434709</v>
      </c>
      <c r="Q79" s="20">
        <f t="shared" si="54"/>
        <v>836.80058534437376</v>
      </c>
      <c r="R79" s="59">
        <f t="shared" si="55"/>
        <v>1105.8901697252231</v>
      </c>
      <c r="S79" s="59">
        <f ca="1">AVERAGE(OFFSET($R$3,0,0,'Données projet'!$E$9+1,1))-AVERAGE(OFFSET($H$3,0,0,'Données projet'!$E$9+1,1))</f>
        <v>512.58510468904342</v>
      </c>
      <c r="T79" s="59">
        <f t="shared" si="88"/>
        <v>443.6106696463529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132.27681678057388</v>
      </c>
      <c r="AA79" s="21">
        <f>EXP(-LN(2)/25)*AA78+(1-EXP(-LN(2)/25))/(LN(2)/25)*Calculateur!V79*Calculateur!X79*VLOOKUP('Données projet'!$B$9,Paramètres!$A$1:$I$89,3,0)*0.475*44/12</f>
        <v>13.683226823795856</v>
      </c>
      <c r="AB79" s="21">
        <f>EXP(-LN(2)/2)*AB78+(1-EXP(-LN(2)/2))/(LN(2)/2)*V79*Y79*VLOOKUP('Données projet'!$B$9,Paramètres!$A$1:$I$89,3,0)*0.475*44/12</f>
        <v>9.6724745060790008E-8</v>
      </c>
      <c r="AC79" s="22">
        <f t="shared" si="57"/>
        <v>145.96004370109446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905.60289286067382</v>
      </c>
      <c r="AN79" s="59">
        <f ca="1">AVERAGE(OFFSET($AM$3,0,0,'Données projet'!$E$10+1,1))-AVERAGE(OFFSET($H$3,0,0,'Données projet'!$E$10+1,1))</f>
        <v>520.95202773768222</v>
      </c>
      <c r="AO79" s="59">
        <f t="shared" si="90"/>
        <v>325.72635759450861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82.782124637777414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82.782124637777414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</v>
      </c>
      <c r="BD79" s="12">
        <f>IF('Données projet'!$A$88&gt;35,BD78+BC79-BL78,IF(A79&lt;'Données projet'!$A$88,$BA$205^A79,IF(A79='Données projet'!$A$88,'Données projet'!$B$88,BD78+BC79-BL78)))</f>
        <v>674</v>
      </c>
      <c r="BE79" s="13">
        <f>BD79*VLOOKUP('Données projet'!$B$11,Paramètres!$A$1:$I$89,3,0)*VLOOKUP('Données projet'!$B$11,Paramètres!$A$1:$I$89,5,0)</f>
        <v>403.05200000000002</v>
      </c>
      <c r="BF79" s="13">
        <f t="shared" si="91"/>
        <v>92.39513739653853</v>
      </c>
      <c r="BG79" s="20">
        <f t="shared" si="61"/>
        <v>862.9037642989714</v>
      </c>
      <c r="BH79" s="59">
        <f t="shared" si="62"/>
        <v>1131.9933486798209</v>
      </c>
      <c r="BI79" s="59">
        <f ca="1">AVERAGE(OFFSET($BH$3,0,0,'Données projet'!$E$11+1,1))-AVERAGE(OFFSET($H$3,0,0,'Données projet'!$E$11+1,1))</f>
        <v>528.71639224940395</v>
      </c>
      <c r="BJ79" s="59">
        <f t="shared" si="92"/>
        <v>460.93390058676493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94.734006031757559</v>
      </c>
      <c r="BQ79" s="21">
        <f>EXP(-LN(2)/25)*BQ78+(1-EXP(-LN(2)/25))/(LN(2)/25)*Calculateur!BL79*Calculateur!BN79*VLOOKUP('Données projet'!$B$11,Paramètres!$A$1:$I$89,3,0)*0.475*44/12</f>
        <v>16.446253258086507</v>
      </c>
      <c r="BR79" s="21">
        <f>EXP(-LN(2)/2)*BR78+(1-EXP(-LN(2)/2))/(LN(2)/2)*BL79*BO79*VLOOKUP('Données projet'!$B$11,Paramètres!$A$1:$I$89,3,0)*0.475*44/12</f>
        <v>6.2423755247760639E-9</v>
      </c>
      <c r="BS79" s="22">
        <f t="shared" si="63"/>
        <v>111.18025929608643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214.43759999999989</v>
      </c>
      <c r="CA79" s="13">
        <f t="shared" si="93"/>
        <v>52.904129603372375</v>
      </c>
      <c r="CB79" s="20">
        <f t="shared" si="64"/>
        <v>465.62017905920658</v>
      </c>
      <c r="CC79" s="59">
        <f t="shared" si="65"/>
        <v>734.70976344005601</v>
      </c>
      <c r="CD79" s="59">
        <f ca="1">AVERAGE(OFFSET($CC$3,0,0,'Données projet'!$E$12+1,1))-AVERAGE(OFFSET($H$3,0,0,'Données projet'!$E$12+1,1))</f>
        <v>398.11190027805549</v>
      </c>
      <c r="CE79" s="59">
        <f t="shared" si="94"/>
        <v>250.47702091764884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55.400344949897182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55.400344949897182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9.1529999999999969</v>
      </c>
      <c r="CT79" s="12">
        <f>IF('Données projet'!$A$140&gt;35,CT78+CS79-DB78,IF(A79&lt;'Données projet'!$A$140,$CQ$205^A79,IF(A79='Données projet'!$A$140,'Données projet'!$B$140,CT78+CS79-DB78)))</f>
        <v>281.86600000000004</v>
      </c>
      <c r="CU79" s="17">
        <f>CT79*VLOOKUP('Données projet'!$B$13,Paramètres!$A$1:$I$89,3,0)*VLOOKUP('Données projet'!$B$13,Paramètres!$A$1:$I$89,5,0)</f>
        <v>268.22368560000001</v>
      </c>
      <c r="CV79" s="13">
        <f t="shared" si="95"/>
        <v>64.472145843304247</v>
      </c>
      <c r="CW79" s="20">
        <f t="shared" si="67"/>
        <v>579.4452397637549</v>
      </c>
      <c r="CX79" s="59">
        <f t="shared" si="68"/>
        <v>848.53482414460427</v>
      </c>
      <c r="CY79" s="59">
        <f ca="1">AVERAGE(OFFSET($CX$3,0,0,'Données projet'!$E$13+1,1))-AVERAGE(OFFSET($H$3,0,0,'Données projet'!$E$13+1,1))</f>
        <v>697.21496579281836</v>
      </c>
      <c r="CZ79" s="59">
        <f t="shared" si="96"/>
        <v>215.64914236153456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72.944101189522314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72.944101189522314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315.59999999999991</v>
      </c>
      <c r="DP79" s="17">
        <f>DO79*VLOOKUP('Données projet'!$B$14,Paramètres!$A$1:$I$89,3,0)*VLOOKUP('Données projet'!$B$14,Paramètres!$A$1:$I$89,5,0)</f>
        <v>275.70815999999996</v>
      </c>
      <c r="DQ79" s="13">
        <f t="shared" si="97"/>
        <v>66.05920594467139</v>
      </c>
      <c r="DR79" s="20">
        <f t="shared" si="70"/>
        <v>595.24482902030275</v>
      </c>
      <c r="DS79" s="59">
        <f t="shared" si="71"/>
        <v>864.33441340115223</v>
      </c>
      <c r="DT79" s="59">
        <f ca="1">AVERAGE(OFFSET($DS$3,0,0,'Données projet'!$E$14+1,1))-AVERAGE(OFFSET($H$3,0,0,'Données projet'!$E$14+1,1))</f>
        <v>408.24135864450221</v>
      </c>
      <c r="DU79" s="59">
        <f t="shared" si="98"/>
        <v>394.10236303013903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57.09925436230575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57.09925436230575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16.600000000000001</v>
      </c>
      <c r="N80" s="13">
        <f>IF('Données projet'!$A$36&gt;35,N79+M80-V79,IF(A80&lt;'Données projet'!$A$36,$K$205^A80,IF(A80='Données projet'!$A$36,'Données projet'!$B$36,N79+M80-V79)))</f>
        <v>851.2</v>
      </c>
      <c r="O80" s="13">
        <f>N80*VLOOKUP('Données projet'!$B$9,Paramètres!$A$1:$I$89,3,0)*VLOOKUP('Données projet'!$B$9,Paramètres!$A$1:$I$89,5,0)</f>
        <v>398.36160000000001</v>
      </c>
      <c r="P80" s="13">
        <f t="shared" si="87"/>
        <v>91.444425461235824</v>
      </c>
      <c r="Q80" s="20">
        <f t="shared" si="54"/>
        <v>853.07882767831904</v>
      </c>
      <c r="R80" s="59">
        <f t="shared" si="55"/>
        <v>1122.5889869025914</v>
      </c>
      <c r="S80" s="59">
        <f ca="1">AVERAGE(OFFSET($R$3,0,0,'Données projet'!$E$9+1,1))-AVERAGE(OFFSET($H$3,0,0,'Données projet'!$E$9+1,1))</f>
        <v>512.58510468904342</v>
      </c>
      <c r="T80" s="59">
        <f t="shared" si="88"/>
        <v>443.6106696463529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129.6829490843985</v>
      </c>
      <c r="AA80" s="21">
        <f>EXP(-LN(2)/25)*AA79+(1-EXP(-LN(2)/25))/(LN(2)/25)*Calculateur!V80*Calculateur!X80*VLOOKUP('Données projet'!$B$9,Paramètres!$A$1:$I$89,3,0)*0.475*44/12</f>
        <v>13.309058266729533</v>
      </c>
      <c r="AB80" s="21">
        <f>EXP(-LN(2)/2)*AB79+(1-EXP(-LN(2)/2))/(LN(2)/2)*V80*Y80*VLOOKUP('Données projet'!$B$9,Paramètres!$A$1:$I$89,3,0)*0.475*44/12</f>
        <v>6.8394723141024632E-8</v>
      </c>
      <c r="AC80" s="22">
        <f t="shared" si="57"/>
        <v>142.99200741952274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9">
        <f t="shared" si="59"/>
        <v>921.40581789956354</v>
      </c>
      <c r="AN80" s="59">
        <f ca="1">AVERAGE(OFFSET($AM$3,0,0,'Données projet'!$E$10+1,1))-AVERAGE(OFFSET($H$3,0,0,'Données projet'!$E$10+1,1))</f>
        <v>520.95202773768222</v>
      </c>
      <c r="AO80" s="59">
        <f t="shared" si="90"/>
        <v>325.72635759450861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81.158817665740941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81.158817665740941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</v>
      </c>
      <c r="BD80" s="12">
        <f>IF('Données projet'!$A$88&gt;35,BD79+BC80-BL79,IF(A80&lt;'Données projet'!$A$88,$BA$205^A80,IF(A80='Données projet'!$A$88,'Données projet'!$B$88,BD79+BC80-BL79)))</f>
        <v>685</v>
      </c>
      <c r="BE80" s="13">
        <f>BD80*VLOOKUP('Données projet'!$B$11,Paramètres!$A$1:$I$89,3,0)*VLOOKUP('Données projet'!$B$11,Paramètres!$A$1:$I$89,5,0)</f>
        <v>409.63000000000005</v>
      </c>
      <c r="BF80" s="13">
        <f t="shared" si="91"/>
        <v>93.726288591583938</v>
      </c>
      <c r="BG80" s="20">
        <f t="shared" si="61"/>
        <v>876.67886929700865</v>
      </c>
      <c r="BH80" s="59">
        <f t="shared" si="62"/>
        <v>1146.189028521281</v>
      </c>
      <c r="BI80" s="59">
        <f ca="1">AVERAGE(OFFSET($BH$3,0,0,'Données projet'!$E$11+1,1))-AVERAGE(OFFSET($H$3,0,0,'Données projet'!$E$11+1,1))</f>
        <v>528.71639224940395</v>
      </c>
      <c r="BJ80" s="59">
        <f t="shared" si="92"/>
        <v>460.93390058676493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92.876329955512972</v>
      </c>
      <c r="BQ80" s="21">
        <f>EXP(-LN(2)/25)*BQ79+(1-EXP(-LN(2)/25))/(LN(2)/25)*Calculateur!BL80*Calculateur!BN80*VLOOKUP('Données projet'!$B$11,Paramètres!$A$1:$I$89,3,0)*0.475*44/12</f>
        <v>15.996529597873261</v>
      </c>
      <c r="BR80" s="21">
        <f>EXP(-LN(2)/2)*BR79+(1-EXP(-LN(2)/2))/(LN(2)/2)*BL80*BO80*VLOOKUP('Données projet'!$B$11,Paramètres!$A$1:$I$89,3,0)*0.475*44/12</f>
        <v>4.4140260642820879E-9</v>
      </c>
      <c r="BS80" s="22">
        <f t="shared" si="63"/>
        <v>108.87285955780025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219.86639999999989</v>
      </c>
      <c r="CA80" s="13">
        <f t="shared" si="93"/>
        <v>54.085847394182416</v>
      </c>
      <c r="CB80" s="20">
        <f t="shared" si="64"/>
        <v>477.13349754486745</v>
      </c>
      <c r="CC80" s="59">
        <f t="shared" si="65"/>
        <v>746.64365676913974</v>
      </c>
      <c r="CD80" s="59">
        <f ca="1">AVERAGE(OFFSET($CC$3,0,0,'Données projet'!$E$12+1,1))-AVERAGE(OFFSET($H$3,0,0,'Données projet'!$E$12+1,1))</f>
        <v>398.11190027805549</v>
      </c>
      <c r="CE80" s="59">
        <f t="shared" si="94"/>
        <v>250.47702091764884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54.313977976303548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54.313977976303548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9.1529999999999969</v>
      </c>
      <c r="CT80" s="12">
        <f>IF('Données projet'!$A$140&gt;35,CT79+CS80-DB79,IF(A80&lt;'Données projet'!$A$140,$CQ$205^A80,IF(A80='Données projet'!$A$140,'Données projet'!$B$140,CT79+CS80-DB79)))</f>
        <v>291.01900000000006</v>
      </c>
      <c r="CU80" s="17">
        <f>CT80*VLOOKUP('Données projet'!$B$13,Paramètres!$A$1:$I$89,3,0)*VLOOKUP('Données projet'!$B$13,Paramètres!$A$1:$I$89,5,0)</f>
        <v>276.93368040000007</v>
      </c>
      <c r="CV80" s="13">
        <f t="shared" si="95"/>
        <v>66.318592702518586</v>
      </c>
      <c r="CW80" s="20">
        <f t="shared" si="67"/>
        <v>597.83104232022004</v>
      </c>
      <c r="CX80" s="59">
        <f t="shared" si="68"/>
        <v>867.34120154449238</v>
      </c>
      <c r="CY80" s="59">
        <f ca="1">AVERAGE(OFFSET($CX$3,0,0,'Données projet'!$E$13+1,1))-AVERAGE(OFFSET($H$3,0,0,'Données projet'!$E$13+1,1))</f>
        <v>697.21496579281836</v>
      </c>
      <c r="CZ80" s="59">
        <f t="shared" si="96"/>
        <v>215.64914236153456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71.513711856704333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71.513711856704333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319.19999999999993</v>
      </c>
      <c r="DP80" s="17">
        <f>DO80*VLOOKUP('Données projet'!$B$14,Paramètres!$A$1:$I$89,3,0)*VLOOKUP('Données projet'!$B$14,Paramètres!$A$1:$I$89,5,0)</f>
        <v>278.85311999999999</v>
      </c>
      <c r="DQ80" s="13">
        <f t="shared" si="97"/>
        <v>66.724582302351905</v>
      </c>
      <c r="DR80" s="20">
        <f t="shared" si="70"/>
        <v>601.88116484326292</v>
      </c>
      <c r="DS80" s="59">
        <f t="shared" si="71"/>
        <v>871.39132406753515</v>
      </c>
      <c r="DT80" s="59">
        <f ca="1">AVERAGE(OFFSET($DS$3,0,0,'Données projet'!$E$14+1,1))-AVERAGE(OFFSET($H$3,0,0,'Données projet'!$E$14+1,1))</f>
        <v>408.24135864450221</v>
      </c>
      <c r="DU80" s="59">
        <f t="shared" si="98"/>
        <v>394.10236303013903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55.979572811367206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55.979572811367206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16.600000000000001</v>
      </c>
      <c r="N81" s="13">
        <f>IF('Données projet'!$A$36&gt;35,N80+M81-V80,IF(A81&lt;'Données projet'!$A$36,$K$205^A81,IF(A81='Données projet'!$A$36,'Données projet'!$B$36,N80+M81-V80)))</f>
        <v>867.80000000000007</v>
      </c>
      <c r="O81" s="13">
        <f>N81*VLOOKUP('Données projet'!$B$9,Paramètres!$A$1:$I$89,3,0)*VLOOKUP('Données projet'!$B$9,Paramètres!$A$1:$I$89,5,0)</f>
        <v>406.13040000000001</v>
      </c>
      <c r="P81" s="13">
        <f t="shared" si="87"/>
        <v>93.018407428716657</v>
      </c>
      <c r="Q81" s="20">
        <f t="shared" si="54"/>
        <v>869.35083960501481</v>
      </c>
      <c r="R81" s="59">
        <f t="shared" si="55"/>
        <v>1139.2742776394412</v>
      </c>
      <c r="S81" s="59">
        <f ca="1">AVERAGE(OFFSET($R$3,0,0,'Données projet'!$E$9+1,1))-AVERAGE(OFFSET($H$3,0,0,'Données projet'!$E$9+1,1))</f>
        <v>512.58510468904342</v>
      </c>
      <c r="T81" s="59">
        <f t="shared" si="88"/>
        <v>443.6106696463529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127.13994555164203</v>
      </c>
      <c r="AA81" s="21">
        <f>EXP(-LN(2)/25)*AA80+(1-EXP(-LN(2)/25))/(LN(2)/25)*Calculateur!V81*Calculateur!X81*VLOOKUP('Données projet'!$B$9,Paramètres!$A$1:$I$89,3,0)*0.475*44/12</f>
        <v>12.945121368532858</v>
      </c>
      <c r="AB81" s="21">
        <f>EXP(-LN(2)/2)*AB80+(1-EXP(-LN(2)/2))/(LN(2)/2)*V81*Y81*VLOOKUP('Données projet'!$B$9,Paramètres!$A$1:$I$89,3,0)*0.475*44/12</f>
        <v>4.8362372530395004E-8</v>
      </c>
      <c r="AC81" s="22">
        <f t="shared" si="57"/>
        <v>140.08506696853726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9">
        <f t="shared" si="59"/>
        <v>937.19396675505538</v>
      </c>
      <c r="AN81" s="59">
        <f ca="1">AVERAGE(OFFSET($AM$3,0,0,'Données projet'!$E$10+1,1))-AVERAGE(OFFSET($H$3,0,0,'Données projet'!$E$10+1,1))</f>
        <v>520.95202773768222</v>
      </c>
      <c r="AO81" s="59">
        <f t="shared" si="90"/>
        <v>325.72635759450861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79.567342753306619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79.567342753306619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</v>
      </c>
      <c r="BD81" s="12">
        <f>IF('Données projet'!$A$88&gt;35,BD80+BC81-BL80,IF(A81&lt;'Données projet'!$A$88,$BA$205^A81,IF(A81='Données projet'!$A$88,'Données projet'!$B$88,BD80+BC81-BL80)))</f>
        <v>696</v>
      </c>
      <c r="BE81" s="13">
        <f>BD81*VLOOKUP('Données projet'!$B$11,Paramètres!$A$1:$I$89,3,0)*VLOOKUP('Données projet'!$B$11,Paramètres!$A$1:$I$89,5,0)</f>
        <v>416.20800000000003</v>
      </c>
      <c r="BF81" s="13">
        <f t="shared" si="91"/>
        <v>95.054953813743452</v>
      </c>
      <c r="BG81" s="20">
        <f t="shared" si="61"/>
        <v>890.4496445589366</v>
      </c>
      <c r="BH81" s="59">
        <f t="shared" si="62"/>
        <v>1160.3730825933628</v>
      </c>
      <c r="BI81" s="59">
        <f ca="1">AVERAGE(OFFSET($BH$3,0,0,'Données projet'!$E$11+1,1))-AVERAGE(OFFSET($H$3,0,0,'Données projet'!$E$11+1,1))</f>
        <v>528.71639224940395</v>
      </c>
      <c r="BJ81" s="59">
        <f t="shared" si="92"/>
        <v>460.93390058676493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91.055081774053008</v>
      </c>
      <c r="BQ81" s="21">
        <f>EXP(-LN(2)/25)*BQ80+(1-EXP(-LN(2)/25))/(LN(2)/25)*Calculateur!BL81*Calculateur!BN81*VLOOKUP('Données projet'!$B$11,Paramètres!$A$1:$I$89,3,0)*0.475*44/12</f>
        <v>15.559103654798486</v>
      </c>
      <c r="BR81" s="21">
        <f>EXP(-LN(2)/2)*BR80+(1-EXP(-LN(2)/2))/(LN(2)/2)*BL81*BO81*VLOOKUP('Données projet'!$B$11,Paramètres!$A$1:$I$89,3,0)*0.475*44/12</f>
        <v>3.121187762388032E-9</v>
      </c>
      <c r="BS81" s="22">
        <f t="shared" si="63"/>
        <v>106.61418543197269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225.29519999999991</v>
      </c>
      <c r="CA81" s="13">
        <f t="shared" si="93"/>
        <v>55.264173352293078</v>
      </c>
      <c r="CB81" s="20">
        <f t="shared" si="64"/>
        <v>488.64090858857691</v>
      </c>
      <c r="CC81" s="59">
        <f t="shared" si="65"/>
        <v>758.56434662300308</v>
      </c>
      <c r="CD81" s="59">
        <f ca="1">AVERAGE(OFFSET($CC$3,0,0,'Données projet'!$E$12+1,1))-AVERAGE(OFFSET($H$3,0,0,'Données projet'!$E$12+1,1))</f>
        <v>398.11190027805549</v>
      </c>
      <c r="CE81" s="59">
        <f t="shared" si="94"/>
        <v>250.47702091764884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53.248913996443655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53.248913996443655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9.1529999999999969</v>
      </c>
      <c r="CT81" s="12">
        <f>IF('Données projet'!$A$140&gt;35,CT80+CS81-DB80,IF(A81&lt;'Données projet'!$A$140,$CQ$205^A81,IF(A81='Données projet'!$A$140,'Données projet'!$B$140,CT80+CS81-DB80)))</f>
        <v>300.17200000000008</v>
      </c>
      <c r="CU81" s="17">
        <f>CT81*VLOOKUP('Données projet'!$B$13,Paramètres!$A$1:$I$89,3,0)*VLOOKUP('Données projet'!$B$13,Paramètres!$A$1:$I$89,5,0)</f>
        <v>285.64367520000008</v>
      </c>
      <c r="CV81" s="13">
        <f t="shared" si="95"/>
        <v>68.158290974892552</v>
      </c>
      <c r="CW81" s="20">
        <f t="shared" si="67"/>
        <v>616.20509108793794</v>
      </c>
      <c r="CX81" s="59">
        <f t="shared" si="68"/>
        <v>886.12852912236417</v>
      </c>
      <c r="CY81" s="59">
        <f ca="1">AVERAGE(OFFSET($CX$3,0,0,'Données projet'!$E$13+1,1))-AVERAGE(OFFSET($H$3,0,0,'Données projet'!$E$13+1,1))</f>
        <v>697.21496579281836</v>
      </c>
      <c r="CZ81" s="59">
        <f t="shared" si="96"/>
        <v>215.64914236153456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70.111371586251565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70.111371586251565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322.79999999999995</v>
      </c>
      <c r="DP81" s="17">
        <f>DO81*VLOOKUP('Données projet'!$B$14,Paramètres!$A$1:$I$89,3,0)*VLOOKUP('Données projet'!$B$14,Paramètres!$A$1:$I$89,5,0)</f>
        <v>281.99808000000002</v>
      </c>
      <c r="DQ81" s="13">
        <f t="shared" si="97"/>
        <v>67.389085719488818</v>
      </c>
      <c r="DR81" s="20">
        <f t="shared" si="70"/>
        <v>608.51598029477634</v>
      </c>
      <c r="DS81" s="59">
        <f t="shared" si="71"/>
        <v>878.43941832920257</v>
      </c>
      <c r="DT81" s="59">
        <f ca="1">AVERAGE(OFFSET($DS$3,0,0,'Données projet'!$E$14+1,1))-AVERAGE(OFFSET($H$3,0,0,'Données projet'!$E$14+1,1))</f>
        <v>408.24135864450221</v>
      </c>
      <c r="DU81" s="59">
        <f t="shared" si="98"/>
        <v>394.10236303013903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54.881847532704256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54.881847532704256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16.600000000000001</v>
      </c>
      <c r="N82" s="13">
        <f>IF('Données projet'!$A$36&gt;35,N81+M82-V81,IF(A82&lt;'Données projet'!$A$36,$K$205^A82,IF(A82='Données projet'!$A$36,'Données projet'!$B$36,N81+M82-V81)))</f>
        <v>884.40000000000009</v>
      </c>
      <c r="O82" s="13">
        <f>N82*VLOOKUP('Données projet'!$B$9,Paramètres!$A$1:$I$89,3,0)*VLOOKUP('Données projet'!$B$9,Paramètres!$A$1:$I$89,5,0)</f>
        <v>413.89920000000001</v>
      </c>
      <c r="P82" s="13">
        <f t="shared" si="87"/>
        <v>94.588888447353682</v>
      </c>
      <c r="Q82" s="20">
        <f t="shared" si="54"/>
        <v>885.61675404580762</v>
      </c>
      <c r="R82" s="59">
        <f t="shared" si="55"/>
        <v>1155.9463014269845</v>
      </c>
      <c r="S82" s="59">
        <f ca="1">AVERAGE(OFFSET($R$3,0,0,'Données projet'!$E$9+1,1))-AVERAGE(OFFSET($H$3,0,0,'Données projet'!$E$9+1,1))</f>
        <v>512.58510468904342</v>
      </c>
      <c r="T82" s="59">
        <f t="shared" si="88"/>
        <v>443.6106696463529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124.64680876708391</v>
      </c>
      <c r="AA82" s="21">
        <f>EXP(-LN(2)/25)*AA81+(1-EXP(-LN(2)/25))/(LN(2)/25)*Calculateur!V82*Calculateur!X82*VLOOKUP('Données projet'!$B$9,Paramètres!$A$1:$I$89,3,0)*0.475*44/12</f>
        <v>12.591136343955981</v>
      </c>
      <c r="AB82" s="21">
        <f>EXP(-LN(2)/2)*AB81+(1-EXP(-LN(2)/2))/(LN(2)/2)*V82*Y82*VLOOKUP('Données projet'!$B$9,Paramètres!$A$1:$I$89,3,0)*0.475*44/12</f>
        <v>3.4197361570512316E-8</v>
      </c>
      <c r="AC82" s="22">
        <f t="shared" si="57"/>
        <v>137.23794514523726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9">
        <f t="shared" si="59"/>
        <v>952.96766251176473</v>
      </c>
      <c r="AN82" s="59">
        <f ca="1">AVERAGE(OFFSET($AM$3,0,0,'Données projet'!$E$10+1,1))-AVERAGE(OFFSET($H$3,0,0,'Données projet'!$E$10+1,1))</f>
        <v>520.95202773768222</v>
      </c>
      <c r="AO82" s="59">
        <f t="shared" si="90"/>
        <v>325.72635759450861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78.007075693201287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78.007075693201287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</v>
      </c>
      <c r="BD82" s="12">
        <f>IF('Données projet'!$A$88&gt;35,BD81+BC82-BL81,IF(A82&lt;'Données projet'!$A$88,$BA$205^A82,IF(A82='Données projet'!$A$88,'Données projet'!$B$88,BD81+BC82-BL81)))</f>
        <v>707</v>
      </c>
      <c r="BE82" s="13">
        <f>BD82*VLOOKUP('Données projet'!$B$11,Paramètres!$A$1:$I$89,3,0)*VLOOKUP('Données projet'!$B$11,Paramètres!$A$1:$I$89,5,0)</f>
        <v>422.78600000000006</v>
      </c>
      <c r="BF82" s="13">
        <f t="shared" si="91"/>
        <v>96.381176889504729</v>
      </c>
      <c r="BG82" s="20">
        <f t="shared" si="61"/>
        <v>904.21616641588753</v>
      </c>
      <c r="BH82" s="59">
        <f t="shared" si="62"/>
        <v>1174.5457137970645</v>
      </c>
      <c r="BI82" s="59">
        <f ca="1">AVERAGE(OFFSET($BH$3,0,0,'Données projet'!$E$11+1,1))-AVERAGE(OFFSET($H$3,0,0,'Données projet'!$E$11+1,1))</f>
        <v>528.71639224940395</v>
      </c>
      <c r="BJ82" s="59">
        <f t="shared" si="92"/>
        <v>460.93390058676493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89.269547158579783</v>
      </c>
      <c r="BQ82" s="21">
        <f>EXP(-LN(2)/25)*BQ81+(1-EXP(-LN(2)/25))/(LN(2)/25)*Calculateur!BL82*Calculateur!BN82*VLOOKUP('Données projet'!$B$11,Paramètres!$A$1:$I$89,3,0)*0.475*44/12</f>
        <v>15.133639147140322</v>
      </c>
      <c r="BR82" s="21">
        <f>EXP(-LN(2)/2)*BR81+(1-EXP(-LN(2)/2))/(LN(2)/2)*BL82*BO82*VLOOKUP('Données projet'!$B$11,Paramètres!$A$1:$I$89,3,0)*0.475*44/12</f>
        <v>2.207013032141044E-9</v>
      </c>
      <c r="BS82" s="22">
        <f t="shared" si="63"/>
        <v>104.40318630792713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230.72399999999988</v>
      </c>
      <c r="CA82" s="13">
        <f t="shared" si="93"/>
        <v>56.439198612082045</v>
      </c>
      <c r="CB82" s="20">
        <f t="shared" si="64"/>
        <v>500.14257091604264</v>
      </c>
      <c r="CC82" s="59">
        <f t="shared" si="65"/>
        <v>770.47211829721959</v>
      </c>
      <c r="CD82" s="59">
        <f ca="1">AVERAGE(OFFSET($CC$3,0,0,'Données projet'!$E$12+1,1))-AVERAGE(OFFSET($H$3,0,0,'Données projet'!$E$12+1,1))</f>
        <v>398.11190027805549</v>
      </c>
      <c r="CE82" s="59">
        <f t="shared" si="94"/>
        <v>250.47702091764884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52.204735271603937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52.204735271603937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9.1529999999999969</v>
      </c>
      <c r="CT82" s="12">
        <f>IF('Données projet'!$A$140&gt;35,CT81+CS82-DB81,IF(A82&lt;'Données projet'!$A$140,$CQ$205^A82,IF(A82='Données projet'!$A$140,'Données projet'!$B$140,CT81+CS82-DB81)))</f>
        <v>309.3250000000001</v>
      </c>
      <c r="CU82" s="17">
        <f>CT82*VLOOKUP('Données projet'!$B$13,Paramètres!$A$1:$I$89,3,0)*VLOOKUP('Données projet'!$B$13,Paramètres!$A$1:$I$89,5,0)</f>
        <v>294.35367000000014</v>
      </c>
      <c r="CV82" s="13">
        <f t="shared" si="95"/>
        <v>69.991470059671371</v>
      </c>
      <c r="CW82" s="20">
        <f t="shared" si="67"/>
        <v>634.56778560392775</v>
      </c>
      <c r="CX82" s="59">
        <f t="shared" si="68"/>
        <v>904.89733298510464</v>
      </c>
      <c r="CY82" s="59">
        <f ca="1">AVERAGE(OFFSET($CX$3,0,0,'Données projet'!$E$13+1,1))-AVERAGE(OFFSET($H$3,0,0,'Données projet'!$E$13+1,1))</f>
        <v>697.21496579281836</v>
      </c>
      <c r="CZ82" s="59">
        <f t="shared" si="96"/>
        <v>215.64914236153456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68.736530353159267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68.736530353159267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326.39999999999998</v>
      </c>
      <c r="DP82" s="17">
        <f>DO82*VLOOKUP('Données projet'!$B$14,Paramètres!$A$1:$I$89,3,0)*VLOOKUP('Données projet'!$B$14,Paramètres!$A$1:$I$89,5,0)</f>
        <v>285.14303999999998</v>
      </c>
      <c r="DQ82" s="13">
        <f t="shared" si="97"/>
        <v>68.052727058079924</v>
      </c>
      <c r="DR82" s="20">
        <f t="shared" si="70"/>
        <v>615.14929429282256</v>
      </c>
      <c r="DS82" s="59">
        <f t="shared" si="71"/>
        <v>885.47884167399957</v>
      </c>
      <c r="DT82" s="59">
        <f ca="1">AVERAGE(OFFSET($DS$3,0,0,'Données projet'!$E$14+1,1))-AVERAGE(OFFSET($H$3,0,0,'Données projet'!$E$14+1,1))</f>
        <v>408.24135864450221</v>
      </c>
      <c r="DU82" s="59">
        <f t="shared" si="98"/>
        <v>394.10236303013903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53.805647977209574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53.805647977209574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901</v>
      </c>
      <c r="L83" s="12">
        <f>VLOOKUP(A83,'Données projet'!$A$35:$I$55,9,0)</f>
        <v>16.600000000000001</v>
      </c>
      <c r="M83" s="12">
        <f t="array" ref="M83">INDEX(L:L,MIN(IF(ISNUMBER(L83:L279),ROW(L83:L279),"")))</f>
        <v>16.600000000000001</v>
      </c>
      <c r="N83" s="13">
        <f>IF('Données projet'!$A$36&gt;35,N82+M83-V82,IF(A83&lt;'Données projet'!$A$36,$K$205^A83,IF(A83='Données projet'!$A$36,'Données projet'!$B$36,N82+M83-V82)))</f>
        <v>901.00000000000011</v>
      </c>
      <c r="O83" s="13">
        <f>N83*VLOOKUP('Données projet'!$B$9,Paramètres!$A$1:$I$89,3,0)*VLOOKUP('Données projet'!$B$9,Paramètres!$A$1:$I$89,5,0)</f>
        <v>421.66800000000001</v>
      </c>
      <c r="P83" s="13">
        <f t="shared" si="87"/>
        <v>96.15594180669585</v>
      </c>
      <c r="Q83" s="20">
        <f t="shared" si="54"/>
        <v>901.87669864666202</v>
      </c>
      <c r="R83" s="59">
        <f t="shared" si="55"/>
        <v>1172.6053102853482</v>
      </c>
      <c r="S83" s="59">
        <f ca="1">AVERAGE(OFFSET($R$3,0,0,'Données projet'!$E$9+1,1))-AVERAGE(OFFSET($H$3,0,0,'Données projet'!$E$9+1,1))</f>
        <v>512.58510468904342</v>
      </c>
      <c r="T83" s="59">
        <f t="shared" si="88"/>
        <v>443.6106696463529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48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138.59253003405431</v>
      </c>
      <c r="AA83" s="21">
        <f>EXP(-LN(2)/25)*AA82+(1-EXP(-LN(2)/25))/(LN(2)/25)*Calculateur!V83*Calculateur!X83*VLOOKUP('Données projet'!$B$9,Paramètres!$A$1:$I$89,3,0)*0.475*44/12</f>
        <v>12.246831058491422</v>
      </c>
      <c r="AB83" s="21">
        <f>EXP(-LN(2)/2)*AB82+(1-EXP(-LN(2)/2))/(LN(2)/2)*V83*Y83*VLOOKUP('Données projet'!$B$9,Paramètres!$A$1:$I$89,3,0)*0.475*44/12</f>
        <v>2.4181186265197502E-8</v>
      </c>
      <c r="AC83" s="22">
        <f t="shared" si="57"/>
        <v>150.83936111672691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9">
        <f t="shared" si="59"/>
        <v>968.72721649564119</v>
      </c>
      <c r="AN83" s="59">
        <f ca="1">AVERAGE(OFFSET($AM$3,0,0,'Données projet'!$E$10+1,1))-AVERAGE(OFFSET($H$3,0,0,'Données projet'!$E$10+1,1))</f>
        <v>520.95202773768222</v>
      </c>
      <c r="AO83" s="59">
        <f t="shared" si="90"/>
        <v>325.72635759450861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89.973605975226477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89.973605975226477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718</v>
      </c>
      <c r="BB83" s="12">
        <f>VLOOKUP(A83,'Données projet'!$A$87:$I$107,9,0)</f>
        <v>11</v>
      </c>
      <c r="BC83" s="12">
        <f t="array" ref="BC83">INDEX(BB:BB,MIN(IF(ISNUMBER(BB83:BB279),ROW(BB83:BB279),"")))</f>
        <v>11</v>
      </c>
      <c r="BD83" s="12">
        <f>IF('Données projet'!$A$88&gt;35,BD82+BC83-BL82,IF(A83&lt;'Données projet'!$A$88,$BA$205^A83,IF(A83='Données projet'!$A$88,'Données projet'!$B$88,BD82+BC83-BL82)))</f>
        <v>718</v>
      </c>
      <c r="BE83" s="13">
        <f>BD83*VLOOKUP('Données projet'!$B$11,Paramètres!$A$1:$I$89,3,0)*VLOOKUP('Données projet'!$B$11,Paramètres!$A$1:$I$89,5,0)</f>
        <v>429.36400000000003</v>
      </c>
      <c r="BF83" s="13">
        <f t="shared" si="91"/>
        <v>97.705000203350068</v>
      </c>
      <c r="BG83" s="20">
        <f t="shared" si="61"/>
        <v>917.9785086875014</v>
      </c>
      <c r="BH83" s="59">
        <f t="shared" si="62"/>
        <v>1188.7071203261876</v>
      </c>
      <c r="BI83" s="59">
        <f ca="1">AVERAGE(OFFSET($BH$3,0,0,'Données projet'!$E$11+1,1))-AVERAGE(OFFSET($H$3,0,0,'Données projet'!$E$11+1,1))</f>
        <v>528.71639224940395</v>
      </c>
      <c r="BJ83" s="59">
        <f t="shared" si="92"/>
        <v>460.93390058676493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29</v>
      </c>
      <c r="BM83" s="16">
        <f>IF(ISNA(VLOOKUP(A83,'Données projet'!$A$87:$I$107,5,0)),0%,VLOOKUP(A83,'Données projet'!$A$87:$I$107,5,0)*VLOOKUP('Données projet'!$B$11,Paramètres!$A$1:$I$89,7,0))</f>
        <v>0.45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97.871402141652027</v>
      </c>
      <c r="BQ83" s="21">
        <f>EXP(-LN(2)/25)*BQ82+(1-EXP(-LN(2)/25))/(LN(2)/25)*Calculateur!BL83*Calculateur!BN83*VLOOKUP('Données projet'!$B$11,Paramètres!$A$1:$I$89,3,0)*0.475*44/12</f>
        <v>14.719808988818276</v>
      </c>
      <c r="BR83" s="21">
        <f>EXP(-LN(2)/2)*BR82+(1-EXP(-LN(2)/2))/(LN(2)/2)*BL83*BO83*VLOOKUP('Données projet'!$B$11,Paramètres!$A$1:$I$89,3,0)*0.475*44/12</f>
        <v>1.560593881194016E-9</v>
      </c>
      <c r="BS83" s="22">
        <f t="shared" si="63"/>
        <v>112.59121113203089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236.15279999999987</v>
      </c>
      <c r="CA83" s="13">
        <f t="shared" si="93"/>
        <v>57.61100977459931</v>
      </c>
      <c r="CB83" s="20">
        <f t="shared" si="64"/>
        <v>511.63863535742689</v>
      </c>
      <c r="CC83" s="59">
        <f t="shared" si="65"/>
        <v>782.36724699611295</v>
      </c>
      <c r="CD83" s="59">
        <f ca="1">AVERAGE(OFFSET($CC$3,0,0,'Données projet'!$E$12+1,1))-AVERAGE(OFFSET($H$3,0,0,'Données projet'!$E$12+1,1))</f>
        <v>398.11190027805549</v>
      </c>
      <c r="CE83" s="59">
        <f t="shared" si="94"/>
        <v>250.47702091764884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60.213105537266948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60.213105537266948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9.1529999999999969</v>
      </c>
      <c r="CT83" s="12">
        <f>IF('Données projet'!$A$140&gt;35,CT82+CS83-DB82,IF(A83&lt;'Données projet'!$A$140,$CQ$205^A83,IF(A83='Données projet'!$A$140,'Données projet'!$B$140,CT82+CS83-DB82)))</f>
        <v>318.47800000000012</v>
      </c>
      <c r="CU83" s="17">
        <f>CT83*VLOOKUP('Données projet'!$B$13,Paramètres!$A$1:$I$89,3,0)*VLOOKUP('Données projet'!$B$13,Paramètres!$A$1:$I$89,5,0)</f>
        <v>303.06366480000008</v>
      </c>
      <c r="CV83" s="13">
        <f t="shared" si="95"/>
        <v>71.818345008393493</v>
      </c>
      <c r="CW83" s="20">
        <f t="shared" si="67"/>
        <v>652.91950041628559</v>
      </c>
      <c r="CX83" s="59">
        <f t="shared" si="68"/>
        <v>923.64811205497176</v>
      </c>
      <c r="CY83" s="59">
        <f ca="1">AVERAGE(OFFSET($CX$3,0,0,'Données projet'!$E$13+1,1))-AVERAGE(OFFSET($H$3,0,0,'Données projet'!$E$13+1,1))</f>
        <v>697.21496579281836</v>
      </c>
      <c r="CZ83" s="59">
        <f t="shared" si="96"/>
        <v>215.64914236153456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67.388648918077564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67.388648918077564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330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330</v>
      </c>
      <c r="DP83" s="17">
        <f>DO83*VLOOKUP('Données projet'!$B$14,Paramètres!$A$1:$I$89,3,0)*VLOOKUP('Données projet'!$B$14,Paramètres!$A$1:$I$89,5,0)</f>
        <v>288.28800000000001</v>
      </c>
      <c r="DQ83" s="13">
        <f t="shared" si="97"/>
        <v>68.715516926722444</v>
      </c>
      <c r="DR83" s="20">
        <f t="shared" si="70"/>
        <v>621.78112531404156</v>
      </c>
      <c r="DS83" s="59">
        <f t="shared" si="71"/>
        <v>892.50973695272774</v>
      </c>
      <c r="DT83" s="59">
        <f ca="1">AVERAGE(OFFSET($DS$3,0,0,'Données projet'!$E$14+1,1))-AVERAGE(OFFSET($H$3,0,0,'Données projet'!$E$14+1,1))</f>
        <v>408.24135864450221</v>
      </c>
      <c r="DU83" s="59">
        <f t="shared" si="98"/>
        <v>394.10236303013903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11</v>
      </c>
      <c r="DX83" s="16">
        <f>IF(ISNA(VLOOKUP(A83,'Données projet'!$A$165:$I$185,5,0)),0%,VLOOKUP(A83,'Données projet'!$A$165:$I$185,5,0)*VLOOKUP('Données projet'!$B$14,Paramètres!$A$1:$I$89,7,0))</f>
        <v>0.53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58.380809962935949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58.380809962935949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853.00000000000011</v>
      </c>
      <c r="O84" s="13">
        <f>N84*VLOOKUP('Données projet'!$B$9,Paramètres!$A$1:$I$89,3,0)*VLOOKUP('Données projet'!$B$9,Paramètres!$A$1:$I$89,5,0)</f>
        <v>399.20400000000006</v>
      </c>
      <c r="P84" s="13">
        <f t="shared" si="87"/>
        <v>91.615269732888521</v>
      </c>
      <c r="Q84" s="20">
        <f t="shared" si="54"/>
        <v>854.8435614514475</v>
      </c>
      <c r="R84" s="59">
        <f t="shared" si="55"/>
        <v>1125.9643144749489</v>
      </c>
      <c r="S84" s="59">
        <f ca="1">AVERAGE(OFFSET($R$3,0,0,'Données projet'!$E$9+1,1))-AVERAGE(OFFSET($H$3,0,0,'Données projet'!$E$9+1,1))</f>
        <v>512.58510468904342</v>
      </c>
      <c r="T84" s="59">
        <f t="shared" si="88"/>
        <v>443.6106696463529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135.87481505318289</v>
      </c>
      <c r="AA84" s="21">
        <f>EXP(-LN(2)/25)*AA83+(1-EXP(-LN(2)/25))/(LN(2)/25)*Calculateur!V84*Calculateur!X84*VLOOKUP('Données projet'!$B$9,Paramètres!$A$1:$I$89,3,0)*0.475*44/12</f>
        <v>11.911940819164119</v>
      </c>
      <c r="AB84" s="21">
        <f>EXP(-LN(2)/2)*AB83+(1-EXP(-LN(2)/2))/(LN(2)/2)*V84*Y84*VLOOKUP('Données projet'!$B$9,Paramètres!$A$1:$I$89,3,0)*0.475*44/12</f>
        <v>1.7098680785256158E-8</v>
      </c>
      <c r="AC84" s="22">
        <f t="shared" si="57"/>
        <v>147.78675588944569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9">
        <f t="shared" si="59"/>
        <v>923.87076552550252</v>
      </c>
      <c r="AN84" s="59">
        <f ca="1">AVERAGE(OFFSET($AM$3,0,0,'Données projet'!$E$10+1,1))-AVERAGE(OFFSET($H$3,0,0,'Données projet'!$E$10+1,1))</f>
        <v>520.95202773768222</v>
      </c>
      <c r="AO84" s="59">
        <f t="shared" si="90"/>
        <v>325.72635759450861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88.209278440533126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88.209278440533126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689</v>
      </c>
      <c r="BE84" s="13">
        <f>BD84*VLOOKUP('Données projet'!$B$11,Paramètres!$A$1:$I$89,3,0)*VLOOKUP('Données projet'!$B$11,Paramètres!$A$1:$I$89,5,0)</f>
        <v>412.02199999999999</v>
      </c>
      <c r="BF84" s="13">
        <f t="shared" si="91"/>
        <v>94.209724877926391</v>
      </c>
      <c r="BG84" s="20">
        <f t="shared" si="61"/>
        <v>881.686920829055</v>
      </c>
      <c r="BH84" s="59">
        <f t="shared" si="62"/>
        <v>1152.8076738525565</v>
      </c>
      <c r="BI84" s="59">
        <f ca="1">AVERAGE(OFFSET($BH$3,0,0,'Données projet'!$E$11+1,1))-AVERAGE(OFFSET($H$3,0,0,'Données projet'!$E$11+1,1))</f>
        <v>528.71639224940395</v>
      </c>
      <c r="BJ84" s="59">
        <f t="shared" si="92"/>
        <v>460.93390058676493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95.95220364131508</v>
      </c>
      <c r="BQ84" s="21">
        <f>EXP(-LN(2)/25)*BQ83+(1-EXP(-LN(2)/25))/(LN(2)/25)*Calculateur!BL84*Calculateur!BN84*VLOOKUP('Données projet'!$B$11,Paramètres!$A$1:$I$89,3,0)*0.475*44/12</f>
        <v>14.317295037937928</v>
      </c>
      <c r="BR84" s="21">
        <f>EXP(-LN(2)/2)*BR83+(1-EXP(-LN(2)/2))/(LN(2)/2)*BL84*BO84*VLOOKUP('Données projet'!$B$11,Paramètres!$A$1:$I$89,3,0)*0.475*44/12</f>
        <v>1.103506516070522E-9</v>
      </c>
      <c r="BS84" s="22">
        <f t="shared" si="63"/>
        <v>110.26949868035651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</v>
      </c>
      <c r="BZ84" s="13">
        <f>BY84*VLOOKUP('Données projet'!$B$12,Paramètres!$A$1:$I$89,3,0)*VLOOKUP('Données projet'!$B$12,Paramètres!$A$1:$I$89,5,0)</f>
        <v>222.3998399999999</v>
      </c>
      <c r="CA84" s="13">
        <f t="shared" si="93"/>
        <v>54.636149281681448</v>
      </c>
      <c r="CB84" s="20">
        <f t="shared" si="64"/>
        <v>482.50434799892832</v>
      </c>
      <c r="CC84" s="59">
        <f t="shared" si="65"/>
        <v>753.62510102242982</v>
      </c>
      <c r="CD84" s="59">
        <f ca="1">AVERAGE(OFFSET($CC$3,0,0,'Données projet'!$E$12+1,1))-AVERAGE(OFFSET($H$3,0,0,'Données projet'!$E$12+1,1))</f>
        <v>398.11190027805549</v>
      </c>
      <c r="CE84" s="59">
        <f t="shared" si="94"/>
        <v>250.47702091764884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59.032363264049096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59.032363264049096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9.1529999999999969</v>
      </c>
      <c r="CT84" s="12">
        <f>IF('Données projet'!$A$140&gt;35,CT83+CS84-DB83,IF(A84&lt;'Données projet'!$A$140,$CQ$205^A84,IF(A84='Données projet'!$A$140,'Données projet'!$B$140,CT83+CS84-DB83)))</f>
        <v>327.63100000000014</v>
      </c>
      <c r="CU84" s="17">
        <f>CT84*VLOOKUP('Données projet'!$B$13,Paramètres!$A$1:$I$89,3,0)*VLOOKUP('Données projet'!$B$13,Paramètres!$A$1:$I$89,5,0)</f>
        <v>311.77365960000014</v>
      </c>
      <c r="CV84" s="13">
        <f t="shared" si="95"/>
        <v>73.639117808510434</v>
      </c>
      <c r="CW84" s="20">
        <f t="shared" si="67"/>
        <v>671.26058731982255</v>
      </c>
      <c r="CX84" s="59">
        <f t="shared" si="68"/>
        <v>942.38134034332393</v>
      </c>
      <c r="CY84" s="59">
        <f ca="1">AVERAGE(OFFSET($CX$3,0,0,'Données projet'!$E$13+1,1))-AVERAGE(OFFSET($H$3,0,0,'Données projet'!$E$13+1,1))</f>
        <v>697.21496579281836</v>
      </c>
      <c r="CZ84" s="59">
        <f t="shared" si="96"/>
        <v>215.64914236153456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66.067198615811321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66.067198615811321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319</v>
      </c>
      <c r="DP84" s="17">
        <f>DO84*VLOOKUP('Données projet'!$B$14,Paramètres!$A$1:$I$89,3,0)*VLOOKUP('Données projet'!$B$14,Paramètres!$A$1:$I$89,5,0)</f>
        <v>278.67840000000001</v>
      </c>
      <c r="DQ84" s="13">
        <f t="shared" si="97"/>
        <v>66.687639951856809</v>
      </c>
      <c r="DR84" s="20">
        <f t="shared" si="70"/>
        <v>601.51251958281728</v>
      </c>
      <c r="DS84" s="59">
        <f t="shared" si="71"/>
        <v>872.63327260631877</v>
      </c>
      <c r="DT84" s="59">
        <f ca="1">AVERAGE(OFFSET($DS$3,0,0,'Données projet'!$E$14+1,1))-AVERAGE(OFFSET($H$3,0,0,'Données projet'!$E$14+1,1))</f>
        <v>408.24135864450221</v>
      </c>
      <c r="DU84" s="59">
        <f t="shared" si="98"/>
        <v>394.10236303013903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57.235997888340776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57.235997888340776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853.00000000000011</v>
      </c>
      <c r="O85" s="13">
        <f>N85*VLOOKUP('Données projet'!$B$9,Paramètres!$A$1:$I$89,3,0)*VLOOKUP('Données projet'!$B$9,Paramètres!$A$1:$I$89,5,0)</f>
        <v>399.20400000000006</v>
      </c>
      <c r="P85" s="13">
        <f t="shared" si="87"/>
        <v>91.615269732888521</v>
      </c>
      <c r="Q85" s="20">
        <f t="shared" si="54"/>
        <v>854.8435614514475</v>
      </c>
      <c r="R85" s="59">
        <f t="shared" si="55"/>
        <v>1126.3496530834345</v>
      </c>
      <c r="S85" s="59">
        <f ca="1">AVERAGE(OFFSET($R$3,0,0,'Données projet'!$E$9+1,1))-AVERAGE(OFFSET($H$3,0,0,'Données projet'!$E$9+1,1))</f>
        <v>512.58510468904342</v>
      </c>
      <c r="T85" s="59">
        <f t="shared" si="88"/>
        <v>443.6106696463529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133.21039280544389</v>
      </c>
      <c r="AA85" s="21">
        <f>EXP(-LN(2)/25)*AA84+(1-EXP(-LN(2)/25))/(LN(2)/25)*Calculateur!V85*Calculateur!X85*VLOOKUP('Données projet'!$B$9,Paramètres!$A$1:$I$89,3,0)*0.475*44/12</f>
        <v>11.586208171042333</v>
      </c>
      <c r="AB85" s="21">
        <f>EXP(-LN(2)/2)*AB84+(1-EXP(-LN(2)/2))/(LN(2)/2)*V85*Y85*VLOOKUP('Données projet'!$B$9,Paramètres!$A$1:$I$89,3,0)*0.475*44/12</f>
        <v>1.2090593132598751E-8</v>
      </c>
      <c r="AC85" s="22">
        <f t="shared" si="57"/>
        <v>144.79660098857681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9">
        <f t="shared" si="59"/>
        <v>938.77662035261619</v>
      </c>
      <c r="AN85" s="59">
        <f ca="1">AVERAGE(OFFSET($AM$3,0,0,'Données projet'!$E$10+1,1))-AVERAGE(OFFSET($H$3,0,0,'Données projet'!$E$10+1,1))</f>
        <v>520.95202773768222</v>
      </c>
      <c r="AO85" s="59">
        <f t="shared" si="90"/>
        <v>325.72635759450861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86.479548292661576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86.479548292661576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689</v>
      </c>
      <c r="BE85" s="13">
        <f>BD85*VLOOKUP('Données projet'!$B$11,Paramètres!$A$1:$I$89,3,0)*VLOOKUP('Données projet'!$B$11,Paramètres!$A$1:$I$89,5,0)</f>
        <v>412.02199999999999</v>
      </c>
      <c r="BF85" s="13">
        <f t="shared" si="91"/>
        <v>94.209724877926391</v>
      </c>
      <c r="BG85" s="20">
        <f t="shared" si="61"/>
        <v>881.686920829055</v>
      </c>
      <c r="BH85" s="59">
        <f t="shared" si="62"/>
        <v>1153.1930124610421</v>
      </c>
      <c r="BI85" s="59">
        <f ca="1">AVERAGE(OFFSET($BH$3,0,0,'Données projet'!$E$11+1,1))-AVERAGE(OFFSET($H$3,0,0,'Données projet'!$E$11+1,1))</f>
        <v>528.71639224940395</v>
      </c>
      <c r="BJ85" s="59">
        <f t="shared" si="92"/>
        <v>460.93390058676493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94.070639452974248</v>
      </c>
      <c r="BQ85" s="21">
        <f>EXP(-LN(2)/25)*BQ84+(1-EXP(-LN(2)/25))/(LN(2)/25)*Calculateur!BL85*Calculateur!BN85*VLOOKUP('Données projet'!$B$11,Paramètres!$A$1:$I$89,3,0)*0.475*44/12</f>
        <v>13.925787852211691</v>
      </c>
      <c r="BR85" s="21">
        <f>EXP(-LN(2)/2)*BR84+(1-EXP(-LN(2)/2))/(LN(2)/2)*BL85*BO85*VLOOKUP('Données projet'!$B$11,Paramètres!$A$1:$I$89,3,0)*0.475*44/12</f>
        <v>7.8029694059700799E-10</v>
      </c>
      <c r="BS85" s="22">
        <f t="shared" si="63"/>
        <v>107.99642730596624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251.59999999999991</v>
      </c>
      <c r="BZ85" s="13">
        <f>BY85*VLOOKUP('Données projet'!$B$12,Paramètres!$A$1:$I$89,3,0)*VLOOKUP('Données projet'!$B$12,Paramètres!$A$1:$I$89,5,0)</f>
        <v>227.64767999999992</v>
      </c>
      <c r="CA85" s="13">
        <f t="shared" si="93"/>
        <v>55.773751036838313</v>
      </c>
      <c r="CB85" s="20">
        <f t="shared" si="64"/>
        <v>493.62565905582659</v>
      </c>
      <c r="CC85" s="59">
        <f t="shared" si="65"/>
        <v>765.13175068781356</v>
      </c>
      <c r="CD85" s="59">
        <f ca="1">AVERAGE(OFFSET($CC$3,0,0,'Données projet'!$E$12+1,1))-AVERAGE(OFFSET($H$3,0,0,'Données projet'!$E$12+1,1))</f>
        <v>398.11190027805549</v>
      </c>
      <c r="CE85" s="59">
        <f t="shared" si="94"/>
        <v>250.47702091764884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57.874774626627371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57.874774626627371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9.1529999999999969</v>
      </c>
      <c r="CT85" s="12">
        <f>IF('Données projet'!$A$140&gt;35,CT84+CS85-DB84,IF(A85&lt;'Données projet'!$A$140,$CQ$205^A85,IF(A85='Données projet'!$A$140,'Données projet'!$B$140,CT84+CS85-DB84)))</f>
        <v>336.78400000000016</v>
      </c>
      <c r="CU85" s="17">
        <f>CT85*VLOOKUP('Données projet'!$B$13,Paramètres!$A$1:$I$89,3,0)*VLOOKUP('Données projet'!$B$13,Paramètres!$A$1:$I$89,5,0)</f>
        <v>320.48365440000015</v>
      </c>
      <c r="CV85" s="13">
        <f t="shared" si="95"/>
        <v>75.453978519530921</v>
      </c>
      <c r="CW85" s="20">
        <f t="shared" si="67"/>
        <v>689.59137733484988</v>
      </c>
      <c r="CX85" s="59">
        <f t="shared" si="68"/>
        <v>961.09746896683691</v>
      </c>
      <c r="CY85" s="59">
        <f ca="1">AVERAGE(OFFSET($CX$3,0,0,'Données projet'!$E$13+1,1))-AVERAGE(OFFSET($H$3,0,0,'Données projet'!$E$13+1,1))</f>
        <v>697.21496579281836</v>
      </c>
      <c r="CZ85" s="59">
        <f t="shared" si="96"/>
        <v>215.64914236153456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64.771661147967421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64.771661147967421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319</v>
      </c>
      <c r="DP85" s="17">
        <f>DO85*VLOOKUP('Données projet'!$B$14,Paramètres!$A$1:$I$89,3,0)*VLOOKUP('Données projet'!$B$14,Paramètres!$A$1:$I$89,5,0)</f>
        <v>278.67840000000001</v>
      </c>
      <c r="DQ85" s="13">
        <f t="shared" si="97"/>
        <v>66.687639951856809</v>
      </c>
      <c r="DR85" s="20">
        <f t="shared" si="70"/>
        <v>601.51251958281728</v>
      </c>
      <c r="DS85" s="59">
        <f t="shared" si="71"/>
        <v>873.01861121480431</v>
      </c>
      <c r="DT85" s="59">
        <f ca="1">AVERAGE(OFFSET($DS$3,0,0,'Données projet'!$E$14+1,1))-AVERAGE(OFFSET($H$3,0,0,'Données projet'!$E$14+1,1))</f>
        <v>408.24135864450221</v>
      </c>
      <c r="DU85" s="59">
        <f t="shared" si="98"/>
        <v>394.10236303013903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56.113634880261998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56.113634880261998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853.00000000000011</v>
      </c>
      <c r="O86" s="13">
        <f>N86*VLOOKUP('Données projet'!$B$9,Paramètres!$A$1:$I$89,3,0)*VLOOKUP('Données projet'!$B$9,Paramètres!$A$1:$I$89,5,0)</f>
        <v>399.20400000000006</v>
      </c>
      <c r="P86" s="13">
        <f t="shared" si="87"/>
        <v>91.615269732888521</v>
      </c>
      <c r="Q86" s="20">
        <f t="shared" si="54"/>
        <v>854.8435614514475</v>
      </c>
      <c r="R86" s="59">
        <f t="shared" si="55"/>
        <v>1126.7283069285509</v>
      </c>
      <c r="S86" s="59">
        <f ca="1">AVERAGE(OFFSET($R$3,0,0,'Données projet'!$E$9+1,1))-AVERAGE(OFFSET($H$3,0,0,'Données projet'!$E$9+1,1))</f>
        <v>512.58510468904342</v>
      </c>
      <c r="T86" s="59">
        <f t="shared" si="88"/>
        <v>443.6106696463529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130.59821825284595</v>
      </c>
      <c r="AA86" s="21">
        <f>EXP(-LN(2)/25)*AA85+(1-EXP(-LN(2)/25))/(LN(2)/25)*Calculateur!V86*Calculateur!X86*VLOOKUP('Données projet'!$B$9,Paramètres!$A$1:$I$89,3,0)*0.475*44/12</f>
        <v>11.269382699312974</v>
      </c>
      <c r="AB86" s="21">
        <f>EXP(-LN(2)/2)*AB85+(1-EXP(-LN(2)/2))/(LN(2)/2)*V86*Y86*VLOOKUP('Données projet'!$B$9,Paramètres!$A$1:$I$89,3,0)*0.475*44/12</f>
        <v>8.549340392628079E-9</v>
      </c>
      <c r="AC86" s="22">
        <f t="shared" si="57"/>
        <v>141.86760096070827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9">
        <f t="shared" si="59"/>
        <v>953.66929367017531</v>
      </c>
      <c r="AN86" s="59">
        <f ca="1">AVERAGE(OFFSET($AM$3,0,0,'Données projet'!$E$10+1,1))-AVERAGE(OFFSET($H$3,0,0,'Données projet'!$E$10+1,1))</f>
        <v>520.95202773768222</v>
      </c>
      <c r="AO86" s="59">
        <f t="shared" si="90"/>
        <v>325.72635759450861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84.783737097958578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84.783737097958578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689</v>
      </c>
      <c r="BE86" s="13">
        <f>BD86*VLOOKUP('Données projet'!$B$11,Paramètres!$A$1:$I$89,3,0)*VLOOKUP('Données projet'!$B$11,Paramètres!$A$1:$I$89,5,0)</f>
        <v>412.02199999999999</v>
      </c>
      <c r="BF86" s="13">
        <f t="shared" si="91"/>
        <v>94.209724877926391</v>
      </c>
      <c r="BG86" s="20">
        <f t="shared" si="61"/>
        <v>881.686920829055</v>
      </c>
      <c r="BH86" s="59">
        <f t="shared" si="62"/>
        <v>1153.5716663061585</v>
      </c>
      <c r="BI86" s="59">
        <f ca="1">AVERAGE(OFFSET($BH$3,0,0,'Données projet'!$E$11+1,1))-AVERAGE(OFFSET($H$3,0,0,'Données projet'!$E$11+1,1))</f>
        <v>528.71639224940395</v>
      </c>
      <c r="BJ86" s="59">
        <f t="shared" si="92"/>
        <v>460.93390058676493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92.225971590725933</v>
      </c>
      <c r="BQ86" s="21">
        <f>EXP(-LN(2)/25)*BQ85+(1-EXP(-LN(2)/25))/(LN(2)/25)*Calculateur!BL86*Calculateur!BN86*VLOOKUP('Données projet'!$B$11,Paramètres!$A$1:$I$89,3,0)*0.475*44/12</f>
        <v>13.544986451067608</v>
      </c>
      <c r="BR86" s="21">
        <f>EXP(-LN(2)/2)*BR85+(1-EXP(-LN(2)/2))/(LN(2)/2)*BL86*BO86*VLOOKUP('Données projet'!$B$11,Paramètres!$A$1:$I$89,3,0)*0.475*44/12</f>
        <v>5.5175325803526099E-10</v>
      </c>
      <c r="BS86" s="22">
        <f t="shared" si="63"/>
        <v>105.77095804234528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257.39999999999992</v>
      </c>
      <c r="BZ86" s="13">
        <f>BY86*VLOOKUP('Données projet'!$B$12,Paramètres!$A$1:$I$89,3,0)*VLOOKUP('Données projet'!$B$12,Paramètres!$A$1:$I$89,5,0)</f>
        <v>232.89551999999992</v>
      </c>
      <c r="CA86" s="13">
        <f t="shared" si="93"/>
        <v>56.908304063818662</v>
      </c>
      <c r="CB86" s="20">
        <f t="shared" si="64"/>
        <v>504.74166024448397</v>
      </c>
      <c r="CC86" s="59">
        <f t="shared" si="65"/>
        <v>776.62640572158739</v>
      </c>
      <c r="CD86" s="59">
        <f ca="1">AVERAGE(OFFSET($CC$3,0,0,'Données projet'!$E$12+1,1))-AVERAGE(OFFSET($H$3,0,0,'Données projet'!$E$12+1,1))</f>
        <v>398.11190027805549</v>
      </c>
      <c r="CE86" s="59">
        <f t="shared" si="94"/>
        <v>250.47702091764884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56.739885596326133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56.739885596326133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9.1529999999999969</v>
      </c>
      <c r="CT86" s="12">
        <f>IF('Données projet'!$A$140&gt;35,CT85+CS86-DB85,IF(A86&lt;'Données projet'!$A$140,$CQ$205^A86,IF(A86='Données projet'!$A$140,'Données projet'!$B$140,CT85+CS86-DB85)))</f>
        <v>345.93700000000018</v>
      </c>
      <c r="CU86" s="17">
        <f>CT86*VLOOKUP('Données projet'!$B$13,Paramètres!$A$1:$I$89,3,0)*VLOOKUP('Données projet'!$B$13,Paramètres!$A$1:$I$89,5,0)</f>
        <v>329.19364920000021</v>
      </c>
      <c r="CV86" s="13">
        <f t="shared" si="95"/>
        <v>77.263106282182619</v>
      </c>
      <c r="CW86" s="20">
        <f t="shared" si="67"/>
        <v>707.91218246480173</v>
      </c>
      <c r="CX86" s="59">
        <f t="shared" si="68"/>
        <v>979.79692794190521</v>
      </c>
      <c r="CY86" s="59">
        <f ca="1">AVERAGE(OFFSET($CX$3,0,0,'Données projet'!$E$13+1,1))-AVERAGE(OFFSET($H$3,0,0,'Données projet'!$E$13+1,1))</f>
        <v>697.21496579281836</v>
      </c>
      <c r="CZ86" s="59">
        <f t="shared" si="96"/>
        <v>215.64914236153456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63.501528379668109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63.501528379668109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319</v>
      </c>
      <c r="DP86" s="17">
        <f>DO86*VLOOKUP('Données projet'!$B$14,Paramètres!$A$1:$I$89,3,0)*VLOOKUP('Données projet'!$B$14,Paramètres!$A$1:$I$89,5,0)</f>
        <v>278.67840000000001</v>
      </c>
      <c r="DQ86" s="13">
        <f t="shared" si="97"/>
        <v>66.687639951856809</v>
      </c>
      <c r="DR86" s="20">
        <f t="shared" si="70"/>
        <v>601.51251958281728</v>
      </c>
      <c r="DS86" s="59">
        <f t="shared" si="71"/>
        <v>873.39726505992076</v>
      </c>
      <c r="DT86" s="59">
        <f ca="1">AVERAGE(OFFSET($DS$3,0,0,'Données projet'!$E$14+1,1))-AVERAGE(OFFSET($H$3,0,0,'Données projet'!$E$14+1,1))</f>
        <v>408.24135864450221</v>
      </c>
      <c r="DU86" s="59">
        <f t="shared" si="98"/>
        <v>394.10236303013903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55.013280726197806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55.013280726197806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853.00000000000011</v>
      </c>
      <c r="O87" s="13">
        <f>N87*VLOOKUP('Données projet'!$B$9,Paramètres!$A$1:$I$89,3,0)*VLOOKUP('Données projet'!$B$9,Paramètres!$A$1:$I$89,5,0)</f>
        <v>399.20400000000006</v>
      </c>
      <c r="P87" s="13">
        <f t="shared" si="87"/>
        <v>91.615269732888521</v>
      </c>
      <c r="Q87" s="20">
        <f t="shared" si="54"/>
        <v>854.8435614514475</v>
      </c>
      <c r="R87" s="59">
        <f t="shared" si="55"/>
        <v>1127.1003919759978</v>
      </c>
      <c r="S87" s="59">
        <f ca="1">AVERAGE(OFFSET($R$3,0,0,'Données projet'!$E$9+1,1))-AVERAGE(OFFSET($H$3,0,0,'Données projet'!$E$9+1,1))</f>
        <v>512.58510468904342</v>
      </c>
      <c r="T87" s="59">
        <f t="shared" si="88"/>
        <v>443.6106696463529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128.0372668499553</v>
      </c>
      <c r="AA87" s="21">
        <f>EXP(-LN(2)/25)*AA86+(1-EXP(-LN(2)/25))/(LN(2)/25)*Calculateur!V87*Calculateur!X87*VLOOKUP('Données projet'!$B$9,Paramètres!$A$1:$I$89,3,0)*0.475*44/12</f>
        <v>10.961220836769181</v>
      </c>
      <c r="AB87" s="21">
        <f>EXP(-LN(2)/2)*AB86+(1-EXP(-LN(2)/2))/(LN(2)/2)*V87*Y87*VLOOKUP('Données projet'!$B$9,Paramètres!$A$1:$I$89,3,0)*0.475*44/12</f>
        <v>6.0452965662993755E-9</v>
      </c>
      <c r="AC87" s="22">
        <f t="shared" si="57"/>
        <v>138.99848769276977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9">
        <f t="shared" si="59"/>
        <v>968.54905914429207</v>
      </c>
      <c r="AN87" s="59">
        <f ca="1">AVERAGE(OFFSET($AM$3,0,0,'Données projet'!$E$10+1,1))-AVERAGE(OFFSET($H$3,0,0,'Données projet'!$E$10+1,1))</f>
        <v>520.95202773768222</v>
      </c>
      <c r="AO87" s="59">
        <f t="shared" si="90"/>
        <v>325.72635759450861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83.121179726441014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83.121179726441014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689</v>
      </c>
      <c r="BE87" s="13">
        <f>BD87*VLOOKUP('Données projet'!$B$11,Paramètres!$A$1:$I$89,3,0)*VLOOKUP('Données projet'!$B$11,Paramètres!$A$1:$I$89,5,0)</f>
        <v>412.02199999999999</v>
      </c>
      <c r="BF87" s="13">
        <f t="shared" si="91"/>
        <v>94.209724877926391</v>
      </c>
      <c r="BG87" s="20">
        <f t="shared" si="61"/>
        <v>881.686920829055</v>
      </c>
      <c r="BH87" s="59">
        <f t="shared" si="62"/>
        <v>1153.9437513536054</v>
      </c>
      <c r="BI87" s="59">
        <f ca="1">AVERAGE(OFFSET($BH$3,0,0,'Données projet'!$E$11+1,1))-AVERAGE(OFFSET($H$3,0,0,'Données projet'!$E$11+1,1))</f>
        <v>528.71639224940395</v>
      </c>
      <c r="BJ87" s="59">
        <f t="shared" si="92"/>
        <v>460.93390058676493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90.41747654012002</v>
      </c>
      <c r="BQ87" s="21">
        <f>EXP(-LN(2)/25)*BQ86+(1-EXP(-LN(2)/25))/(LN(2)/25)*Calculateur!BL87*Calculateur!BN87*VLOOKUP('Données projet'!$B$11,Paramètres!$A$1:$I$89,3,0)*0.475*44/12</f>
        <v>13.174598084263284</v>
      </c>
      <c r="BR87" s="21">
        <f>EXP(-LN(2)/2)*BR86+(1-EXP(-LN(2)/2))/(LN(2)/2)*BL87*BO87*VLOOKUP('Données projet'!$B$11,Paramètres!$A$1:$I$89,3,0)*0.475*44/12</f>
        <v>3.90148470298504E-10</v>
      </c>
      <c r="BS87" s="22">
        <f t="shared" si="63"/>
        <v>103.59207462477345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263.19999999999993</v>
      </c>
      <c r="BZ87" s="13">
        <f>BY87*VLOOKUP('Données projet'!$B$12,Paramètres!$A$1:$I$89,3,0)*VLOOKUP('Données projet'!$B$12,Paramètres!$A$1:$I$89,5,0)</f>
        <v>238.14335999999992</v>
      </c>
      <c r="CA87" s="13">
        <f t="shared" si="93"/>
        <v>58.039884968630489</v>
      </c>
      <c r="CB87" s="20">
        <f t="shared" si="64"/>
        <v>515.85248498703129</v>
      </c>
      <c r="CC87" s="59">
        <f t="shared" si="65"/>
        <v>788.1093155115816</v>
      </c>
      <c r="CD87" s="59">
        <f ca="1">AVERAGE(OFFSET($CC$3,0,0,'Données projet'!$E$12+1,1))-AVERAGE(OFFSET($H$3,0,0,'Données projet'!$E$12+1,1))</f>
        <v>398.11190027805549</v>
      </c>
      <c r="CE87" s="59">
        <f t="shared" si="94"/>
        <v>250.47702091764884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55.627251047695147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55.627251047695147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9.1529999999999969</v>
      </c>
      <c r="CS87" s="12">
        <f t="array" ref="CS87">INDEX(CR:CR,MIN(IF(ISNUMBER(CR87:CR283),ROW(CR87:CR283),"")))</f>
        <v>9.1529999999999969</v>
      </c>
      <c r="CT87" s="12">
        <f>IF('Données projet'!$A$140&gt;35,CT86+CS87-DB86,IF(A87&lt;'Données projet'!$A$140,$CQ$205^A87,IF(A87='Données projet'!$A$140,'Données projet'!$B$140,CT86+CS87-DB86)))</f>
        <v>355.0900000000002</v>
      </c>
      <c r="CU87" s="17">
        <f>CT87*VLOOKUP('Données projet'!$B$13,Paramètres!$A$1:$I$89,3,0)*VLOOKUP('Données projet'!$B$13,Paramètres!$A$1:$I$89,5,0)</f>
        <v>337.90364400000021</v>
      </c>
      <c r="CV87" s="13">
        <f t="shared" si="95"/>
        <v>79.066670217764241</v>
      </c>
      <c r="CW87" s="20">
        <f t="shared" si="67"/>
        <v>726.22329726260625</v>
      </c>
      <c r="CX87" s="59">
        <f t="shared" si="68"/>
        <v>998.48012778715656</v>
      </c>
      <c r="CY87" s="59">
        <f ca="1">AVERAGE(OFFSET($CX$3,0,0,'Données projet'!$E$13+1,1))-AVERAGE(OFFSET($H$3,0,0,'Données projet'!$E$13+1,1))</f>
        <v>697.21496579281836</v>
      </c>
      <c r="CZ87" s="59">
        <f t="shared" si="96"/>
        <v>215.64914236153456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0.43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90.061962423951059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90.061962423951059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319</v>
      </c>
      <c r="DP87" s="17">
        <f>DO87*VLOOKUP('Données projet'!$B$14,Paramètres!$A$1:$I$89,3,0)*VLOOKUP('Données projet'!$B$14,Paramètres!$A$1:$I$89,5,0)</f>
        <v>278.67840000000001</v>
      </c>
      <c r="DQ87" s="13">
        <f t="shared" si="97"/>
        <v>66.687639951856809</v>
      </c>
      <c r="DR87" s="20">
        <f t="shared" si="70"/>
        <v>601.51251958281728</v>
      </c>
      <c r="DS87" s="59">
        <f t="shared" si="71"/>
        <v>873.76935010736759</v>
      </c>
      <c r="DT87" s="59">
        <f ca="1">AVERAGE(OFFSET($DS$3,0,0,'Données projet'!$E$14+1,1))-AVERAGE(OFFSET($H$3,0,0,'Données projet'!$E$14+1,1))</f>
        <v>408.24135864450221</v>
      </c>
      <c r="DU87" s="59">
        <f t="shared" si="98"/>
        <v>394.10236303013903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53.934503845945052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53.934503845945052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853.00000000000011</v>
      </c>
      <c r="O88" s="13">
        <f>N88*VLOOKUP('Données projet'!$B$9,Paramètres!$A$1:$I$89,3,0)*VLOOKUP('Données projet'!$B$9,Paramètres!$A$1:$I$89,5,0)</f>
        <v>399.20400000000006</v>
      </c>
      <c r="P88" s="13">
        <f t="shared" si="87"/>
        <v>91.615269732888521</v>
      </c>
      <c r="Q88" s="20">
        <f t="shared" si="54"/>
        <v>854.8435614514475</v>
      </c>
      <c r="R88" s="59">
        <f t="shared" si="55"/>
        <v>1127.466022179729</v>
      </c>
      <c r="S88" s="59">
        <f ca="1">AVERAGE(OFFSET($R$3,0,0,'Données projet'!$E$9+1,1))-AVERAGE(OFFSET($H$3,0,0,'Données projet'!$E$9+1,1))</f>
        <v>512.58510468904342</v>
      </c>
      <c r="T88" s="59">
        <f t="shared" si="88"/>
        <v>443.6106696463529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125.52653414204921</v>
      </c>
      <c r="AA88" s="21">
        <f>EXP(-LN(2)/25)*AA87+(1-EXP(-LN(2)/25))/(LN(2)/25)*Calculateur!V88*Calculateur!X88*VLOOKUP('Données projet'!$B$9,Paramètres!$A$1:$I$89,3,0)*0.475*44/12</f>
        <v>10.661485676562176</v>
      </c>
      <c r="AB88" s="21">
        <f>EXP(-LN(2)/2)*AB87+(1-EXP(-LN(2)/2))/(LN(2)/2)*V88*Y88*VLOOKUP('Données projet'!$B$9,Paramètres!$A$1:$I$89,3,0)*0.475*44/12</f>
        <v>4.2746701963140395E-9</v>
      </c>
      <c r="AC88" s="22">
        <f t="shared" si="57"/>
        <v>136.18801982288608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9">
        <f t="shared" si="59"/>
        <v>983.4161813264127</v>
      </c>
      <c r="AN88" s="59">
        <f ca="1">AVERAGE(OFFSET($AM$3,0,0,'Données projet'!$E$10+1,1))-AVERAGE(OFFSET($H$3,0,0,'Données projet'!$E$10+1,1))</f>
        <v>520.95202773768222</v>
      </c>
      <c r="AO88" s="59">
        <f t="shared" si="90"/>
        <v>325.72635759450861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94.987425547669829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94.987425547669829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689</v>
      </c>
      <c r="BE88" s="13">
        <f>BD88*VLOOKUP('Données projet'!$B$11,Paramètres!$A$1:$I$89,3,0)*VLOOKUP('Données projet'!$B$11,Paramètres!$A$1:$I$89,5,0)</f>
        <v>412.02199999999999</v>
      </c>
      <c r="BF88" s="13">
        <f t="shared" si="91"/>
        <v>94.209724877926391</v>
      </c>
      <c r="BG88" s="20">
        <f t="shared" si="61"/>
        <v>881.686920829055</v>
      </c>
      <c r="BH88" s="59">
        <f t="shared" si="62"/>
        <v>1154.3093815573366</v>
      </c>
      <c r="BI88" s="59">
        <f ca="1">AVERAGE(OFFSET($BH$3,0,0,'Données projet'!$E$11+1,1))-AVERAGE(OFFSET($H$3,0,0,'Données projet'!$E$11+1,1))</f>
        <v>528.71639224940395</v>
      </c>
      <c r="BJ88" s="59">
        <f t="shared" si="92"/>
        <v>460.93390058676493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88.644444974383418</v>
      </c>
      <c r="BQ88" s="21">
        <f>EXP(-LN(2)/25)*BQ87+(1-EXP(-LN(2)/25))/(LN(2)/25)*Calculateur!BL88*Calculateur!BN88*VLOOKUP('Données projet'!$B$11,Paramètres!$A$1:$I$89,3,0)*0.475*44/12</f>
        <v>12.814338006827102</v>
      </c>
      <c r="BR88" s="21">
        <f>EXP(-LN(2)/2)*BR87+(1-EXP(-LN(2)/2))/(LN(2)/2)*BL88*BO88*VLOOKUP('Données projet'!$B$11,Paramètres!$A$1:$I$89,3,0)*0.475*44/12</f>
        <v>2.758766290176305E-10</v>
      </c>
      <c r="BS88" s="22">
        <f t="shared" si="63"/>
        <v>101.45878298148639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268.99999999999994</v>
      </c>
      <c r="BZ88" s="13">
        <f>BY88*VLOOKUP('Données projet'!$B$12,Paramètres!$A$1:$I$89,3,0)*VLOOKUP('Données projet'!$B$12,Paramètres!$A$1:$I$89,5,0)</f>
        <v>243.39119999999994</v>
      </c>
      <c r="CA88" s="13">
        <f t="shared" si="93"/>
        <v>59.168566788241527</v>
      </c>
      <c r="CB88" s="20">
        <f t="shared" si="64"/>
        <v>526.95826048952051</v>
      </c>
      <c r="CC88" s="59">
        <f t="shared" si="65"/>
        <v>799.58072121780197</v>
      </c>
      <c r="CD88" s="59">
        <f ca="1">AVERAGE(OFFSET($CC$3,0,0,'Données projet'!$E$12+1,1))-AVERAGE(OFFSET($H$3,0,0,'Données projet'!$E$12+1,1))</f>
        <v>398.11190027805549</v>
      </c>
      <c r="CE88" s="59">
        <f t="shared" si="94"/>
        <v>250.47702091764884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63.568507866517507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63.568507866517507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8.6509999999999998</v>
      </c>
      <c r="CT88" s="12">
        <f>IF('Données projet'!$A$140&gt;35,CT87+CS88-DB87,IF(A88&lt;'Données projet'!$A$140,$CQ$205^A88,IF(A88='Données projet'!$A$140,'Données projet'!$B$140,CT87+CS88-DB87)))</f>
        <v>302.27100000000019</v>
      </c>
      <c r="CU88" s="17">
        <f>CT88*VLOOKUP('Données projet'!$B$13,Paramètres!$A$1:$I$89,3,0)*VLOOKUP('Données projet'!$B$13,Paramètres!$A$1:$I$89,5,0)</f>
        <v>287.64108360000017</v>
      </c>
      <c r="CV88" s="13">
        <f t="shared" si="95"/>
        <v>68.5792504949669</v>
      </c>
      <c r="CW88" s="20">
        <f t="shared" si="67"/>
        <v>620.41708188206758</v>
      </c>
      <c r="CX88" s="59">
        <f t="shared" si="68"/>
        <v>893.03954261034914</v>
      </c>
      <c r="CY88" s="59">
        <f ca="1">AVERAGE(OFFSET($CX$3,0,0,'Données projet'!$E$13+1,1))-AVERAGE(OFFSET($H$3,0,0,'Données projet'!$E$13+1,1))</f>
        <v>697.21496579281836</v>
      </c>
      <c r="CZ88" s="59">
        <f t="shared" si="96"/>
        <v>215.64914236153456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88.295902273190336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88.295902273190336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319</v>
      </c>
      <c r="DP88" s="17">
        <f>DO88*VLOOKUP('Données projet'!$B$14,Paramètres!$A$1:$I$89,3,0)*VLOOKUP('Données projet'!$B$14,Paramètres!$A$1:$I$89,5,0)</f>
        <v>278.67840000000001</v>
      </c>
      <c r="DQ88" s="13">
        <f t="shared" si="97"/>
        <v>66.687639951856809</v>
      </c>
      <c r="DR88" s="20">
        <f t="shared" si="70"/>
        <v>601.51251958281728</v>
      </c>
      <c r="DS88" s="59">
        <f t="shared" si="71"/>
        <v>874.13498031109884</v>
      </c>
      <c r="DT88" s="59">
        <f ca="1">AVERAGE(OFFSET($DS$3,0,0,'Données projet'!$E$14+1,1))-AVERAGE(OFFSET($H$3,0,0,'Données projet'!$E$14+1,1))</f>
        <v>408.24135864450221</v>
      </c>
      <c r="DU88" s="59">
        <f t="shared" si="98"/>
        <v>394.10236303013903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52.876881122325123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52.876881122325123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853.00000000000011</v>
      </c>
      <c r="O89" s="13">
        <f>N89*VLOOKUP('Données projet'!$B$9,Paramètres!$A$1:$I$89,3,0)*VLOOKUP('Données projet'!$B$9,Paramètres!$A$1:$I$89,5,0)</f>
        <v>399.20400000000006</v>
      </c>
      <c r="P89" s="13">
        <f t="shared" si="87"/>
        <v>91.615269732888521</v>
      </c>
      <c r="Q89" s="20">
        <f t="shared" si="54"/>
        <v>854.8435614514475</v>
      </c>
      <c r="R89" s="59">
        <f t="shared" si="55"/>
        <v>1127.8253095168523</v>
      </c>
      <c r="S89" s="59">
        <f ca="1">AVERAGE(OFFSET($R$3,0,0,'Données projet'!$E$9+1,1))-AVERAGE(OFFSET($H$3,0,0,'Données projet'!$E$9+1,1))</f>
        <v>512.58510468904342</v>
      </c>
      <c r="T89" s="59">
        <f t="shared" si="88"/>
        <v>443.6106696463529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123.06503537114942</v>
      </c>
      <c r="AA89" s="21">
        <f>EXP(-LN(2)/25)*AA88+(1-EXP(-LN(2)/25))/(LN(2)/25)*Calculateur!V89*Calculateur!X89*VLOOKUP('Données projet'!$B$9,Paramètres!$A$1:$I$89,3,0)*0.475*44/12</f>
        <v>10.369946790073419</v>
      </c>
      <c r="AB89" s="21">
        <f>EXP(-LN(2)/2)*AB88+(1-EXP(-LN(2)/2))/(LN(2)/2)*V89*Y89*VLOOKUP('Données projet'!$B$9,Paramètres!$A$1:$I$89,3,0)*0.475*44/12</f>
        <v>3.0226482831496878E-9</v>
      </c>
      <c r="AC89" s="22">
        <f t="shared" si="57"/>
        <v>133.4349821642455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9">
        <f t="shared" si="59"/>
        <v>937.69030943812231</v>
      </c>
      <c r="AN89" s="59">
        <f ca="1">AVERAGE(OFFSET($AM$3,0,0,'Données projet'!$E$10+1,1))-AVERAGE(OFFSET($H$3,0,0,'Données projet'!$E$10+1,1))</f>
        <v>520.95202773768222</v>
      </c>
      <c r="AO89" s="59">
        <f t="shared" si="90"/>
        <v>325.72635759450861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93.124780069288846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93.124780069288846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689</v>
      </c>
      <c r="BE89" s="13">
        <f>BD89*VLOOKUP('Données projet'!$B$11,Paramètres!$A$1:$I$89,3,0)*VLOOKUP('Données projet'!$B$11,Paramètres!$A$1:$I$89,5,0)</f>
        <v>412.02199999999999</v>
      </c>
      <c r="BF89" s="13">
        <f t="shared" si="91"/>
        <v>94.209724877926391</v>
      </c>
      <c r="BG89" s="20">
        <f t="shared" si="61"/>
        <v>881.686920829055</v>
      </c>
      <c r="BH89" s="59">
        <f t="shared" si="62"/>
        <v>1154.6686688944596</v>
      </c>
      <c r="BI89" s="59">
        <f ca="1">AVERAGE(OFFSET($BH$3,0,0,'Données projet'!$E$11+1,1))-AVERAGE(OFFSET($H$3,0,0,'Données projet'!$E$11+1,1))</f>
        <v>528.71639224940395</v>
      </c>
      <c r="BJ89" s="59">
        <f t="shared" si="92"/>
        <v>460.93390058676493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86.906181476208445</v>
      </c>
      <c r="BQ89" s="21">
        <f>EXP(-LN(2)/25)*BQ88+(1-EXP(-LN(2)/25))/(LN(2)/25)*Calculateur!BL89*Calculateur!BN89*VLOOKUP('Données projet'!$B$11,Paramètres!$A$1:$I$89,3,0)*0.475*44/12</f>
        <v>12.463929260153666</v>
      </c>
      <c r="BR89" s="21">
        <f>EXP(-LN(2)/2)*BR88+(1-EXP(-LN(2)/2))/(LN(2)/2)*BL89*BO89*VLOOKUP('Données projet'!$B$11,Paramètres!$A$1:$I$89,3,0)*0.475*44/12</f>
        <v>1.95074235149252E-10</v>
      </c>
      <c r="BS89" s="22">
        <f t="shared" si="63"/>
        <v>99.37011073655718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253.39999999999992</v>
      </c>
      <c r="BZ89" s="13">
        <f>BY89*VLOOKUP('Données projet'!$B$12,Paramètres!$A$1:$I$89,3,0)*VLOOKUP('Données projet'!$B$12,Paramètres!$A$1:$I$89,5,0)</f>
        <v>229.27631999999994</v>
      </c>
      <c r="CA89" s="13">
        <f t="shared" si="93"/>
        <v>56.126176307517476</v>
      </c>
      <c r="CB89" s="20">
        <f t="shared" si="64"/>
        <v>497.07601440225949</v>
      </c>
      <c r="CC89" s="59">
        <f t="shared" si="65"/>
        <v>770.05776246766413</v>
      </c>
      <c r="CD89" s="59">
        <f ca="1">AVERAGE(OFFSET($CC$3,0,0,'Données projet'!$E$12+1,1))-AVERAGE(OFFSET($H$3,0,0,'Données projet'!$E$12+1,1))</f>
        <v>398.11190027805549</v>
      </c>
      <c r="CE89" s="59">
        <f t="shared" si="94"/>
        <v>250.47702091764884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62.321968200216382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62.321968200216382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8.6509999999999998</v>
      </c>
      <c r="CT89" s="12">
        <f>IF('Données projet'!$A$140&gt;35,CT88+CS89-DB88,IF(A89&lt;'Données projet'!$A$140,$CQ$205^A89,IF(A89='Données projet'!$A$140,'Données projet'!$B$140,CT88+CS89-DB88)))</f>
        <v>310.9220000000002</v>
      </c>
      <c r="CU89" s="17">
        <f>CT89*VLOOKUP('Données projet'!$B$13,Paramètres!$A$1:$I$89,3,0)*VLOOKUP('Données projet'!$B$13,Paramètres!$A$1:$I$89,5,0)</f>
        <v>295.87337520000017</v>
      </c>
      <c r="CV89" s="13">
        <f t="shared" si="95"/>
        <v>70.310668272809806</v>
      </c>
      <c r="CW89" s="20">
        <f t="shared" si="67"/>
        <v>637.77054238181074</v>
      </c>
      <c r="CX89" s="59">
        <f t="shared" si="68"/>
        <v>910.7522904472155</v>
      </c>
      <c r="CY89" s="59">
        <f ca="1">AVERAGE(OFFSET($CX$3,0,0,'Données projet'!$E$13+1,1))-AVERAGE(OFFSET($H$3,0,0,'Données projet'!$E$13+1,1))</f>
        <v>697.21496579281836</v>
      </c>
      <c r="CZ89" s="59">
        <f t="shared" si="96"/>
        <v>215.64914236153456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86.564473484795698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86.564473484795698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319</v>
      </c>
      <c r="DP89" s="17">
        <f>DO89*VLOOKUP('Données projet'!$B$14,Paramètres!$A$1:$I$89,3,0)*VLOOKUP('Données projet'!$B$14,Paramètres!$A$1:$I$89,5,0)</f>
        <v>278.67840000000001</v>
      </c>
      <c r="DQ89" s="13">
        <f t="shared" si="97"/>
        <v>66.687639951856809</v>
      </c>
      <c r="DR89" s="20">
        <f t="shared" si="70"/>
        <v>601.51251958281728</v>
      </c>
      <c r="DS89" s="59">
        <f t="shared" si="71"/>
        <v>874.49426764822192</v>
      </c>
      <c r="DT89" s="59">
        <f ca="1">AVERAGE(OFFSET($DS$3,0,0,'Données projet'!$E$14+1,1))-AVERAGE(OFFSET($H$3,0,0,'Données projet'!$E$14+1,1))</f>
        <v>408.24135864450221</v>
      </c>
      <c r="DU89" s="59">
        <f t="shared" si="98"/>
        <v>394.10236303013903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51.839997735229218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51.839997735229218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853.00000000000011</v>
      </c>
      <c r="O90" s="13">
        <f>N90*VLOOKUP('Données projet'!$B$9,Paramètres!$A$1:$I$89,3,0)*VLOOKUP('Données projet'!$B$9,Paramètres!$A$1:$I$89,5,0)</f>
        <v>399.20400000000006</v>
      </c>
      <c r="P90" s="13">
        <f t="shared" si="87"/>
        <v>91.615269732888521</v>
      </c>
      <c r="Q90" s="20">
        <f t="shared" si="54"/>
        <v>854.8435614514475</v>
      </c>
      <c r="R90" s="59">
        <f t="shared" si="55"/>
        <v>1128.1783640219223</v>
      </c>
      <c r="S90" s="59">
        <f ca="1">AVERAGE(OFFSET($R$3,0,0,'Données projet'!$E$9+1,1))-AVERAGE(OFFSET($H$3,0,0,'Données projet'!$E$9+1,1))</f>
        <v>512.58510468904342</v>
      </c>
      <c r="T90" s="59">
        <f t="shared" si="88"/>
        <v>443.6106696463529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120.65180508978098</v>
      </c>
      <c r="AA90" s="21">
        <f>EXP(-LN(2)/25)*AA89+(1-EXP(-LN(2)/25))/(LN(2)/25)*Calculateur!V90*Calculateur!X90*VLOOKUP('Données projet'!$B$9,Paramètres!$A$1:$I$89,3,0)*0.475*44/12</f>
        <v>10.08638004976706</v>
      </c>
      <c r="AB90" s="21">
        <f>EXP(-LN(2)/2)*AB89+(1-EXP(-LN(2)/2))/(LN(2)/2)*V90*Y90*VLOOKUP('Données projet'!$B$9,Paramètres!$A$1:$I$89,3,0)*0.475*44/12</f>
        <v>2.1373350981570198E-9</v>
      </c>
      <c r="AC90" s="22">
        <f t="shared" si="57"/>
        <v>130.73818514168539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951.7048633753684</v>
      </c>
      <c r="AN90" s="59">
        <f ca="1">AVERAGE(OFFSET($AM$3,0,0,'Données projet'!$E$10+1,1))-AVERAGE(OFFSET($H$3,0,0,'Données projet'!$E$10+1,1))</f>
        <v>520.95202773768222</v>
      </c>
      <c r="AO90" s="59">
        <f t="shared" si="90"/>
        <v>325.72635759450861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91.298659932637349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91.298659932637349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689</v>
      </c>
      <c r="BE90" s="13">
        <f>BD90*VLOOKUP('Données projet'!$B$11,Paramètres!$A$1:$I$89,3,0)*VLOOKUP('Données projet'!$B$11,Paramètres!$A$1:$I$89,5,0)</f>
        <v>412.02199999999999</v>
      </c>
      <c r="BF90" s="13">
        <f t="shared" si="91"/>
        <v>94.209724877926391</v>
      </c>
      <c r="BG90" s="20">
        <f t="shared" si="61"/>
        <v>881.686920829055</v>
      </c>
      <c r="BH90" s="59">
        <f t="shared" si="62"/>
        <v>1155.0217233995299</v>
      </c>
      <c r="BI90" s="59">
        <f ca="1">AVERAGE(OFFSET($BH$3,0,0,'Données projet'!$E$11+1,1))-AVERAGE(OFFSET($H$3,0,0,'Données projet'!$E$11+1,1))</f>
        <v>528.71639224940395</v>
      </c>
      <c r="BJ90" s="59">
        <f t="shared" si="92"/>
        <v>460.93390058676493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85.202004264996646</v>
      </c>
      <c r="BQ90" s="21">
        <f>EXP(-LN(2)/25)*BQ89+(1-EXP(-LN(2)/25))/(LN(2)/25)*Calculateur!BL90*Calculateur!BN90*VLOOKUP('Données projet'!$B$11,Paramètres!$A$1:$I$89,3,0)*0.475*44/12</f>
        <v>12.12310245908521</v>
      </c>
      <c r="BR90" s="21">
        <f>EXP(-LN(2)/2)*BR89+(1-EXP(-LN(2)/2))/(LN(2)/2)*BL90*BO90*VLOOKUP('Données projet'!$B$11,Paramètres!$A$1:$I$89,3,0)*0.475*44/12</f>
        <v>1.3793831450881525E-10</v>
      </c>
      <c r="BS90" s="22">
        <f t="shared" si="63"/>
        <v>97.325106724219793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</v>
      </c>
      <c r="BZ90" s="13">
        <f>BY90*VLOOKUP('Données projet'!$B$12,Paramètres!$A$1:$I$89,3,0)*VLOOKUP('Données projet'!$B$12,Paramètres!$A$1:$I$89,5,0)</f>
        <v>234.16223999999988</v>
      </c>
      <c r="CA90" s="13">
        <f t="shared" si="93"/>
        <v>57.181713578143047</v>
      </c>
      <c r="CB90" s="20">
        <f t="shared" si="64"/>
        <v>507.42405248193222</v>
      </c>
      <c r="CC90" s="59">
        <f t="shared" si="65"/>
        <v>780.75885505240706</v>
      </c>
      <c r="CD90" s="59">
        <f ca="1">AVERAGE(OFFSET($CC$3,0,0,'Données projet'!$E$12+1,1))-AVERAGE(OFFSET($H$3,0,0,'Données projet'!$E$12+1,1))</f>
        <v>398.11190027805549</v>
      </c>
      <c r="CE90" s="59">
        <f t="shared" si="94"/>
        <v>250.47702091764884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61.099872416457302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61.099872416457302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8.6509999999999998</v>
      </c>
      <c r="CT90" s="12">
        <f>IF('Données projet'!$A$140&gt;35,CT89+CS90-DB89,IF(A90&lt;'Données projet'!$A$140,$CQ$205^A90,IF(A90='Données projet'!$A$140,'Données projet'!$B$140,CT89+CS90-DB89)))</f>
        <v>319.57300000000021</v>
      </c>
      <c r="CU90" s="17">
        <f>CT90*VLOOKUP('Données projet'!$B$13,Paramètres!$A$1:$I$89,3,0)*VLOOKUP('Données projet'!$B$13,Paramètres!$A$1:$I$89,5,0)</f>
        <v>304.10566680000022</v>
      </c>
      <c r="CV90" s="13">
        <f t="shared" si="95"/>
        <v>72.036486852364632</v>
      </c>
      <c r="CW90" s="20">
        <f t="shared" si="67"/>
        <v>655.11425094453546</v>
      </c>
      <c r="CX90" s="59">
        <f t="shared" si="68"/>
        <v>928.44905351501029</v>
      </c>
      <c r="CY90" s="59">
        <f ca="1">AVERAGE(OFFSET($CX$3,0,0,'Données projet'!$E$13+1,1))-AVERAGE(OFFSET($H$3,0,0,'Données projet'!$E$13+1,1))</f>
        <v>697.21496579281836</v>
      </c>
      <c r="CZ90" s="59">
        <f t="shared" si="96"/>
        <v>215.64914236153456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84.866996958874196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84.866996958874196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319</v>
      </c>
      <c r="DP90" s="17">
        <f>DO90*VLOOKUP('Données projet'!$B$14,Paramètres!$A$1:$I$89,3,0)*VLOOKUP('Données projet'!$B$14,Paramètres!$A$1:$I$89,5,0)</f>
        <v>278.67840000000001</v>
      </c>
      <c r="DQ90" s="13">
        <f t="shared" si="97"/>
        <v>66.687639951856809</v>
      </c>
      <c r="DR90" s="20">
        <f t="shared" si="70"/>
        <v>601.51251958281728</v>
      </c>
      <c r="DS90" s="59">
        <f t="shared" si="71"/>
        <v>874.84732215329211</v>
      </c>
      <c r="DT90" s="59">
        <f ca="1">AVERAGE(OFFSET($DS$3,0,0,'Données projet'!$E$14+1,1))-AVERAGE(OFFSET($H$3,0,0,'Données projet'!$E$14+1,1))</f>
        <v>408.24135864450221</v>
      </c>
      <c r="DU90" s="59">
        <f t="shared" si="98"/>
        <v>394.10236303013903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50.823446998917845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50.823446998917845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853.00000000000011</v>
      </c>
      <c r="O91" s="13">
        <f>N91*VLOOKUP('Données projet'!$B$9,Paramètres!$A$1:$I$89,3,0)*VLOOKUP('Données projet'!$B$9,Paramètres!$A$1:$I$89,5,0)</f>
        <v>399.20400000000006</v>
      </c>
      <c r="P91" s="13">
        <f t="shared" si="87"/>
        <v>91.615269732888521</v>
      </c>
      <c r="Q91" s="20">
        <f t="shared" si="54"/>
        <v>854.8435614514475</v>
      </c>
      <c r="R91" s="59">
        <f t="shared" si="55"/>
        <v>1128.5252938206413</v>
      </c>
      <c r="S91" s="59">
        <f ca="1">AVERAGE(OFFSET($R$3,0,0,'Données projet'!$E$9+1,1))-AVERAGE(OFFSET($H$3,0,0,'Données projet'!$E$9+1,1))</f>
        <v>512.58510468904342</v>
      </c>
      <c r="T91" s="59">
        <f t="shared" si="88"/>
        <v>443.6106696463529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118.28589678230503</v>
      </c>
      <c r="AA91" s="21">
        <f>EXP(-LN(2)/25)*AA90+(1-EXP(-LN(2)/25))/(LN(2)/25)*Calculateur!V91*Calculateur!X91*VLOOKUP('Données projet'!$B$9,Paramètres!$A$1:$I$89,3,0)*0.475*44/12</f>
        <v>9.8105674568865062</v>
      </c>
      <c r="AB91" s="21">
        <f>EXP(-LN(2)/2)*AB90+(1-EXP(-LN(2)/2))/(LN(2)/2)*V91*Y91*VLOOKUP('Données projet'!$B$9,Paramètres!$A$1:$I$89,3,0)*0.475*44/12</f>
        <v>1.5113241415748439E-9</v>
      </c>
      <c r="AC91" s="22">
        <f t="shared" si="57"/>
        <v>128.09646424070286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9">
        <f t="shared" si="59"/>
        <v>965.7076451699503</v>
      </c>
      <c r="AN91" s="59">
        <f ca="1">AVERAGE(OFFSET($AM$3,0,0,'Données projet'!$E$10+1,1))-AVERAGE(OFFSET($H$3,0,0,'Données projet'!$E$10+1,1))</f>
        <v>520.95202773768222</v>
      </c>
      <c r="AO91" s="59">
        <f t="shared" si="90"/>
        <v>325.72635759450861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89.508348898042286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89.508348898042286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689</v>
      </c>
      <c r="BE91" s="13">
        <f>BD91*VLOOKUP('Données projet'!$B$11,Paramètres!$A$1:$I$89,3,0)*VLOOKUP('Données projet'!$B$11,Paramètres!$A$1:$I$89,5,0)</f>
        <v>412.02199999999999</v>
      </c>
      <c r="BF91" s="13">
        <f t="shared" si="91"/>
        <v>94.209724877926391</v>
      </c>
      <c r="BG91" s="20">
        <f t="shared" si="61"/>
        <v>881.686920829055</v>
      </c>
      <c r="BH91" s="59">
        <f t="shared" si="62"/>
        <v>1155.3686531982487</v>
      </c>
      <c r="BI91" s="59">
        <f ca="1">AVERAGE(OFFSET($BH$3,0,0,'Données projet'!$E$11+1,1))-AVERAGE(OFFSET($H$3,0,0,'Données projet'!$E$11+1,1))</f>
        <v>528.71639224940395</v>
      </c>
      <c r="BJ91" s="59">
        <f t="shared" si="92"/>
        <v>460.93390058676493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83.531244929451233</v>
      </c>
      <c r="BQ91" s="21">
        <f>EXP(-LN(2)/25)*BQ90+(1-EXP(-LN(2)/25))/(LN(2)/25)*Calculateur!BL91*Calculateur!BN91*VLOOKUP('Données projet'!$B$11,Paramètres!$A$1:$I$89,3,0)*0.475*44/12</f>
        <v>11.791595584815274</v>
      </c>
      <c r="BR91" s="21">
        <f>EXP(-LN(2)/2)*BR90+(1-EXP(-LN(2)/2))/(LN(2)/2)*BL91*BO91*VLOOKUP('Données projet'!$B$11,Paramètres!$A$1:$I$89,3,0)*0.475*44/12</f>
        <v>9.7537117574625999E-11</v>
      </c>
      <c r="BS91" s="22">
        <f t="shared" si="63"/>
        <v>95.322840514364046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264.19999999999987</v>
      </c>
      <c r="BZ91" s="13">
        <f>BY91*VLOOKUP('Données projet'!$B$12,Paramètres!$A$1:$I$89,3,0)*VLOOKUP('Données projet'!$B$12,Paramètres!$A$1:$I$89,5,0)</f>
        <v>239.04815999999985</v>
      </c>
      <c r="CA91" s="13">
        <f t="shared" si="93"/>
        <v>58.234690128947292</v>
      </c>
      <c r="CB91" s="20">
        <f t="shared" si="64"/>
        <v>517.76763064124964</v>
      </c>
      <c r="CC91" s="59">
        <f t="shared" si="65"/>
        <v>791.44936301044334</v>
      </c>
      <c r="CD91" s="59">
        <f ca="1">AVERAGE(OFFSET($CC$3,0,0,'Données projet'!$E$12+1,1))-AVERAGE(OFFSET($H$3,0,0,'Données projet'!$E$12+1,1))</f>
        <v>398.11190027805549</v>
      </c>
      <c r="CE91" s="59">
        <f t="shared" si="94"/>
        <v>250.47702091764884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59.901741185612913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59.901741185612913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8.6509999999999998</v>
      </c>
      <c r="CT91" s="12">
        <f>IF('Données projet'!$A$140&gt;35,CT90+CS91-DB90,IF(A91&lt;'Données projet'!$A$140,$CQ$205^A91,IF(A91='Données projet'!$A$140,'Données projet'!$B$140,CT90+CS91-DB90)))</f>
        <v>328.22400000000022</v>
      </c>
      <c r="CU91" s="17">
        <f>CT91*VLOOKUP('Données projet'!$B$13,Paramètres!$A$1:$I$89,3,0)*VLOOKUP('Données projet'!$B$13,Paramètres!$A$1:$I$89,5,0)</f>
        <v>312.33795840000022</v>
      </c>
      <c r="CV91" s="13">
        <f t="shared" si="95"/>
        <v>73.756875225294692</v>
      </c>
      <c r="CW91" s="20">
        <f t="shared" si="67"/>
        <v>672.44850189738861</v>
      </c>
      <c r="CX91" s="59">
        <f t="shared" si="68"/>
        <v>946.13023426658231</v>
      </c>
      <c r="CY91" s="59">
        <f ca="1">AVERAGE(OFFSET($CX$3,0,0,'Données projet'!$E$13+1,1))-AVERAGE(OFFSET($H$3,0,0,'Données projet'!$E$13+1,1))</f>
        <v>697.21496579281836</v>
      </c>
      <c r="CZ91" s="59">
        <f t="shared" si="96"/>
        <v>215.64914236153456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83.202806912267576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83.202806912267576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319</v>
      </c>
      <c r="DP91" s="17">
        <f>DO91*VLOOKUP('Données projet'!$B$14,Paramètres!$A$1:$I$89,3,0)*VLOOKUP('Données projet'!$B$14,Paramètres!$A$1:$I$89,5,0)</f>
        <v>278.67840000000001</v>
      </c>
      <c r="DQ91" s="13">
        <f t="shared" si="97"/>
        <v>66.687639951856809</v>
      </c>
      <c r="DR91" s="20">
        <f t="shared" si="70"/>
        <v>601.51251958281728</v>
      </c>
      <c r="DS91" s="59">
        <f t="shared" si="71"/>
        <v>875.19425195201097</v>
      </c>
      <c r="DT91" s="59">
        <f ca="1">AVERAGE(OFFSET($DS$3,0,0,'Données projet'!$E$14+1,1))-AVERAGE(OFFSET($H$3,0,0,'Données projet'!$E$14+1,1))</f>
        <v>408.24135864450221</v>
      </c>
      <c r="DU91" s="59">
        <f t="shared" si="98"/>
        <v>394.10236303013903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49.826830202510813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49.826830202510813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853.00000000000011</v>
      </c>
      <c r="O92" s="13">
        <f>N92*VLOOKUP('Données projet'!$B$9,Paramètres!$A$1:$I$89,3,0)*VLOOKUP('Données projet'!$B$9,Paramètres!$A$1:$I$89,5,0)</f>
        <v>399.20400000000006</v>
      </c>
      <c r="P92" s="13">
        <f t="shared" si="87"/>
        <v>91.615269732888521</v>
      </c>
      <c r="Q92" s="20">
        <f t="shared" si="54"/>
        <v>854.8435614514475</v>
      </c>
      <c r="R92" s="59">
        <f t="shared" si="55"/>
        <v>1128.866205162971</v>
      </c>
      <c r="S92" s="59">
        <f ca="1">AVERAGE(OFFSET($R$3,0,0,'Données projet'!$E$9+1,1))-AVERAGE(OFFSET($H$3,0,0,'Données projet'!$E$9+1,1))</f>
        <v>512.58510468904342</v>
      </c>
      <c r="T92" s="59">
        <f t="shared" si="88"/>
        <v>443.6106696463529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115.96638249367712</v>
      </c>
      <c r="AA92" s="21">
        <f>EXP(-LN(2)/25)*AA91+(1-EXP(-LN(2)/25))/(LN(2)/25)*Calculateur!V92*Calculateur!X92*VLOOKUP('Données projet'!$B$9,Paramètres!$A$1:$I$89,3,0)*0.475*44/12</f>
        <v>9.5422969738626247</v>
      </c>
      <c r="AB92" s="21">
        <f>EXP(-LN(2)/2)*AB91+(1-EXP(-LN(2)/2))/(LN(2)/2)*V92*Y92*VLOOKUP('Données projet'!$B$9,Paramètres!$A$1:$I$89,3,0)*0.475*44/12</f>
        <v>1.0686675490785099E-9</v>
      </c>
      <c r="AC92" s="22">
        <f t="shared" si="57"/>
        <v>125.50867946860841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979.6988881490081</v>
      </c>
      <c r="AN92" s="59">
        <f ca="1">AVERAGE(OFFSET($AM$3,0,0,'Données projet'!$E$10+1,1))-AVERAGE(OFFSET($H$3,0,0,'Données projet'!$E$10+1,1))</f>
        <v>520.95202773768222</v>
      </c>
      <c r="AO92" s="59">
        <f t="shared" si="90"/>
        <v>325.72635759450861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87.753144770853723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87.753144770853723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689</v>
      </c>
      <c r="BE92" s="13">
        <f>BD92*VLOOKUP('Données projet'!$B$11,Paramètres!$A$1:$I$89,3,0)*VLOOKUP('Données projet'!$B$11,Paramètres!$A$1:$I$89,5,0)</f>
        <v>412.02199999999999</v>
      </c>
      <c r="BF92" s="13">
        <f t="shared" si="91"/>
        <v>94.209724877926391</v>
      </c>
      <c r="BG92" s="20">
        <f t="shared" si="61"/>
        <v>881.686920829055</v>
      </c>
      <c r="BH92" s="59">
        <f t="shared" si="62"/>
        <v>1155.7095645405786</v>
      </c>
      <c r="BI92" s="59">
        <f ca="1">AVERAGE(OFFSET($BH$3,0,0,'Données projet'!$E$11+1,1))-AVERAGE(OFFSET($H$3,0,0,'Données projet'!$E$11+1,1))</f>
        <v>528.71639224940395</v>
      </c>
      <c r="BJ92" s="59">
        <f t="shared" si="92"/>
        <v>460.93390058676493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81.893248165413297</v>
      </c>
      <c r="BQ92" s="21">
        <f>EXP(-LN(2)/25)*BQ91+(1-EXP(-LN(2)/25))/(LN(2)/25)*Calculateur!BL92*Calculateur!BN92*VLOOKUP('Données projet'!$B$11,Paramètres!$A$1:$I$89,3,0)*0.475*44/12</f>
        <v>11.46915378345544</v>
      </c>
      <c r="BR92" s="21">
        <f>EXP(-LN(2)/2)*BR91+(1-EXP(-LN(2)/2))/(LN(2)/2)*BL92*BO92*VLOOKUP('Données projet'!$B$11,Paramètres!$A$1:$I$89,3,0)*0.475*44/12</f>
        <v>6.8969157254407624E-11</v>
      </c>
      <c r="BS92" s="22">
        <f t="shared" si="63"/>
        <v>93.362401948937702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269.59999999999985</v>
      </c>
      <c r="BZ92" s="13">
        <f>BY92*VLOOKUP('Données projet'!$B$12,Paramètres!$A$1:$I$89,3,0)*VLOOKUP('Données projet'!$B$12,Paramètres!$A$1:$I$89,5,0)</f>
        <v>243.93407999999988</v>
      </c>
      <c r="CA92" s="13">
        <f t="shared" si="93"/>
        <v>59.285164329617594</v>
      </c>
      <c r="CB92" s="20">
        <f t="shared" si="64"/>
        <v>528.10685054075043</v>
      </c>
      <c r="CC92" s="59">
        <f t="shared" si="65"/>
        <v>802.12949425227407</v>
      </c>
      <c r="CD92" s="59">
        <f ca="1">AVERAGE(OFFSET($CC$3,0,0,'Données projet'!$E$12+1,1))-AVERAGE(OFFSET($H$3,0,0,'Données projet'!$E$12+1,1))</f>
        <v>398.11190027805549</v>
      </c>
      <c r="CE92" s="59">
        <f t="shared" si="94"/>
        <v>250.47702091764884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58.727104577417492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58.727104577417492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8.6509999999999998</v>
      </c>
      <c r="CT92" s="12">
        <f>IF('Données projet'!$A$140&gt;35,CT91+CS92-DB91,IF(A92&lt;'Données projet'!$A$140,$CQ$205^A92,IF(A92='Données projet'!$A$140,'Données projet'!$B$140,CT91+CS92-DB91)))</f>
        <v>336.87500000000023</v>
      </c>
      <c r="CU92" s="17">
        <f>CT92*VLOOKUP('Données projet'!$B$13,Paramètres!$A$1:$I$89,3,0)*VLOOKUP('Données projet'!$B$13,Paramètres!$A$1:$I$89,5,0)</f>
        <v>320.57025000000021</v>
      </c>
      <c r="CV92" s="13">
        <f t="shared" si="95"/>
        <v>75.471992967732689</v>
      </c>
      <c r="CW92" s="20">
        <f t="shared" si="67"/>
        <v>689.77357316880159</v>
      </c>
      <c r="CX92" s="59">
        <f t="shared" si="68"/>
        <v>963.79621688032512</v>
      </c>
      <c r="CY92" s="59">
        <f ca="1">AVERAGE(OFFSET($CX$3,0,0,'Données projet'!$E$13+1,1))-AVERAGE(OFFSET($H$3,0,0,'Données projet'!$E$13+1,1))</f>
        <v>697.21496579281836</v>
      </c>
      <c r="CZ92" s="59">
        <f t="shared" si="96"/>
        <v>215.64914236153456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81.57125061741921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81.57125061741921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319</v>
      </c>
      <c r="DP92" s="17">
        <f>DO92*VLOOKUP('Données projet'!$B$14,Paramètres!$A$1:$I$89,3,0)*VLOOKUP('Données projet'!$B$14,Paramètres!$A$1:$I$89,5,0)</f>
        <v>278.67840000000001</v>
      </c>
      <c r="DQ92" s="13">
        <f t="shared" si="97"/>
        <v>66.687639951856809</v>
      </c>
      <c r="DR92" s="20">
        <f t="shared" si="70"/>
        <v>601.51251958281728</v>
      </c>
      <c r="DS92" s="59">
        <f t="shared" si="71"/>
        <v>875.53516329434092</v>
      </c>
      <c r="DT92" s="59">
        <f ca="1">AVERAGE(OFFSET($DS$3,0,0,'Données projet'!$E$14+1,1))-AVERAGE(OFFSET($H$3,0,0,'Données projet'!$E$14+1,1))</f>
        <v>408.24135864450221</v>
      </c>
      <c r="DU92" s="59">
        <f t="shared" si="98"/>
        <v>394.10236303013903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48.849756453605103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48.849756453605103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853.00000000000011</v>
      </c>
      <c r="O93" s="13">
        <f>N93*VLOOKUP('Données projet'!$B$9,Paramètres!$A$1:$I$89,3,0)*VLOOKUP('Données projet'!$B$9,Paramètres!$A$1:$I$89,5,0)</f>
        <v>399.20400000000006</v>
      </c>
      <c r="P93" s="13">
        <f t="shared" si="87"/>
        <v>91.615269732888521</v>
      </c>
      <c r="Q93" s="20">
        <f t="shared" si="54"/>
        <v>854.8435614514475</v>
      </c>
      <c r="R93" s="59">
        <f t="shared" si="55"/>
        <v>1129.2012024556752</v>
      </c>
      <c r="S93" s="59">
        <f ca="1">AVERAGE(OFFSET($R$3,0,0,'Données projet'!$E$9+1,1))-AVERAGE(OFFSET($H$3,0,0,'Données projet'!$E$9+1,1))</f>
        <v>512.58510468904342</v>
      </c>
      <c r="T93" s="59">
        <f t="shared" si="88"/>
        <v>443.6106696463529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113.69235246548517</v>
      </c>
      <c r="AA93" s="21">
        <f>EXP(-LN(2)/25)*AA92+(1-EXP(-LN(2)/25))/(LN(2)/25)*Calculateur!V93*Calculateur!X93*VLOOKUP('Données projet'!$B$9,Paramètres!$A$1:$I$89,3,0)*0.475*44/12</f>
        <v>9.2813623613047618</v>
      </c>
      <c r="AB93" s="21">
        <f>EXP(-LN(2)/2)*AB92+(1-EXP(-LN(2)/2))/(LN(2)/2)*V93*Y93*VLOOKUP('Données projet'!$B$9,Paramètres!$A$1:$I$89,3,0)*0.475*44/12</f>
        <v>7.5566207078742194E-10</v>
      </c>
      <c r="AC93" s="22">
        <f t="shared" si="57"/>
        <v>122.97371482754559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993.67881848247976</v>
      </c>
      <c r="AN93" s="59">
        <f ca="1">AVERAGE(OFFSET($AM$3,0,0,'Données projet'!$E$10+1,1))-AVERAGE(OFFSET($H$3,0,0,'Données projet'!$E$10+1,1))</f>
        <v>520.95202773768222</v>
      </c>
      <c r="AO93" s="59">
        <f t="shared" si="90"/>
        <v>325.72635759450861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99.528560582781324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99.528560582781324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689</v>
      </c>
      <c r="BE93" s="13">
        <f>BD93*VLOOKUP('Données projet'!$B$11,Paramètres!$A$1:$I$89,3,0)*VLOOKUP('Données projet'!$B$11,Paramètres!$A$1:$I$89,5,0)</f>
        <v>412.02199999999999</v>
      </c>
      <c r="BF93" s="13">
        <f t="shared" si="91"/>
        <v>94.209724877926391</v>
      </c>
      <c r="BG93" s="20">
        <f t="shared" si="61"/>
        <v>881.686920829055</v>
      </c>
      <c r="BH93" s="59">
        <f t="shared" si="62"/>
        <v>1156.0445618332826</v>
      </c>
      <c r="BI93" s="59">
        <f ca="1">AVERAGE(OFFSET($BH$3,0,0,'Données projet'!$E$11+1,1))-AVERAGE(OFFSET($H$3,0,0,'Données projet'!$E$11+1,1))</f>
        <v>528.71639224940395</v>
      </c>
      <c r="BJ93" s="59">
        <f t="shared" si="92"/>
        <v>460.93390058676493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80.287371518838782</v>
      </c>
      <c r="BQ93" s="21">
        <f>EXP(-LN(2)/25)*BQ92+(1-EXP(-LN(2)/25))/(LN(2)/25)*Calculateur!BL93*Calculateur!BN93*VLOOKUP('Données projet'!$B$11,Paramètres!$A$1:$I$89,3,0)*0.475*44/12</f>
        <v>11.155529170110267</v>
      </c>
      <c r="BR93" s="21">
        <f>EXP(-LN(2)/2)*BR92+(1-EXP(-LN(2)/2))/(LN(2)/2)*BL93*BO93*VLOOKUP('Données projet'!$B$11,Paramètres!$A$1:$I$89,3,0)*0.475*44/12</f>
        <v>4.8768558787312999E-11</v>
      </c>
      <c r="BS93" s="22">
        <f t="shared" si="63"/>
        <v>91.442900688997824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274.99999999999983</v>
      </c>
      <c r="BZ93" s="13">
        <f>BY93*VLOOKUP('Données projet'!$B$12,Paramètres!$A$1:$I$89,3,0)*VLOOKUP('Données projet'!$B$12,Paramètres!$A$1:$I$89,5,0)</f>
        <v>248.81999999999982</v>
      </c>
      <c r="CA93" s="13">
        <f t="shared" si="93"/>
        <v>60.333192077890018</v>
      </c>
      <c r="CB93" s="20">
        <f t="shared" si="64"/>
        <v>538.44180953565808</v>
      </c>
      <c r="CC93" s="59">
        <f t="shared" si="65"/>
        <v>812.79945053988581</v>
      </c>
      <c r="CD93" s="59">
        <f ca="1">AVERAGE(OFFSET($CC$3,0,0,'Données projet'!$E$12+1,1))-AVERAGE(OFFSET($H$3,0,0,'Données projet'!$E$12+1,1))</f>
        <v>398.11190027805549</v>
      </c>
      <c r="CE93" s="59">
        <f t="shared" si="94"/>
        <v>250.47702091764884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66.607575159245954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66.607575159245954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8.6509999999999998</v>
      </c>
      <c r="CT93" s="12">
        <f>IF('Données projet'!$A$140&gt;35,CT92+CS93-DB92,IF(A93&lt;'Données projet'!$A$140,$CQ$205^A93,IF(A93='Données projet'!$A$140,'Données projet'!$B$140,CT92+CS93-DB92)))</f>
        <v>345.52600000000024</v>
      </c>
      <c r="CU93" s="17">
        <f>CT93*VLOOKUP('Données projet'!$B$13,Paramètres!$A$1:$I$89,3,0)*VLOOKUP('Données projet'!$B$13,Paramètres!$A$1:$I$89,5,0)</f>
        <v>328.80254160000021</v>
      </c>
      <c r="CV93" s="13">
        <f t="shared" si="95"/>
        <v>77.181990993010714</v>
      </c>
      <c r="CW93" s="20">
        <f t="shared" si="67"/>
        <v>707.08972759949404</v>
      </c>
      <c r="CX93" s="59">
        <f t="shared" si="68"/>
        <v>981.44736860372177</v>
      </c>
      <c r="CY93" s="59">
        <f ca="1">AVERAGE(OFFSET($CX$3,0,0,'Données projet'!$E$13+1,1))-AVERAGE(OFFSET($H$3,0,0,'Données projet'!$E$13+1,1))</f>
        <v>697.21496579281836</v>
      </c>
      <c r="CZ93" s="59">
        <f t="shared" si="96"/>
        <v>215.64914236153456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79.971688146361743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79.971688146361743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319</v>
      </c>
      <c r="DP93" s="17">
        <f>DO93*VLOOKUP('Données projet'!$B$14,Paramètres!$A$1:$I$89,3,0)*VLOOKUP('Données projet'!$B$14,Paramètres!$A$1:$I$89,5,0)</f>
        <v>278.67840000000001</v>
      </c>
      <c r="DQ93" s="13">
        <f t="shared" si="97"/>
        <v>66.687639951856809</v>
      </c>
      <c r="DR93" s="20">
        <f t="shared" si="70"/>
        <v>601.51251958281728</v>
      </c>
      <c r="DS93" s="59">
        <f t="shared" si="71"/>
        <v>875.87016058704489</v>
      </c>
      <c r="DT93" s="59">
        <f ca="1">AVERAGE(OFFSET($DS$3,0,0,'Données projet'!$E$14+1,1))-AVERAGE(OFFSET($H$3,0,0,'Données projet'!$E$14+1,1))</f>
        <v>408.24135864450221</v>
      </c>
      <c r="DU93" s="59">
        <f t="shared" si="98"/>
        <v>394.10236303013903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47.891842524959294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47.891842524959294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853.00000000000011</v>
      </c>
      <c r="O94" s="13">
        <f>N94*VLOOKUP('Données projet'!$B$9,Paramètres!$A$1:$I$89,3,0)*VLOOKUP('Données projet'!$B$9,Paramètres!$A$1:$I$89,5,0)</f>
        <v>399.20400000000006</v>
      </c>
      <c r="P94" s="13">
        <f t="shared" si="87"/>
        <v>91.615269732888521</v>
      </c>
      <c r="Q94" s="20">
        <f t="shared" si="54"/>
        <v>854.8435614514475</v>
      </c>
      <c r="R94" s="59">
        <f t="shared" si="55"/>
        <v>1129.5303882942926</v>
      </c>
      <c r="S94" s="59">
        <f ca="1">AVERAGE(OFFSET($R$3,0,0,'Données projet'!$E$9+1,1))-AVERAGE(OFFSET($H$3,0,0,'Données projet'!$E$9+1,1))</f>
        <v>512.58510468904342</v>
      </c>
      <c r="T94" s="59">
        <f t="shared" si="88"/>
        <v>443.6106696463529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111.46291477912472</v>
      </c>
      <c r="AA94" s="21">
        <f>EXP(-LN(2)/25)*AA93+(1-EXP(-LN(2)/25))/(LN(2)/25)*Calculateur!V94*Calculateur!X94*VLOOKUP('Données projet'!$B$9,Paramètres!$A$1:$I$89,3,0)*0.475*44/12</f>
        <v>9.02756301944925</v>
      </c>
      <c r="AB94" s="21">
        <f>EXP(-LN(2)/2)*AB93+(1-EXP(-LN(2)/2))/(LN(2)/2)*V94*Y94*VLOOKUP('Données projet'!$B$9,Paramètres!$A$1:$I$89,3,0)*0.475*44/12</f>
        <v>5.3433377453925494E-10</v>
      </c>
      <c r="AC94" s="22">
        <f t="shared" si="57"/>
        <v>120.49047779910829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9">
        <f t="shared" si="59"/>
        <v>947.50759198789683</v>
      </c>
      <c r="AN94" s="59">
        <f ca="1">AVERAGE(OFFSET($AM$3,0,0,'Données projet'!$E$10+1,1))-AVERAGE(OFFSET($H$3,0,0,'Données projet'!$E$10+1,1))</f>
        <v>520.95202773768222</v>
      </c>
      <c r="AO94" s="59">
        <f t="shared" si="90"/>
        <v>325.72635759450861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97.576866216180676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97.576866216180676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689</v>
      </c>
      <c r="BE94" s="13">
        <f>BD94*VLOOKUP('Données projet'!$B$11,Paramètres!$A$1:$I$89,3,0)*VLOOKUP('Données projet'!$B$11,Paramètres!$A$1:$I$89,5,0)</f>
        <v>412.02199999999999</v>
      </c>
      <c r="BF94" s="13">
        <f t="shared" si="91"/>
        <v>94.209724877926391</v>
      </c>
      <c r="BG94" s="20">
        <f t="shared" si="61"/>
        <v>881.686920829055</v>
      </c>
      <c r="BH94" s="59">
        <f t="shared" si="62"/>
        <v>1156.3737476719</v>
      </c>
      <c r="BI94" s="59">
        <f ca="1">AVERAGE(OFFSET($BH$3,0,0,'Données projet'!$E$11+1,1))-AVERAGE(OFFSET($H$3,0,0,'Données projet'!$E$11+1,1))</f>
        <v>528.71639224940395</v>
      </c>
      <c r="BJ94" s="59">
        <f t="shared" si="92"/>
        <v>460.93390058676493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78.71298513381555</v>
      </c>
      <c r="BQ94" s="21">
        <f>EXP(-LN(2)/25)*BQ93+(1-EXP(-LN(2)/25))/(LN(2)/25)*Calculateur!BL94*Calculateur!BN94*VLOOKUP('Données projet'!$B$11,Paramètres!$A$1:$I$89,3,0)*0.475*44/12</f>
        <v>10.850480638309818</v>
      </c>
      <c r="BR94" s="21">
        <f>EXP(-LN(2)/2)*BR93+(1-EXP(-LN(2)/2))/(LN(2)/2)*BL94*BO94*VLOOKUP('Données projet'!$B$11,Paramètres!$A$1:$I$89,3,0)*0.475*44/12</f>
        <v>3.4484578627203812E-11</v>
      </c>
      <c r="BS94" s="22">
        <f t="shared" si="63"/>
        <v>89.563465772159859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</v>
      </c>
      <c r="BY94" s="12">
        <f>IF('Données projet'!$A$114&gt;35,BY93+BX94-CG93,IF(A94&lt;'Données projet'!$A$114,$BV$205^A94,IF(A94='Données projet'!$A$114,'Données projet'!$B$114,BY93+BX94-CG93)))</f>
        <v>258.99999999999983</v>
      </c>
      <c r="BZ94" s="13">
        <f>BY94*VLOOKUP('Données projet'!$B$12,Paramètres!$A$1:$I$89,3,0)*VLOOKUP('Données projet'!$B$12,Paramètres!$A$1:$I$89,5,0)</f>
        <v>234.34319999999983</v>
      </c>
      <c r="CA94" s="13">
        <f t="shared" si="93"/>
        <v>57.220758006491614</v>
      </c>
      <c r="CB94" s="20">
        <f t="shared" si="64"/>
        <v>507.80722686130588</v>
      </c>
      <c r="CC94" s="59">
        <f t="shared" si="65"/>
        <v>782.49405370415093</v>
      </c>
      <c r="CD94" s="59">
        <f ca="1">AVERAGE(OFFSET($CC$3,0,0,'Données projet'!$E$12+1,1))-AVERAGE(OFFSET($H$3,0,0,'Données projet'!$E$12+1,1))</f>
        <v>398.11190027805549</v>
      </c>
      <c r="CE94" s="59">
        <f t="shared" si="94"/>
        <v>250.47702091764884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65.301441236982441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65.301441236982441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8.6509999999999998</v>
      </c>
      <c r="CT94" s="12">
        <f>IF('Données projet'!$A$140&gt;35,CT93+CS94-DB93,IF(A94&lt;'Données projet'!$A$140,$CQ$205^A94,IF(A94='Données projet'!$A$140,'Données projet'!$B$140,CT93+CS94-DB93)))</f>
        <v>354.17700000000025</v>
      </c>
      <c r="CU94" s="17">
        <f>CT94*VLOOKUP('Données projet'!$B$13,Paramètres!$A$1:$I$89,3,0)*VLOOKUP('Données projet'!$B$13,Paramètres!$A$1:$I$89,5,0)</f>
        <v>337.03483320000021</v>
      </c>
      <c r="CV94" s="13">
        <f t="shared" si="95"/>
        <v>78.887012226883613</v>
      </c>
      <c r="CW94" s="20">
        <f t="shared" si="67"/>
        <v>724.39721411848916</v>
      </c>
      <c r="CX94" s="59">
        <f t="shared" si="68"/>
        <v>999.08404096133427</v>
      </c>
      <c r="CY94" s="59">
        <f ca="1">AVERAGE(OFFSET($CX$3,0,0,'Données projet'!$E$13+1,1))-AVERAGE(OFFSET($H$3,0,0,'Données projet'!$E$13+1,1))</f>
        <v>697.21496579281836</v>
      </c>
      <c r="CZ94" s="59">
        <f t="shared" si="96"/>
        <v>215.64914236153456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78.403492119724945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78.403492119724945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319</v>
      </c>
      <c r="DP94" s="17">
        <f>DO94*VLOOKUP('Données projet'!$B$14,Paramètres!$A$1:$I$89,3,0)*VLOOKUP('Données projet'!$B$14,Paramètres!$A$1:$I$89,5,0)</f>
        <v>278.67840000000001</v>
      </c>
      <c r="DQ94" s="13">
        <f t="shared" si="97"/>
        <v>66.687639951856809</v>
      </c>
      <c r="DR94" s="20">
        <f t="shared" si="70"/>
        <v>601.51251958281728</v>
      </c>
      <c r="DS94" s="59">
        <f t="shared" si="71"/>
        <v>876.19934642566227</v>
      </c>
      <c r="DT94" s="59">
        <f ca="1">AVERAGE(OFFSET($DS$3,0,0,'Données projet'!$E$14+1,1))-AVERAGE(OFFSET($H$3,0,0,'Données projet'!$E$14+1,1))</f>
        <v>408.24135864450221</v>
      </c>
      <c r="DU94" s="59">
        <f t="shared" si="98"/>
        <v>394.10236303013903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46.952712704184421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46.952712704184421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853.00000000000011</v>
      </c>
      <c r="O95" s="13">
        <f>N95*VLOOKUP('Données projet'!$B$9,Paramètres!$A$1:$I$89,3,0)*VLOOKUP('Données projet'!$B$9,Paramètres!$A$1:$I$89,5,0)</f>
        <v>399.20400000000006</v>
      </c>
      <c r="P95" s="13">
        <f t="shared" si="87"/>
        <v>91.615269732888521</v>
      </c>
      <c r="Q95" s="20">
        <f t="shared" si="54"/>
        <v>854.8435614514475</v>
      </c>
      <c r="R95" s="59">
        <f t="shared" si="55"/>
        <v>1129.8538634945592</v>
      </c>
      <c r="S95" s="59">
        <f ca="1">AVERAGE(OFFSET($R$3,0,0,'Données projet'!$E$9+1,1))-AVERAGE(OFFSET($H$3,0,0,'Données projet'!$E$9+1,1))</f>
        <v>512.58510468904342</v>
      </c>
      <c r="T95" s="59">
        <f t="shared" si="88"/>
        <v>443.6106696463529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109.27719500597107</v>
      </c>
      <c r="AA95" s="21">
        <f>EXP(-LN(2)/25)*AA94+(1-EXP(-LN(2)/25))/(LN(2)/25)*Calculateur!V95*Calculateur!X95*VLOOKUP('Données projet'!$B$9,Paramètres!$A$1:$I$89,3,0)*0.475*44/12</f>
        <v>8.7807038339435035</v>
      </c>
      <c r="AB95" s="21">
        <f>EXP(-LN(2)/2)*AB94+(1-EXP(-LN(2)/2))/(LN(2)/2)*V95*Y95*VLOOKUP('Données projet'!$B$9,Paramètres!$A$1:$I$89,3,0)*0.475*44/12</f>
        <v>3.7783103539371097E-10</v>
      </c>
      <c r="AC95" s="22">
        <f t="shared" si="57"/>
        <v>118.0578988402924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318.80159999999995</v>
      </c>
      <c r="AK95" s="13">
        <f t="shared" si="89"/>
        <v>75.103948812522063</v>
      </c>
      <c r="AL95" s="20">
        <f t="shared" si="58"/>
        <v>686.05216418180908</v>
      </c>
      <c r="AM95" s="59">
        <f t="shared" si="59"/>
        <v>961.06246622492085</v>
      </c>
      <c r="AN95" s="59">
        <f ca="1">AVERAGE(OFFSET($AM$3,0,0,'Données projet'!$E$10+1,1))-AVERAGE(OFFSET($H$3,0,0,'Données projet'!$E$10+1,1))</f>
        <v>520.95202773768222</v>
      </c>
      <c r="AO95" s="59">
        <f t="shared" si="90"/>
        <v>325.72635759450861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95.663443385693043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95.663443385693043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689</v>
      </c>
      <c r="BE95" s="13">
        <f>BD95*VLOOKUP('Données projet'!$B$11,Paramètres!$A$1:$I$89,3,0)*VLOOKUP('Données projet'!$B$11,Paramètres!$A$1:$I$89,5,0)</f>
        <v>412.02199999999999</v>
      </c>
      <c r="BF95" s="13">
        <f t="shared" si="91"/>
        <v>94.209724877926391</v>
      </c>
      <c r="BG95" s="20">
        <f t="shared" si="61"/>
        <v>881.686920829055</v>
      </c>
      <c r="BH95" s="59">
        <f t="shared" si="62"/>
        <v>1156.6972228721668</v>
      </c>
      <c r="BI95" s="59">
        <f ca="1">AVERAGE(OFFSET($BH$3,0,0,'Données projet'!$E$11+1,1))-AVERAGE(OFFSET($H$3,0,0,'Données projet'!$E$11+1,1))</f>
        <v>528.71639224940395</v>
      </c>
      <c r="BJ95" s="59">
        <f t="shared" si="92"/>
        <v>460.93390058676493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77.169471505521742</v>
      </c>
      <c r="BQ95" s="21">
        <f>EXP(-LN(2)/25)*BQ94+(1-EXP(-LN(2)/25))/(LN(2)/25)*Calculateur!BL95*Calculateur!BN95*VLOOKUP('Données projet'!$B$11,Paramètres!$A$1:$I$89,3,0)*0.475*44/12</f>
        <v>10.553773674653259</v>
      </c>
      <c r="BR95" s="21">
        <f>EXP(-LN(2)/2)*BR94+(1-EXP(-LN(2)/2))/(LN(2)/2)*BL95*BO95*VLOOKUP('Données projet'!$B$11,Paramètres!$A$1:$I$89,3,0)*0.475*44/12</f>
        <v>2.43842793936565E-11</v>
      </c>
      <c r="BS95" s="22">
        <f t="shared" si="63"/>
        <v>87.723245180199385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</v>
      </c>
      <c r="BY95" s="12">
        <f>IF('Données projet'!$A$114&gt;35,BY94+BX95-CG94,IF(A95&lt;'Données projet'!$A$114,$BV$205^A95,IF(A95='Données projet'!$A$114,'Données projet'!$B$114,BY94+BX95-CG94)))</f>
        <v>263.99999999999983</v>
      </c>
      <c r="BZ95" s="13">
        <f>BY95*VLOOKUP('Données projet'!$B$12,Paramètres!$A$1:$I$89,3,0)*VLOOKUP('Données projet'!$B$12,Paramètres!$A$1:$I$89,5,0)</f>
        <v>238.86719999999983</v>
      </c>
      <c r="CA95" s="13">
        <f t="shared" si="93"/>
        <v>58.195735973104156</v>
      </c>
      <c r="CB95" s="20">
        <f t="shared" si="64"/>
        <v>517.38461348648946</v>
      </c>
      <c r="CC95" s="59">
        <f t="shared" si="65"/>
        <v>792.39491552960112</v>
      </c>
      <c r="CD95" s="59">
        <f ca="1">AVERAGE(OFFSET($CC$3,0,0,'Données projet'!$E$12+1,1))-AVERAGE(OFFSET($H$3,0,0,'Données projet'!$E$12+1,1))</f>
        <v>398.11190027805549</v>
      </c>
      <c r="CE95" s="59">
        <f t="shared" si="94"/>
        <v>250.47702091764884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64.020919804271486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64.020919804271486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8.6509999999999998</v>
      </c>
      <c r="CT95" s="12">
        <f>IF('Données projet'!$A$140&gt;35,CT94+CS95-DB94,IF(A95&lt;'Données projet'!$A$140,$CQ$205^A95,IF(A95='Données projet'!$A$140,'Données projet'!$B$140,CT94+CS95-DB94)))</f>
        <v>362.82800000000026</v>
      </c>
      <c r="CU95" s="17">
        <f>CT95*VLOOKUP('Données projet'!$B$13,Paramètres!$A$1:$I$89,3,0)*VLOOKUP('Données projet'!$B$13,Paramètres!$A$1:$I$89,5,0)</f>
        <v>345.26712480000026</v>
      </c>
      <c r="CV95" s="13">
        <f t="shared" si="95"/>
        <v>80.587192214923689</v>
      </c>
      <c r="CW95" s="20">
        <f t="shared" si="67"/>
        <v>741.69626880099247</v>
      </c>
      <c r="CX95" s="59">
        <f t="shared" si="68"/>
        <v>1016.7065708441041</v>
      </c>
      <c r="CY95" s="59">
        <f ca="1">AVERAGE(OFFSET($CX$3,0,0,'Données projet'!$E$13+1,1))-AVERAGE(OFFSET($H$3,0,0,'Données projet'!$E$13+1,1))</f>
        <v>697.21496579281836</v>
      </c>
      <c r="CZ95" s="59">
        <f t="shared" si="96"/>
        <v>215.64914236153456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76.866047460665357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76.866047460665357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319</v>
      </c>
      <c r="DP95" s="17">
        <f>DO95*VLOOKUP('Données projet'!$B$14,Paramètres!$A$1:$I$89,3,0)*VLOOKUP('Données projet'!$B$14,Paramètres!$A$1:$I$89,5,0)</f>
        <v>278.67840000000001</v>
      </c>
      <c r="DQ95" s="13">
        <f t="shared" si="97"/>
        <v>66.687639951856809</v>
      </c>
      <c r="DR95" s="20">
        <f t="shared" si="70"/>
        <v>601.51251958281728</v>
      </c>
      <c r="DS95" s="59">
        <f t="shared" si="71"/>
        <v>876.52282162592905</v>
      </c>
      <c r="DT95" s="59">
        <f ca="1">AVERAGE(OFFSET($DS$3,0,0,'Données projet'!$E$14+1,1))-AVERAGE(OFFSET($H$3,0,0,'Données projet'!$E$14+1,1))</f>
        <v>408.24135864450221</v>
      </c>
      <c r="DU95" s="59">
        <f t="shared" si="98"/>
        <v>394.10236303013903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46.031998646382313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46.031998646382313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853.00000000000011</v>
      </c>
      <c r="O96" s="13">
        <f>N96*VLOOKUP('Données projet'!$B$9,Paramètres!$A$1:$I$89,3,0)*VLOOKUP('Données projet'!$B$9,Paramètres!$A$1:$I$89,5,0)</f>
        <v>399.20400000000006</v>
      </c>
      <c r="P96" s="13">
        <f t="shared" si="87"/>
        <v>91.615269732888521</v>
      </c>
      <c r="Q96" s="20">
        <f t="shared" si="54"/>
        <v>854.8435614514475</v>
      </c>
      <c r="R96" s="59">
        <f t="shared" si="55"/>
        <v>1130.1717271232835</v>
      </c>
      <c r="S96" s="59">
        <f ca="1">AVERAGE(OFFSET($R$3,0,0,'Données projet'!$E$9+1,1))-AVERAGE(OFFSET($H$3,0,0,'Données projet'!$E$9+1,1))</f>
        <v>512.58510468904342</v>
      </c>
      <c r="T96" s="59">
        <f t="shared" si="88"/>
        <v>443.6106696463529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107.13433586441154</v>
      </c>
      <c r="AA96" s="21">
        <f>EXP(-LN(2)/25)*AA95+(1-EXP(-LN(2)/25))/(LN(2)/25)*Calculateur!V96*Calculateur!X96*VLOOKUP('Données projet'!$B$9,Paramètres!$A$1:$I$89,3,0)*0.475*44/12</f>
        <v>8.540595025847173</v>
      </c>
      <c r="AB96" s="21">
        <f>EXP(-LN(2)/2)*AB95+(1-EXP(-LN(2)/2))/(LN(2)/2)*V96*Y96*VLOOKUP('Données projet'!$B$9,Paramètres!$A$1:$I$89,3,0)*0.475*44/12</f>
        <v>2.6716688726962747E-10</v>
      </c>
      <c r="AC96" s="22">
        <f t="shared" si="57"/>
        <v>115.67493089052587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325.08839999999992</v>
      </c>
      <c r="AK96" s="13">
        <f t="shared" si="89"/>
        <v>76.411120176279823</v>
      </c>
      <c r="AL96" s="20">
        <f t="shared" si="58"/>
        <v>699.27833097368728</v>
      </c>
      <c r="AM96" s="59">
        <f t="shared" si="59"/>
        <v>974.60649664552329</v>
      </c>
      <c r="AN96" s="59">
        <f ca="1">AVERAGE(OFFSET($AM$3,0,0,'Données projet'!$E$10+1,1))-AVERAGE(OFFSET($H$3,0,0,'Données projet'!$E$10+1,1))</f>
        <v>520.95202773768222</v>
      </c>
      <c r="AO96" s="59">
        <f t="shared" si="90"/>
        <v>325.72635759450861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93.787541609838584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93.787541609838584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689</v>
      </c>
      <c r="BE96" s="13">
        <f>BD96*VLOOKUP('Données projet'!$B$11,Paramètres!$A$1:$I$89,3,0)*VLOOKUP('Données projet'!$B$11,Paramètres!$A$1:$I$89,5,0)</f>
        <v>412.02199999999999</v>
      </c>
      <c r="BF96" s="13">
        <f t="shared" si="91"/>
        <v>94.209724877926391</v>
      </c>
      <c r="BG96" s="20">
        <f t="shared" si="61"/>
        <v>881.686920829055</v>
      </c>
      <c r="BH96" s="59">
        <f t="shared" si="62"/>
        <v>1157.0150865008909</v>
      </c>
      <c r="BI96" s="59">
        <f ca="1">AVERAGE(OFFSET($BH$3,0,0,'Données projet'!$E$11+1,1))-AVERAGE(OFFSET($H$3,0,0,'Données projet'!$E$11+1,1))</f>
        <v>528.71639224940395</v>
      </c>
      <c r="BJ96" s="59">
        <f t="shared" si="92"/>
        <v>460.93390058676493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75.656225238028426</v>
      </c>
      <c r="BQ96" s="21">
        <f>EXP(-LN(2)/25)*BQ95+(1-EXP(-LN(2)/25))/(LN(2)/25)*Calculateur!BL96*Calculateur!BN96*VLOOKUP('Données projet'!$B$11,Paramètres!$A$1:$I$89,3,0)*0.475*44/12</f>
        <v>10.26518017852103</v>
      </c>
      <c r="BR96" s="21">
        <f>EXP(-LN(2)/2)*BR95+(1-EXP(-LN(2)/2))/(LN(2)/2)*BL96*BO96*VLOOKUP('Données projet'!$B$11,Paramètres!$A$1:$I$89,3,0)*0.475*44/12</f>
        <v>1.7242289313601906E-11</v>
      </c>
      <c r="BS96" s="22">
        <f t="shared" si="63"/>
        <v>85.921405416566699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</v>
      </c>
      <c r="BY96" s="12">
        <f>IF('Données projet'!$A$114&gt;35,BY95+BX96-CG95,IF(A96&lt;'Données projet'!$A$114,$BV$205^A96,IF(A96='Données projet'!$A$114,'Données projet'!$B$114,BY95+BX96-CG95)))</f>
        <v>268.99999999999983</v>
      </c>
      <c r="BZ96" s="13">
        <f>BY96*VLOOKUP('Données projet'!$B$12,Paramètres!$A$1:$I$89,3,0)*VLOOKUP('Données projet'!$B$12,Paramètres!$A$1:$I$89,5,0)</f>
        <v>243.39119999999986</v>
      </c>
      <c r="CA96" s="13">
        <f t="shared" si="93"/>
        <v>59.168566788241527</v>
      </c>
      <c r="CB96" s="20">
        <f t="shared" si="64"/>
        <v>526.95826048952051</v>
      </c>
      <c r="CC96" s="59">
        <f t="shared" si="65"/>
        <v>802.28642616135653</v>
      </c>
      <c r="CD96" s="59">
        <f ca="1">AVERAGE(OFFSET($CC$3,0,0,'Données projet'!$E$12+1,1))-AVERAGE(OFFSET($H$3,0,0,'Données projet'!$E$12+1,1))</f>
        <v>398.11190027805549</v>
      </c>
      <c r="CE96" s="59">
        <f t="shared" si="94"/>
        <v>250.47702091764884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62.765508615815044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62.765508615815044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8.6509999999999998</v>
      </c>
      <c r="CT96" s="12">
        <f>IF('Données projet'!$A$140&gt;35,CT95+CS96-DB95,IF(A96&lt;'Données projet'!$A$140,$CQ$205^A96,IF(A96='Données projet'!$A$140,'Données projet'!$B$140,CT95+CS96-DB95)))</f>
        <v>371.47900000000027</v>
      </c>
      <c r="CU96" s="17">
        <f>CT96*VLOOKUP('Données projet'!$B$13,Paramètres!$A$1:$I$89,3,0)*VLOOKUP('Données projet'!$B$13,Paramètres!$A$1:$I$89,5,0)</f>
        <v>353.49941640000026</v>
      </c>
      <c r="CV96" s="13">
        <f t="shared" si="95"/>
        <v>82.282659670354974</v>
      </c>
      <c r="CW96" s="20">
        <f t="shared" si="67"/>
        <v>758.98711582253543</v>
      </c>
      <c r="CX96" s="59">
        <f t="shared" si="68"/>
        <v>1034.3152814943714</v>
      </c>
      <c r="CY96" s="59">
        <f ca="1">AVERAGE(OFFSET($CX$3,0,0,'Données projet'!$E$13+1,1))-AVERAGE(OFFSET($H$3,0,0,'Données projet'!$E$13+1,1))</f>
        <v>697.21496579281836</v>
      </c>
      <c r="CZ96" s="59">
        <f t="shared" si="96"/>
        <v>215.64914236153456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75.358751153621284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75.358751153621284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319</v>
      </c>
      <c r="DP96" s="17">
        <f>DO96*VLOOKUP('Données projet'!$B$14,Paramètres!$A$1:$I$89,3,0)*VLOOKUP('Données projet'!$B$14,Paramètres!$A$1:$I$89,5,0)</f>
        <v>278.67840000000001</v>
      </c>
      <c r="DQ96" s="13">
        <f t="shared" si="97"/>
        <v>66.687639951856809</v>
      </c>
      <c r="DR96" s="20">
        <f t="shared" si="70"/>
        <v>601.51251958281728</v>
      </c>
      <c r="DS96" s="59">
        <f t="shared" si="71"/>
        <v>876.84068525465318</v>
      </c>
      <c r="DT96" s="59">
        <f ca="1">AVERAGE(OFFSET($DS$3,0,0,'Données projet'!$E$14+1,1))-AVERAGE(OFFSET($H$3,0,0,'Données projet'!$E$14+1,1))</f>
        <v>408.24135864450221</v>
      </c>
      <c r="DU96" s="59">
        <f t="shared" si="98"/>
        <v>394.10236303013903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45.129339229673583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45.129339229673583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853.00000000000011</v>
      </c>
      <c r="O97" s="13">
        <f>N97*VLOOKUP('Données projet'!$B$9,Paramètres!$A$1:$I$89,3,0)*VLOOKUP('Données projet'!$B$9,Paramètres!$A$1:$I$89,5,0)</f>
        <v>399.20400000000006</v>
      </c>
      <c r="P97" s="13">
        <f t="shared" si="87"/>
        <v>91.615269732888521</v>
      </c>
      <c r="Q97" s="20">
        <f t="shared" si="54"/>
        <v>854.8435614514475</v>
      </c>
      <c r="R97" s="59">
        <f t="shared" si="55"/>
        <v>1130.484076528686</v>
      </c>
      <c r="S97" s="59">
        <f ca="1">AVERAGE(OFFSET($R$3,0,0,'Données projet'!$E$9+1,1))-AVERAGE(OFFSET($H$3,0,0,'Données projet'!$E$9+1,1))</f>
        <v>512.58510468904342</v>
      </c>
      <c r="T97" s="59">
        <f t="shared" si="88"/>
        <v>443.6106696463529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105.03349688360298</v>
      </c>
      <c r="AA97" s="21">
        <f>EXP(-LN(2)/25)*AA96+(1-EXP(-LN(2)/25))/(LN(2)/25)*Calculateur!V97*Calculateur!X97*VLOOKUP('Données projet'!$B$9,Paramètres!$A$1:$I$89,3,0)*0.475*44/12</f>
        <v>8.3070520057350095</v>
      </c>
      <c r="AB97" s="21">
        <f>EXP(-LN(2)/2)*AB96+(1-EXP(-LN(2)/2))/(LN(2)/2)*V97*Y97*VLOOKUP('Données projet'!$B$9,Paramètres!$A$1:$I$89,3,0)*0.475*44/12</f>
        <v>1.8891551769685549E-10</v>
      </c>
      <c r="AC97" s="22">
        <f t="shared" si="57"/>
        <v>113.3405488895269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331.37519999999989</v>
      </c>
      <c r="AK97" s="13">
        <f t="shared" si="89"/>
        <v>77.715352174616896</v>
      </c>
      <c r="AL97" s="20">
        <f t="shared" si="58"/>
        <v>712.49937837079085</v>
      </c>
      <c r="AM97" s="59">
        <f t="shared" si="59"/>
        <v>988.1398934480294</v>
      </c>
      <c r="AN97" s="59">
        <f ca="1">AVERAGE(OFFSET($AM$3,0,0,'Données projet'!$E$10+1,1))-AVERAGE(OFFSET($H$3,0,0,'Données projet'!$E$10+1,1))</f>
        <v>520.95202773768222</v>
      </c>
      <c r="AO97" s="59">
        <f t="shared" si="90"/>
        <v>325.72635759450861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91.948425123621533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91.948425123621533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689</v>
      </c>
      <c r="BE97" s="13">
        <f>BD97*VLOOKUP('Données projet'!$B$11,Paramètres!$A$1:$I$89,3,0)*VLOOKUP('Données projet'!$B$11,Paramètres!$A$1:$I$89,5,0)</f>
        <v>412.02199999999999</v>
      </c>
      <c r="BF97" s="13">
        <f t="shared" si="91"/>
        <v>94.209724877926391</v>
      </c>
      <c r="BG97" s="20">
        <f t="shared" si="61"/>
        <v>881.686920829055</v>
      </c>
      <c r="BH97" s="59">
        <f t="shared" si="62"/>
        <v>1157.3274359062934</v>
      </c>
      <c r="BI97" s="59">
        <f ca="1">AVERAGE(OFFSET($BH$3,0,0,'Données projet'!$E$11+1,1))-AVERAGE(OFFSET($H$3,0,0,'Données projet'!$E$11+1,1))</f>
        <v>528.71639224940395</v>
      </c>
      <c r="BJ97" s="59">
        <f t="shared" si="92"/>
        <v>460.93390058676493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74.172652806851573</v>
      </c>
      <c r="BQ97" s="21">
        <f>EXP(-LN(2)/25)*BQ96+(1-EXP(-LN(2)/25))/(LN(2)/25)*Calculateur!BL97*Calculateur!BN97*VLOOKUP('Données projet'!$B$11,Paramètres!$A$1:$I$89,3,0)*0.475*44/12</f>
        <v>9.9844782867170085</v>
      </c>
      <c r="BR97" s="21">
        <f>EXP(-LN(2)/2)*BR96+(1-EXP(-LN(2)/2))/(LN(2)/2)*BL97*BO97*VLOOKUP('Données projet'!$B$11,Paramètres!$A$1:$I$89,3,0)*0.475*44/12</f>
        <v>1.219213969682825E-11</v>
      </c>
      <c r="BS97" s="22">
        <f t="shared" si="63"/>
        <v>84.157131093580773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</v>
      </c>
      <c r="BY97" s="12">
        <f>IF('Données projet'!$A$114&gt;35,BY96+BX97-CG96,IF(A97&lt;'Données projet'!$A$114,$BV$205^A97,IF(A97='Données projet'!$A$114,'Données projet'!$B$114,BY96+BX97-CG96)))</f>
        <v>273.99999999999983</v>
      </c>
      <c r="BZ97" s="13">
        <f>BY97*VLOOKUP('Données projet'!$B$12,Paramètres!$A$1:$I$89,3,0)*VLOOKUP('Données projet'!$B$12,Paramètres!$A$1:$I$89,5,0)</f>
        <v>247.91519999999986</v>
      </c>
      <c r="CA97" s="13">
        <f t="shared" si="93"/>
        <v>60.139294964297406</v>
      </c>
      <c r="CB97" s="20">
        <f t="shared" si="64"/>
        <v>536.52824539615096</v>
      </c>
      <c r="CC97" s="59">
        <f t="shared" si="65"/>
        <v>812.16876047338951</v>
      </c>
      <c r="CD97" s="59">
        <f ca="1">AVERAGE(OFFSET($CC$3,0,0,'Données projet'!$E$12+1,1))-AVERAGE(OFFSET($H$3,0,0,'Données projet'!$E$12+1,1))</f>
        <v>398.11190027805549</v>
      </c>
      <c r="CE97" s="59">
        <f t="shared" si="94"/>
        <v>250.47702091764884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61.534715275039019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61.534715275039019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8.6509999999999998</v>
      </c>
      <c r="CS97" s="12">
        <f t="array" ref="CS97">INDEX(CR:CR,MIN(IF(ISNUMBER(CR97:CR293),ROW(CR97:CR293),"")))</f>
        <v>8.6509999999999998</v>
      </c>
      <c r="CT97" s="12">
        <f>IF('Données projet'!$A$140&gt;35,CT96+CS97-DB96,IF(A97&lt;'Données projet'!$A$140,$CQ$205^A97,IF(A97='Données projet'!$A$140,'Données projet'!$B$140,CT96+CS97-DB96)))</f>
        <v>380.13000000000028</v>
      </c>
      <c r="CU97" s="17">
        <f>CT97*VLOOKUP('Données projet'!$B$13,Paramètres!$A$1:$I$89,3,0)*VLOOKUP('Données projet'!$B$13,Paramètres!$A$1:$I$89,5,0)</f>
        <v>361.73170800000025</v>
      </c>
      <c r="CV97" s="13">
        <f t="shared" si="95"/>
        <v>83.973536969416926</v>
      </c>
      <c r="CW97" s="20">
        <f t="shared" si="67"/>
        <v>776.26996832173484</v>
      </c>
      <c r="CX97" s="59">
        <f t="shared" si="68"/>
        <v>1051.9104833989734</v>
      </c>
      <c r="CY97" s="59">
        <f ca="1">AVERAGE(OFFSET($CX$3,0,0,'Données projet'!$E$13+1,1))-AVERAGE(OFFSET($H$3,0,0,'Données projet'!$E$13+1,1))</f>
        <v>697.21496579281836</v>
      </c>
      <c r="CZ97" s="59">
        <f t="shared" si="96"/>
        <v>215.64914236153456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0.43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101.85856347268971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101.85856347268971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319</v>
      </c>
      <c r="DP97" s="17">
        <f>DO97*VLOOKUP('Données projet'!$B$14,Paramètres!$A$1:$I$89,3,0)*VLOOKUP('Données projet'!$B$14,Paramètres!$A$1:$I$89,5,0)</f>
        <v>278.67840000000001</v>
      </c>
      <c r="DQ97" s="13">
        <f t="shared" si="97"/>
        <v>66.687639951856809</v>
      </c>
      <c r="DR97" s="20">
        <f t="shared" si="70"/>
        <v>601.51251958281728</v>
      </c>
      <c r="DS97" s="59">
        <f t="shared" si="71"/>
        <v>877.15303466005571</v>
      </c>
      <c r="DT97" s="59">
        <f ca="1">AVERAGE(OFFSET($DS$3,0,0,'Données projet'!$E$14+1,1))-AVERAGE(OFFSET($H$3,0,0,'Données projet'!$E$14+1,1))</f>
        <v>408.24135864450221</v>
      </c>
      <c r="DU97" s="59">
        <f t="shared" si="98"/>
        <v>394.10236303013903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44.24438041355863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44.24438041355863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853.00000000000011</v>
      </c>
      <c r="O98" s="13">
        <f>N98*VLOOKUP('Données projet'!$B$9,Paramètres!$A$1:$I$89,3,0)*VLOOKUP('Données projet'!$B$9,Paramètres!$A$1:$I$89,5,0)</f>
        <v>399.20400000000006</v>
      </c>
      <c r="P98" s="13">
        <f t="shared" si="87"/>
        <v>91.615269732888521</v>
      </c>
      <c r="Q98" s="20">
        <f t="shared" si="54"/>
        <v>854.8435614514475</v>
      </c>
      <c r="R98" s="59">
        <f t="shared" si="55"/>
        <v>1130.7910073702135</v>
      </c>
      <c r="S98" s="59">
        <f ca="1">AVERAGE(OFFSET($R$3,0,0,'Données projet'!$E$9+1,1))-AVERAGE(OFFSET($H$3,0,0,'Données projet'!$E$9+1,1))</f>
        <v>512.58510468904342</v>
      </c>
      <c r="T98" s="59">
        <f t="shared" si="88"/>
        <v>443.6106696463529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102.97385407382282</v>
      </c>
      <c r="AA98" s="21">
        <f>EXP(-LN(2)/25)*AA97+(1-EXP(-LN(2)/25))/(LN(2)/25)*Calculateur!V98*Calculateur!X98*VLOOKUP('Données projet'!$B$9,Paramètres!$A$1:$I$89,3,0)*0.475*44/12</f>
        <v>8.0798952317893065</v>
      </c>
      <c r="AB98" s="21">
        <f>EXP(-LN(2)/2)*AB97+(1-EXP(-LN(2)/2))/(LN(2)/2)*V98*Y98*VLOOKUP('Données projet'!$B$9,Paramètres!$A$1:$I$89,3,0)*0.475*44/12</f>
        <v>1.3358344363481373E-10</v>
      </c>
      <c r="AC98" s="22">
        <f t="shared" si="57"/>
        <v>111.05374930574571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337.66199999999992</v>
      </c>
      <c r="AK98" s="13">
        <f t="shared" si="89"/>
        <v>79.016707002632685</v>
      </c>
      <c r="AL98" s="20">
        <f t="shared" si="58"/>
        <v>725.71541469625174</v>
      </c>
      <c r="AM98" s="59">
        <f t="shared" si="59"/>
        <v>1001.6628606150177</v>
      </c>
      <c r="AN98" s="59">
        <f ca="1">AVERAGE(OFFSET($AM$3,0,0,'Données projet'!$E$10+1,1))-AVERAGE(OFFSET($H$3,0,0,'Données projet'!$E$10+1,1))</f>
        <v>520.95202773768222</v>
      </c>
      <c r="AO98" s="59">
        <f t="shared" si="90"/>
        <v>325.72635759450861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103.6415740466997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103.6415740466997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689</v>
      </c>
      <c r="BE98" s="13">
        <f>BD98*VLOOKUP('Données projet'!$B$11,Paramètres!$A$1:$I$89,3,0)*VLOOKUP('Données projet'!$B$11,Paramètres!$A$1:$I$89,5,0)</f>
        <v>412.02199999999999</v>
      </c>
      <c r="BF98" s="13">
        <f t="shared" si="91"/>
        <v>94.209724877926391</v>
      </c>
      <c r="BG98" s="20">
        <f t="shared" si="61"/>
        <v>881.686920829055</v>
      </c>
      <c r="BH98" s="59">
        <f t="shared" si="62"/>
        <v>1157.6343667478209</v>
      </c>
      <c r="BI98" s="59">
        <f ca="1">AVERAGE(OFFSET($BH$3,0,0,'Données projet'!$E$11+1,1))-AVERAGE(OFFSET($H$3,0,0,'Données projet'!$E$11+1,1))</f>
        <v>528.71639224940395</v>
      </c>
      <c r="BJ98" s="59">
        <f t="shared" si="92"/>
        <v>460.93390058676493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72.718172326160257</v>
      </c>
      <c r="BQ98" s="21">
        <f>EXP(-LN(2)/25)*BQ97+(1-EXP(-LN(2)/25))/(LN(2)/25)*Calculateur!BL98*Calculateur!BN98*VLOOKUP('Données projet'!$B$11,Paramètres!$A$1:$I$89,3,0)*0.475*44/12</f>
        <v>9.7114522029058392</v>
      </c>
      <c r="BR98" s="21">
        <f>EXP(-LN(2)/2)*BR97+(1-EXP(-LN(2)/2))/(LN(2)/2)*BL98*BO98*VLOOKUP('Données projet'!$B$11,Paramètres!$A$1:$I$89,3,0)*0.475*44/12</f>
        <v>8.621144656800953E-12</v>
      </c>
      <c r="BS98" s="22">
        <f t="shared" si="63"/>
        <v>82.429624529074729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279</v>
      </c>
      <c r="BW98" s="12">
        <f>VLOOKUP(A98,'Données projet'!$A$113:$I$133,9,0)</f>
        <v>5</v>
      </c>
      <c r="BX98" s="12">
        <f t="array" ref="BX98">INDEX(BW:BW,MIN(IF(ISNUMBER(BW98:BW294),ROW(BW98:BW294),"")))</f>
        <v>5</v>
      </c>
      <c r="BY98" s="12">
        <f>IF('Données projet'!$A$114&gt;35,BY97+BX98-CG97,IF(A98&lt;'Données projet'!$A$114,$BV$205^A98,IF(A98='Données projet'!$A$114,'Données projet'!$B$114,BY97+BX98-CG97)))</f>
        <v>278.99999999999983</v>
      </c>
      <c r="BZ98" s="13">
        <f>BY98*VLOOKUP('Données projet'!$B$12,Paramètres!$A$1:$I$89,3,0)*VLOOKUP('Données projet'!$B$12,Paramètres!$A$1:$I$89,5,0)</f>
        <v>252.43919999999983</v>
      </c>
      <c r="CA98" s="13">
        <f t="shared" si="93"/>
        <v>61.107963296116218</v>
      </c>
      <c r="CB98" s="20">
        <f t="shared" si="64"/>
        <v>546.09464274073537</v>
      </c>
      <c r="CC98" s="59">
        <f t="shared" si="65"/>
        <v>822.04208865950136</v>
      </c>
      <c r="CD98" s="59">
        <f ca="1">AVERAGE(OFFSET($CC$3,0,0,'Données projet'!$E$12+1,1))-AVERAGE(OFFSET($H$3,0,0,'Données projet'!$E$12+1,1))</f>
        <v>398.11190027805549</v>
      </c>
      <c r="CE98" s="59">
        <f t="shared" si="94"/>
        <v>250.47702091764884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21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69.360130323560554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69.360130323560554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8.3920000000000012</v>
      </c>
      <c r="CT98" s="12">
        <f>IF('Données projet'!$A$140&gt;35,CT97+CS98-DB97,IF(A98&lt;'Données projet'!$A$140,$CQ$205^A98,IF(A98='Données projet'!$A$140,'Données projet'!$B$140,CT97+CS98-DB97)))</f>
        <v>326.67200000000025</v>
      </c>
      <c r="CU98" s="17">
        <f>CT98*VLOOKUP('Données projet'!$B$13,Paramètres!$A$1:$I$89,3,0)*VLOOKUP('Données projet'!$B$13,Paramètres!$A$1:$I$89,5,0)</f>
        <v>310.86107520000024</v>
      </c>
      <c r="CV98" s="13">
        <f t="shared" si="95"/>
        <v>73.448627904500142</v>
      </c>
      <c r="CW98" s="20">
        <f t="shared" si="67"/>
        <v>669.33939957367147</v>
      </c>
      <c r="CX98" s="59">
        <f t="shared" si="68"/>
        <v>945.28684549243735</v>
      </c>
      <c r="CY98" s="59">
        <f ca="1">AVERAGE(OFFSET($CX$3,0,0,'Données projet'!$E$13+1,1))-AVERAGE(OFFSET($H$3,0,0,'Données projet'!$E$13+1,1))</f>
        <v>697.21496579281836</v>
      </c>
      <c r="CZ98" s="59">
        <f t="shared" si="96"/>
        <v>215.64914236153456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99.861179170579391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99.861179170579391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319</v>
      </c>
      <c r="DP98" s="17">
        <f>DO98*VLOOKUP('Données projet'!$B$14,Paramètres!$A$1:$I$89,3,0)*VLOOKUP('Données projet'!$B$14,Paramètres!$A$1:$I$89,5,0)</f>
        <v>278.67840000000001</v>
      </c>
      <c r="DQ98" s="13">
        <f t="shared" si="97"/>
        <v>66.687639951856809</v>
      </c>
      <c r="DR98" s="20">
        <f t="shared" si="70"/>
        <v>601.51251958281728</v>
      </c>
      <c r="DS98" s="59">
        <f t="shared" si="71"/>
        <v>877.45996550158316</v>
      </c>
      <c r="DT98" s="59">
        <f ca="1">AVERAGE(OFFSET($DS$3,0,0,'Données projet'!$E$14+1,1))-AVERAGE(OFFSET($H$3,0,0,'Données projet'!$E$14+1,1))</f>
        <v>408.24135864450221</v>
      </c>
      <c r="DU98" s="59">
        <f t="shared" si="98"/>
        <v>394.10236303013903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43.376775100056115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43.376775100056115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853.00000000000011</v>
      </c>
      <c r="O99" s="13">
        <f>N99*VLOOKUP('Données projet'!$B$9,Paramètres!$A$1:$I$89,3,0)*VLOOKUP('Données projet'!$B$9,Paramètres!$A$1:$I$89,5,0)</f>
        <v>399.20400000000006</v>
      </c>
      <c r="P99" s="13">
        <f t="shared" si="87"/>
        <v>91.615269732888521</v>
      </c>
      <c r="Q99" s="20">
        <f t="shared" ref="Q99:Q130" si="107">(O99+P99)*0.475*44/12</f>
        <v>854.8435614514475</v>
      </c>
      <c r="R99" s="59">
        <f t="shared" si="55"/>
        <v>1131.0926136478349</v>
      </c>
      <c r="S99" s="59">
        <f ca="1">AVERAGE(OFFSET($R$3,0,0,'Données projet'!$E$9+1,1))-AVERAGE(OFFSET($H$3,0,0,'Données projet'!$E$9+1,1))</f>
        <v>512.58510468904342</v>
      </c>
      <c r="T99" s="59">
        <f t="shared" si="88"/>
        <v>443.6106696463529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100.95459960328438</v>
      </c>
      <c r="AA99" s="21">
        <f>EXP(-LN(2)/25)*AA98+(1-EXP(-LN(2)/25))/(LN(2)/25)*Calculateur!V99*Calculateur!X99*VLOOKUP('Données projet'!$B$9,Paramètres!$A$1:$I$89,3,0)*0.475*44/12</f>
        <v>7.8589500717728047</v>
      </c>
      <c r="AB99" s="21">
        <f>EXP(-LN(2)/2)*AB98+(1-EXP(-LN(2)/2))/(LN(2)/2)*V99*Y99*VLOOKUP('Données projet'!$B$9,Paramètres!$A$1:$I$89,3,0)*0.475*44/12</f>
        <v>9.4457758848427743E-11</v>
      </c>
      <c r="AC99" s="22">
        <f t="shared" si="57"/>
        <v>108.81354967515165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314.94839999999994</v>
      </c>
      <c r="AK99" s="13">
        <f t="shared" si="89"/>
        <v>74.301298626081149</v>
      </c>
      <c r="AL99" s="20">
        <f t="shared" si="58"/>
        <v>677.94322510709128</v>
      </c>
      <c r="AM99" s="59">
        <f t="shared" si="59"/>
        <v>954.1922773034787</v>
      </c>
      <c r="AN99" s="59">
        <f ca="1">AVERAGE(OFFSET($AM$3,0,0,'Données projet'!$E$10+1,1))-AVERAGE(OFFSET($H$3,0,0,'Données projet'!$E$10+1,1))</f>
        <v>520.95202773768222</v>
      </c>
      <c r="AO99" s="59">
        <f t="shared" si="90"/>
        <v>325.72635759450861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101.60922599476211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101.60922599476211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689</v>
      </c>
      <c r="BE99" s="13">
        <f>BD99*VLOOKUP('Données projet'!$B$11,Paramètres!$A$1:$I$89,3,0)*VLOOKUP('Données projet'!$B$11,Paramètres!$A$1:$I$89,5,0)</f>
        <v>412.02199999999999</v>
      </c>
      <c r="BF99" s="13">
        <f t="shared" si="91"/>
        <v>94.209724877926391</v>
      </c>
      <c r="BG99" s="20">
        <f t="shared" si="61"/>
        <v>881.686920829055</v>
      </c>
      <c r="BH99" s="59">
        <f t="shared" si="62"/>
        <v>1157.9359730254423</v>
      </c>
      <c r="BI99" s="59">
        <f ca="1">AVERAGE(OFFSET($BH$3,0,0,'Données projet'!$E$11+1,1))-AVERAGE(OFFSET($H$3,0,0,'Données projet'!$E$11+1,1))</f>
        <v>528.71639224940395</v>
      </c>
      <c r="BJ99" s="59">
        <f t="shared" si="92"/>
        <v>460.93390058676493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71.292213320549806</v>
      </c>
      <c r="BQ99" s="21">
        <f>EXP(-LN(2)/25)*BQ98+(1-EXP(-LN(2)/25))/(LN(2)/25)*Calculateur!BL99*Calculateur!BN99*VLOOKUP('Données projet'!$B$11,Paramètres!$A$1:$I$89,3,0)*0.475*44/12</f>
        <v>9.4458920317143029</v>
      </c>
      <c r="BR99" s="21">
        <f>EXP(-LN(2)/2)*BR98+(1-EXP(-LN(2)/2))/(LN(2)/2)*BL99*BO99*VLOOKUP('Données projet'!$B$11,Paramètres!$A$1:$I$89,3,0)*0.475*44/12</f>
        <v>6.0960698484141249E-12</v>
      </c>
      <c r="BS99" s="22">
        <f t="shared" si="63"/>
        <v>80.73810535227021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4.8</v>
      </c>
      <c r="BY99" s="12">
        <f>IF('Données projet'!$A$114&gt;35,BY98+BX99-CG98,IF(A99&lt;'Données projet'!$A$114,$BV$205^A99,IF(A99='Données projet'!$A$114,'Données projet'!$B$114,BY98+BX99-CG98)))</f>
        <v>262.79999999999984</v>
      </c>
      <c r="BZ99" s="13">
        <f>BY99*VLOOKUP('Données projet'!$B$12,Paramètres!$A$1:$I$89,3,0)*VLOOKUP('Données projet'!$B$12,Paramètres!$A$1:$I$89,5,0)</f>
        <v>237.78143999999983</v>
      </c>
      <c r="CA99" s="13">
        <f t="shared" si="93"/>
        <v>57.9619387969109</v>
      </c>
      <c r="CB99" s="20">
        <f t="shared" si="64"/>
        <v>515.08638473795281</v>
      </c>
      <c r="CC99" s="59">
        <f t="shared" si="65"/>
        <v>791.33543693434024</v>
      </c>
      <c r="CD99" s="59">
        <f ca="1">AVERAGE(OFFSET($CC$3,0,0,'Données projet'!$E$12+1,1))-AVERAGE(OFFSET($H$3,0,0,'Données projet'!$E$12+1,1))</f>
        <v>398.11190027805549</v>
      </c>
      <c r="CE99" s="59">
        <f t="shared" si="94"/>
        <v>250.47702091764884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68.000020473417706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68.000020473417706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8.3920000000000012</v>
      </c>
      <c r="CT99" s="12">
        <f>IF('Données projet'!$A$140&gt;35,CT98+CS99-DB98,IF(A99&lt;'Données projet'!$A$140,$CQ$205^A99,IF(A99='Données projet'!$A$140,'Données projet'!$B$140,CT98+CS99-DB98)))</f>
        <v>335.06400000000025</v>
      </c>
      <c r="CU99" s="17">
        <f>CT99*VLOOKUP('Données projet'!$B$13,Paramètres!$A$1:$I$89,3,0)*VLOOKUP('Données projet'!$B$13,Paramètres!$A$1:$I$89,5,0)</f>
        <v>318.8469024000002</v>
      </c>
      <c r="CV99" s="13">
        <f t="shared" si="95"/>
        <v>75.113378897482889</v>
      </c>
      <c r="CW99" s="20">
        <f t="shared" si="67"/>
        <v>686.14748992644957</v>
      </c>
      <c r="CX99" s="59">
        <f t="shared" si="68"/>
        <v>962.39654212283699</v>
      </c>
      <c r="CY99" s="59">
        <f ca="1">AVERAGE(OFFSET($CX$3,0,0,'Données projet'!$E$13+1,1))-AVERAGE(OFFSET($H$3,0,0,'Données projet'!$E$13+1,1))</f>
        <v>697.21496579281836</v>
      </c>
      <c r="CZ99" s="59">
        <f t="shared" si="96"/>
        <v>215.64914236153456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97.902962356349335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97.902962356349335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319</v>
      </c>
      <c r="DP99" s="17">
        <f>DO99*VLOOKUP('Données projet'!$B$14,Paramètres!$A$1:$I$89,3,0)*VLOOKUP('Données projet'!$B$14,Paramètres!$A$1:$I$89,5,0)</f>
        <v>278.67840000000001</v>
      </c>
      <c r="DQ99" s="13">
        <f t="shared" si="97"/>
        <v>66.687639951856809</v>
      </c>
      <c r="DR99" s="20">
        <f t="shared" si="70"/>
        <v>601.51251958281728</v>
      </c>
      <c r="DS99" s="59">
        <f t="shared" si="71"/>
        <v>877.7615717792047</v>
      </c>
      <c r="DT99" s="59">
        <f ca="1">AVERAGE(OFFSET($DS$3,0,0,'Données projet'!$E$14+1,1))-AVERAGE(OFFSET($H$3,0,0,'Données projet'!$E$14+1,1))</f>
        <v>408.24135864450221</v>
      </c>
      <c r="DU99" s="59">
        <f t="shared" si="98"/>
        <v>394.10236303013903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42.526182997564391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42.526182997564391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853.00000000000011</v>
      </c>
      <c r="O100" s="13">
        <f>N100*VLOOKUP('Données projet'!$B$9,Paramètres!$A$1:$I$89,3,0)*VLOOKUP('Données projet'!$B$9,Paramètres!$A$1:$I$89,5,0)</f>
        <v>399.20400000000006</v>
      </c>
      <c r="P100" s="13">
        <f t="shared" si="87"/>
        <v>91.615269732888521</v>
      </c>
      <c r="Q100" s="20">
        <f t="shared" si="107"/>
        <v>854.8435614514475</v>
      </c>
      <c r="R100" s="59">
        <f t="shared" si="55"/>
        <v>1131.3889877308302</v>
      </c>
      <c r="S100" s="59">
        <f ca="1">AVERAGE(OFFSET($R$3,0,0,'Données projet'!$E$9+1,1))-AVERAGE(OFFSET($H$3,0,0,'Données projet'!$E$9+1,1))</f>
        <v>512.58510468904342</v>
      </c>
      <c r="T100" s="59">
        <f t="shared" si="88"/>
        <v>443.6106696463529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98.974941481289576</v>
      </c>
      <c r="AA100" s="21">
        <f>EXP(-LN(2)/25)*AA99+(1-EXP(-LN(2)/25))/(LN(2)/25)*Calculateur!V100*Calculateur!X100*VLOOKUP('Données projet'!$B$9,Paramètres!$A$1:$I$89,3,0)*0.475*44/12</f>
        <v>7.644046668775955</v>
      </c>
      <c r="AB100" s="21">
        <f>EXP(-LN(2)/2)*AB99+(1-EXP(-LN(2)/2))/(LN(2)/2)*V100*Y100*VLOOKUP('Données projet'!$B$9,Paramètres!$A$1:$I$89,3,0)*0.475*44/12</f>
        <v>6.6791721817406867E-11</v>
      </c>
      <c r="AC100" s="22">
        <f t="shared" si="57"/>
        <v>106.61898815013232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320.62679999999995</v>
      </c>
      <c r="AK100" s="13">
        <f t="shared" si="89"/>
        <v>75.483756735990909</v>
      </c>
      <c r="AL100" s="20">
        <f t="shared" si="58"/>
        <v>689.89255298185071</v>
      </c>
      <c r="AM100" s="59">
        <f t="shared" si="59"/>
        <v>966.43797926123352</v>
      </c>
      <c r="AN100" s="59">
        <f ca="1">AVERAGE(OFFSET($AM$3,0,0,'Données projet'!$E$10+1,1))-AVERAGE(OFFSET($H$3,0,0,'Données projet'!$E$10+1,1))</f>
        <v>520.95202773768222</v>
      </c>
      <c r="AO100" s="59">
        <f t="shared" si="90"/>
        <v>325.72635759450861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99.616731048513117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99.616731048513117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689</v>
      </c>
      <c r="BE100" s="13">
        <f>BD100*VLOOKUP('Données projet'!$B$11,Paramètres!$A$1:$I$89,3,0)*VLOOKUP('Données projet'!$B$11,Paramètres!$A$1:$I$89,5,0)</f>
        <v>412.02199999999999</v>
      </c>
      <c r="BF100" s="13">
        <f t="shared" si="91"/>
        <v>94.209724877926391</v>
      </c>
      <c r="BG100" s="20">
        <f t="shared" si="61"/>
        <v>881.686920829055</v>
      </c>
      <c r="BH100" s="59">
        <f t="shared" si="62"/>
        <v>1158.2323471084378</v>
      </c>
      <c r="BI100" s="59">
        <f ca="1">AVERAGE(OFFSET($BH$3,0,0,'Données projet'!$E$11+1,1))-AVERAGE(OFFSET($H$3,0,0,'Données projet'!$E$11+1,1))</f>
        <v>528.71639224940395</v>
      </c>
      <c r="BJ100" s="59">
        <f t="shared" si="92"/>
        <v>460.93390058676493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69.894216501290259</v>
      </c>
      <c r="BQ100" s="21">
        <f>EXP(-LN(2)/25)*BQ99+(1-EXP(-LN(2)/25))/(LN(2)/25)*Calculateur!BL100*Calculateur!BN100*VLOOKUP('Données projet'!$B$11,Paramètres!$A$1:$I$89,3,0)*0.475*44/12</f>
        <v>9.1875936173692025</v>
      </c>
      <c r="BR100" s="21">
        <f>EXP(-LN(2)/2)*BR99+(1-EXP(-LN(2)/2))/(LN(2)/2)*BL100*BO100*VLOOKUP('Données projet'!$B$11,Paramètres!$A$1:$I$89,3,0)*0.475*44/12</f>
        <v>4.3105723284004765E-12</v>
      </c>
      <c r="BS100" s="22">
        <f t="shared" si="63"/>
        <v>79.081810118663768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4.8</v>
      </c>
      <c r="BY100" s="12">
        <f>IF('Données projet'!$A$114&gt;35,BY99+BX100-CG99,IF(A100&lt;'Données projet'!$A$114,$BV$205^A100,IF(A100='Données projet'!$A$114,'Données projet'!$B$114,BY99+BX100-CG99)))</f>
        <v>267.59999999999985</v>
      </c>
      <c r="BZ100" s="13">
        <f>BY100*VLOOKUP('Données projet'!$B$12,Paramètres!$A$1:$I$89,3,0)*VLOOKUP('Données projet'!$B$12,Paramètres!$A$1:$I$89,5,0)</f>
        <v>242.12447999999986</v>
      </c>
      <c r="CA100" s="13">
        <f t="shared" si="93"/>
        <v>58.896387987806008</v>
      </c>
      <c r="CB100" s="20">
        <f t="shared" si="64"/>
        <v>524.27801174542856</v>
      </c>
      <c r="CC100" s="59">
        <f t="shared" si="65"/>
        <v>800.82343802481137</v>
      </c>
      <c r="CD100" s="59">
        <f ca="1">AVERAGE(OFFSET($CC$3,0,0,'Données projet'!$E$12+1,1))-AVERAGE(OFFSET($H$3,0,0,'Données projet'!$E$12+1,1))</f>
        <v>398.11190027805549</v>
      </c>
      <c r="CE100" s="59">
        <f t="shared" si="94"/>
        <v>250.47702091764884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66.666581547851067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66.666581547851067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8.3920000000000012</v>
      </c>
      <c r="CT100" s="12">
        <f>IF('Données projet'!$A$140&gt;35,CT99+CS100-DB99,IF(A100&lt;'Données projet'!$A$140,$CQ$205^A100,IF(A100='Données projet'!$A$140,'Données projet'!$B$140,CT99+CS100-DB99)))</f>
        <v>343.45600000000024</v>
      </c>
      <c r="CU100" s="17">
        <f>CT100*VLOOKUP('Données projet'!$B$13,Paramètres!$A$1:$I$89,3,0)*VLOOKUP('Données projet'!$B$13,Paramètres!$A$1:$I$89,5,0)</f>
        <v>326.83272960000022</v>
      </c>
      <c r="CV100" s="13">
        <f t="shared" si="95"/>
        <v>76.773283091004146</v>
      </c>
      <c r="CW100" s="20">
        <f t="shared" si="67"/>
        <v>702.94713877016591</v>
      </c>
      <c r="CX100" s="59">
        <f t="shared" si="68"/>
        <v>979.49256504954872</v>
      </c>
      <c r="CY100" s="59">
        <f ca="1">AVERAGE(OFFSET($CX$3,0,0,'Données projet'!$E$13+1,1))-AVERAGE(OFFSET($H$3,0,0,'Données projet'!$E$13+1,1))</f>
        <v>697.21496579281836</v>
      </c>
      <c r="CZ100" s="59">
        <f t="shared" si="96"/>
        <v>215.64914236153456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95.983144979452007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95.983144979452007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319</v>
      </c>
      <c r="DP100" s="17">
        <f>DO100*VLOOKUP('Données projet'!$B$14,Paramètres!$A$1:$I$89,3,0)*VLOOKUP('Données projet'!$B$14,Paramètres!$A$1:$I$89,5,0)</f>
        <v>278.67840000000001</v>
      </c>
      <c r="DQ100" s="13">
        <f t="shared" si="97"/>
        <v>66.687639951856809</v>
      </c>
      <c r="DR100" s="20">
        <f t="shared" si="70"/>
        <v>601.51251958281728</v>
      </c>
      <c r="DS100" s="59">
        <f t="shared" si="71"/>
        <v>878.05794586220009</v>
      </c>
      <c r="DT100" s="59">
        <f ca="1">AVERAGE(OFFSET($DS$3,0,0,'Données projet'!$E$14+1,1))-AVERAGE(OFFSET($H$3,0,0,'Données projet'!$E$14+1,1))</f>
        <v>408.24135864450221</v>
      </c>
      <c r="DU100" s="59">
        <f t="shared" si="98"/>
        <v>394.10236303013903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41.692270487392577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41.692270487392577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853.00000000000011</v>
      </c>
      <c r="O101" s="13">
        <f>N101*VLOOKUP('Données projet'!$B$9,Paramètres!$A$1:$I$89,3,0)*VLOOKUP('Données projet'!$B$9,Paramètres!$A$1:$I$89,5,0)</f>
        <v>399.20400000000006</v>
      </c>
      <c r="P101" s="13">
        <f t="shared" si="87"/>
        <v>91.615269732888521</v>
      </c>
      <c r="Q101" s="20">
        <f t="shared" si="107"/>
        <v>854.8435614514475</v>
      </c>
      <c r="R101" s="59">
        <f t="shared" si="55"/>
        <v>1131.6802203860789</v>
      </c>
      <c r="S101" s="59">
        <f ca="1">AVERAGE(OFFSET($R$3,0,0,'Données projet'!$E$9+1,1))-AVERAGE(OFFSET($H$3,0,0,'Données projet'!$E$9+1,1))</f>
        <v>512.58510468904342</v>
      </c>
      <c r="T101" s="59">
        <f t="shared" si="88"/>
        <v>443.6106696463529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97.034103247594871</v>
      </c>
      <c r="AA101" s="21">
        <f>EXP(-LN(2)/25)*AA100+(1-EXP(-LN(2)/25))/(LN(2)/25)*Calculateur!V101*Calculateur!X101*VLOOKUP('Données projet'!$B$9,Paramètres!$A$1:$I$89,3,0)*0.475*44/12</f>
        <v>7.4350198106353327</v>
      </c>
      <c r="AB101" s="21">
        <f>EXP(-LN(2)/2)*AB100+(1-EXP(-LN(2)/2))/(LN(2)/2)*V101*Y101*VLOOKUP('Données projet'!$B$9,Paramètres!$A$1:$I$89,3,0)*0.475*44/12</f>
        <v>4.7228879424213871E-11</v>
      </c>
      <c r="AC101" s="22">
        <f t="shared" si="57"/>
        <v>104.46912305827743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326.30520000000001</v>
      </c>
      <c r="AK101" s="13">
        <f t="shared" si="89"/>
        <v>76.663779608302349</v>
      </c>
      <c r="AL101" s="20">
        <f t="shared" si="58"/>
        <v>701.83763948445983</v>
      </c>
      <c r="AM101" s="59">
        <f t="shared" si="59"/>
        <v>978.6742984190912</v>
      </c>
      <c r="AN101" s="59">
        <f ca="1">AVERAGE(OFFSET($AM$3,0,0,'Données projet'!$E$10+1,1))-AVERAGE(OFFSET($H$3,0,0,'Données projet'!$E$10+1,1))</f>
        <v>520.95202773768222</v>
      </c>
      <c r="AO101" s="59">
        <f t="shared" si="90"/>
        <v>325.72635759450861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97.663307712858142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97.663307712858142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689</v>
      </c>
      <c r="BE101" s="13">
        <f>BD101*VLOOKUP('Données projet'!$B$11,Paramètres!$A$1:$I$89,3,0)*VLOOKUP('Données projet'!$B$11,Paramètres!$A$1:$I$89,5,0)</f>
        <v>412.02199999999999</v>
      </c>
      <c r="BF101" s="13">
        <f t="shared" si="91"/>
        <v>94.209724877926391</v>
      </c>
      <c r="BG101" s="20">
        <f t="shared" si="61"/>
        <v>881.686920829055</v>
      </c>
      <c r="BH101" s="59">
        <f t="shared" si="62"/>
        <v>1158.5235797636865</v>
      </c>
      <c r="BI101" s="59">
        <f ca="1">AVERAGE(OFFSET($BH$3,0,0,'Données projet'!$E$11+1,1))-AVERAGE(OFFSET($H$3,0,0,'Données projet'!$E$11+1,1))</f>
        <v>528.71639224940395</v>
      </c>
      <c r="BJ101" s="59">
        <f t="shared" si="92"/>
        <v>460.93390058676493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68.523633546962529</v>
      </c>
      <c r="BQ101" s="21">
        <f>EXP(-LN(2)/25)*BQ100+(1-EXP(-LN(2)/25))/(LN(2)/25)*Calculateur!BL101*Calculateur!BN101*VLOOKUP('Données projet'!$B$11,Paramètres!$A$1:$I$89,3,0)*0.475*44/12</f>
        <v>8.9363583867476919</v>
      </c>
      <c r="BR101" s="21">
        <f>EXP(-LN(2)/2)*BR100+(1-EXP(-LN(2)/2))/(LN(2)/2)*BL101*BO101*VLOOKUP('Données projet'!$B$11,Paramètres!$A$1:$I$89,3,0)*0.475*44/12</f>
        <v>3.0480349242070625E-12</v>
      </c>
      <c r="BS101" s="22">
        <f t="shared" si="63"/>
        <v>77.459991933713269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4.8</v>
      </c>
      <c r="BY101" s="12">
        <f>IF('Données projet'!$A$114&gt;35,BY100+BX101-CG100,IF(A101&lt;'Données projet'!$A$114,$BV$205^A101,IF(A101='Données projet'!$A$114,'Données projet'!$B$114,BY100+BX101-CG100)))</f>
        <v>272.39999999999986</v>
      </c>
      <c r="BZ101" s="13">
        <f>BY101*VLOOKUP('Données projet'!$B$12,Paramètres!$A$1:$I$89,3,0)*VLOOKUP('Données projet'!$B$12,Paramètres!$A$1:$I$89,5,0)</f>
        <v>246.46751999999987</v>
      </c>
      <c r="CA101" s="13">
        <f t="shared" si="93"/>
        <v>59.828888074216977</v>
      </c>
      <c r="CB101" s="20">
        <f t="shared" si="64"/>
        <v>533.46624406259423</v>
      </c>
      <c r="CC101" s="59">
        <f t="shared" si="65"/>
        <v>810.3029029972256</v>
      </c>
      <c r="CD101" s="59">
        <f ca="1">AVERAGE(OFFSET($CC$3,0,0,'Données projet'!$E$12+1,1))-AVERAGE(OFFSET($H$3,0,0,'Données projet'!$E$12+1,1))</f>
        <v>398.11190027805549</v>
      </c>
      <c r="CE101" s="59">
        <f t="shared" si="94"/>
        <v>250.47702091764884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65.359290546297359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65.359290546297359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8.3920000000000012</v>
      </c>
      <c r="CT101" s="12">
        <f>IF('Données projet'!$A$140&gt;35,CT100+CS101-DB100,IF(A101&lt;'Données projet'!$A$140,$CQ$205^A101,IF(A101='Données projet'!$A$140,'Données projet'!$B$140,CT100+CS101-DB100)))</f>
        <v>351.84800000000024</v>
      </c>
      <c r="CU101" s="17">
        <f>CT101*VLOOKUP('Données projet'!$B$13,Paramètres!$A$1:$I$89,3,0)*VLOOKUP('Données projet'!$B$13,Paramètres!$A$1:$I$89,5,0)</f>
        <v>334.81855680000024</v>
      </c>
      <c r="CV101" s="13">
        <f t="shared" si="95"/>
        <v>78.428472535307989</v>
      </c>
      <c r="CW101" s="20">
        <f t="shared" si="67"/>
        <v>719.73857609232846</v>
      </c>
      <c r="CX101" s="59">
        <f t="shared" si="68"/>
        <v>996.57523502695983</v>
      </c>
      <c r="CY101" s="59">
        <f ca="1">AVERAGE(OFFSET($CX$3,0,0,'Données projet'!$E$13+1,1))-AVERAGE(OFFSET($H$3,0,0,'Données projet'!$E$13+1,1))</f>
        <v>697.21496579281836</v>
      </c>
      <c r="CZ101" s="59">
        <f t="shared" si="96"/>
        <v>215.64914236153456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94.100974050342657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94.100974050342657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319</v>
      </c>
      <c r="DP101" s="17">
        <f>DO101*VLOOKUP('Données projet'!$B$14,Paramètres!$A$1:$I$89,3,0)*VLOOKUP('Données projet'!$B$14,Paramètres!$A$1:$I$89,5,0)</f>
        <v>278.67840000000001</v>
      </c>
      <c r="DQ101" s="13">
        <f t="shared" si="97"/>
        <v>66.687639951856809</v>
      </c>
      <c r="DR101" s="20">
        <f t="shared" si="70"/>
        <v>601.51251958281728</v>
      </c>
      <c r="DS101" s="59">
        <f t="shared" si="71"/>
        <v>878.34917851744865</v>
      </c>
      <c r="DT101" s="59">
        <f ca="1">AVERAGE(OFFSET($DS$3,0,0,'Données projet'!$E$14+1,1))-AVERAGE(OFFSET($H$3,0,0,'Données projet'!$E$14+1,1))</f>
        <v>408.24135864450221</v>
      </c>
      <c r="DU101" s="59">
        <f t="shared" si="98"/>
        <v>394.10236303013903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40.874710492908825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40.874710492908825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853.00000000000011</v>
      </c>
      <c r="O102" s="13">
        <f>N102*VLOOKUP('Données projet'!$B$9,Paramètres!$A$1:$I$89,3,0)*VLOOKUP('Données projet'!$B$9,Paramètres!$A$1:$I$89,5,0)</f>
        <v>399.20400000000006</v>
      </c>
      <c r="P102" s="13">
        <f t="shared" si="87"/>
        <v>91.615269732888521</v>
      </c>
      <c r="Q102" s="20">
        <f t="shared" si="107"/>
        <v>854.8435614514475</v>
      </c>
      <c r="R102" s="59">
        <f t="shared" si="55"/>
        <v>1131.9664008058576</v>
      </c>
      <c r="S102" s="59">
        <f ca="1">AVERAGE(OFFSET($R$3,0,0,'Données projet'!$E$9+1,1))-AVERAGE(OFFSET($H$3,0,0,'Données projet'!$E$9+1,1))</f>
        <v>512.58510468904342</v>
      </c>
      <c r="T102" s="59">
        <f t="shared" si="88"/>
        <v>443.6106696463529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95.131323667868486</v>
      </c>
      <c r="AA102" s="21">
        <f>EXP(-LN(2)/25)*AA101+(1-EXP(-LN(2)/25))/(LN(2)/25)*Calculateur!V102*Calculateur!X102*VLOOKUP('Données projet'!$B$9,Paramètres!$A$1:$I$89,3,0)*0.475*44/12</f>
        <v>7.2317088029228103</v>
      </c>
      <c r="AB102" s="21">
        <f>EXP(-LN(2)/2)*AB101+(1-EXP(-LN(2)/2))/(LN(2)/2)*V102*Y102*VLOOKUP('Données projet'!$B$9,Paramètres!$A$1:$I$89,3,0)*0.475*44/12</f>
        <v>3.3395860908703434E-11</v>
      </c>
      <c r="AC102" s="22">
        <f t="shared" si="57"/>
        <v>102.36303247082469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331.98360000000002</v>
      </c>
      <c r="AK102" s="13">
        <f t="shared" si="89"/>
        <v>77.841414511052207</v>
      </c>
      <c r="AL102" s="20">
        <f t="shared" si="58"/>
        <v>713.77856694008267</v>
      </c>
      <c r="AM102" s="59">
        <f t="shared" si="59"/>
        <v>990.90140629449274</v>
      </c>
      <c r="AN102" s="59">
        <f ca="1">AVERAGE(OFFSET($AM$3,0,0,'Données projet'!$E$10+1,1))-AVERAGE(OFFSET($H$3,0,0,'Données projet'!$E$10+1,1))</f>
        <v>520.95202773768222</v>
      </c>
      <c r="AO102" s="59">
        <f t="shared" si="90"/>
        <v>325.72635759450861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95.74818981734478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95.74818981734478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689</v>
      </c>
      <c r="BE102" s="13">
        <f>BD102*VLOOKUP('Données projet'!$B$11,Paramètres!$A$1:$I$89,3,0)*VLOOKUP('Données projet'!$B$11,Paramètres!$A$1:$I$89,5,0)</f>
        <v>412.02199999999999</v>
      </c>
      <c r="BF102" s="13">
        <f t="shared" si="91"/>
        <v>94.209724877926391</v>
      </c>
      <c r="BG102" s="20">
        <f t="shared" si="61"/>
        <v>881.686920829055</v>
      </c>
      <c r="BH102" s="59">
        <f t="shared" si="62"/>
        <v>1158.8097601834652</v>
      </c>
      <c r="BI102" s="59">
        <f ca="1">AVERAGE(OFFSET($BH$3,0,0,'Données projet'!$E$11+1,1))-AVERAGE(OFFSET($H$3,0,0,'Données projet'!$E$11+1,1))</f>
        <v>528.71639224940395</v>
      </c>
      <c r="BJ102" s="59">
        <f t="shared" si="92"/>
        <v>460.93390058676493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67.17992688839611</v>
      </c>
      <c r="BQ102" s="21">
        <f>EXP(-LN(2)/25)*BQ101+(1-EXP(-LN(2)/25))/(LN(2)/25)*Calculateur!BL102*Calculateur!BN102*VLOOKUP('Données projet'!$B$11,Paramètres!$A$1:$I$89,3,0)*0.475*44/12</f>
        <v>8.6919931967194124</v>
      </c>
      <c r="BR102" s="21">
        <f>EXP(-LN(2)/2)*BR101+(1-EXP(-LN(2)/2))/(LN(2)/2)*BL102*BO102*VLOOKUP('Données projet'!$B$11,Paramètres!$A$1:$I$89,3,0)*0.475*44/12</f>
        <v>2.1552861642002382E-12</v>
      </c>
      <c r="BS102" s="22">
        <f t="shared" si="63"/>
        <v>75.871920085117679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4.8</v>
      </c>
      <c r="BY102" s="12">
        <f>IF('Données projet'!$A$114&gt;35,BY101+BX102-CG101,IF(A102&lt;'Données projet'!$A$114,$BV$205^A102,IF(A102='Données projet'!$A$114,'Données projet'!$B$114,BY101+BX102-CG101)))</f>
        <v>277.19999999999987</v>
      </c>
      <c r="BZ102" s="13">
        <f>BY102*VLOOKUP('Données projet'!$B$12,Paramètres!$A$1:$I$89,3,0)*VLOOKUP('Données projet'!$B$12,Paramètres!$A$1:$I$89,5,0)</f>
        <v>250.8105599999999</v>
      </c>
      <c r="CA102" s="13">
        <f t="shared" si="93"/>
        <v>60.75947736410869</v>
      </c>
      <c r="CB102" s="20">
        <f t="shared" si="64"/>
        <v>542.65114840915578</v>
      </c>
      <c r="CC102" s="59">
        <f t="shared" si="65"/>
        <v>819.77398776356586</v>
      </c>
      <c r="CD102" s="59">
        <f ca="1">AVERAGE(OFFSET($CC$3,0,0,'Données projet'!$E$12+1,1))-AVERAGE(OFFSET($H$3,0,0,'Données projet'!$E$12+1,1))</f>
        <v>398.11190027805549</v>
      </c>
      <c r="CE102" s="59">
        <f t="shared" si="94"/>
        <v>250.47702091764884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64.077634723915338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64.077634723915338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8.3920000000000012</v>
      </c>
      <c r="CT102" s="12">
        <f>IF('Données projet'!$A$140&gt;35,CT101+CS102-DB101,IF(A102&lt;'Données projet'!$A$140,$CQ$205^A102,IF(A102='Données projet'!$A$140,'Données projet'!$B$140,CT101+CS102-DB101)))</f>
        <v>360.24000000000024</v>
      </c>
      <c r="CU102" s="17">
        <f>CT102*VLOOKUP('Données projet'!$B$13,Paramètres!$A$1:$I$89,3,0)*VLOOKUP('Données projet'!$B$13,Paramètres!$A$1:$I$89,5,0)</f>
        <v>342.8043840000002</v>
      </c>
      <c r="CV102" s="13">
        <f t="shared" si="95"/>
        <v>80.079072622257499</v>
      </c>
      <c r="CW102" s="20">
        <f t="shared" si="67"/>
        <v>736.52202028376553</v>
      </c>
      <c r="CX102" s="59">
        <f t="shared" si="68"/>
        <v>1013.6448596381756</v>
      </c>
      <c r="CY102" s="59">
        <f ca="1">AVERAGE(OFFSET($CX$3,0,0,'Données projet'!$E$13+1,1))-AVERAGE(OFFSET($H$3,0,0,'Données projet'!$E$13+1,1))</f>
        <v>697.21496579281836</v>
      </c>
      <c r="CZ102" s="59">
        <f t="shared" si="96"/>
        <v>215.64914236153456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92.255711345142231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92.255711345142231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319</v>
      </c>
      <c r="DP102" s="17">
        <f>DO102*VLOOKUP('Données projet'!$B$14,Paramètres!$A$1:$I$89,3,0)*VLOOKUP('Données projet'!$B$14,Paramètres!$A$1:$I$89,5,0)</f>
        <v>278.67840000000001</v>
      </c>
      <c r="DQ102" s="13">
        <f t="shared" si="97"/>
        <v>66.687639951856809</v>
      </c>
      <c r="DR102" s="20">
        <f t="shared" si="70"/>
        <v>601.51251958281728</v>
      </c>
      <c r="DS102" s="59">
        <f t="shared" si="71"/>
        <v>878.63535893722747</v>
      </c>
      <c r="DT102" s="59">
        <f ca="1">AVERAGE(OFFSET($DS$3,0,0,'Données projet'!$E$14+1,1))-AVERAGE(OFFSET($H$3,0,0,'Données projet'!$E$14+1,1))</f>
        <v>408.24135864450221</v>
      </c>
      <c r="DU102" s="59">
        <f t="shared" si="98"/>
        <v>394.10236303013903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40.073182351254538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40.073182351254538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853.00000000000011</v>
      </c>
      <c r="O103" s="13">
        <f>N103*VLOOKUP('Données projet'!$B$9,Paramètres!$A$1:$I$89,3,0)*VLOOKUP('Données projet'!$B$9,Paramètres!$A$1:$I$89,5,0)</f>
        <v>399.20400000000006</v>
      </c>
      <c r="P103" s="13">
        <f t="shared" si="87"/>
        <v>91.615269732888521</v>
      </c>
      <c r="Q103" s="20">
        <f t="shared" si="107"/>
        <v>854.8435614514475</v>
      </c>
      <c r="R103" s="59">
        <f t="shared" si="55"/>
        <v>1132.2476166351566</v>
      </c>
      <c r="S103" s="59">
        <f ca="1">AVERAGE(OFFSET($R$3,0,0,'Données projet'!$E$9+1,1))-AVERAGE(OFFSET($H$3,0,0,'Données projet'!$E$9+1,1))</f>
        <v>512.58510468904342</v>
      </c>
      <c r="T103" s="59">
        <f t="shared" si="88"/>
        <v>443.6106696463529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93.265856435119588</v>
      </c>
      <c r="AA103" s="21">
        <f>EXP(-LN(2)/25)*AA102+(1-EXP(-LN(2)/25))/(LN(2)/25)*Calculateur!V103*Calculateur!X103*VLOOKUP('Données projet'!$B$9,Paramètres!$A$1:$I$89,3,0)*0.475*44/12</f>
        <v>7.0339573454078481</v>
      </c>
      <c r="AB103" s="21">
        <f>EXP(-LN(2)/2)*AB102+(1-EXP(-LN(2)/2))/(LN(2)/2)*V103*Y103*VLOOKUP('Données projet'!$B$9,Paramètres!$A$1:$I$89,3,0)*0.475*44/12</f>
        <v>2.3614439712106936E-11</v>
      </c>
      <c r="AC103" s="22">
        <f t="shared" si="57"/>
        <v>100.29981378055105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9">
        <f t="shared" si="59"/>
        <v>1003.1194698799613</v>
      </c>
      <c r="AN103" s="59">
        <f ca="1">AVERAGE(OFFSET($AM$3,0,0,'Données projet'!$E$10+1,1))-AVERAGE(OFFSET($H$3,0,0,'Données projet'!$E$10+1,1))</f>
        <v>520.95202773768222</v>
      </c>
      <c r="AO103" s="59">
        <f t="shared" si="90"/>
        <v>325.72635759450861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106.88482047752269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106.88482047752269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689</v>
      </c>
      <c r="BE103" s="13">
        <f>BD103*VLOOKUP('Données projet'!$B$11,Paramètres!$A$1:$I$89,3,0)*VLOOKUP('Données projet'!$B$11,Paramètres!$A$1:$I$89,5,0)</f>
        <v>412.02199999999999</v>
      </c>
      <c r="BF103" s="13">
        <f t="shared" si="91"/>
        <v>94.209724877926391</v>
      </c>
      <c r="BG103" s="20">
        <f t="shared" si="61"/>
        <v>881.686920829055</v>
      </c>
      <c r="BH103" s="59">
        <f t="shared" si="62"/>
        <v>1159.0909760127643</v>
      </c>
      <c r="BI103" s="59">
        <f ca="1">AVERAGE(OFFSET($BH$3,0,0,'Données projet'!$E$11+1,1))-AVERAGE(OFFSET($H$3,0,0,'Données projet'!$E$11+1,1))</f>
        <v>528.71639224940395</v>
      </c>
      <c r="BJ103" s="59">
        <f t="shared" si="92"/>
        <v>460.93390058676493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65.862569497824055</v>
      </c>
      <c r="BQ103" s="21">
        <f>EXP(-LN(2)/25)*BQ102+(1-EXP(-LN(2)/25))/(LN(2)/25)*Calculateur!BL103*Calculateur!BN103*VLOOKUP('Données projet'!$B$11,Paramètres!$A$1:$I$89,3,0)*0.475*44/12</f>
        <v>8.4543101856630631</v>
      </c>
      <c r="BR103" s="21">
        <f>EXP(-LN(2)/2)*BR102+(1-EXP(-LN(2)/2))/(LN(2)/2)*BL103*BO103*VLOOKUP('Données projet'!$B$11,Paramètres!$A$1:$I$89,3,0)*0.475*44/12</f>
        <v>1.5240174621035312E-12</v>
      </c>
      <c r="BS103" s="22">
        <f t="shared" si="63"/>
        <v>74.316879683488636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4.8</v>
      </c>
      <c r="BX103" s="12">
        <f t="array" ref="BX103">INDEX(BW:BW,MIN(IF(ISNUMBER(BW103:BW299),ROW(BW103:BW299),"")))</f>
        <v>4.8</v>
      </c>
      <c r="BY103" s="12">
        <f>IF('Données projet'!$A$114&gt;35,BY102+BX103-CG102,IF(A103&lt;'Données projet'!$A$114,$BV$205^A103,IF(A103='Données projet'!$A$114,'Données projet'!$B$114,BY102+BX103-CG102)))</f>
        <v>281.99999999999989</v>
      </c>
      <c r="BZ103" s="13">
        <f>BY103*VLOOKUP('Données projet'!$B$12,Paramètres!$A$1:$I$89,3,0)*VLOOKUP('Données projet'!$B$12,Paramètres!$A$1:$I$89,5,0)</f>
        <v>255.15359999999987</v>
      </c>
      <c r="CA103" s="13">
        <f t="shared" si="93"/>
        <v>61.688192762754376</v>
      </c>
      <c r="CB103" s="20">
        <f t="shared" si="64"/>
        <v>551.83278906179692</v>
      </c>
      <c r="CC103" s="59">
        <f t="shared" si="65"/>
        <v>829.23684424550606</v>
      </c>
      <c r="CD103" s="59">
        <f ca="1">AVERAGE(OFFSET($CC$3,0,0,'Données projet'!$E$12+1,1))-AVERAGE(OFFSET($H$3,0,0,'Données projet'!$E$12+1,1))</f>
        <v>398.11190027805549</v>
      </c>
      <c r="CE103" s="59">
        <f t="shared" si="94"/>
        <v>250.47702091764884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71.853184673072121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71.853184673072121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8.3920000000000012</v>
      </c>
      <c r="CT103" s="12">
        <f>IF('Données projet'!$A$140&gt;35,CT102+CS103-DB102,IF(A103&lt;'Données projet'!$A$140,$CQ$205^A103,IF(A103='Données projet'!$A$140,'Données projet'!$B$140,CT102+CS103-DB102)))</f>
        <v>368.63200000000023</v>
      </c>
      <c r="CU103" s="17">
        <f>CT103*VLOOKUP('Données projet'!$B$13,Paramètres!$A$1:$I$89,3,0)*VLOOKUP('Données projet'!$B$13,Paramètres!$A$1:$I$89,5,0)</f>
        <v>350.79021120000021</v>
      </c>
      <c r="CV103" s="13">
        <f t="shared" si="95"/>
        <v>81.725202568243191</v>
      </c>
      <c r="CW103" s="20">
        <f t="shared" si="67"/>
        <v>753.29767897969066</v>
      </c>
      <c r="CX103" s="59">
        <f t="shared" si="68"/>
        <v>1030.7017341633998</v>
      </c>
      <c r="CY103" s="59">
        <f ca="1">AVERAGE(OFFSET($CX$3,0,0,'Données projet'!$E$13+1,1))-AVERAGE(OFFSET($H$3,0,0,'Données projet'!$E$13+1,1))</f>
        <v>697.21496579281836</v>
      </c>
      <c r="CZ103" s="59">
        <f t="shared" si="96"/>
        <v>215.64914236153456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90.446633116091675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90.446633116091675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319</v>
      </c>
      <c r="DP103" s="17">
        <f>DO103*VLOOKUP('Données projet'!$B$14,Paramètres!$A$1:$I$89,3,0)*VLOOKUP('Données projet'!$B$14,Paramètres!$A$1:$I$89,5,0)</f>
        <v>278.67840000000001</v>
      </c>
      <c r="DQ103" s="13">
        <f t="shared" si="97"/>
        <v>66.687639951856809</v>
      </c>
      <c r="DR103" s="20">
        <f t="shared" si="70"/>
        <v>601.51251958281728</v>
      </c>
      <c r="DS103" s="59">
        <f t="shared" si="71"/>
        <v>878.91657476652654</v>
      </c>
      <c r="DT103" s="59">
        <f ca="1">AVERAGE(OFFSET($DS$3,0,0,'Données projet'!$E$14+1,1))-AVERAGE(OFFSET($H$3,0,0,'Données projet'!$E$14+1,1))</f>
        <v>408.24135864450221</v>
      </c>
      <c r="DU103" s="59">
        <f t="shared" si="98"/>
        <v>394.10236303013903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39.287371687574201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39.287371687574201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853.00000000000011</v>
      </c>
      <c r="O104" s="13">
        <f>N104*VLOOKUP('Données projet'!$B$9,Paramètres!$A$1:$I$89,3,0)*VLOOKUP('Données projet'!$B$9,Paramètres!$A$1:$I$89,5,0)</f>
        <v>399.20400000000006</v>
      </c>
      <c r="P104" s="13">
        <f t="shared" si="87"/>
        <v>91.615269732888521</v>
      </c>
      <c r="Q104" s="20">
        <f t="shared" si="107"/>
        <v>854.8435614514475</v>
      </c>
      <c r="R104" s="59">
        <f t="shared" si="55"/>
        <v>1132.5239539985218</v>
      </c>
      <c r="S104" s="59">
        <f ca="1">AVERAGE(OFFSET($R$3,0,0,'Données projet'!$E$9+1,1))-AVERAGE(OFFSET($H$3,0,0,'Données projet'!$E$9+1,1))</f>
        <v>512.58510468904342</v>
      </c>
      <c r="T104" s="59">
        <f t="shared" si="88"/>
        <v>443.6106696463529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91.436969876982232</v>
      </c>
      <c r="AA104" s="21">
        <f>EXP(-LN(2)/25)*AA103+(1-EXP(-LN(2)/25))/(LN(2)/25)*Calculateur!V104*Calculateur!X104*VLOOKUP('Données projet'!$B$9,Paramètres!$A$1:$I$89,3,0)*0.475*44/12</f>
        <v>6.8416134118979297</v>
      </c>
      <c r="AB104" s="21">
        <f>EXP(-LN(2)/2)*AB103+(1-EXP(-LN(2)/2))/(LN(2)/2)*V104*Y104*VLOOKUP('Données projet'!$B$9,Paramètres!$A$1:$I$89,3,0)*0.475*44/12</f>
        <v>1.6697930454351717E-11</v>
      </c>
      <c r="AC104" s="22">
        <f t="shared" si="57"/>
        <v>98.278583288896854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9">
        <f t="shared" si="59"/>
        <v>957.33092737351876</v>
      </c>
      <c r="AN104" s="59">
        <f ca="1">AVERAGE(OFFSET($AM$3,0,0,'Données projet'!$E$10+1,1))-AVERAGE(OFFSET($H$3,0,0,'Données projet'!$E$10+1,1))</f>
        <v>520.95202773768222</v>
      </c>
      <c r="AO104" s="59">
        <f t="shared" si="90"/>
        <v>325.72635759450861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104.78887434126166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104.78887434126166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689</v>
      </c>
      <c r="BE104" s="13">
        <f>BD104*VLOOKUP('Données projet'!$B$11,Paramètres!$A$1:$I$89,3,0)*VLOOKUP('Données projet'!$B$11,Paramètres!$A$1:$I$89,5,0)</f>
        <v>412.02199999999999</v>
      </c>
      <c r="BF104" s="13">
        <f t="shared" si="91"/>
        <v>94.209724877926391</v>
      </c>
      <c r="BG104" s="20">
        <f t="shared" si="61"/>
        <v>881.686920829055</v>
      </c>
      <c r="BH104" s="59">
        <f t="shared" si="62"/>
        <v>1159.3673133761295</v>
      </c>
      <c r="BI104" s="59">
        <f ca="1">AVERAGE(OFFSET($BH$3,0,0,'Données projet'!$E$11+1,1))-AVERAGE(OFFSET($H$3,0,0,'Données projet'!$E$11+1,1))</f>
        <v>528.71639224940395</v>
      </c>
      <c r="BJ104" s="59">
        <f t="shared" si="92"/>
        <v>460.93390058676493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64.571044682172442</v>
      </c>
      <c r="BQ104" s="21">
        <f>EXP(-LN(2)/25)*BQ103+(1-EXP(-LN(2)/25))/(LN(2)/25)*Calculateur!BL104*Calculateur!BN104*VLOOKUP('Données projet'!$B$11,Paramètres!$A$1:$I$89,3,0)*0.475*44/12</f>
        <v>8.2231266290432572</v>
      </c>
      <c r="BR104" s="21">
        <f>EXP(-LN(2)/2)*BR103+(1-EXP(-LN(2)/2))/(LN(2)/2)*BL104*BO104*VLOOKUP('Données projet'!$B$11,Paramètres!$A$1:$I$89,3,0)*0.475*44/12</f>
        <v>1.0776430821001191E-12</v>
      </c>
      <c r="BS104" s="22">
        <f t="shared" si="63"/>
        <v>72.794171311216786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4.5999999999999996</v>
      </c>
      <c r="BY104" s="12">
        <f>IF('Données projet'!$A$114&gt;35,BY103+BX104-CG103,IF(A104&lt;'Données projet'!$A$114,$BV$205^A104,IF(A104='Données projet'!$A$114,'Données projet'!$B$114,BY103+BX104-CG103)))</f>
        <v>265.59999999999991</v>
      </c>
      <c r="BZ104" s="13">
        <f>BY104*VLOOKUP('Données projet'!$B$12,Paramètres!$A$1:$I$89,3,0)*VLOOKUP('Données projet'!$B$12,Paramètres!$A$1:$I$89,5,0)</f>
        <v>240.31487999999993</v>
      </c>
      <c r="CA104" s="13">
        <f t="shared" si="93"/>
        <v>58.50727327751612</v>
      </c>
      <c r="CB104" s="20">
        <f t="shared" si="64"/>
        <v>520.44858362500713</v>
      </c>
      <c r="CC104" s="59">
        <f t="shared" si="65"/>
        <v>798.12897617208159</v>
      </c>
      <c r="CD104" s="59">
        <f ca="1">AVERAGE(OFFSET($CC$3,0,0,'Données projet'!$E$12+1,1))-AVERAGE(OFFSET($H$3,0,0,'Données projet'!$E$12+1,1))</f>
        <v>398.11190027805549</v>
      </c>
      <c r="CE104" s="59">
        <f t="shared" si="94"/>
        <v>250.47702091764884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70.444187547748356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70.444187547748356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8.3920000000000012</v>
      </c>
      <c r="CT104" s="12">
        <f>IF('Données projet'!$A$140&gt;35,CT103+CS104-DB103,IF(A104&lt;'Données projet'!$A$140,$CQ$205^A104,IF(A104='Données projet'!$A$140,'Données projet'!$B$140,CT103+CS104-DB103)))</f>
        <v>377.02400000000023</v>
      </c>
      <c r="CU104" s="17">
        <f>CT104*VLOOKUP('Données projet'!$B$13,Paramètres!$A$1:$I$89,3,0)*VLOOKUP('Données projet'!$B$13,Paramètres!$A$1:$I$89,5,0)</f>
        <v>358.77603840000023</v>
      </c>
      <c r="CV104" s="13">
        <f t="shared" si="95"/>
        <v>83.366975851878067</v>
      </c>
      <c r="CW104" s="20">
        <f t="shared" si="67"/>
        <v>770.0657498220213</v>
      </c>
      <c r="CX104" s="59">
        <f t="shared" si="68"/>
        <v>1047.7461423690957</v>
      </c>
      <c r="CY104" s="59">
        <f ca="1">AVERAGE(OFFSET($CX$3,0,0,'Données projet'!$E$13+1,1))-AVERAGE(OFFSET($H$3,0,0,'Données projet'!$E$13+1,1))</f>
        <v>697.21496579281836</v>
      </c>
      <c r="CZ104" s="59">
        <f t="shared" si="96"/>
        <v>215.64914236153456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88.673029807684031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88.673029807684031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319</v>
      </c>
      <c r="DP104" s="17">
        <f>DO104*VLOOKUP('Données projet'!$B$14,Paramètres!$A$1:$I$89,3,0)*VLOOKUP('Données projet'!$B$14,Paramètres!$A$1:$I$89,5,0)</f>
        <v>278.67840000000001</v>
      </c>
      <c r="DQ104" s="13">
        <f t="shared" si="97"/>
        <v>66.687639951856809</v>
      </c>
      <c r="DR104" s="20">
        <f t="shared" si="70"/>
        <v>601.51251958281728</v>
      </c>
      <c r="DS104" s="59">
        <f t="shared" si="71"/>
        <v>879.19291212989174</v>
      </c>
      <c r="DT104" s="59">
        <f ca="1">AVERAGE(OFFSET($DS$3,0,0,'Données projet'!$E$14+1,1))-AVERAGE(OFFSET($H$3,0,0,'Données projet'!$E$14+1,1))</f>
        <v>408.24135864450221</v>
      </c>
      <c r="DU104" s="59">
        <f t="shared" si="98"/>
        <v>394.10236303013903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38.516970291711459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38.516970291711459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853.00000000000011</v>
      </c>
      <c r="O105" s="13">
        <f>N105*VLOOKUP('Données projet'!$B$9,Paramètres!$A$1:$I$89,3,0)*VLOOKUP('Données projet'!$B$9,Paramètres!$A$1:$I$89,5,0)</f>
        <v>399.20400000000006</v>
      </c>
      <c r="P105" s="13">
        <f t="shared" si="87"/>
        <v>91.615269732888521</v>
      </c>
      <c r="Q105" s="20">
        <f t="shared" si="107"/>
        <v>854.8435614514475</v>
      </c>
      <c r="R105" s="59">
        <f t="shared" si="55"/>
        <v>1132.7954975264304</v>
      </c>
      <c r="S105" s="59">
        <f ca="1">AVERAGE(OFFSET($R$3,0,0,'Données projet'!$E$9+1,1))-AVERAGE(OFFSET($H$3,0,0,'Données projet'!$E$9+1,1))</f>
        <v>512.58510468904342</v>
      </c>
      <c r="T105" s="59">
        <f t="shared" si="88"/>
        <v>443.6106696463529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89.643946668739304</v>
      </c>
      <c r="AA105" s="21">
        <f>EXP(-LN(2)/25)*AA104+(1-EXP(-LN(2)/25))/(LN(2)/25)*Calculateur!V105*Calculateur!X105*VLOOKUP('Données projet'!$B$9,Paramètres!$A$1:$I$89,3,0)*0.475*44/12</f>
        <v>6.6545291333647683</v>
      </c>
      <c r="AB105" s="21">
        <f>EXP(-LN(2)/2)*AB104+(1-EXP(-LN(2)/2))/(LN(2)/2)*V105*Y105*VLOOKUP('Données projet'!$B$9,Paramètres!$A$1:$I$89,3,0)*0.475*44/12</f>
        <v>1.1807219856053468E-11</v>
      </c>
      <c r="AC105" s="22">
        <f t="shared" si="57"/>
        <v>96.298475802115874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9">
        <f t="shared" si="59"/>
        <v>969.12452114641837</v>
      </c>
      <c r="AN105" s="59">
        <f ca="1">AVERAGE(OFFSET($AM$3,0,0,'Données projet'!$E$10+1,1))-AVERAGE(OFFSET($H$3,0,0,'Données projet'!$E$10+1,1))</f>
        <v>520.95202773768222</v>
      </c>
      <c r="AO105" s="59">
        <f t="shared" si="90"/>
        <v>325.72635759450861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102.73402843033179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102.73402843033179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689</v>
      </c>
      <c r="BE105" s="13">
        <f>BD105*VLOOKUP('Données projet'!$B$11,Paramètres!$A$1:$I$89,3,0)*VLOOKUP('Données projet'!$B$11,Paramètres!$A$1:$I$89,5,0)</f>
        <v>412.02199999999999</v>
      </c>
      <c r="BF105" s="13">
        <f t="shared" si="91"/>
        <v>94.209724877926391</v>
      </c>
      <c r="BG105" s="20">
        <f t="shared" si="61"/>
        <v>881.686920829055</v>
      </c>
      <c r="BH105" s="59">
        <f t="shared" si="62"/>
        <v>1159.638856904038</v>
      </c>
      <c r="BI105" s="59">
        <f ca="1">AVERAGE(OFFSET($BH$3,0,0,'Données projet'!$E$11+1,1))-AVERAGE(OFFSET($H$3,0,0,'Données projet'!$E$11+1,1))</f>
        <v>528.71639224940395</v>
      </c>
      <c r="BJ105" s="59">
        <f t="shared" si="92"/>
        <v>460.93390058676493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63.304845880403406</v>
      </c>
      <c r="BQ105" s="21">
        <f>EXP(-LN(2)/25)*BQ104+(1-EXP(-LN(2)/25))/(LN(2)/25)*Calculateur!BL105*Calculateur!BN105*VLOOKUP('Données projet'!$B$11,Paramètres!$A$1:$I$89,3,0)*0.475*44/12</f>
        <v>7.998264798936634</v>
      </c>
      <c r="BR105" s="21">
        <f>EXP(-LN(2)/2)*BR104+(1-EXP(-LN(2)/2))/(LN(2)/2)*BL105*BO105*VLOOKUP('Données projet'!$B$11,Paramètres!$A$1:$I$89,3,0)*0.475*44/12</f>
        <v>7.6200873105176562E-13</v>
      </c>
      <c r="BS105" s="22">
        <f t="shared" si="63"/>
        <v>71.303110679340804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4.5999999999999996</v>
      </c>
      <c r="BY105" s="12">
        <f>IF('Données projet'!$A$114&gt;35,BY104+BX105-CG104,IF(A105&lt;'Données projet'!$A$114,$BV$205^A105,IF(A105='Données projet'!$A$114,'Données projet'!$B$114,BY104+BX105-CG104)))</f>
        <v>270.19999999999993</v>
      </c>
      <c r="BZ105" s="13">
        <f>BY105*VLOOKUP('Données projet'!$B$12,Paramètres!$A$1:$I$89,3,0)*VLOOKUP('Données projet'!$B$12,Paramètres!$A$1:$I$89,5,0)</f>
        <v>244.47695999999993</v>
      </c>
      <c r="CA105" s="13">
        <f t="shared" si="93"/>
        <v>59.401731670234192</v>
      </c>
      <c r="CB105" s="20">
        <f t="shared" si="64"/>
        <v>529.25538799232447</v>
      </c>
      <c r="CC105" s="59">
        <f t="shared" si="65"/>
        <v>807.20732406730735</v>
      </c>
      <c r="CD105" s="59">
        <f ca="1">AVERAGE(OFFSET($CC$3,0,0,'Données projet'!$E$12+1,1))-AVERAGE(OFFSET($H$3,0,0,'Données projet'!$E$12+1,1))</f>
        <v>398.11190027805549</v>
      </c>
      <c r="CE105" s="59">
        <f t="shared" si="94"/>
        <v>250.47702091764884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69.062819996648798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69.062819996648798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8.3920000000000012</v>
      </c>
      <c r="CT105" s="12">
        <f>IF('Données projet'!$A$140&gt;35,CT104+CS105-DB104,IF(A105&lt;'Données projet'!$A$140,$CQ$205^A105,IF(A105='Données projet'!$A$140,'Données projet'!$B$140,CT104+CS105-DB104)))</f>
        <v>385.41600000000022</v>
      </c>
      <c r="CU105" s="17">
        <f>CT105*VLOOKUP('Données projet'!$B$13,Paramètres!$A$1:$I$89,3,0)*VLOOKUP('Données projet'!$B$13,Paramètres!$A$1:$I$89,5,0)</f>
        <v>366.76186560000025</v>
      </c>
      <c r="CV105" s="13">
        <f t="shared" si="95"/>
        <v>85.004500611622973</v>
      </c>
      <c r="CW105" s="20">
        <f t="shared" si="67"/>
        <v>786.82642115191038</v>
      </c>
      <c r="CX105" s="59">
        <f t="shared" si="68"/>
        <v>1064.7783572268934</v>
      </c>
      <c r="CY105" s="59">
        <f ca="1">AVERAGE(OFFSET($CX$3,0,0,'Données projet'!$E$13+1,1))-AVERAGE(OFFSET($H$3,0,0,'Données projet'!$E$13+1,1))</f>
        <v>697.21496579281836</v>
      </c>
      <c r="CZ105" s="59">
        <f t="shared" si="96"/>
        <v>215.64914236153456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86.934205778363065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86.934205778363065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319</v>
      </c>
      <c r="DP105" s="17">
        <f>DO105*VLOOKUP('Données projet'!$B$14,Paramètres!$A$1:$I$89,3,0)*VLOOKUP('Données projet'!$B$14,Paramètres!$A$1:$I$89,5,0)</f>
        <v>278.67840000000001</v>
      </c>
      <c r="DQ105" s="13">
        <f t="shared" si="97"/>
        <v>66.687639951856809</v>
      </c>
      <c r="DR105" s="20">
        <f t="shared" si="70"/>
        <v>601.51251958281728</v>
      </c>
      <c r="DS105" s="59">
        <f t="shared" si="71"/>
        <v>879.46445565780027</v>
      </c>
      <c r="DT105" s="59">
        <f ca="1">AVERAGE(OFFSET($DS$3,0,0,'Données projet'!$E$14+1,1))-AVERAGE(OFFSET($H$3,0,0,'Données projet'!$E$14+1,1))</f>
        <v>408.24135864450221</v>
      </c>
      <c r="DU105" s="59">
        <f t="shared" si="98"/>
        <v>394.10236303013903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37.761675997323131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37.761675997323131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853.00000000000011</v>
      </c>
      <c r="O106" s="13">
        <f>N106*VLOOKUP('Données projet'!$B$9,Paramètres!$A$1:$I$89,3,0)*VLOOKUP('Données projet'!$B$9,Paramètres!$A$1:$I$89,5,0)</f>
        <v>399.20400000000006</v>
      </c>
      <c r="P106" s="13">
        <f t="shared" si="87"/>
        <v>91.615269732888521</v>
      </c>
      <c r="Q106" s="20">
        <f t="shared" si="107"/>
        <v>854.8435614514475</v>
      </c>
      <c r="R106" s="59">
        <f t="shared" si="55"/>
        <v>1133.0623303812101</v>
      </c>
      <c r="S106" s="59">
        <f ca="1">AVERAGE(OFFSET($R$3,0,0,'Données projet'!$E$9+1,1))-AVERAGE(OFFSET($H$3,0,0,'Données projet'!$E$9+1,1))</f>
        <v>512.58510468904342</v>
      </c>
      <c r="T106" s="59">
        <f t="shared" si="88"/>
        <v>443.6106696463529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87.886083551973854</v>
      </c>
      <c r="AA106" s="21">
        <f>EXP(-LN(2)/25)*AA105+(1-EXP(-LN(2)/25))/(LN(2)/25)*Calculateur!V106*Calculateur!X106*VLOOKUP('Données projet'!$B$9,Paramètres!$A$1:$I$89,3,0)*0.475*44/12</f>
        <v>6.4725606842664307</v>
      </c>
      <c r="AB106" s="21">
        <f>EXP(-LN(2)/2)*AB105+(1-EXP(-LN(2)/2))/(LN(2)/2)*V106*Y106*VLOOKUP('Données projet'!$B$9,Paramètres!$A$1:$I$89,3,0)*0.475*44/12</f>
        <v>8.3489652271758584E-12</v>
      </c>
      <c r="AC106" s="22">
        <f t="shared" si="57"/>
        <v>94.358644236248637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9">
        <f t="shared" si="59"/>
        <v>980.90946877507236</v>
      </c>
      <c r="AN106" s="59">
        <f ca="1">AVERAGE(OFFSET($AM$3,0,0,'Données projet'!$E$10+1,1))-AVERAGE(OFFSET($H$3,0,0,'Données projet'!$E$10+1,1))</f>
        <v>520.95202773768222</v>
      </c>
      <c r="AO106" s="59">
        <f t="shared" si="90"/>
        <v>325.72635759450861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100.71947679438301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100.71947679438301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689</v>
      </c>
      <c r="BE106" s="13">
        <f>BD106*VLOOKUP('Données projet'!$B$11,Paramètres!$A$1:$I$89,3,0)*VLOOKUP('Données projet'!$B$11,Paramètres!$A$1:$I$89,5,0)</f>
        <v>412.02199999999999</v>
      </c>
      <c r="BF106" s="13">
        <f t="shared" si="91"/>
        <v>94.209724877926391</v>
      </c>
      <c r="BG106" s="20">
        <f t="shared" si="61"/>
        <v>881.686920829055</v>
      </c>
      <c r="BH106" s="59">
        <f t="shared" si="62"/>
        <v>1159.9056897588177</v>
      </c>
      <c r="BI106" s="59">
        <f ca="1">AVERAGE(OFFSET($BH$3,0,0,'Données projet'!$E$11+1,1))-AVERAGE(OFFSET($H$3,0,0,'Données projet'!$E$11+1,1))</f>
        <v>528.71639224940395</v>
      </c>
      <c r="BJ106" s="59">
        <f t="shared" si="92"/>
        <v>460.93390058676493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62.06347646483205</v>
      </c>
      <c r="BQ106" s="21">
        <f>EXP(-LN(2)/25)*BQ105+(1-EXP(-LN(2)/25))/(LN(2)/25)*Calculateur!BL106*Calculateur!BN106*VLOOKUP('Données projet'!$B$11,Paramètres!$A$1:$I$89,3,0)*0.475*44/12</f>
        <v>7.7795518273992466</v>
      </c>
      <c r="BR106" s="21">
        <f>EXP(-LN(2)/2)*BR105+(1-EXP(-LN(2)/2))/(LN(2)/2)*BL106*BO106*VLOOKUP('Données projet'!$B$11,Paramètres!$A$1:$I$89,3,0)*0.475*44/12</f>
        <v>5.3882154105005956E-13</v>
      </c>
      <c r="BS106" s="22">
        <f t="shared" si="63"/>
        <v>69.843028292231836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4.5999999999999996</v>
      </c>
      <c r="BY106" s="12">
        <f>IF('Données projet'!$A$114&gt;35,BY105+BX106-CG105,IF(A106&lt;'Données projet'!$A$114,$BV$205^A106,IF(A106='Données projet'!$A$114,'Données projet'!$B$114,BY105+BX106-CG105)))</f>
        <v>274.79999999999995</v>
      </c>
      <c r="BZ106" s="13">
        <f>BY106*VLOOKUP('Données projet'!$B$12,Paramètres!$A$1:$I$89,3,0)*VLOOKUP('Données projet'!$B$12,Paramètres!$A$1:$I$89,5,0)</f>
        <v>248.63903999999994</v>
      </c>
      <c r="CA106" s="13">
        <f t="shared" si="93"/>
        <v>60.294419230169922</v>
      </c>
      <c r="CB106" s="20">
        <f t="shared" si="64"/>
        <v>538.05910815921254</v>
      </c>
      <c r="CC106" s="59">
        <f t="shared" si="65"/>
        <v>816.27787708897517</v>
      </c>
      <c r="CD106" s="59">
        <f ca="1">AVERAGE(OFFSET($CC$3,0,0,'Données projet'!$E$12+1,1))-AVERAGE(OFFSET($H$3,0,0,'Données projet'!$E$12+1,1))</f>
        <v>398.11190027805549</v>
      </c>
      <c r="CE106" s="59">
        <f t="shared" si="94"/>
        <v>250.47702091764884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67.708540220675303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67.708540220675303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8.3920000000000012</v>
      </c>
      <c r="CT106" s="12">
        <f>IF('Données projet'!$A$140&gt;35,CT105+CS106-DB105,IF(A106&lt;'Données projet'!$A$140,$CQ$205^A106,IF(A106='Données projet'!$A$140,'Données projet'!$B$140,CT105+CS106-DB105)))</f>
        <v>393.80800000000022</v>
      </c>
      <c r="CU106" s="17">
        <f>CT106*VLOOKUP('Données projet'!$B$13,Paramètres!$A$1:$I$89,3,0)*VLOOKUP('Données projet'!$B$13,Paramètres!$A$1:$I$89,5,0)</f>
        <v>374.74769280000021</v>
      </c>
      <c r="CV106" s="13">
        <f t="shared" si="95"/>
        <v>86.637880007805521</v>
      </c>
      <c r="CW106" s="20">
        <f t="shared" si="67"/>
        <v>803.57987264026167</v>
      </c>
      <c r="CX106" s="59">
        <f t="shared" si="68"/>
        <v>1081.7986415700243</v>
      </c>
      <c r="CY106" s="59">
        <f ca="1">AVERAGE(OFFSET($CX$3,0,0,'Données projet'!$E$13+1,1))-AVERAGE(OFFSET($H$3,0,0,'Données projet'!$E$13+1,1))</f>
        <v>697.21496579281836</v>
      </c>
      <c r="CZ106" s="59">
        <f t="shared" si="96"/>
        <v>215.64914236153456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85.229479027679147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85.229479027679147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319</v>
      </c>
      <c r="DP106" s="17">
        <f>DO106*VLOOKUP('Données projet'!$B$14,Paramètres!$A$1:$I$89,3,0)*VLOOKUP('Données projet'!$B$14,Paramètres!$A$1:$I$89,5,0)</f>
        <v>278.67840000000001</v>
      </c>
      <c r="DQ106" s="13">
        <f t="shared" si="97"/>
        <v>66.687639951856809</v>
      </c>
      <c r="DR106" s="20">
        <f t="shared" si="70"/>
        <v>601.51251958281728</v>
      </c>
      <c r="DS106" s="59">
        <f t="shared" si="71"/>
        <v>879.73128851258002</v>
      </c>
      <c r="DT106" s="59">
        <f ca="1">AVERAGE(OFFSET($DS$3,0,0,'Données projet'!$E$14+1,1))-AVERAGE(OFFSET($H$3,0,0,'Données projet'!$E$14+1,1))</f>
        <v>408.24135864450221</v>
      </c>
      <c r="DU106" s="59">
        <f t="shared" si="98"/>
        <v>394.10236303013903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37.021192563363726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37.021192563363726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853.00000000000011</v>
      </c>
      <c r="O107" s="13">
        <f>N107*VLOOKUP('Données projet'!$B$9,Paramètres!$A$1:$I$89,3,0)*VLOOKUP('Données projet'!$B$9,Paramètres!$A$1:$I$89,5,0)</f>
        <v>399.20400000000006</v>
      </c>
      <c r="P107" s="13">
        <f t="shared" si="87"/>
        <v>91.615269732888521</v>
      </c>
      <c r="Q107" s="20">
        <f t="shared" si="107"/>
        <v>854.8435614514475</v>
      </c>
      <c r="R107" s="59">
        <f t="shared" si="55"/>
        <v>1133.3245342825085</v>
      </c>
      <c r="S107" s="59">
        <f ca="1">AVERAGE(OFFSET($R$3,0,0,'Données projet'!$E$9+1,1))-AVERAGE(OFFSET($H$3,0,0,'Données projet'!$E$9+1,1))</f>
        <v>512.58510468904342</v>
      </c>
      <c r="T107" s="59">
        <f t="shared" si="88"/>
        <v>443.6106696463529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86.162691058737536</v>
      </c>
      <c r="AA107" s="21">
        <f>EXP(-LN(2)/25)*AA106+(1-EXP(-LN(2)/25))/(LN(2)/25)*Calculateur!V107*Calculateur!X107*VLOOKUP('Données projet'!$B$9,Paramètres!$A$1:$I$89,3,0)*0.475*44/12</f>
        <v>6.2955681719779921</v>
      </c>
      <c r="AB107" s="21">
        <f>EXP(-LN(2)/2)*AB106+(1-EXP(-LN(2)/2))/(LN(2)/2)*V107*Y107*VLOOKUP('Données projet'!$B$9,Paramètres!$A$1:$I$89,3,0)*0.475*44/12</f>
        <v>5.9036099280267339E-12</v>
      </c>
      <c r="AC107" s="22">
        <f t="shared" si="57"/>
        <v>92.458259230721424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9">
        <f t="shared" si="59"/>
        <v>992.68592554937322</v>
      </c>
      <c r="AN107" s="59">
        <f ca="1">AVERAGE(OFFSET($AM$3,0,0,'Données projet'!$E$10+1,1))-AVERAGE(OFFSET($H$3,0,0,'Données projet'!$E$10+1,1))</f>
        <v>520.95202773768222</v>
      </c>
      <c r="AO107" s="59">
        <f t="shared" si="90"/>
        <v>325.72635759450861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98.744429287260019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98.744429287260019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689</v>
      </c>
      <c r="BE107" s="13">
        <f>BD107*VLOOKUP('Données projet'!$B$11,Paramètres!$A$1:$I$89,3,0)*VLOOKUP('Données projet'!$B$11,Paramètres!$A$1:$I$89,5,0)</f>
        <v>412.02199999999999</v>
      </c>
      <c r="BF107" s="13">
        <f t="shared" si="91"/>
        <v>94.209724877926391</v>
      </c>
      <c r="BG107" s="20">
        <f t="shared" si="61"/>
        <v>881.686920829055</v>
      </c>
      <c r="BH107" s="59">
        <f t="shared" si="62"/>
        <v>1160.1678936601159</v>
      </c>
      <c r="BI107" s="59">
        <f ca="1">AVERAGE(OFFSET($BH$3,0,0,'Données projet'!$E$11+1,1))-AVERAGE(OFFSET($H$3,0,0,'Données projet'!$E$11+1,1))</f>
        <v>528.71639224940395</v>
      </c>
      <c r="BJ107" s="59">
        <f t="shared" si="92"/>
        <v>460.93390058676493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60.846449546339471</v>
      </c>
      <c r="BQ107" s="21">
        <f>EXP(-LN(2)/25)*BQ106+(1-EXP(-LN(2)/25))/(LN(2)/25)*Calculateur!BL107*Calculateur!BN107*VLOOKUP('Données projet'!$B$11,Paramètres!$A$1:$I$89,3,0)*0.475*44/12</f>
        <v>7.5668195735701635</v>
      </c>
      <c r="BR107" s="21">
        <f>EXP(-LN(2)/2)*BR106+(1-EXP(-LN(2)/2))/(LN(2)/2)*BL107*BO107*VLOOKUP('Données projet'!$B$11,Paramètres!$A$1:$I$89,3,0)*0.475*44/12</f>
        <v>3.8100436552588281E-13</v>
      </c>
      <c r="BS107" s="22">
        <f t="shared" si="63"/>
        <v>68.413269119910012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4.5999999999999996</v>
      </c>
      <c r="BY107" s="12">
        <f>IF('Données projet'!$A$114&gt;35,BY106+BX107-CG106,IF(A107&lt;'Données projet'!$A$114,$BV$205^A107,IF(A107='Données projet'!$A$114,'Données projet'!$B$114,BY106+BX107-CG106)))</f>
        <v>279.39999999999998</v>
      </c>
      <c r="BZ107" s="13">
        <f>BY107*VLOOKUP('Données projet'!$B$12,Paramètres!$A$1:$I$89,3,0)*VLOOKUP('Données projet'!$B$12,Paramètres!$A$1:$I$89,5,0)</f>
        <v>252.80111999999994</v>
      </c>
      <c r="CA107" s="13">
        <f t="shared" si="93"/>
        <v>61.185369021394209</v>
      </c>
      <c r="CB107" s="20">
        <f t="shared" si="64"/>
        <v>546.8598017122614</v>
      </c>
      <c r="CC107" s="59">
        <f t="shared" si="65"/>
        <v>825.34077454332237</v>
      </c>
      <c r="CD107" s="59">
        <f ca="1">AVERAGE(OFFSET($CC$3,0,0,'Données projet'!$E$12+1,1))-AVERAGE(OFFSET($H$3,0,0,'Données projet'!$E$12+1,1))</f>
        <v>398.11190027805549</v>
      </c>
      <c r="CE107" s="59">
        <f t="shared" si="94"/>
        <v>250.47702091764884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66.380817045079539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66.380817045079539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8.3920000000000012</v>
      </c>
      <c r="CS107" s="12">
        <f t="array" ref="CS107">INDEX(CR:CR,MIN(IF(ISNUMBER(CR107:CR303),ROW(CR107:CR303),"")))</f>
        <v>8.3920000000000012</v>
      </c>
      <c r="CT107" s="12">
        <f>IF('Données projet'!$A$140&gt;35,CT106+CS107-DB106,IF(A107&lt;'Données projet'!$A$140,$CQ$205^A107,IF(A107='Données projet'!$A$140,'Données projet'!$B$140,CT106+CS107-DB106)))</f>
        <v>402.20000000000022</v>
      </c>
      <c r="CU107" s="17">
        <f>CT107*VLOOKUP('Données projet'!$B$13,Paramètres!$A$1:$I$89,3,0)*VLOOKUP('Données projet'!$B$13,Paramètres!$A$1:$I$89,5,0)</f>
        <v>382.73352000000023</v>
      </c>
      <c r="CV107" s="13">
        <f t="shared" si="95"/>
        <v>88.267212552908134</v>
      </c>
      <c r="CW107" s="20">
        <f t="shared" si="67"/>
        <v>820.32627586298202</v>
      </c>
      <c r="CX107" s="59">
        <f t="shared" si="68"/>
        <v>1098.807248694043</v>
      </c>
      <c r="CY107" s="59">
        <f ca="1">AVERAGE(OFFSET($CX$3,0,0,'Données projet'!$E$13+1,1))-AVERAGE(OFFSET($H$3,0,0,'Données projet'!$E$13+1,1))</f>
        <v>697.21496579281836</v>
      </c>
      <c r="CZ107" s="59">
        <f t="shared" si="96"/>
        <v>215.64914236153456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0.43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110.78483933901069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110.78483933901069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319</v>
      </c>
      <c r="DP107" s="17">
        <f>DO107*VLOOKUP('Données projet'!$B$14,Paramètres!$A$1:$I$89,3,0)*VLOOKUP('Données projet'!$B$14,Paramètres!$A$1:$I$89,5,0)</f>
        <v>278.67840000000001</v>
      </c>
      <c r="DQ107" s="13">
        <f t="shared" si="97"/>
        <v>66.687639951856809</v>
      </c>
      <c r="DR107" s="20">
        <f t="shared" si="70"/>
        <v>601.51251958281728</v>
      </c>
      <c r="DS107" s="59">
        <f t="shared" si="71"/>
        <v>879.99349241387813</v>
      </c>
      <c r="DT107" s="59">
        <f ca="1">AVERAGE(OFFSET($DS$3,0,0,'Données projet'!$E$14+1,1))-AVERAGE(OFFSET($H$3,0,0,'Données projet'!$E$14+1,1))</f>
        <v>408.24135864450221</v>
      </c>
      <c r="DU107" s="59">
        <f t="shared" si="98"/>
        <v>394.10236303013903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36.295229557893968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36.295229557893968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853.00000000000011</v>
      </c>
      <c r="O108" s="13">
        <f>N108*VLOOKUP('Données projet'!$B$9,Paramètres!$A$1:$I$89,3,0)*VLOOKUP('Données projet'!$B$9,Paramètres!$A$1:$I$89,5,0)</f>
        <v>399.20400000000006</v>
      </c>
      <c r="P108" s="13">
        <f t="shared" si="87"/>
        <v>91.615269732888521</v>
      </c>
      <c r="Q108" s="20">
        <f t="shared" si="107"/>
        <v>854.8435614514475</v>
      </c>
      <c r="R108" s="59">
        <f t="shared" si="55"/>
        <v>1133.5821895323193</v>
      </c>
      <c r="S108" s="59">
        <f ca="1">AVERAGE(OFFSET($R$3,0,0,'Données projet'!$E$9+1,1))-AVERAGE(OFFSET($H$3,0,0,'Données projet'!$E$9+1,1))</f>
        <v>512.58510468904342</v>
      </c>
      <c r="T108" s="59">
        <f t="shared" si="88"/>
        <v>443.6106696463529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84.473093241127955</v>
      </c>
      <c r="AA108" s="21">
        <f>EXP(-LN(2)/25)*AA107+(1-EXP(-LN(2)/25))/(LN(2)/25)*Calculateur!V108*Calculateur!X108*VLOOKUP('Données projet'!$B$9,Paramètres!$A$1:$I$89,3,0)*0.475*44/12</f>
        <v>6.1234155292457126</v>
      </c>
      <c r="AB108" s="21">
        <f>EXP(-LN(2)/2)*AB107+(1-EXP(-LN(2)/2))/(LN(2)/2)*V108*Y108*VLOOKUP('Données projet'!$B$9,Paramètres!$A$1:$I$89,3,0)*0.475*44/12</f>
        <v>4.1744826135879292E-12</v>
      </c>
      <c r="AC108" s="22">
        <f t="shared" si="57"/>
        <v>90.596508770377852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9">
        <f t="shared" si="59"/>
        <v>1004.4540427771235</v>
      </c>
      <c r="AN108" s="59">
        <f ca="1">AVERAGE(OFFSET($AM$3,0,0,'Données projet'!$E$10+1,1))-AVERAGE(OFFSET($H$3,0,0,'Données projet'!$E$10+1,1))</f>
        <v>520.95202773768222</v>
      </c>
      <c r="AO108" s="59">
        <f t="shared" si="90"/>
        <v>325.72635759450861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109.34029832407457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109.34029832407457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689</v>
      </c>
      <c r="BE108" s="13">
        <f>BD108*VLOOKUP('Données projet'!$B$11,Paramètres!$A$1:$I$89,3,0)*VLOOKUP('Données projet'!$B$11,Paramètres!$A$1:$I$89,5,0)</f>
        <v>412.02199999999999</v>
      </c>
      <c r="BF108" s="13">
        <f t="shared" si="91"/>
        <v>94.209724877926391</v>
      </c>
      <c r="BG108" s="20">
        <f t="shared" si="61"/>
        <v>881.686920829055</v>
      </c>
      <c r="BH108" s="59">
        <f t="shared" si="62"/>
        <v>1160.4255489099269</v>
      </c>
      <c r="BI108" s="59">
        <f ca="1">AVERAGE(OFFSET($BH$3,0,0,'Données projet'!$E$11+1,1))-AVERAGE(OFFSET($H$3,0,0,'Données projet'!$E$11+1,1))</f>
        <v>528.71639224940395</v>
      </c>
      <c r="BJ108" s="59">
        <f t="shared" si="92"/>
        <v>460.93390058676493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59.653287783405403</v>
      </c>
      <c r="BQ108" s="21">
        <f>EXP(-LN(2)/25)*BQ107+(1-EXP(-LN(2)/25))/(LN(2)/25)*Calculateur!BL108*Calculateur!BN108*VLOOKUP('Données projet'!$B$11,Paramètres!$A$1:$I$89,3,0)*0.475*44/12</f>
        <v>7.3599044944091405</v>
      </c>
      <c r="BR108" s="21">
        <f>EXP(-LN(2)/2)*BR107+(1-EXP(-LN(2)/2))/(LN(2)/2)*BL108*BO108*VLOOKUP('Données projet'!$B$11,Paramètres!$A$1:$I$89,3,0)*0.475*44/12</f>
        <v>2.6941077052502978E-13</v>
      </c>
      <c r="BS108" s="22">
        <f t="shared" si="63"/>
        <v>67.013192277814809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284</v>
      </c>
      <c r="BW108" s="12">
        <f>VLOOKUP(A108,'Données projet'!$A$113:$I$133,9,0)</f>
        <v>4.5999999999999996</v>
      </c>
      <c r="BX108" s="12">
        <f t="array" ref="BX108">INDEX(BW:BW,MIN(IF(ISNUMBER(BW108:BW304),ROW(BW108:BW304),"")))</f>
        <v>4.5999999999999996</v>
      </c>
      <c r="BY108" s="12">
        <f>IF('Données projet'!$A$114&gt;35,BY107+BX108-CG107,IF(A108&lt;'Données projet'!$A$114,$BV$205^A108,IF(A108='Données projet'!$A$114,'Données projet'!$B$114,BY107+BX108-CG107)))</f>
        <v>284</v>
      </c>
      <c r="BZ108" s="13">
        <f>BY108*VLOOKUP('Données projet'!$B$12,Paramètres!$A$1:$I$89,3,0)*VLOOKUP('Données projet'!$B$12,Paramètres!$A$1:$I$89,5,0)</f>
        <v>256.96320000000003</v>
      </c>
      <c r="CA108" s="13">
        <f t="shared" si="93"/>
        <v>62.074612956838024</v>
      </c>
      <c r="CB108" s="20">
        <f t="shared" si="64"/>
        <v>555.65752423315951</v>
      </c>
      <c r="CC108" s="59">
        <f t="shared" si="65"/>
        <v>834.39615231403127</v>
      </c>
      <c r="CD108" s="59">
        <f ca="1">AVERAGE(OFFSET($CC$3,0,0,'Données projet'!$E$12+1,1))-AVERAGE(OFFSET($H$3,0,0,'Données projet'!$E$12+1,1))</f>
        <v>398.11190027805549</v>
      </c>
      <c r="CE108" s="59">
        <f t="shared" si="94"/>
        <v>250.47702091764884</v>
      </c>
      <c r="CF108" s="15">
        <f>IF(ISNA(VLOOKUP(A108,'Données projet'!$A$113:$I$133,3,0)),0,VLOOKUP(A108,'Données projet'!$A$113:$I$133,3,0))</f>
        <v>17</v>
      </c>
      <c r="CG108" s="15">
        <f>IF(ISNA(VLOOKUP(A108,'Données projet'!$A$113:$I$133,4,0)),0,VLOOKUP(A108,'Données projet'!$A$113:$I$133,4,0))</f>
        <v>20</v>
      </c>
      <c r="CH108" s="16">
        <f>IF(ISNA(VLOOKUP(A108,'Données projet'!$A$113:$I$133,5,0)),0%,VLOOKUP(A108,'Données projet'!$A$113:$I$133,5,0)*VLOOKUP('Données projet'!$B$12,Paramètres!$A$1:$I$89,7,0))</f>
        <v>0.43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73.681104265978192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73.681104265978192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8.2550000000000008</v>
      </c>
      <c r="CT108" s="12">
        <f>IF('Données projet'!$A$140&gt;35,CT107+CS108-DB107,IF(A108&lt;'Données projet'!$A$140,$CQ$205^A108,IF(A108='Données projet'!$A$140,'Données projet'!$B$140,CT107+CS108-DB107)))</f>
        <v>350.26500000000021</v>
      </c>
      <c r="CU108" s="17">
        <f>CT108*VLOOKUP('Données projet'!$B$13,Paramètres!$A$1:$I$89,3,0)*VLOOKUP('Données projet'!$B$13,Paramètres!$A$1:$I$89,5,0)</f>
        <v>333.3121740000002</v>
      </c>
      <c r="CV108" s="13">
        <f t="shared" si="95"/>
        <v>78.116605704426632</v>
      </c>
      <c r="CW108" s="20">
        <f t="shared" si="67"/>
        <v>716.57179131854343</v>
      </c>
      <c r="CX108" s="59">
        <f t="shared" si="68"/>
        <v>995.3104193994152</v>
      </c>
      <c r="CY108" s="59">
        <f ca="1">AVERAGE(OFFSET($CX$3,0,0,'Données projet'!$E$13+1,1))-AVERAGE(OFFSET($H$3,0,0,'Données projet'!$E$13+1,1))</f>
        <v>697.21496579281836</v>
      </c>
      <c r="CZ108" s="59">
        <f t="shared" si="96"/>
        <v>215.64914236153456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108.6124162116525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108.6124162116525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319</v>
      </c>
      <c r="DP108" s="17">
        <f>DO108*VLOOKUP('Données projet'!$B$14,Paramètres!$A$1:$I$89,3,0)*VLOOKUP('Données projet'!$B$14,Paramètres!$A$1:$I$89,5,0)</f>
        <v>278.67840000000001</v>
      </c>
      <c r="DQ108" s="13">
        <f t="shared" si="97"/>
        <v>66.687639951856809</v>
      </c>
      <c r="DR108" s="20">
        <f t="shared" si="70"/>
        <v>601.51251958281728</v>
      </c>
      <c r="DS108" s="59">
        <f t="shared" si="71"/>
        <v>880.25114766368904</v>
      </c>
      <c r="DT108" s="59">
        <f ca="1">AVERAGE(OFFSET($DS$3,0,0,'Données projet'!$E$14+1,1))-AVERAGE(OFFSET($H$3,0,0,'Données projet'!$E$14+1,1))</f>
        <v>408.24135864450221</v>
      </c>
      <c r="DU108" s="59">
        <f t="shared" si="98"/>
        <v>394.10236303013903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35.583502244167761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35.583502244167761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853.00000000000011</v>
      </c>
      <c r="O109" s="13">
        <f>N109*VLOOKUP('Données projet'!$B$9,Paramètres!$A$1:$I$89,3,0)*VLOOKUP('Données projet'!$B$9,Paramètres!$A$1:$I$89,5,0)</f>
        <v>399.20400000000006</v>
      </c>
      <c r="P109" s="13">
        <f t="shared" si="87"/>
        <v>91.615269732888521</v>
      </c>
      <c r="Q109" s="20">
        <f t="shared" si="107"/>
        <v>854.8435614514475</v>
      </c>
      <c r="R109" s="59">
        <f t="shared" si="55"/>
        <v>1133.8353750395765</v>
      </c>
      <c r="S109" s="59">
        <f ca="1">AVERAGE(OFFSET($R$3,0,0,'Données projet'!$E$9+1,1))-AVERAGE(OFFSET($H$3,0,0,'Données projet'!$E$9+1,1))</f>
        <v>512.58510468904342</v>
      </c>
      <c r="T109" s="59">
        <f t="shared" si="88"/>
        <v>443.6106696463529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82.816627406168791</v>
      </c>
      <c r="AA109" s="21">
        <f>EXP(-LN(2)/25)*AA108+(1-EXP(-LN(2)/25))/(LN(2)/25)*Calculateur!V109*Calculateur!X109*VLOOKUP('Données projet'!$B$9,Paramètres!$A$1:$I$89,3,0)*0.475*44/12</f>
        <v>5.9559704095820614</v>
      </c>
      <c r="AB109" s="21">
        <f>EXP(-LN(2)/2)*AB108+(1-EXP(-LN(2)/2))/(LN(2)/2)*V109*Y109*VLOOKUP('Données projet'!$B$9,Paramètres!$A$1:$I$89,3,0)*0.475*44/12</f>
        <v>2.951804964013367E-12</v>
      </c>
      <c r="AC109" s="22">
        <f t="shared" si="57"/>
        <v>88.772597815753812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9">
        <f t="shared" si="59"/>
        <v>959.92277291130972</v>
      </c>
      <c r="AN109" s="59">
        <f ca="1">AVERAGE(OFFSET($AM$3,0,0,'Données projet'!$E$10+1,1))-AVERAGE(OFFSET($H$3,0,0,'Données projet'!$E$10+1,1))</f>
        <v>520.95202773768222</v>
      </c>
      <c r="AO109" s="59">
        <f t="shared" si="90"/>
        <v>325.72635759450861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107.19620176493625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107.19620176493625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689</v>
      </c>
      <c r="BE109" s="13">
        <f>BD109*VLOOKUP('Données projet'!$B$11,Paramètres!$A$1:$I$89,3,0)*VLOOKUP('Données projet'!$B$11,Paramètres!$A$1:$I$89,5,0)</f>
        <v>412.02199999999999</v>
      </c>
      <c r="BF109" s="13">
        <f t="shared" si="91"/>
        <v>94.209724877926391</v>
      </c>
      <c r="BG109" s="20">
        <f t="shared" si="61"/>
        <v>881.686920829055</v>
      </c>
      <c r="BH109" s="59">
        <f t="shared" si="62"/>
        <v>1160.6787344171842</v>
      </c>
      <c r="BI109" s="59">
        <f ca="1">AVERAGE(OFFSET($BH$3,0,0,'Données projet'!$E$11+1,1))-AVERAGE(OFFSET($H$3,0,0,'Données projet'!$E$11+1,1))</f>
        <v>528.71639224940395</v>
      </c>
      <c r="BJ109" s="59">
        <f t="shared" si="92"/>
        <v>460.93390058676493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58.483523194885663</v>
      </c>
      <c r="BQ109" s="21">
        <f>EXP(-LN(2)/25)*BQ108+(1-EXP(-LN(2)/25))/(LN(2)/25)*Calculateur!BL109*Calculateur!BN109*VLOOKUP('Données projet'!$B$11,Paramètres!$A$1:$I$89,3,0)*0.475*44/12</f>
        <v>7.1586475189689667</v>
      </c>
      <c r="BR109" s="21">
        <f>EXP(-LN(2)/2)*BR108+(1-EXP(-LN(2)/2))/(LN(2)/2)*BL109*BO109*VLOOKUP('Données projet'!$B$11,Paramètres!$A$1:$I$89,3,0)*0.475*44/12</f>
        <v>1.905021827629414E-13</v>
      </c>
      <c r="BS109" s="22">
        <f t="shared" si="63"/>
        <v>65.64217071385481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4.2</v>
      </c>
      <c r="BY109" s="12">
        <f>IF('Données projet'!$A$114&gt;35,BY108+BX109-CG108,IF(A109&lt;'Données projet'!$A$114,$BV$205^A109,IF(A109='Données projet'!$A$114,'Données projet'!$B$114,BY108+BX109-CG108)))</f>
        <v>268.2</v>
      </c>
      <c r="BZ109" s="13">
        <f>BY109*VLOOKUP('Données projet'!$B$12,Paramètres!$A$1:$I$89,3,0)*VLOOKUP('Données projet'!$B$12,Paramètres!$A$1:$I$89,5,0)</f>
        <v>242.66735999999997</v>
      </c>
      <c r="CA109" s="13">
        <f t="shared" si="93"/>
        <v>59.013056290731797</v>
      </c>
      <c r="CB109" s="20">
        <f t="shared" si="64"/>
        <v>525.42672503969118</v>
      </c>
      <c r="CC109" s="59">
        <f t="shared" si="65"/>
        <v>804.41853862782023</v>
      </c>
      <c r="CD109" s="59">
        <f ca="1">AVERAGE(OFFSET($CC$3,0,0,'Données projet'!$E$12+1,1))-AVERAGE(OFFSET($H$3,0,0,'Données projet'!$E$12+1,1))</f>
        <v>398.11190027805549</v>
      </c>
      <c r="CE109" s="59">
        <f t="shared" si="94"/>
        <v>250.47702091764884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72.2362627523584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72.2362627523584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8.2550000000000008</v>
      </c>
      <c r="CT109" s="12">
        <f>IF('Données projet'!$A$140&gt;35,CT108+CS109-DB108,IF(A109&lt;'Données projet'!$A$140,$CQ$205^A109,IF(A109='Données projet'!$A$140,'Données projet'!$B$140,CT108+CS109-DB108)))</f>
        <v>358.52000000000021</v>
      </c>
      <c r="CU109" s="17">
        <f>CT109*VLOOKUP('Données projet'!$B$13,Paramètres!$A$1:$I$89,3,0)*VLOOKUP('Données projet'!$B$13,Paramètres!$A$1:$I$89,5,0)</f>
        <v>341.1676320000002</v>
      </c>
      <c r="CV109" s="13">
        <f t="shared" si="95"/>
        <v>79.741138430245854</v>
      </c>
      <c r="CW109" s="20">
        <f t="shared" si="67"/>
        <v>733.08277516601174</v>
      </c>
      <c r="CX109" s="59">
        <f t="shared" si="68"/>
        <v>1012.0745887541409</v>
      </c>
      <c r="CY109" s="59">
        <f ca="1">AVERAGE(OFFSET($CX$3,0,0,'Données projet'!$E$13+1,1))-AVERAGE(OFFSET($H$3,0,0,'Données projet'!$E$13+1,1))</f>
        <v>697.21496579281836</v>
      </c>
      <c r="CZ109" s="59">
        <f t="shared" si="96"/>
        <v>215.64914236153456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106.48259297677454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106.48259297677454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319</v>
      </c>
      <c r="DP109" s="17">
        <f>DO109*VLOOKUP('Données projet'!$B$14,Paramètres!$A$1:$I$89,3,0)*VLOOKUP('Données projet'!$B$14,Paramètres!$A$1:$I$89,5,0)</f>
        <v>278.67840000000001</v>
      </c>
      <c r="DQ109" s="13">
        <f t="shared" si="97"/>
        <v>66.687639951856809</v>
      </c>
      <c r="DR109" s="20">
        <f t="shared" si="70"/>
        <v>601.51251958281728</v>
      </c>
      <c r="DS109" s="59">
        <f t="shared" si="71"/>
        <v>880.50433317094644</v>
      </c>
      <c r="DT109" s="59">
        <f ca="1">AVERAGE(OFFSET($DS$3,0,0,'Données projet'!$E$14+1,1))-AVERAGE(OFFSET($H$3,0,0,'Données projet'!$E$14+1,1))</f>
        <v>408.24135864450221</v>
      </c>
      <c r="DU109" s="59">
        <f t="shared" si="98"/>
        <v>394.10236303013903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34.885731468952926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34.885731468952926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853.00000000000011</v>
      </c>
      <c r="O110" s="13">
        <f>N110*VLOOKUP('Données projet'!$B$9,Paramètres!$A$1:$I$89,3,0)*VLOOKUP('Données projet'!$B$9,Paramètres!$A$1:$I$89,5,0)</f>
        <v>399.20400000000006</v>
      </c>
      <c r="P110" s="13">
        <f t="shared" si="87"/>
        <v>91.615269732888521</v>
      </c>
      <c r="Q110" s="20">
        <f t="shared" si="107"/>
        <v>854.8435614514475</v>
      </c>
      <c r="R110" s="59">
        <f t="shared" si="55"/>
        <v>1134.0841683443211</v>
      </c>
      <c r="S110" s="59">
        <f ca="1">AVERAGE(OFFSET($R$3,0,0,'Données projet'!$E$9+1,1))-AVERAGE(OFFSET($H$3,0,0,'Données projet'!$E$9+1,1))</f>
        <v>512.58510468904342</v>
      </c>
      <c r="T110" s="59">
        <f t="shared" si="88"/>
        <v>443.6106696463529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81.192643855888775</v>
      </c>
      <c r="AA110" s="21">
        <f>EXP(-LN(2)/25)*AA109+(1-EXP(-LN(2)/25))/(LN(2)/25)*Calculateur!V110*Calculateur!X110*VLOOKUP('Données projet'!$B$9,Paramètres!$A$1:$I$89,3,0)*0.475*44/12</f>
        <v>5.7931040855211684</v>
      </c>
      <c r="AB110" s="21">
        <f>EXP(-LN(2)/2)*AB109+(1-EXP(-LN(2)/2))/(LN(2)/2)*V110*Y110*VLOOKUP('Données projet'!$B$9,Paramètres!$A$1:$I$89,3,0)*0.475*44/12</f>
        <v>2.0872413067939646E-12</v>
      </c>
      <c r="AC110" s="22">
        <f t="shared" si="57"/>
        <v>86.985747941412029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9">
        <f t="shared" si="59"/>
        <v>970.83985852613989</v>
      </c>
      <c r="AN110" s="59">
        <f ca="1">AVERAGE(OFFSET($AM$3,0,0,'Données projet'!$E$10+1,1))-AVERAGE(OFFSET($H$3,0,0,'Données projet'!$E$10+1,1))</f>
        <v>520.95202773768222</v>
      </c>
      <c r="AO110" s="59">
        <f t="shared" si="90"/>
        <v>325.72635759450861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105.09414963155287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105.09414963155287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689</v>
      </c>
      <c r="BE110" s="13">
        <f>BD110*VLOOKUP('Données projet'!$B$11,Paramètres!$A$1:$I$89,3,0)*VLOOKUP('Données projet'!$B$11,Paramètres!$A$1:$I$89,5,0)</f>
        <v>412.02199999999999</v>
      </c>
      <c r="BF110" s="13">
        <f t="shared" si="91"/>
        <v>94.209724877926391</v>
      </c>
      <c r="BG110" s="20">
        <f t="shared" si="61"/>
        <v>881.686920829055</v>
      </c>
      <c r="BH110" s="59">
        <f t="shared" si="62"/>
        <v>1160.9275277219285</v>
      </c>
      <c r="BI110" s="59">
        <f ca="1">AVERAGE(OFFSET($BH$3,0,0,'Données projet'!$E$11+1,1))-AVERAGE(OFFSET($H$3,0,0,'Données projet'!$E$11+1,1))</f>
        <v>528.71639224940395</v>
      </c>
      <c r="BJ110" s="59">
        <f t="shared" si="92"/>
        <v>460.93390058676493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57.336696976460843</v>
      </c>
      <c r="BQ110" s="21">
        <f>EXP(-LN(2)/25)*BQ109+(1-EXP(-LN(2)/25))/(LN(2)/25)*Calculateur!BL110*Calculateur!BN110*VLOOKUP('Données projet'!$B$11,Paramètres!$A$1:$I$89,3,0)*0.475*44/12</f>
        <v>6.9628939261058482</v>
      </c>
      <c r="BR110" s="21">
        <f>EXP(-LN(2)/2)*BR109+(1-EXP(-LN(2)/2))/(LN(2)/2)*BL110*BO110*VLOOKUP('Données projet'!$B$11,Paramètres!$A$1:$I$89,3,0)*0.475*44/12</f>
        <v>1.3470538526251489E-13</v>
      </c>
      <c r="BS110" s="22">
        <f t="shared" si="63"/>
        <v>64.29959090256682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4.2</v>
      </c>
      <c r="BY110" s="12">
        <f>IF('Données projet'!$A$114&gt;35,BY109+BX110-CG109,IF(A110&lt;'Données projet'!$A$114,$BV$205^A110,IF(A110='Données projet'!$A$114,'Données projet'!$B$114,BY109+BX110-CG109)))</f>
        <v>272.39999999999998</v>
      </c>
      <c r="BZ110" s="13">
        <f>BY110*VLOOKUP('Données projet'!$B$12,Paramètres!$A$1:$I$89,3,0)*VLOOKUP('Données projet'!$B$12,Paramètres!$A$1:$I$89,5,0)</f>
        <v>246.46751999999995</v>
      </c>
      <c r="CA110" s="13">
        <f t="shared" si="93"/>
        <v>59.828888074216977</v>
      </c>
      <c r="CB110" s="20">
        <f t="shared" si="64"/>
        <v>533.46624406259446</v>
      </c>
      <c r="CC110" s="59">
        <f t="shared" si="65"/>
        <v>812.7068509554681</v>
      </c>
      <c r="CD110" s="59">
        <f ca="1">AVERAGE(OFFSET($CC$3,0,0,'Données projet'!$E$12+1,1))-AVERAGE(OFFSET($H$3,0,0,'Données projet'!$E$12+1,1))</f>
        <v>398.11190027805549</v>
      </c>
      <c r="CE110" s="59">
        <f t="shared" si="94"/>
        <v>250.47702091764884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70.819753699554383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70.819753699554383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8.2550000000000008</v>
      </c>
      <c r="CT110" s="12">
        <f>IF('Données projet'!$A$140&gt;35,CT109+CS110-DB109,IF(A110&lt;'Données projet'!$A$140,$CQ$205^A110,IF(A110='Données projet'!$A$140,'Données projet'!$B$140,CT109+CS110-DB109)))</f>
        <v>366.7750000000002</v>
      </c>
      <c r="CU110" s="17">
        <f>CT110*VLOOKUP('Données projet'!$B$13,Paramètres!$A$1:$I$89,3,0)*VLOOKUP('Données projet'!$B$13,Paramètres!$A$1:$I$89,5,0)</f>
        <v>349.0230900000002</v>
      </c>
      <c r="CV110" s="13">
        <f t="shared" si="95"/>
        <v>81.361322612341581</v>
      </c>
      <c r="CW110" s="20">
        <f t="shared" si="67"/>
        <v>749.58618529982857</v>
      </c>
      <c r="CX110" s="59">
        <f t="shared" si="68"/>
        <v>1028.8267921927022</v>
      </c>
      <c r="CY110" s="59">
        <f ca="1">AVERAGE(OFFSET($CX$3,0,0,'Données projet'!$E$13+1,1))-AVERAGE(OFFSET($H$3,0,0,'Données projet'!$E$13+1,1))</f>
        <v>697.21496579281836</v>
      </c>
      <c r="CZ110" s="59">
        <f t="shared" si="96"/>
        <v>215.64914236153456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104.39453427646863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104.39453427646863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319</v>
      </c>
      <c r="DP110" s="17">
        <f>DO110*VLOOKUP('Données projet'!$B$14,Paramètres!$A$1:$I$89,3,0)*VLOOKUP('Données projet'!$B$14,Paramètres!$A$1:$I$89,5,0)</f>
        <v>278.67840000000001</v>
      </c>
      <c r="DQ110" s="13">
        <f t="shared" si="97"/>
        <v>66.687639951856809</v>
      </c>
      <c r="DR110" s="20">
        <f t="shared" si="70"/>
        <v>601.51251958281728</v>
      </c>
      <c r="DS110" s="59">
        <f t="shared" si="71"/>
        <v>880.75312647569092</v>
      </c>
      <c r="DT110" s="59">
        <f ca="1">AVERAGE(OFFSET($DS$3,0,0,'Données projet'!$E$14+1,1))-AVERAGE(OFFSET($H$3,0,0,'Données projet'!$E$14+1,1))</f>
        <v>408.24135864450221</v>
      </c>
      <c r="DU110" s="59">
        <f t="shared" si="98"/>
        <v>394.10236303013903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34.201643553041905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34.201643553041905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853.00000000000011</v>
      </c>
      <c r="O111" s="13">
        <f>N111*VLOOKUP('Données projet'!$B$9,Paramètres!$A$1:$I$89,3,0)*VLOOKUP('Données projet'!$B$9,Paramètres!$A$1:$I$89,5,0)</f>
        <v>399.20400000000006</v>
      </c>
      <c r="P111" s="13">
        <f t="shared" si="87"/>
        <v>91.615269732888521</v>
      </c>
      <c r="Q111" s="20">
        <f t="shared" si="107"/>
        <v>854.8435614514475</v>
      </c>
      <c r="R111" s="59">
        <f t="shared" si="55"/>
        <v>1134.3286456414469</v>
      </c>
      <c r="S111" s="59">
        <f ca="1">AVERAGE(OFFSET($R$3,0,0,'Données projet'!$E$9+1,1))-AVERAGE(OFFSET($H$3,0,0,'Données projet'!$E$9+1,1))</f>
        <v>512.58510468904342</v>
      </c>
      <c r="T111" s="59">
        <f t="shared" si="88"/>
        <v>443.6106696463529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79.600505632497601</v>
      </c>
      <c r="AA111" s="21">
        <f>EXP(-LN(2)/25)*AA110+(1-EXP(-LN(2)/25))/(LN(2)/25)*Calculateur!V111*Calculateur!X111*VLOOKUP('Données projet'!$B$9,Paramètres!$A$1:$I$89,3,0)*0.475*44/12</f>
        <v>5.6346913496564888</v>
      </c>
      <c r="AB111" s="21">
        <f>EXP(-LN(2)/2)*AB110+(1-EXP(-LN(2)/2))/(LN(2)/2)*V111*Y111*VLOOKUP('Données projet'!$B$9,Paramètres!$A$1:$I$89,3,0)*0.475*44/12</f>
        <v>1.4759024820066835E-12</v>
      </c>
      <c r="AC111" s="22">
        <f t="shared" si="57"/>
        <v>85.235196982155571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9">
        <f t="shared" si="59"/>
        <v>981.74925650534033</v>
      </c>
      <c r="AN111" s="59">
        <f ca="1">AVERAGE(OFFSET($AM$3,0,0,'Données projet'!$E$10+1,1))-AVERAGE(OFFSET($H$3,0,0,'Données projet'!$E$10+1,1))</f>
        <v>520.95202773768222</v>
      </c>
      <c r="AO111" s="59">
        <f t="shared" si="90"/>
        <v>325.72635759450861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103.03331745837993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103.03331745837993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689</v>
      </c>
      <c r="BE111" s="13">
        <f>BD111*VLOOKUP('Données projet'!$B$11,Paramètres!$A$1:$I$89,3,0)*VLOOKUP('Données projet'!$B$11,Paramètres!$A$1:$I$89,5,0)</f>
        <v>412.02199999999999</v>
      </c>
      <c r="BF111" s="13">
        <f t="shared" si="91"/>
        <v>94.209724877926391</v>
      </c>
      <c r="BG111" s="20">
        <f t="shared" si="61"/>
        <v>881.686920829055</v>
      </c>
      <c r="BH111" s="59">
        <f t="shared" si="62"/>
        <v>1161.1720050190543</v>
      </c>
      <c r="BI111" s="59">
        <f ca="1">AVERAGE(OFFSET($BH$3,0,0,'Données projet'!$E$11+1,1))-AVERAGE(OFFSET($H$3,0,0,'Données projet'!$E$11+1,1))</f>
        <v>528.71639224940395</v>
      </c>
      <c r="BJ111" s="59">
        <f t="shared" si="92"/>
        <v>460.93390058676493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56.212359320684406</v>
      </c>
      <c r="BQ111" s="21">
        <f>EXP(-LN(2)/25)*BQ110+(1-EXP(-LN(2)/25))/(LN(2)/25)*Calculateur!BL111*Calculateur!BN111*VLOOKUP('Données projet'!$B$11,Paramètres!$A$1:$I$89,3,0)*0.475*44/12</f>
        <v>6.7724932255338057</v>
      </c>
      <c r="BR111" s="21">
        <f>EXP(-LN(2)/2)*BR110+(1-EXP(-LN(2)/2))/(LN(2)/2)*BL111*BO111*VLOOKUP('Données projet'!$B$11,Paramètres!$A$1:$I$89,3,0)*0.475*44/12</f>
        <v>9.5251091381470702E-14</v>
      </c>
      <c r="BS111" s="22">
        <f t="shared" si="63"/>
        <v>62.984852546218306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4.2</v>
      </c>
      <c r="BY111" s="12">
        <f>IF('Données projet'!$A$114&gt;35,BY110+BX111-CG110,IF(A111&lt;'Données projet'!$A$114,$BV$205^A111,IF(A111='Données projet'!$A$114,'Données projet'!$B$114,BY110+BX111-CG110)))</f>
        <v>276.59999999999997</v>
      </c>
      <c r="BZ111" s="13">
        <f>BY111*VLOOKUP('Données projet'!$B$12,Paramètres!$A$1:$I$89,3,0)*VLOOKUP('Données projet'!$B$12,Paramètres!$A$1:$I$89,5,0)</f>
        <v>250.26767999999996</v>
      </c>
      <c r="CA111" s="13">
        <f t="shared" si="93"/>
        <v>60.643256925083442</v>
      </c>
      <c r="CB111" s="20">
        <f t="shared" si="64"/>
        <v>541.50321514452014</v>
      </c>
      <c r="CC111" s="59">
        <f t="shared" si="65"/>
        <v>820.98829933451952</v>
      </c>
      <c r="CD111" s="59">
        <f ca="1">AVERAGE(OFFSET($CC$3,0,0,'Données projet'!$E$12+1,1))-AVERAGE(OFFSET($H$3,0,0,'Données projet'!$E$12+1,1))</f>
        <v>398.11190027805549</v>
      </c>
      <c r="CE111" s="59">
        <f t="shared" si="94"/>
        <v>250.47702091764884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69.431021525290646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69.431021525290646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8.2550000000000008</v>
      </c>
      <c r="CT111" s="12">
        <f>IF('Données projet'!$A$140&gt;35,CT110+CS111-DB110,IF(A111&lt;'Données projet'!$A$140,$CQ$205^A111,IF(A111='Données projet'!$A$140,'Données projet'!$B$140,CT110+CS111-DB110)))</f>
        <v>375.0300000000002</v>
      </c>
      <c r="CU111" s="17">
        <f>CT111*VLOOKUP('Données projet'!$B$13,Paramètres!$A$1:$I$89,3,0)*VLOOKUP('Données projet'!$B$13,Paramètres!$A$1:$I$89,5,0)</f>
        <v>356.87854800000019</v>
      </c>
      <c r="CV111" s="13">
        <f t="shared" si="95"/>
        <v>82.977267391318492</v>
      </c>
      <c r="CW111" s="20">
        <f t="shared" si="67"/>
        <v>766.08221180654664</v>
      </c>
      <c r="CX111" s="59">
        <f t="shared" si="68"/>
        <v>1045.5672959965459</v>
      </c>
      <c r="CY111" s="59">
        <f ca="1">AVERAGE(OFFSET($CX$3,0,0,'Données projet'!$E$13+1,1))-AVERAGE(OFFSET($H$3,0,0,'Données projet'!$E$13+1,1))</f>
        <v>697.21496579281836</v>
      </c>
      <c r="CZ111" s="59">
        <f t="shared" si="96"/>
        <v>215.64914236153456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102.34742113368567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102.34742113368567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319</v>
      </c>
      <c r="DP111" s="17">
        <f>DO111*VLOOKUP('Données projet'!$B$14,Paramètres!$A$1:$I$89,3,0)*VLOOKUP('Données projet'!$B$14,Paramètres!$A$1:$I$89,5,0)</f>
        <v>278.67840000000001</v>
      </c>
      <c r="DQ111" s="13">
        <f t="shared" si="97"/>
        <v>66.687639951856809</v>
      </c>
      <c r="DR111" s="20">
        <f t="shared" si="70"/>
        <v>601.51251958281728</v>
      </c>
      <c r="DS111" s="59">
        <f t="shared" si="71"/>
        <v>880.99760377281655</v>
      </c>
      <c r="DT111" s="59">
        <f ca="1">AVERAGE(OFFSET($DS$3,0,0,'Données projet'!$E$14+1,1))-AVERAGE(OFFSET($H$3,0,0,'Données projet'!$E$14+1,1))</f>
        <v>408.24135864450221</v>
      </c>
      <c r="DU111" s="59">
        <f t="shared" si="98"/>
        <v>394.10236303013903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33.530970183909474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33.530970183909474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853.00000000000011</v>
      </c>
      <c r="O112" s="13">
        <f>N112*VLOOKUP('Données projet'!$B$9,Paramètres!$A$1:$I$89,3,0)*VLOOKUP('Données projet'!$B$9,Paramètres!$A$1:$I$89,5,0)</f>
        <v>399.20400000000006</v>
      </c>
      <c r="P112" s="13">
        <f t="shared" si="87"/>
        <v>91.615269732888521</v>
      </c>
      <c r="Q112" s="20">
        <f t="shared" si="107"/>
        <v>854.8435614514475</v>
      </c>
      <c r="R112" s="59">
        <f t="shared" si="55"/>
        <v>1134.5688818040367</v>
      </c>
      <c r="S112" s="59">
        <f ca="1">AVERAGE(OFFSET($R$3,0,0,'Données projet'!$E$9+1,1))-AVERAGE(OFFSET($H$3,0,0,'Données projet'!$E$9+1,1))</f>
        <v>512.58510468904342</v>
      </c>
      <c r="T112" s="59">
        <f t="shared" si="88"/>
        <v>443.6106696463529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78.039588268558688</v>
      </c>
      <c r="AA112" s="21">
        <f>EXP(-LN(2)/25)*AA111+(1-EXP(-LN(2)/25))/(LN(2)/25)*Calculateur!V112*Calculateur!X112*VLOOKUP('Données projet'!$B$9,Paramètres!$A$1:$I$89,3,0)*0.475*44/12</f>
        <v>5.4806104183845923</v>
      </c>
      <c r="AB112" s="21">
        <f>EXP(-LN(2)/2)*AB111+(1-EXP(-LN(2)/2))/(LN(2)/2)*V112*Y112*VLOOKUP('Données projet'!$B$9,Paramètres!$A$1:$I$89,3,0)*0.475*44/12</f>
        <v>1.0436206533969823E-12</v>
      </c>
      <c r="AC112" s="22">
        <f t="shared" si="57"/>
        <v>83.520198686944312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9">
        <f t="shared" si="59"/>
        <v>992.65110012246407</v>
      </c>
      <c r="AN112" s="59">
        <f ca="1">AVERAGE(OFFSET($AM$3,0,0,'Données projet'!$E$10+1,1))-AVERAGE(OFFSET($H$3,0,0,'Données projet'!$E$10+1,1))</f>
        <v>520.95202773768222</v>
      </c>
      <c r="AO112" s="59">
        <f t="shared" si="90"/>
        <v>325.72635759450861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101.01289694713941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101.01289694713941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689</v>
      </c>
      <c r="BE112" s="13">
        <f>BD112*VLOOKUP('Données projet'!$B$11,Paramètres!$A$1:$I$89,3,0)*VLOOKUP('Données projet'!$B$11,Paramètres!$A$1:$I$89,5,0)</f>
        <v>412.02199999999999</v>
      </c>
      <c r="BF112" s="13">
        <f t="shared" si="91"/>
        <v>94.209724877926391</v>
      </c>
      <c r="BG112" s="20">
        <f t="shared" si="61"/>
        <v>881.686920829055</v>
      </c>
      <c r="BH112" s="59">
        <f t="shared" si="62"/>
        <v>1161.4122411816443</v>
      </c>
      <c r="BI112" s="59">
        <f ca="1">AVERAGE(OFFSET($BH$3,0,0,'Données projet'!$E$11+1,1))-AVERAGE(OFFSET($H$3,0,0,'Données projet'!$E$11+1,1))</f>
        <v>528.71639224940395</v>
      </c>
      <c r="BJ112" s="59">
        <f t="shared" si="92"/>
        <v>460.93390058676493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55.110069240559497</v>
      </c>
      <c r="BQ112" s="21">
        <f>EXP(-LN(2)/25)*BQ111+(1-EXP(-LN(2)/25))/(LN(2)/25)*Calculateur!BL112*Calculateur!BN112*VLOOKUP('Données projet'!$B$11,Paramètres!$A$1:$I$89,3,0)*0.475*44/12</f>
        <v>6.5872990421316437</v>
      </c>
      <c r="BR112" s="21">
        <f>EXP(-LN(2)/2)*BR111+(1-EXP(-LN(2)/2))/(LN(2)/2)*BL112*BO112*VLOOKUP('Données projet'!$B$11,Paramètres!$A$1:$I$89,3,0)*0.475*44/12</f>
        <v>6.7352692631257445E-14</v>
      </c>
      <c r="BS112" s="22">
        <f t="shared" si="63"/>
        <v>61.697368282691208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4.2</v>
      </c>
      <c r="BY112" s="12">
        <f>IF('Données projet'!$A$114&gt;35,BY111+BX112-CG111,IF(A112&lt;'Données projet'!$A$114,$BV$205^A112,IF(A112='Données projet'!$A$114,'Données projet'!$B$114,BY111+BX112-CG111)))</f>
        <v>280.79999999999995</v>
      </c>
      <c r="BZ112" s="13">
        <f>BY112*VLOOKUP('Données projet'!$B$12,Paramètres!$A$1:$I$89,3,0)*VLOOKUP('Données projet'!$B$12,Paramètres!$A$1:$I$89,5,0)</f>
        <v>254.06783999999996</v>
      </c>
      <c r="CA112" s="13">
        <f t="shared" si="93"/>
        <v>61.456187622750718</v>
      </c>
      <c r="CB112" s="20">
        <f t="shared" si="64"/>
        <v>549.53768144295748</v>
      </c>
      <c r="CC112" s="59">
        <f t="shared" si="65"/>
        <v>829.26300179554676</v>
      </c>
      <c r="CD112" s="59">
        <f ca="1">AVERAGE(OFFSET($CC$3,0,0,'Données projet'!$E$12+1,1))-AVERAGE(OFFSET($H$3,0,0,'Données projet'!$E$12+1,1))</f>
        <v>398.11190027805549</v>
      </c>
      <c r="CE112" s="59">
        <f t="shared" si="94"/>
        <v>250.47702091764884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68.069521541921233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68.069521541921233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8.2550000000000008</v>
      </c>
      <c r="CT112" s="12">
        <f>IF('Données projet'!$A$140&gt;35,CT111+CS112-DB111,IF(A112&lt;'Données projet'!$A$140,$CQ$205^A112,IF(A112='Données projet'!$A$140,'Données projet'!$B$140,CT111+CS112-DB111)))</f>
        <v>383.2850000000002</v>
      </c>
      <c r="CU112" s="17">
        <f>CT112*VLOOKUP('Données projet'!$B$13,Paramètres!$A$1:$I$89,3,0)*VLOOKUP('Données projet'!$B$13,Paramètres!$A$1:$I$89,5,0)</f>
        <v>364.73400600000019</v>
      </c>
      <c r="CV112" s="13">
        <f t="shared" si="95"/>
        <v>84.589076828709338</v>
      </c>
      <c r="CW112" s="20">
        <f t="shared" si="67"/>
        <v>782.57103592666908</v>
      </c>
      <c r="CX112" s="59">
        <f t="shared" si="68"/>
        <v>1062.2963562792584</v>
      </c>
      <c r="CY112" s="59">
        <f ca="1">AVERAGE(OFFSET($CX$3,0,0,'Données projet'!$E$13+1,1))-AVERAGE(OFFSET($H$3,0,0,'Données projet'!$E$13+1,1))</f>
        <v>697.21496579281836</v>
      </c>
      <c r="CZ112" s="59">
        <f t="shared" si="96"/>
        <v>215.64914236153456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100.34045063101695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100.34045063101695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319</v>
      </c>
      <c r="DP112" s="17">
        <f>DO112*VLOOKUP('Données projet'!$B$14,Paramètres!$A$1:$I$89,3,0)*VLOOKUP('Données projet'!$B$14,Paramètres!$A$1:$I$89,5,0)</f>
        <v>278.67840000000001</v>
      </c>
      <c r="DQ112" s="13">
        <f t="shared" si="97"/>
        <v>66.687639951856809</v>
      </c>
      <c r="DR112" s="20">
        <f t="shared" si="70"/>
        <v>601.51251958281728</v>
      </c>
      <c r="DS112" s="59">
        <f t="shared" si="71"/>
        <v>881.23783993540656</v>
      </c>
      <c r="DT112" s="59">
        <f ca="1">AVERAGE(OFFSET($DS$3,0,0,'Données projet'!$E$14+1,1))-AVERAGE(OFFSET($H$3,0,0,'Données projet'!$E$14+1,1))</f>
        <v>408.24135864450221</v>
      </c>
      <c r="DU112" s="59">
        <f t="shared" si="98"/>
        <v>394.10236303013903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32.873448310475368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32.873448310475368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853.00000000000011</v>
      </c>
      <c r="O113" s="13">
        <f>N113*VLOOKUP('Données projet'!$B$9,Paramètres!$A$1:$I$89,3,0)*VLOOKUP('Données projet'!$B$9,Paramètres!$A$1:$I$89,5,0)</f>
        <v>399.20400000000006</v>
      </c>
      <c r="P113" s="13">
        <f t="shared" si="87"/>
        <v>91.615269732888521</v>
      </c>
      <c r="Q113" s="20">
        <f t="shared" si="107"/>
        <v>854.8435614514475</v>
      </c>
      <c r="R113" s="59">
        <f t="shared" si="55"/>
        <v>1134.8049504062933</v>
      </c>
      <c r="S113" s="59">
        <f ca="1">AVERAGE(OFFSET($R$3,0,0,'Données projet'!$E$9+1,1))-AVERAGE(OFFSET($H$3,0,0,'Données projet'!$E$9+1,1))</f>
        <v>512.58510468904342</v>
      </c>
      <c r="T113" s="59">
        <f t="shared" si="88"/>
        <v>443.6106696463529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76.509279542061037</v>
      </c>
      <c r="AA113" s="21">
        <f>EXP(-LN(2)/25)*AA112+(1-EXP(-LN(2)/25))/(LN(2)/25)*Calculateur!V113*Calculateur!X113*VLOOKUP('Données projet'!$B$9,Paramètres!$A$1:$I$89,3,0)*0.475*44/12</f>
        <v>5.3307428382810897</v>
      </c>
      <c r="AB113" s="21">
        <f>EXP(-LN(2)/2)*AB112+(1-EXP(-LN(2)/2))/(LN(2)/2)*V113*Y113*VLOOKUP('Données projet'!$B$9,Paramètres!$A$1:$I$89,3,0)*0.475*44/12</f>
        <v>7.3795124100334174E-13</v>
      </c>
      <c r="AC113" s="22">
        <f t="shared" si="57"/>
        <v>81.840022380342873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9">
        <f t="shared" si="59"/>
        <v>1003.5455194637552</v>
      </c>
      <c r="AN113" s="59">
        <f ca="1">AVERAGE(OFFSET($AM$3,0,0,'Données projet'!$E$10+1,1))-AVERAGE(OFFSET($H$3,0,0,'Données projet'!$E$10+1,1))</f>
        <v>520.95202773768222</v>
      </c>
      <c r="AO113" s="59">
        <f t="shared" si="90"/>
        <v>325.72635759450861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111.08227552188841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111.08227552188841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689</v>
      </c>
      <c r="BE113" s="13">
        <f>BD113*VLOOKUP('Données projet'!$B$11,Paramètres!$A$1:$I$89,3,0)*VLOOKUP('Données projet'!$B$11,Paramètres!$A$1:$I$89,5,0)</f>
        <v>412.02199999999999</v>
      </c>
      <c r="BF113" s="13">
        <f t="shared" si="91"/>
        <v>94.209724877926391</v>
      </c>
      <c r="BG113" s="20">
        <f t="shared" si="61"/>
        <v>881.686920829055</v>
      </c>
      <c r="BH113" s="59">
        <f t="shared" si="62"/>
        <v>1161.6483097839009</v>
      </c>
      <c r="BI113" s="59">
        <f ca="1">AVERAGE(OFFSET($BH$3,0,0,'Données projet'!$E$11+1,1))-AVERAGE(OFFSET($H$3,0,0,'Données projet'!$E$11+1,1))</f>
        <v>528.71639224940395</v>
      </c>
      <c r="BJ113" s="59">
        <f t="shared" si="92"/>
        <v>460.93390058676493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54.02939439657527</v>
      </c>
      <c r="BQ113" s="21">
        <f>EXP(-LN(2)/25)*BQ112+(1-EXP(-LN(2)/25))/(LN(2)/25)*Calculateur!BL113*Calculateur!BN113*VLOOKUP('Données projet'!$B$11,Paramètres!$A$1:$I$89,3,0)*0.475*44/12</f>
        <v>6.4071690034135527</v>
      </c>
      <c r="BR113" s="21">
        <f>EXP(-LN(2)/2)*BR112+(1-EXP(-LN(2)/2))/(LN(2)/2)*BL113*BO113*VLOOKUP('Données projet'!$B$11,Paramètres!$A$1:$I$89,3,0)*0.475*44/12</f>
        <v>4.7625545690735351E-14</v>
      </c>
      <c r="BS113" s="22">
        <f t="shared" si="63"/>
        <v>60.43656339998887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285</v>
      </c>
      <c r="BW113" s="12">
        <f>VLOOKUP(A113,'Données projet'!$A$113:$I$133,9,0)</f>
        <v>4.2</v>
      </c>
      <c r="BX113" s="12">
        <f t="array" ref="BX113">INDEX(BW:BW,MIN(IF(ISNUMBER(BW113:BW309),ROW(BW113:BW309),"")))</f>
        <v>4.2</v>
      </c>
      <c r="BY113" s="12">
        <f>IF('Données projet'!$A$114&gt;35,BY112+BX113-CG112,IF(A113&lt;'Données projet'!$A$114,$BV$205^A113,IF(A113='Données projet'!$A$114,'Données projet'!$B$114,BY112+BX113-CG112)))</f>
        <v>284.99999999999994</v>
      </c>
      <c r="BZ113" s="13">
        <f>BY113*VLOOKUP('Données projet'!$B$12,Paramètres!$A$1:$I$89,3,0)*VLOOKUP('Données projet'!$B$12,Paramètres!$A$1:$I$89,5,0)</f>
        <v>257.86799999999994</v>
      </c>
      <c r="CA113" s="13">
        <f t="shared" si="93"/>
        <v>62.267704162827528</v>
      </c>
      <c r="CB113" s="20">
        <f t="shared" si="64"/>
        <v>557.56968475025781</v>
      </c>
      <c r="CC113" s="59">
        <f t="shared" si="65"/>
        <v>837.53107370510361</v>
      </c>
      <c r="CD113" s="59">
        <f ca="1">AVERAGE(OFFSET($CC$3,0,0,'Données projet'!$E$12+1,1))-AVERAGE(OFFSET($H$3,0,0,'Données projet'!$E$12+1,1))</f>
        <v>398.11190027805549</v>
      </c>
      <c r="CE113" s="59">
        <f t="shared" si="94"/>
        <v>250.47702091764884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19</v>
      </c>
      <c r="CH113" s="16">
        <f>IF(ISNA(VLOOKUP(A113,'Données projet'!$A$113:$I$133,5,0)),0%,VLOOKUP(A113,'Données projet'!$A$113:$I$133,5,0)*VLOOKUP('Données projet'!$B$12,Paramètres!$A$1:$I$89,7,0))</f>
        <v>0.43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74.906595569902251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74.906595569902251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8.2550000000000008</v>
      </c>
      <c r="CT113" s="12">
        <f>IF('Données projet'!$A$140&gt;35,CT112+CS113-DB112,IF(A113&lt;'Données projet'!$A$140,$CQ$205^A113,IF(A113='Données projet'!$A$140,'Données projet'!$B$140,CT112+CS113-DB112)))</f>
        <v>391.54000000000019</v>
      </c>
      <c r="CU113" s="17">
        <f>CT113*VLOOKUP('Données projet'!$B$13,Paramètres!$A$1:$I$89,3,0)*VLOOKUP('Données projet'!$B$13,Paramètres!$A$1:$I$89,5,0)</f>
        <v>372.58946400000019</v>
      </c>
      <c r="CV113" s="13">
        <f t="shared" si="95"/>
        <v>86.196850247558444</v>
      </c>
      <c r="CW113" s="20">
        <f t="shared" si="67"/>
        <v>799.05283064783123</v>
      </c>
      <c r="CX113" s="59">
        <f t="shared" si="68"/>
        <v>1079.014219602677</v>
      </c>
      <c r="CY113" s="59">
        <f ca="1">AVERAGE(OFFSET($CX$3,0,0,'Données projet'!$E$13+1,1))-AVERAGE(OFFSET($H$3,0,0,'Données projet'!$E$13+1,1))</f>
        <v>697.21496579281836</v>
      </c>
      <c r="CZ113" s="59">
        <f t="shared" si="96"/>
        <v>215.64914236153456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98.372835595774433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98.372835595774433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319</v>
      </c>
      <c r="DP113" s="17">
        <f>DO113*VLOOKUP('Données projet'!$B$14,Paramètres!$A$1:$I$89,3,0)*VLOOKUP('Données projet'!$B$14,Paramètres!$A$1:$I$89,5,0)</f>
        <v>278.67840000000001</v>
      </c>
      <c r="DQ113" s="13">
        <f t="shared" si="97"/>
        <v>66.687639951856809</v>
      </c>
      <c r="DR113" s="20">
        <f t="shared" si="70"/>
        <v>601.51251958281728</v>
      </c>
      <c r="DS113" s="59">
        <f t="shared" si="71"/>
        <v>881.47390853766319</v>
      </c>
      <c r="DT113" s="59">
        <f ca="1">AVERAGE(OFFSET($DS$3,0,0,'Données projet'!$E$14+1,1))-AVERAGE(OFFSET($H$3,0,0,'Données projet'!$E$14+1,1))</f>
        <v>408.24135864450221</v>
      </c>
      <c r="DU113" s="59">
        <f t="shared" si="98"/>
        <v>394.10236303013903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32.228820039930561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32.228820039930561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853.00000000000011</v>
      </c>
      <c r="O114" s="13">
        <f>N114*VLOOKUP('Données projet'!$B$9,Paramètres!$A$1:$I$89,3,0)*VLOOKUP('Données projet'!$B$9,Paramètres!$A$1:$I$89,5,0)</f>
        <v>399.20400000000006</v>
      </c>
      <c r="P114" s="13">
        <f t="shared" si="87"/>
        <v>91.615269732888521</v>
      </c>
      <c r="Q114" s="20">
        <f t="shared" si="107"/>
        <v>854.8435614514475</v>
      </c>
      <c r="R114" s="59">
        <f t="shared" si="55"/>
        <v>1135.0369237460711</v>
      </c>
      <c r="S114" s="59">
        <f ca="1">AVERAGE(OFFSET($R$3,0,0,'Données projet'!$E$9+1,1))-AVERAGE(OFFSET($H$3,0,0,'Données projet'!$E$9+1,1))</f>
        <v>512.58510468904342</v>
      </c>
      <c r="T114" s="59">
        <f t="shared" si="88"/>
        <v>443.6106696463529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75.008979236293854</v>
      </c>
      <c r="AA114" s="21">
        <f>EXP(-LN(2)/25)*AA113+(1-EXP(-LN(2)/25))/(LN(2)/25)*Calculateur!V114*Calculateur!X114*VLOOKUP('Données projet'!$B$9,Paramètres!$A$1:$I$89,3,0)*0.475*44/12</f>
        <v>5.1849733950367112</v>
      </c>
      <c r="AB114" s="21">
        <f>EXP(-LN(2)/2)*AB113+(1-EXP(-LN(2)/2))/(LN(2)/2)*V114*Y114*VLOOKUP('Données projet'!$B$9,Paramètres!$A$1:$I$89,3,0)*0.475*44/12</f>
        <v>5.2181032669849115E-13</v>
      </c>
      <c r="AC114" s="22">
        <f t="shared" si="57"/>
        <v>80.193952631331086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316.16519999999991</v>
      </c>
      <c r="AK114" s="13">
        <f t="shared" si="89"/>
        <v>74.554889944758472</v>
      </c>
      <c r="AL114" s="20">
        <f t="shared" si="58"/>
        <v>680.50415665378762</v>
      </c>
      <c r="AM114" s="59">
        <f t="shared" si="59"/>
        <v>960.69751894841124</v>
      </c>
      <c r="AN114" s="59">
        <f ca="1">AVERAGE(OFFSET($AM$3,0,0,'Données projet'!$E$10+1,1))-AVERAGE(OFFSET($H$3,0,0,'Données projet'!$E$10+1,1))</f>
        <v>520.95202773768222</v>
      </c>
      <c r="AO114" s="59">
        <f t="shared" si="90"/>
        <v>325.72635759450861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108.90401985240214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108.90401985240214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689</v>
      </c>
      <c r="BE114" s="13">
        <f>BD114*VLOOKUP('Données projet'!$B$11,Paramètres!$A$1:$I$89,3,0)*VLOOKUP('Données projet'!$B$11,Paramètres!$A$1:$I$89,5,0)</f>
        <v>412.02199999999999</v>
      </c>
      <c r="BF114" s="13">
        <f t="shared" si="91"/>
        <v>94.209724877926391</v>
      </c>
      <c r="BG114" s="20">
        <f t="shared" si="61"/>
        <v>881.686920829055</v>
      </c>
      <c r="BH114" s="59">
        <f t="shared" si="62"/>
        <v>1161.8802831236785</v>
      </c>
      <c r="BI114" s="59">
        <f ca="1">AVERAGE(OFFSET($BH$3,0,0,'Données projet'!$E$11+1,1))-AVERAGE(OFFSET($H$3,0,0,'Données projet'!$E$11+1,1))</f>
        <v>528.71639224940395</v>
      </c>
      <c r="BJ114" s="59">
        <f t="shared" si="92"/>
        <v>460.93390058676493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52.969910927135004</v>
      </c>
      <c r="BQ114" s="21">
        <f>EXP(-LN(2)/25)*BQ113+(1-EXP(-LN(2)/25))/(LN(2)/25)*Calculateur!BL114*Calculateur!BN114*VLOOKUP('Données projet'!$B$11,Paramètres!$A$1:$I$89,3,0)*0.475*44/12</f>
        <v>6.2319646300768348</v>
      </c>
      <c r="BR114" s="21">
        <f>EXP(-LN(2)/2)*BR113+(1-EXP(-LN(2)/2))/(LN(2)/2)*BL114*BO114*VLOOKUP('Données projet'!$B$11,Paramètres!$A$1:$I$89,3,0)*0.475*44/12</f>
        <v>3.3676346315628723E-14</v>
      </c>
      <c r="BS114" s="22">
        <f t="shared" si="63"/>
        <v>59.201875557211871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3.8</v>
      </c>
      <c r="BY114" s="12">
        <f>IF('Données projet'!$A$114&gt;35,BY113+BX114-CG113,IF(A114&lt;'Données projet'!$A$114,$BV$205^A114,IF(A114='Données projet'!$A$114,'Données projet'!$B$114,BY113+BX114-CG113)))</f>
        <v>269.79999999999995</v>
      </c>
      <c r="BZ114" s="13">
        <f>BY114*VLOOKUP('Données projet'!$B$12,Paramètres!$A$1:$I$89,3,0)*VLOOKUP('Données projet'!$B$12,Paramètres!$A$1:$I$89,5,0)</f>
        <v>244.11503999999994</v>
      </c>
      <c r="CA114" s="13">
        <f t="shared" si="93"/>
        <v>59.324023461759012</v>
      </c>
      <c r="CB114" s="20">
        <f t="shared" si="64"/>
        <v>528.48970219589683</v>
      </c>
      <c r="CC114" s="59">
        <f t="shared" si="65"/>
        <v>808.68306449052034</v>
      </c>
      <c r="CD114" s="59">
        <f ca="1">AVERAGE(OFFSET($CC$3,0,0,'Données projet'!$E$12+1,1))-AVERAGE(OFFSET($H$3,0,0,'Données projet'!$E$12+1,1))</f>
        <v>398.11190027805549</v>
      </c>
      <c r="CE114" s="59">
        <f t="shared" si="94"/>
        <v>250.47702091764884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73.437722919288404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73.437722919288404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8.2550000000000008</v>
      </c>
      <c r="CT114" s="12">
        <f>IF('Données projet'!$A$140&gt;35,CT113+CS114-DB113,IF(A114&lt;'Données projet'!$A$140,$CQ$205^A114,IF(A114='Données projet'!$A$140,'Données projet'!$B$140,CT113+CS114-DB113)))</f>
        <v>399.79500000000019</v>
      </c>
      <c r="CU114" s="17">
        <f>CT114*VLOOKUP('Données projet'!$B$13,Paramètres!$A$1:$I$89,3,0)*VLOOKUP('Données projet'!$B$13,Paramètres!$A$1:$I$89,5,0)</f>
        <v>380.44492200000019</v>
      </c>
      <c r="CV114" s="13">
        <f t="shared" si="95"/>
        <v>87.800682543471467</v>
      </c>
      <c r="CW114" s="20">
        <f t="shared" si="67"/>
        <v>815.52776124654645</v>
      </c>
      <c r="CX114" s="59">
        <f t="shared" si="68"/>
        <v>1095.7211235411701</v>
      </c>
      <c r="CY114" s="59">
        <f ca="1">AVERAGE(OFFSET($CX$3,0,0,'Données projet'!$E$13+1,1))-AVERAGE(OFFSET($H$3,0,0,'Données projet'!$E$13+1,1))</f>
        <v>697.21496579281836</v>
      </c>
      <c r="CZ114" s="59">
        <f t="shared" si="96"/>
        <v>215.64914236153456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96.443804291246352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96.443804291246352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319</v>
      </c>
      <c r="DP114" s="17">
        <f>DO114*VLOOKUP('Données projet'!$B$14,Paramètres!$A$1:$I$89,3,0)*VLOOKUP('Données projet'!$B$14,Paramètres!$A$1:$I$89,5,0)</f>
        <v>278.67840000000001</v>
      </c>
      <c r="DQ114" s="13">
        <f t="shared" si="97"/>
        <v>66.687639951856809</v>
      </c>
      <c r="DR114" s="20">
        <f t="shared" si="70"/>
        <v>601.51251958281728</v>
      </c>
      <c r="DS114" s="59">
        <f t="shared" si="71"/>
        <v>881.70588187744079</v>
      </c>
      <c r="DT114" s="59">
        <f ca="1">AVERAGE(OFFSET($DS$3,0,0,'Données projet'!$E$14+1,1))-AVERAGE(OFFSET($H$3,0,0,'Données projet'!$E$14+1,1))</f>
        <v>408.24135864450221</v>
      </c>
      <c r="DU114" s="59">
        <f t="shared" si="98"/>
        <v>394.10236303013903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31.596832536586717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31.596832536586717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853.00000000000011</v>
      </c>
      <c r="O115" s="13">
        <f>N115*VLOOKUP('Données projet'!$B$9,Paramètres!$A$1:$I$89,3,0)*VLOOKUP('Données projet'!$B$9,Paramètres!$A$1:$I$89,5,0)</f>
        <v>399.20400000000006</v>
      </c>
      <c r="P115" s="13">
        <f t="shared" si="87"/>
        <v>91.615269732888521</v>
      </c>
      <c r="Q115" s="20">
        <f t="shared" si="107"/>
        <v>854.8435614514475</v>
      </c>
      <c r="R115" s="59">
        <f t="shared" si="55"/>
        <v>1135.2648728670183</v>
      </c>
      <c r="S115" s="59">
        <f ca="1">AVERAGE(OFFSET($R$3,0,0,'Données projet'!$E$9+1,1))-AVERAGE(OFFSET($H$3,0,0,'Données projet'!$E$9+1,1))</f>
        <v>512.58510468904342</v>
      </c>
      <c r="T115" s="59">
        <f t="shared" si="88"/>
        <v>443.6106696463529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73.53809890442993</v>
      </c>
      <c r="AA115" s="21">
        <f>EXP(-LN(2)/25)*AA114+(1-EXP(-LN(2)/25))/(LN(2)/25)*Calculateur!V115*Calculateur!X115*VLOOKUP('Données projet'!$B$9,Paramètres!$A$1:$I$89,3,0)*0.475*44/12</f>
        <v>5.0431900248835317</v>
      </c>
      <c r="AB115" s="21">
        <f>EXP(-LN(2)/2)*AB114+(1-EXP(-LN(2)/2))/(LN(2)/2)*V115*Y115*VLOOKUP('Données projet'!$B$9,Paramètres!$A$1:$I$89,3,0)*0.475*44/12</f>
        <v>3.6897562050167087E-13</v>
      </c>
      <c r="AC115" s="22">
        <f t="shared" si="57"/>
        <v>78.581288929313828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9">
        <f t="shared" si="59"/>
        <v>971.1672245270322</v>
      </c>
      <c r="AN115" s="59">
        <f ca="1">AVERAGE(OFFSET($AM$3,0,0,'Données projet'!$E$10+1,1))-AVERAGE(OFFSET($H$3,0,0,'Données projet'!$E$10+1,1))</f>
        <v>520.95202773768222</v>
      </c>
      <c r="AO115" s="59">
        <f t="shared" si="90"/>
        <v>325.72635759450861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106.76847844798974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106.76847844798974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689</v>
      </c>
      <c r="BE115" s="13">
        <f>BD115*VLOOKUP('Données projet'!$B$11,Paramètres!$A$1:$I$89,3,0)*VLOOKUP('Données projet'!$B$11,Paramètres!$A$1:$I$89,5,0)</f>
        <v>412.02199999999999</v>
      </c>
      <c r="BF115" s="13">
        <f t="shared" si="91"/>
        <v>94.209724877926391</v>
      </c>
      <c r="BG115" s="20">
        <f t="shared" si="61"/>
        <v>881.686920829055</v>
      </c>
      <c r="BH115" s="59">
        <f t="shared" si="62"/>
        <v>1162.1082322446259</v>
      </c>
      <c r="BI115" s="59">
        <f ca="1">AVERAGE(OFFSET($BH$3,0,0,'Données projet'!$E$11+1,1))-AVERAGE(OFFSET($H$3,0,0,'Données projet'!$E$11+1,1))</f>
        <v>528.71639224940395</v>
      </c>
      <c r="BJ115" s="59">
        <f t="shared" si="92"/>
        <v>460.93390058676493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51.931203282309355</v>
      </c>
      <c r="BQ115" s="21">
        <f>EXP(-LN(2)/25)*BQ114+(1-EXP(-LN(2)/25))/(LN(2)/25)*Calculateur!BL115*Calculateur!BN115*VLOOKUP('Données projet'!$B$11,Paramètres!$A$1:$I$89,3,0)*0.475*44/12</f>
        <v>6.0615512295426068</v>
      </c>
      <c r="BR115" s="21">
        <f>EXP(-LN(2)/2)*BR114+(1-EXP(-LN(2)/2))/(LN(2)/2)*BL115*BO115*VLOOKUP('Données projet'!$B$11,Paramètres!$A$1:$I$89,3,0)*0.475*44/12</f>
        <v>2.3812772845367676E-14</v>
      </c>
      <c r="BS115" s="22">
        <f t="shared" si="63"/>
        <v>57.992754511851984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3.8</v>
      </c>
      <c r="BY115" s="12">
        <f>IF('Données projet'!$A$114&gt;35,BY114+BX115-CG114,IF(A115&lt;'Données projet'!$A$114,$BV$205^A115,IF(A115='Données projet'!$A$114,'Données projet'!$B$114,BY114+BX115-CG114)))</f>
        <v>273.59999999999997</v>
      </c>
      <c r="BZ115" s="13">
        <f>BY115*VLOOKUP('Données projet'!$B$12,Paramètres!$A$1:$I$89,3,0)*VLOOKUP('Données projet'!$B$12,Paramètres!$A$1:$I$89,5,0)</f>
        <v>247.55327999999994</v>
      </c>
      <c r="CA115" s="13">
        <f t="shared" si="93"/>
        <v>60.061713068870255</v>
      </c>
      <c r="CB115" s="20">
        <f t="shared" si="64"/>
        <v>535.76277959494894</v>
      </c>
      <c r="CC115" s="59">
        <f t="shared" si="65"/>
        <v>816.18409101051975</v>
      </c>
      <c r="CD115" s="59">
        <f ca="1">AVERAGE(OFFSET($CC$3,0,0,'Données projet'!$E$12+1,1))-AVERAGE(OFFSET($H$3,0,0,'Données projet'!$E$12+1,1))</f>
        <v>398.11190027805549</v>
      </c>
      <c r="CE115" s="59">
        <f t="shared" si="94"/>
        <v>250.47702091764884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71.997653965429237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71.997653965429237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8.2550000000000008</v>
      </c>
      <c r="CT115" s="12">
        <f>IF('Données projet'!$A$140&gt;35,CT114+CS115-DB114,IF(A115&lt;'Données projet'!$A$140,$CQ$205^A115,IF(A115='Données projet'!$A$140,'Données projet'!$B$140,CT114+CS115-DB114)))</f>
        <v>408.05000000000018</v>
      </c>
      <c r="CU115" s="17">
        <f>CT115*VLOOKUP('Données projet'!$B$13,Paramètres!$A$1:$I$89,3,0)*VLOOKUP('Données projet'!$B$13,Paramètres!$A$1:$I$89,5,0)</f>
        <v>388.30038000000019</v>
      </c>
      <c r="CV115" s="13">
        <f t="shared" si="95"/>
        <v>89.400664469249762</v>
      </c>
      <c r="CW115" s="20">
        <f t="shared" si="67"/>
        <v>831.99598578394352</v>
      </c>
      <c r="CX115" s="59">
        <f t="shared" si="68"/>
        <v>1112.4172971995145</v>
      </c>
      <c r="CY115" s="59">
        <f ca="1">AVERAGE(OFFSET($CX$3,0,0,'Données projet'!$E$13+1,1))-AVERAGE(OFFSET($H$3,0,0,'Données projet'!$E$13+1,1))</f>
        <v>697.21496579281836</v>
      </c>
      <c r="CZ115" s="59">
        <f t="shared" si="96"/>
        <v>215.64914236153456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94.552600114007149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94.552600114007149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319</v>
      </c>
      <c r="DP115" s="17">
        <f>DO115*VLOOKUP('Données projet'!$B$14,Paramètres!$A$1:$I$89,3,0)*VLOOKUP('Données projet'!$B$14,Paramètres!$A$1:$I$89,5,0)</f>
        <v>278.67840000000001</v>
      </c>
      <c r="DQ115" s="13">
        <f t="shared" si="97"/>
        <v>66.687639951856809</v>
      </c>
      <c r="DR115" s="20">
        <f t="shared" si="70"/>
        <v>601.51251958281728</v>
      </c>
      <c r="DS115" s="59">
        <f t="shared" si="71"/>
        <v>881.9338309983882</v>
      </c>
      <c r="DT115" s="59">
        <f ca="1">AVERAGE(OFFSET($DS$3,0,0,'Données projet'!$E$14+1,1))-AVERAGE(OFFSET($H$3,0,0,'Données projet'!$E$14+1,1))</f>
        <v>408.24135864450221</v>
      </c>
      <c r="DU115" s="59">
        <f t="shared" si="98"/>
        <v>394.10236303013903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30.977237922709129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30.977237922709129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853.00000000000011</v>
      </c>
      <c r="O116" s="13">
        <f>N116*VLOOKUP('Données projet'!$B$9,Paramètres!$A$1:$I$89,3,0)*VLOOKUP('Données projet'!$B$9,Paramètres!$A$1:$I$89,5,0)</f>
        <v>399.20400000000006</v>
      </c>
      <c r="P116" s="13">
        <f t="shared" si="87"/>
        <v>91.615269732888521</v>
      </c>
      <c r="Q116" s="20">
        <f t="shared" si="107"/>
        <v>854.8435614514475</v>
      </c>
      <c r="R116" s="59">
        <f t="shared" si="55"/>
        <v>1135.4888675803352</v>
      </c>
      <c r="S116" s="59">
        <f ca="1">AVERAGE(OFFSET($R$3,0,0,'Données projet'!$E$9+1,1))-AVERAGE(OFFSET($H$3,0,0,'Données projet'!$E$9+1,1))</f>
        <v>512.58510468904342</v>
      </c>
      <c r="T116" s="59">
        <f t="shared" si="88"/>
        <v>443.6106696463529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72.096061638725445</v>
      </c>
      <c r="AA116" s="21">
        <f>EXP(-LN(2)/25)*AA115+(1-EXP(-LN(2)/25))/(LN(2)/25)*Calculateur!V116*Calculateur!X116*VLOOKUP('Données projet'!$B$9,Paramètres!$A$1:$I$89,3,0)*0.475*44/12</f>
        <v>4.9052837284432549</v>
      </c>
      <c r="AB116" s="21">
        <f>EXP(-LN(2)/2)*AB115+(1-EXP(-LN(2)/2))/(LN(2)/2)*V116*Y116*VLOOKUP('Données projet'!$B$9,Paramètres!$A$1:$I$89,3,0)*0.475*44/12</f>
        <v>2.6090516334924558E-13</v>
      </c>
      <c r="AC116" s="22">
        <f t="shared" si="57"/>
        <v>77.001345367168952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325.89959999999996</v>
      </c>
      <c r="AK116" s="13">
        <f t="shared" si="89"/>
        <v>76.579572003009503</v>
      </c>
      <c r="AL116" s="20">
        <f t="shared" si="58"/>
        <v>700.98455790524133</v>
      </c>
      <c r="AM116" s="59">
        <f t="shared" si="59"/>
        <v>981.62986403412901</v>
      </c>
      <c r="AN116" s="59">
        <f ca="1">AVERAGE(OFFSET($AM$3,0,0,'Données projet'!$E$10+1,1))-AVERAGE(OFFSET($H$3,0,0,'Données projet'!$E$10+1,1))</f>
        <v>520.95202773768222</v>
      </c>
      <c r="AO116" s="59">
        <f t="shared" si="90"/>
        <v>325.72635759450861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104.67481370796621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104.67481370796621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689</v>
      </c>
      <c r="BE116" s="13">
        <f>BD116*VLOOKUP('Données projet'!$B$11,Paramètres!$A$1:$I$89,3,0)*VLOOKUP('Données projet'!$B$11,Paramètres!$A$1:$I$89,5,0)</f>
        <v>412.02199999999999</v>
      </c>
      <c r="BF116" s="13">
        <f t="shared" si="91"/>
        <v>94.209724877926391</v>
      </c>
      <c r="BG116" s="20">
        <f t="shared" si="61"/>
        <v>881.686920829055</v>
      </c>
      <c r="BH116" s="59">
        <f t="shared" si="62"/>
        <v>1162.3322269579426</v>
      </c>
      <c r="BI116" s="59">
        <f ca="1">AVERAGE(OFFSET($BH$3,0,0,'Données projet'!$E$11+1,1))-AVERAGE(OFFSET($H$3,0,0,'Données projet'!$E$11+1,1))</f>
        <v>528.71639224940395</v>
      </c>
      <c r="BJ116" s="59">
        <f t="shared" si="92"/>
        <v>460.93390058676493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50.912864060849635</v>
      </c>
      <c r="BQ116" s="21">
        <f>EXP(-LN(2)/25)*BQ115+(1-EXP(-LN(2)/25))/(LN(2)/25)*Calculateur!BL116*Calculateur!BN116*VLOOKUP('Données projet'!$B$11,Paramètres!$A$1:$I$89,3,0)*0.475*44/12</f>
        <v>5.895797792407639</v>
      </c>
      <c r="BR116" s="21">
        <f>EXP(-LN(2)/2)*BR115+(1-EXP(-LN(2)/2))/(LN(2)/2)*BL116*BO116*VLOOKUP('Données projet'!$B$11,Paramètres!$A$1:$I$89,3,0)*0.475*44/12</f>
        <v>1.6838173157814361E-14</v>
      </c>
      <c r="BS116" s="22">
        <f t="shared" si="63"/>
        <v>56.808661853257291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3.8</v>
      </c>
      <c r="BY116" s="12">
        <f>IF('Données projet'!$A$114&gt;35,BY115+BX116-CG115,IF(A116&lt;'Données projet'!$A$114,$BV$205^A116,IF(A116='Données projet'!$A$114,'Données projet'!$B$114,BY115+BX116-CG115)))</f>
        <v>277.39999999999998</v>
      </c>
      <c r="BZ116" s="13">
        <f>BY116*VLOOKUP('Données projet'!$B$12,Paramètres!$A$1:$I$89,3,0)*VLOOKUP('Données projet'!$B$12,Paramètres!$A$1:$I$89,5,0)</f>
        <v>250.99151999999995</v>
      </c>
      <c r="CA116" s="13">
        <f t="shared" si="93"/>
        <v>60.798211000769406</v>
      </c>
      <c r="CB116" s="20">
        <f t="shared" si="64"/>
        <v>543.03378149300659</v>
      </c>
      <c r="CC116" s="59">
        <f t="shared" si="65"/>
        <v>823.67908762189427</v>
      </c>
      <c r="CD116" s="59">
        <f ca="1">AVERAGE(OFFSET($CC$3,0,0,'Données projet'!$E$12+1,1))-AVERAGE(OFFSET($H$3,0,0,'Données projet'!$E$12+1,1))</f>
        <v>398.11190027805549</v>
      </c>
      <c r="CE116" s="59">
        <f t="shared" si="94"/>
        <v>250.47702091764884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70.585823885399918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70.585823885399918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8.2550000000000008</v>
      </c>
      <c r="CT116" s="12">
        <f>IF('Données projet'!$A$140&gt;35,CT115+CS116-DB115,IF(A116&lt;'Données projet'!$A$140,$CQ$205^A116,IF(A116='Données projet'!$A$140,'Données projet'!$B$140,CT115+CS116-DB115)))</f>
        <v>416.30500000000018</v>
      </c>
      <c r="CU116" s="17">
        <f>CT116*VLOOKUP('Données projet'!$B$13,Paramètres!$A$1:$I$89,3,0)*VLOOKUP('Données projet'!$B$13,Paramètres!$A$1:$I$89,5,0)</f>
        <v>396.15583800000019</v>
      </c>
      <c r="CV116" s="13">
        <f t="shared" si="95"/>
        <v>90.996882895841352</v>
      </c>
      <c r="CW116" s="20">
        <f t="shared" si="67"/>
        <v>848.45765556025719</v>
      </c>
      <c r="CX116" s="59">
        <f t="shared" si="68"/>
        <v>1129.1029616891449</v>
      </c>
      <c r="CY116" s="59">
        <f ca="1">AVERAGE(OFFSET($CX$3,0,0,'Données projet'!$E$13+1,1))-AVERAGE(OFFSET($H$3,0,0,'Données projet'!$E$13+1,1))</f>
        <v>697.21496579281836</v>
      </c>
      <c r="CZ116" s="59">
        <f t="shared" si="96"/>
        <v>215.64914236153456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92.698481297162957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92.698481297162957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319</v>
      </c>
      <c r="DP116" s="17">
        <f>DO116*VLOOKUP('Données projet'!$B$14,Paramètres!$A$1:$I$89,3,0)*VLOOKUP('Données projet'!$B$14,Paramètres!$A$1:$I$89,5,0)</f>
        <v>278.67840000000001</v>
      </c>
      <c r="DQ116" s="13">
        <f t="shared" si="97"/>
        <v>66.687639951856809</v>
      </c>
      <c r="DR116" s="20">
        <f t="shared" si="70"/>
        <v>601.51251958281728</v>
      </c>
      <c r="DS116" s="59">
        <f t="shared" si="71"/>
        <v>882.15782571170485</v>
      </c>
      <c r="DT116" s="59">
        <f ca="1">AVERAGE(OFFSET($DS$3,0,0,'Données projet'!$E$14+1,1))-AVERAGE(OFFSET($H$3,0,0,'Données projet'!$E$14+1,1))</f>
        <v>408.24135864450221</v>
      </c>
      <c r="DU116" s="59">
        <f t="shared" si="98"/>
        <v>394.10236303013903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30.369793181294284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30.369793181294284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853.00000000000011</v>
      </c>
      <c r="O117" s="13">
        <f>N117*VLOOKUP('Données projet'!$B$9,Paramètres!$A$1:$I$89,3,0)*VLOOKUP('Données projet'!$B$9,Paramètres!$A$1:$I$89,5,0)</f>
        <v>399.20400000000006</v>
      </c>
      <c r="P117" s="13">
        <f t="shared" si="87"/>
        <v>91.615269732888521</v>
      </c>
      <c r="Q117" s="20">
        <f t="shared" si="107"/>
        <v>854.8435614514475</v>
      </c>
      <c r="R117" s="59">
        <f t="shared" si="55"/>
        <v>1135.708976486153</v>
      </c>
      <c r="S117" s="59">
        <f ca="1">AVERAGE(OFFSET($R$3,0,0,'Données projet'!$E$9+1,1))-AVERAGE(OFFSET($H$3,0,0,'Données projet'!$E$9+1,1))</f>
        <v>512.58510468904342</v>
      </c>
      <c r="T117" s="59">
        <f t="shared" si="88"/>
        <v>443.6106696463529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70.682301844245544</v>
      </c>
      <c r="AA117" s="21">
        <f>EXP(-LN(2)/25)*AA116+(1-EXP(-LN(2)/25))/(LN(2)/25)*Calculateur!V117*Calculateur!X117*VLOOKUP('Données projet'!$B$9,Paramètres!$A$1:$I$89,3,0)*0.475*44/12</f>
        <v>4.7711484869313141</v>
      </c>
      <c r="AB117" s="21">
        <f>EXP(-LN(2)/2)*AB116+(1-EXP(-LN(2)/2))/(LN(2)/2)*V117*Y117*VLOOKUP('Données projet'!$B$9,Paramètres!$A$1:$I$89,3,0)*0.475*44/12</f>
        <v>1.8448781025083543E-13</v>
      </c>
      <c r="AC117" s="22">
        <f t="shared" si="57"/>
        <v>75.453450331177038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330.76679999999999</v>
      </c>
      <c r="AK117" s="13">
        <f t="shared" si="89"/>
        <v>77.589262894669872</v>
      </c>
      <c r="AL117" s="20">
        <f t="shared" si="58"/>
        <v>711.22014287488344</v>
      </c>
      <c r="AM117" s="59">
        <f t="shared" si="59"/>
        <v>992.08555790958894</v>
      </c>
      <c r="AN117" s="59">
        <f ca="1">AVERAGE(OFFSET($AM$3,0,0,'Données projet'!$E$10+1,1))-AVERAGE(OFFSET($H$3,0,0,'Données projet'!$E$10+1,1))</f>
        <v>520.95202773768222</v>
      </c>
      <c r="AO117" s="59">
        <f t="shared" si="90"/>
        <v>325.72635759450861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102.62220445648515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102.62220445648515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689</v>
      </c>
      <c r="BE117" s="13">
        <f>BD117*VLOOKUP('Données projet'!$B$11,Paramètres!$A$1:$I$89,3,0)*VLOOKUP('Données projet'!$B$11,Paramètres!$A$1:$I$89,5,0)</f>
        <v>412.02199999999999</v>
      </c>
      <c r="BF117" s="13">
        <f t="shared" si="91"/>
        <v>94.209724877926391</v>
      </c>
      <c r="BG117" s="20">
        <f t="shared" si="61"/>
        <v>881.686920829055</v>
      </c>
      <c r="BH117" s="59">
        <f t="shared" si="62"/>
        <v>1162.5523358637604</v>
      </c>
      <c r="BI117" s="59">
        <f ca="1">AVERAGE(OFFSET($BH$3,0,0,'Données projet'!$E$11+1,1))-AVERAGE(OFFSET($H$3,0,0,'Données projet'!$E$11+1,1))</f>
        <v>528.71639224940395</v>
      </c>
      <c r="BJ117" s="59">
        <f t="shared" si="92"/>
        <v>460.93390058676493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49.914493850397143</v>
      </c>
      <c r="BQ117" s="21">
        <f>EXP(-LN(2)/25)*BQ116+(1-EXP(-LN(2)/25))/(LN(2)/25)*Calculateur!BL117*Calculateur!BN117*VLOOKUP('Données projet'!$B$11,Paramètres!$A$1:$I$89,3,0)*0.475*44/12</f>
        <v>5.7345768917277216</v>
      </c>
      <c r="BR117" s="21">
        <f>EXP(-LN(2)/2)*BR116+(1-EXP(-LN(2)/2))/(LN(2)/2)*BL117*BO117*VLOOKUP('Données projet'!$B$11,Paramètres!$A$1:$I$89,3,0)*0.475*44/12</f>
        <v>1.1906386422683838E-14</v>
      </c>
      <c r="BS117" s="22">
        <f t="shared" si="63"/>
        <v>55.649070742124877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3.8</v>
      </c>
      <c r="BY117" s="12">
        <f>IF('Données projet'!$A$114&gt;35,BY116+BX117-CG116,IF(A117&lt;'Données projet'!$A$114,$BV$205^A117,IF(A117='Données projet'!$A$114,'Données projet'!$B$114,BY116+BX117-CG116)))</f>
        <v>281.2</v>
      </c>
      <c r="BZ117" s="13">
        <f>BY117*VLOOKUP('Données projet'!$B$12,Paramètres!$A$1:$I$89,3,0)*VLOOKUP('Données projet'!$B$12,Paramètres!$A$1:$I$89,5,0)</f>
        <v>254.42975999999996</v>
      </c>
      <c r="CA117" s="13">
        <f t="shared" si="93"/>
        <v>61.533535468549189</v>
      </c>
      <c r="CB117" s="20">
        <f t="shared" si="64"/>
        <v>550.30273960772308</v>
      </c>
      <c r="CC117" s="59">
        <f t="shared" si="65"/>
        <v>831.16815464242859</v>
      </c>
      <c r="CD117" s="59">
        <f ca="1">AVERAGE(OFFSET($CC$3,0,0,'Données projet'!$E$12+1,1))-AVERAGE(OFFSET($H$3,0,0,'Données projet'!$E$12+1,1))</f>
        <v>398.11190027805549</v>
      </c>
      <c r="CE117" s="59">
        <f t="shared" si="94"/>
        <v>250.47702091764884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69.201678932108649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69.201678932108649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8.2550000000000008</v>
      </c>
      <c r="CS117" s="12">
        <f t="array" ref="CS117">INDEX(CR:CR,MIN(IF(ISNUMBER(CR117:CR313),ROW(CR117:CR313),"")))</f>
        <v>8.2550000000000008</v>
      </c>
      <c r="CT117" s="12">
        <f>IF('Données projet'!$A$140&gt;35,CT116+CS117-DB116,IF(A117&lt;'Données projet'!$A$140,$CQ$205^A117,IF(A117='Données projet'!$A$140,'Données projet'!$B$140,CT116+CS117-DB116)))</f>
        <v>424.56000000000017</v>
      </c>
      <c r="CU117" s="17">
        <f>CT117*VLOOKUP('Données projet'!$B$13,Paramètres!$A$1:$I$89,3,0)*VLOOKUP('Données projet'!$B$13,Paramètres!$A$1:$I$89,5,0)</f>
        <v>404.01129600000019</v>
      </c>
      <c r="CV117" s="13">
        <f t="shared" si="95"/>
        <v>92.589421052009186</v>
      </c>
      <c r="CW117" s="20">
        <f t="shared" si="67"/>
        <v>864.91291553224971</v>
      </c>
      <c r="CX117" s="59">
        <f t="shared" si="68"/>
        <v>1145.7783305669552</v>
      </c>
      <c r="CY117" s="59">
        <f ca="1">AVERAGE(OFFSET($CX$3,0,0,'Données projet'!$E$13+1,1))-AVERAGE(OFFSET($H$3,0,0,'Données projet'!$E$13+1,1))</f>
        <v>697.21496579281836</v>
      </c>
      <c r="CZ117" s="59">
        <f t="shared" si="96"/>
        <v>215.64914236153456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0.43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116.2437167493509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116.2437167493509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319</v>
      </c>
      <c r="DP117" s="17">
        <f>DO117*VLOOKUP('Données projet'!$B$14,Paramètres!$A$1:$I$89,3,0)*VLOOKUP('Données projet'!$B$14,Paramètres!$A$1:$I$89,5,0)</f>
        <v>278.67840000000001</v>
      </c>
      <c r="DQ117" s="13">
        <f t="shared" si="97"/>
        <v>66.687639951856809</v>
      </c>
      <c r="DR117" s="20">
        <f t="shared" si="70"/>
        <v>601.51251958281728</v>
      </c>
      <c r="DS117" s="59">
        <f t="shared" si="71"/>
        <v>882.37793461752267</v>
      </c>
      <c r="DT117" s="59">
        <f ca="1">AVERAGE(OFFSET($DS$3,0,0,'Données projet'!$E$14+1,1))-AVERAGE(OFFSET($H$3,0,0,'Données projet'!$E$14+1,1))</f>
        <v>408.24135864450221</v>
      </c>
      <c r="DU117" s="59">
        <f t="shared" si="98"/>
        <v>394.10236303013903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29.774260060753875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29.774260060753875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853.00000000000011</v>
      </c>
      <c r="O118" s="13">
        <f>N118*VLOOKUP('Données projet'!$B$9,Paramètres!$A$1:$I$89,3,0)*VLOOKUP('Données projet'!$B$9,Paramètres!$A$1:$I$89,5,0)</f>
        <v>399.20400000000006</v>
      </c>
      <c r="P118" s="13">
        <f t="shared" si="87"/>
        <v>91.615269732888521</v>
      </c>
      <c r="Q118" s="20">
        <f t="shared" si="107"/>
        <v>854.8435614514475</v>
      </c>
      <c r="R118" s="59">
        <f t="shared" si="55"/>
        <v>1135.9252669945447</v>
      </c>
      <c r="S118" s="59">
        <f ca="1">AVERAGE(OFFSET($R$3,0,0,'Données projet'!$E$9+1,1))-AVERAGE(OFFSET($H$3,0,0,'Données projet'!$E$9+1,1))</f>
        <v>512.58510468904342</v>
      </c>
      <c r="T118" s="59">
        <f t="shared" si="88"/>
        <v>443.6106696463529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69.296265017027068</v>
      </c>
      <c r="AA118" s="21">
        <f>EXP(-LN(2)/25)*AA117+(1-EXP(-LN(2)/25))/(LN(2)/25)*Calculateur!V118*Calculateur!X118*VLOOKUP('Données projet'!$B$9,Paramètres!$A$1:$I$89,3,0)*0.475*44/12</f>
        <v>4.6406811806523827</v>
      </c>
      <c r="AB118" s="21">
        <f>EXP(-LN(2)/2)*AB117+(1-EXP(-LN(2)/2))/(LN(2)/2)*V118*Y118*VLOOKUP('Données projet'!$B$9,Paramètres!$A$1:$I$89,3,0)*0.475*44/12</f>
        <v>1.3045258167462279E-13</v>
      </c>
      <c r="AC118" s="22">
        <f t="shared" si="57"/>
        <v>73.936946197679575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335.63399999999996</v>
      </c>
      <c r="AK118" s="13">
        <f t="shared" si="89"/>
        <v>78.597225787708638</v>
      </c>
      <c r="AL118" s="20">
        <f t="shared" si="58"/>
        <v>721.45271824692588</v>
      </c>
      <c r="AM118" s="59">
        <f t="shared" si="59"/>
        <v>1002.5344237900231</v>
      </c>
      <c r="AN118" s="59">
        <f ca="1">AVERAGE(OFFSET($AM$3,0,0,'Données projet'!$E$10+1,1))-AVERAGE(OFFSET($H$3,0,0,'Données projet'!$E$10+1,1))</f>
        <v>520.95202773768222</v>
      </c>
      <c r="AO118" s="59">
        <f t="shared" si="90"/>
        <v>325.72635759450861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112.17801829767259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112.17801829767259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689</v>
      </c>
      <c r="BE118" s="13">
        <f>BD118*VLOOKUP('Données projet'!$B$11,Paramètres!$A$1:$I$89,3,0)*VLOOKUP('Données projet'!$B$11,Paramètres!$A$1:$I$89,5,0)</f>
        <v>412.02199999999999</v>
      </c>
      <c r="BF118" s="13">
        <f t="shared" si="91"/>
        <v>94.209724877926391</v>
      </c>
      <c r="BG118" s="20">
        <f t="shared" si="61"/>
        <v>881.686920829055</v>
      </c>
      <c r="BH118" s="59">
        <f t="shared" si="62"/>
        <v>1162.7686263721523</v>
      </c>
      <c r="BI118" s="59">
        <f ca="1">AVERAGE(OFFSET($BH$3,0,0,'Données projet'!$E$11+1,1))-AVERAGE(OFFSET($H$3,0,0,'Données projet'!$E$11+1,1))</f>
        <v>528.71639224940395</v>
      </c>
      <c r="BJ118" s="59">
        <f t="shared" si="92"/>
        <v>460.93390058676493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48.935701070825928</v>
      </c>
      <c r="BQ118" s="21">
        <f>EXP(-LN(2)/25)*BQ117+(1-EXP(-LN(2)/25))/(LN(2)/25)*Calculateur!BL118*Calculateur!BN118*VLOOKUP('Données projet'!$B$11,Paramètres!$A$1:$I$89,3,0)*0.475*44/12</f>
        <v>5.5777645850551352</v>
      </c>
      <c r="BR118" s="21">
        <f>EXP(-LN(2)/2)*BR117+(1-EXP(-LN(2)/2))/(LN(2)/2)*BL118*BO118*VLOOKUP('Données projet'!$B$11,Paramètres!$A$1:$I$89,3,0)*0.475*44/12</f>
        <v>8.4190865789071807E-15</v>
      </c>
      <c r="BS118" s="22">
        <f t="shared" si="63"/>
        <v>54.51346565588107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285</v>
      </c>
      <c r="BW118" s="12">
        <f>VLOOKUP(A118,'Données projet'!$A$113:$I$133,9,0)</f>
        <v>3.8</v>
      </c>
      <c r="BX118" s="12">
        <f t="array" ref="BX118">INDEX(BW:BW,MIN(IF(ISNUMBER(BW118:BW314),ROW(BW118:BW314),"")))</f>
        <v>3.8</v>
      </c>
      <c r="BY118" s="12">
        <f>IF('Données projet'!$A$114&gt;35,BY117+BX118-CG117,IF(A118&lt;'Données projet'!$A$114,$BV$205^A118,IF(A118='Données projet'!$A$114,'Données projet'!$B$114,BY117+BX118-CG117)))</f>
        <v>285</v>
      </c>
      <c r="BZ118" s="13">
        <f>BY118*VLOOKUP('Données projet'!$B$12,Paramètres!$A$1:$I$89,3,0)*VLOOKUP('Données projet'!$B$12,Paramètres!$A$1:$I$89,5,0)</f>
        <v>257.86799999999999</v>
      </c>
      <c r="CA118" s="13">
        <f t="shared" si="93"/>
        <v>62.267704162827528</v>
      </c>
      <c r="CB118" s="20">
        <f t="shared" si="64"/>
        <v>557.56968475025803</v>
      </c>
      <c r="CC118" s="59">
        <f t="shared" si="65"/>
        <v>838.65139029335523</v>
      </c>
      <c r="CD118" s="59">
        <f ca="1">AVERAGE(OFFSET($CC$3,0,0,'Données projet'!$E$12+1,1))-AVERAGE(OFFSET($H$3,0,0,'Données projet'!$E$12+1,1))</f>
        <v>398.11190027805549</v>
      </c>
      <c r="CE118" s="59">
        <f t="shared" si="94"/>
        <v>250.47702091764884</v>
      </c>
      <c r="CF118" s="15">
        <f>IF(ISNA(VLOOKUP(A118,'Données projet'!$A$113:$I$133,3,0)),0,VLOOKUP(A118,'Données projet'!$A$113:$I$133,3,0))</f>
        <v>19</v>
      </c>
      <c r="CG118" s="15">
        <f>IF(ISNA(VLOOKUP(A118,'Données projet'!$A$113:$I$133,4,0)),0,VLOOKUP(A118,'Données projet'!$A$113:$I$133,4,0))</f>
        <v>18</v>
      </c>
      <c r="CH118" s="16">
        <f>IF(ISNA(VLOOKUP(A118,'Données projet'!$A$113:$I$133,5,0)),0%,VLOOKUP(A118,'Données projet'!$A$113:$I$133,5,0)*VLOOKUP('Données projet'!$B$12,Paramètres!$A$1:$I$89,7,0))</f>
        <v>0.43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75.58645331647331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75.58645331647331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8.3369999999999997</v>
      </c>
      <c r="CT118" s="12">
        <f>IF('Données projet'!$A$140&gt;35,CT117+CS118-DB117,IF(A118&lt;'Données projet'!$A$140,$CQ$205^A118,IF(A118='Données projet'!$A$140,'Données projet'!$B$140,CT117+CS118-DB117)))</f>
        <v>376.82700000000017</v>
      </c>
      <c r="CU118" s="17">
        <f>CT118*VLOOKUP('Données projet'!$B$13,Paramètres!$A$1:$I$89,3,0)*VLOOKUP('Données projet'!$B$13,Paramètres!$A$1:$I$89,5,0)</f>
        <v>358.58857320000016</v>
      </c>
      <c r="CV118" s="13">
        <f t="shared" si="95"/>
        <v>83.32848476329724</v>
      </c>
      <c r="CW118" s="20">
        <f t="shared" si="67"/>
        <v>769.67220928607628</v>
      </c>
      <c r="CX118" s="59">
        <f t="shared" si="68"/>
        <v>1050.7539148291735</v>
      </c>
      <c r="CY118" s="59">
        <f ca="1">AVERAGE(OFFSET($CX$3,0,0,'Données projet'!$E$13+1,1))-AVERAGE(OFFSET($H$3,0,0,'Données projet'!$E$13+1,1))</f>
        <v>697.21496579281836</v>
      </c>
      <c r="CZ118" s="59">
        <f t="shared" si="96"/>
        <v>215.64914236153456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113.96424836556238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113.96424836556238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319</v>
      </c>
      <c r="DP118" s="17">
        <f>DO118*VLOOKUP('Données projet'!$B$14,Paramètres!$A$1:$I$89,3,0)*VLOOKUP('Données projet'!$B$14,Paramètres!$A$1:$I$89,5,0)</f>
        <v>278.67840000000001</v>
      </c>
      <c r="DQ118" s="13">
        <f t="shared" si="97"/>
        <v>66.687639951856809</v>
      </c>
      <c r="DR118" s="20">
        <f t="shared" si="70"/>
        <v>601.51251958281728</v>
      </c>
      <c r="DS118" s="59">
        <f t="shared" si="71"/>
        <v>882.59422512591459</v>
      </c>
      <c r="DT118" s="59">
        <f ca="1">AVERAGE(OFFSET($DS$3,0,0,'Données projet'!$E$14+1,1))-AVERAGE(OFFSET($H$3,0,0,'Données projet'!$E$14+1,1))</f>
        <v>408.24135864450221</v>
      </c>
      <c r="DU118" s="59">
        <f t="shared" si="98"/>
        <v>394.10236303013903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29.190404981467928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29.190404981467928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853.00000000000011</v>
      </c>
      <c r="O119" s="13">
        <f>N119*VLOOKUP('Données projet'!$B$9,Paramètres!$A$1:$I$89,3,0)*VLOOKUP('Données projet'!$B$9,Paramètres!$A$1:$I$89,5,0)</f>
        <v>399.20400000000006</v>
      </c>
      <c r="P119" s="13">
        <f t="shared" si="87"/>
        <v>91.615269732888521</v>
      </c>
      <c r="Q119" s="20">
        <f t="shared" si="107"/>
        <v>854.8435614514475</v>
      </c>
      <c r="R119" s="59">
        <f t="shared" si="55"/>
        <v>1136.137805346169</v>
      </c>
      <c r="S119" s="59">
        <f ca="1">AVERAGE(OFFSET($R$3,0,0,'Données projet'!$E$9+1,1))-AVERAGE(OFFSET($H$3,0,0,'Données projet'!$E$9+1,1))</f>
        <v>512.58510468904342</v>
      </c>
      <c r="T119" s="59">
        <f t="shared" si="88"/>
        <v>443.6106696463529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67.937407526591358</v>
      </c>
      <c r="AA119" s="21">
        <f>EXP(-LN(2)/25)*AA118+(1-EXP(-LN(2)/25))/(LN(2)/25)*Calculateur!V119*Calculateur!X119*VLOOKUP('Données projet'!$B$9,Paramètres!$A$1:$I$89,3,0)*0.475*44/12</f>
        <v>4.5137815097246268</v>
      </c>
      <c r="AB119" s="21">
        <f>EXP(-LN(2)/2)*AB118+(1-EXP(-LN(2)/2))/(LN(2)/2)*V119*Y119*VLOOKUP('Données projet'!$B$9,Paramètres!$A$1:$I$89,3,0)*0.475*44/12</f>
        <v>9.2243905125417717E-14</v>
      </c>
      <c r="AC119" s="22">
        <f t="shared" si="57"/>
        <v>72.451189036316066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311.298</v>
      </c>
      <c r="AK119" s="13">
        <f t="shared" si="89"/>
        <v>73.539838278528748</v>
      </c>
      <c r="AL119" s="20">
        <f t="shared" si="58"/>
        <v>670.25923500177089</v>
      </c>
      <c r="AM119" s="59">
        <f t="shared" si="59"/>
        <v>951.55347889649238</v>
      </c>
      <c r="AN119" s="59">
        <f ca="1">AVERAGE(OFFSET($AM$3,0,0,'Données projet'!$E$10+1,1))-AVERAGE(OFFSET($H$3,0,0,'Données projet'!$E$10+1,1))</f>
        <v>520.95202773768222</v>
      </c>
      <c r="AO119" s="59">
        <f t="shared" si="90"/>
        <v>325.72635759450861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109.9782757806903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109.9782757806903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689</v>
      </c>
      <c r="BE119" s="13">
        <f>BD119*VLOOKUP('Données projet'!$B$11,Paramètres!$A$1:$I$89,3,0)*VLOOKUP('Données projet'!$B$11,Paramètres!$A$1:$I$89,5,0)</f>
        <v>412.02199999999999</v>
      </c>
      <c r="BF119" s="13">
        <f t="shared" si="91"/>
        <v>94.209724877926391</v>
      </c>
      <c r="BG119" s="20">
        <f t="shared" si="61"/>
        <v>881.686920829055</v>
      </c>
      <c r="BH119" s="59">
        <f t="shared" si="62"/>
        <v>1162.9811647237766</v>
      </c>
      <c r="BI119" s="59">
        <f ca="1">AVERAGE(OFFSET($BH$3,0,0,'Données projet'!$E$11+1,1))-AVERAGE(OFFSET($H$3,0,0,'Données projet'!$E$11+1,1))</f>
        <v>528.71639224940395</v>
      </c>
      <c r="BJ119" s="59">
        <f t="shared" si="92"/>
        <v>460.93390058676493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47.976101820657455</v>
      </c>
      <c r="BQ119" s="21">
        <f>EXP(-LN(2)/25)*BQ118+(1-EXP(-LN(2)/25))/(LN(2)/25)*Calculateur!BL119*Calculateur!BN119*VLOOKUP('Données projet'!$B$11,Paramètres!$A$1:$I$89,3,0)*0.475*44/12</f>
        <v>5.425240319154911</v>
      </c>
      <c r="BR119" s="21">
        <f>EXP(-LN(2)/2)*BR118+(1-EXP(-LN(2)/2))/(LN(2)/2)*BL119*BO119*VLOOKUP('Données projet'!$B$11,Paramètres!$A$1:$I$89,3,0)*0.475*44/12</f>
        <v>5.9531932113419189E-15</v>
      </c>
      <c r="BS119" s="22">
        <f t="shared" si="63"/>
        <v>53.401342139812371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267</v>
      </c>
      <c r="BZ119" s="13">
        <f>BY119*VLOOKUP('Données projet'!$B$12,Paramètres!$A$1:$I$89,3,0)*VLOOKUP('Données projet'!$B$12,Paramètres!$A$1:$I$89,5,0)</f>
        <v>241.58159999999998</v>
      </c>
      <c r="CA119" s="13">
        <f t="shared" si="93"/>
        <v>58.779689232021951</v>
      </c>
      <c r="CB119" s="20">
        <f t="shared" si="64"/>
        <v>523.12924541243819</v>
      </c>
      <c r="CC119" s="59">
        <f t="shared" si="65"/>
        <v>804.42348930715968</v>
      </c>
      <c r="CD119" s="59">
        <f ca="1">AVERAGE(OFFSET($CC$3,0,0,'Données projet'!$E$12+1,1))-AVERAGE(OFFSET($H$3,0,0,'Données projet'!$E$12+1,1))</f>
        <v>398.11190027805549</v>
      </c>
      <c r="CE119" s="59">
        <f t="shared" si="94"/>
        <v>250.47702091764884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74.104249070121483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74.104249070121483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8.3369999999999997</v>
      </c>
      <c r="CT119" s="12">
        <f>IF('Données projet'!$A$140&gt;35,CT118+CS119-DB118,IF(A119&lt;'Données projet'!$A$140,$CQ$205^A119,IF(A119='Données projet'!$A$140,'Données projet'!$B$140,CT118+CS119-DB118)))</f>
        <v>385.16400000000016</v>
      </c>
      <c r="CU119" s="17">
        <f>CT119*VLOOKUP('Données projet'!$B$13,Paramètres!$A$1:$I$89,3,0)*VLOOKUP('Données projet'!$B$13,Paramètres!$A$1:$I$89,5,0)</f>
        <v>366.52206240000015</v>
      </c>
      <c r="CV119" s="13">
        <f t="shared" si="95"/>
        <v>84.955388912632017</v>
      </c>
      <c r="CW119" s="20">
        <f t="shared" si="67"/>
        <v>786.32322770283429</v>
      </c>
      <c r="CX119" s="59">
        <f t="shared" si="68"/>
        <v>1067.6174715975558</v>
      </c>
      <c r="CY119" s="59">
        <f ca="1">AVERAGE(OFFSET($CX$3,0,0,'Données projet'!$E$13+1,1))-AVERAGE(OFFSET($H$3,0,0,'Données projet'!$E$13+1,1))</f>
        <v>697.21496579281836</v>
      </c>
      <c r="CZ119" s="59">
        <f t="shared" si="96"/>
        <v>215.64914236153456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111.72947896644153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111.72947896644153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319</v>
      </c>
      <c r="DP119" s="17">
        <f>DO119*VLOOKUP('Données projet'!$B$14,Paramètres!$A$1:$I$89,3,0)*VLOOKUP('Données projet'!$B$14,Paramètres!$A$1:$I$89,5,0)</f>
        <v>278.67840000000001</v>
      </c>
      <c r="DQ119" s="13">
        <f t="shared" si="97"/>
        <v>66.687639951856809</v>
      </c>
      <c r="DR119" s="20">
        <f t="shared" si="70"/>
        <v>601.51251958281728</v>
      </c>
      <c r="DS119" s="59">
        <f t="shared" si="71"/>
        <v>882.80676347753877</v>
      </c>
      <c r="DT119" s="59">
        <f ca="1">AVERAGE(OFFSET($DS$3,0,0,'Données projet'!$E$14+1,1))-AVERAGE(OFFSET($H$3,0,0,'Données projet'!$E$14+1,1))</f>
        <v>408.24135864450221</v>
      </c>
      <c r="DU119" s="59">
        <f t="shared" si="98"/>
        <v>394.10236303013903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28.617998944170342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28.617998944170342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853.00000000000011</v>
      </c>
      <c r="O120" s="13">
        <f>N120*VLOOKUP('Données projet'!$B$9,Paramètres!$A$1:$I$89,3,0)*VLOOKUP('Données projet'!$B$9,Paramètres!$A$1:$I$89,5,0)</f>
        <v>399.20400000000006</v>
      </c>
      <c r="P120" s="13">
        <f t="shared" si="87"/>
        <v>91.615269732888521</v>
      </c>
      <c r="Q120" s="20">
        <f t="shared" si="107"/>
        <v>854.8435614514475</v>
      </c>
      <c r="R120" s="59">
        <f t="shared" si="55"/>
        <v>1136.3466566325571</v>
      </c>
      <c r="S120" s="59">
        <f ca="1">AVERAGE(OFFSET($R$3,0,0,'Données projet'!$E$9+1,1))-AVERAGE(OFFSET($H$3,0,0,'Données projet'!$E$9+1,1))</f>
        <v>512.58510468904342</v>
      </c>
      <c r="T120" s="59">
        <f t="shared" si="88"/>
        <v>443.6106696463529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66.605196402721859</v>
      </c>
      <c r="AA120" s="21">
        <f>EXP(-LN(2)/25)*AA119+(1-EXP(-LN(2)/25))/(LN(2)/25)*Calculateur!V120*Calculateur!X120*VLOOKUP('Données projet'!$B$9,Paramètres!$A$1:$I$89,3,0)*0.475*44/12</f>
        <v>4.3903519169717535</v>
      </c>
      <c r="AB120" s="21">
        <f>EXP(-LN(2)/2)*AB119+(1-EXP(-LN(2)/2))/(LN(2)/2)*V120*Y120*VLOOKUP('Données projet'!$B$9,Paramètres!$A$1:$I$89,3,0)*0.475*44/12</f>
        <v>6.5226290837311394E-14</v>
      </c>
      <c r="AC120" s="22">
        <f t="shared" si="57"/>
        <v>70.995548319693683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311.298</v>
      </c>
      <c r="AK120" s="13">
        <f t="shared" si="89"/>
        <v>73.539838278528748</v>
      </c>
      <c r="AL120" s="20">
        <f t="shared" si="58"/>
        <v>670.25923500177089</v>
      </c>
      <c r="AM120" s="59">
        <f t="shared" si="59"/>
        <v>951.76233018288053</v>
      </c>
      <c r="AN120" s="59">
        <f ca="1">AVERAGE(OFFSET($AM$3,0,0,'Données projet'!$E$10+1,1))-AVERAGE(OFFSET($H$3,0,0,'Données projet'!$E$10+1,1))</f>
        <v>520.95202773768222</v>
      </c>
      <c r="AO120" s="59">
        <f t="shared" si="90"/>
        <v>325.72635759450861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107.82166887275558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107.82166887275558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689</v>
      </c>
      <c r="BE120" s="13">
        <f>BD120*VLOOKUP('Données projet'!$B$11,Paramètres!$A$1:$I$89,3,0)*VLOOKUP('Données projet'!$B$11,Paramètres!$A$1:$I$89,5,0)</f>
        <v>412.02199999999999</v>
      </c>
      <c r="BF120" s="13">
        <f t="shared" si="91"/>
        <v>94.209724877926391</v>
      </c>
      <c r="BG120" s="20">
        <f t="shared" si="61"/>
        <v>881.686920829055</v>
      </c>
      <c r="BH120" s="59">
        <f t="shared" si="62"/>
        <v>1163.1900160101645</v>
      </c>
      <c r="BI120" s="59">
        <f ca="1">AVERAGE(OFFSET($BH$3,0,0,'Données projet'!$E$11+1,1))-AVERAGE(OFFSET($H$3,0,0,'Données projet'!$E$11+1,1))</f>
        <v>528.71639224940395</v>
      </c>
      <c r="BJ120" s="59">
        <f t="shared" si="92"/>
        <v>460.93390058676493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47.035319726487039</v>
      </c>
      <c r="BQ120" s="21">
        <f>EXP(-LN(2)/25)*BQ119+(1-EXP(-LN(2)/25))/(LN(2)/25)*Calculateur!BL120*Calculateur!BN120*VLOOKUP('Données projet'!$B$11,Paramètres!$A$1:$I$89,3,0)*0.475*44/12</f>
        <v>5.2768868373266313</v>
      </c>
      <c r="BR120" s="21">
        <f>EXP(-LN(2)/2)*BR119+(1-EXP(-LN(2)/2))/(LN(2)/2)*BL120*BO120*VLOOKUP('Données projet'!$B$11,Paramètres!$A$1:$I$89,3,0)*0.475*44/12</f>
        <v>4.2095432894535903E-15</v>
      </c>
      <c r="BS120" s="22">
        <f t="shared" si="63"/>
        <v>52.312206563813675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267</v>
      </c>
      <c r="BZ120" s="13">
        <f>BY120*VLOOKUP('Données projet'!$B$12,Paramètres!$A$1:$I$89,3,0)*VLOOKUP('Données projet'!$B$12,Paramètres!$A$1:$I$89,5,0)</f>
        <v>241.58159999999998</v>
      </c>
      <c r="CA120" s="13">
        <f t="shared" si="93"/>
        <v>58.779689232021951</v>
      </c>
      <c r="CB120" s="20">
        <f t="shared" si="64"/>
        <v>523.12924541243819</v>
      </c>
      <c r="CC120" s="59">
        <f t="shared" si="65"/>
        <v>804.63234059354784</v>
      </c>
      <c r="CD120" s="59">
        <f ca="1">AVERAGE(OFFSET($CC$3,0,0,'Données projet'!$E$12+1,1))-AVERAGE(OFFSET($H$3,0,0,'Données projet'!$E$12+1,1))</f>
        <v>398.11190027805549</v>
      </c>
      <c r="CE120" s="59">
        <f t="shared" si="94"/>
        <v>250.47702091764884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72.651109944985294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72.651109944985294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8.3369999999999997</v>
      </c>
      <c r="CT120" s="12">
        <f>IF('Données projet'!$A$140&gt;35,CT119+CS120-DB119,IF(A120&lt;'Données projet'!$A$140,$CQ$205^A120,IF(A120='Données projet'!$A$140,'Données projet'!$B$140,CT119+CS120-DB119)))</f>
        <v>393.50100000000015</v>
      </c>
      <c r="CU120" s="17">
        <f>CT120*VLOOKUP('Données projet'!$B$13,Paramètres!$A$1:$I$89,3,0)*VLOOKUP('Données projet'!$B$13,Paramètres!$A$1:$I$89,5,0)</f>
        <v>374.45555160000015</v>
      </c>
      <c r="CV120" s="13">
        <f t="shared" si="95"/>
        <v>86.578198872694799</v>
      </c>
      <c r="CW120" s="20">
        <f t="shared" si="67"/>
        <v>802.96711540661033</v>
      </c>
      <c r="CX120" s="59">
        <f t="shared" si="68"/>
        <v>1084.47021058772</v>
      </c>
      <c r="CY120" s="59">
        <f ca="1">AVERAGE(OFFSET($CX$3,0,0,'Données projet'!$E$13+1,1))-AVERAGE(OFFSET($H$3,0,0,'Données projet'!$E$13+1,1))</f>
        <v>697.21496579281836</v>
      </c>
      <c r="CZ120" s="59">
        <f t="shared" si="96"/>
        <v>215.64914236153456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109.53853203216271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109.53853203216271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319</v>
      </c>
      <c r="DP120" s="17">
        <f>DO120*VLOOKUP('Données projet'!$B$14,Paramètres!$A$1:$I$89,3,0)*VLOOKUP('Données projet'!$B$14,Paramètres!$A$1:$I$89,5,0)</f>
        <v>278.67840000000001</v>
      </c>
      <c r="DQ120" s="13">
        <f t="shared" si="97"/>
        <v>66.687639951856809</v>
      </c>
      <c r="DR120" s="20">
        <f t="shared" si="70"/>
        <v>601.51251958281728</v>
      </c>
      <c r="DS120" s="59">
        <f t="shared" si="71"/>
        <v>883.01561476392692</v>
      </c>
      <c r="DT120" s="59">
        <f ca="1">AVERAGE(OFFSET($DS$3,0,0,'Données projet'!$E$14+1,1))-AVERAGE(OFFSET($H$3,0,0,'Données projet'!$E$14+1,1))</f>
        <v>408.24135864450221</v>
      </c>
      <c r="DU120" s="59">
        <f t="shared" si="98"/>
        <v>394.10236303013903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28.056817440130953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28.056817440130953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853.00000000000011</v>
      </c>
      <c r="O121" s="13">
        <f>N121*VLOOKUP('Données projet'!$B$9,Paramètres!$A$1:$I$89,3,0)*VLOOKUP('Données projet'!$B$9,Paramètres!$A$1:$I$89,5,0)</f>
        <v>399.20400000000006</v>
      </c>
      <c r="P121" s="13">
        <f t="shared" si="87"/>
        <v>91.615269732888521</v>
      </c>
      <c r="Q121" s="20">
        <f t="shared" si="107"/>
        <v>854.8435614514475</v>
      </c>
      <c r="R121" s="59">
        <f t="shared" si="55"/>
        <v>1136.551884816048</v>
      </c>
      <c r="S121" s="59">
        <f ca="1">AVERAGE(OFFSET($R$3,0,0,'Données projet'!$E$9+1,1))-AVERAGE(OFFSET($H$3,0,0,'Données projet'!$E$9+1,1))</f>
        <v>512.58510468904342</v>
      </c>
      <c r="T121" s="59">
        <f t="shared" si="88"/>
        <v>443.6106696463529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65.299109126422891</v>
      </c>
      <c r="AA121" s="21">
        <f>EXP(-LN(2)/25)*AA120+(1-EXP(-LN(2)/25))/(LN(2)/25)*Calculateur!V121*Calculateur!X121*VLOOKUP('Données projet'!$B$9,Paramètres!$A$1:$I$89,3,0)*0.475*44/12</f>
        <v>4.2702975129235883</v>
      </c>
      <c r="AB121" s="21">
        <f>EXP(-LN(2)/2)*AB120+(1-EXP(-LN(2)/2))/(LN(2)/2)*V121*Y121*VLOOKUP('Données projet'!$B$9,Paramètres!$A$1:$I$89,3,0)*0.475*44/12</f>
        <v>4.6121952562708859E-14</v>
      </c>
      <c r="AC121" s="22">
        <f t="shared" si="57"/>
        <v>69.569406639346525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311.298</v>
      </c>
      <c r="AK121" s="13">
        <f t="shared" si="89"/>
        <v>73.539838278528748</v>
      </c>
      <c r="AL121" s="20">
        <f t="shared" si="58"/>
        <v>670.25923500177089</v>
      </c>
      <c r="AM121" s="59">
        <f t="shared" si="59"/>
        <v>951.96755836637135</v>
      </c>
      <c r="AN121" s="59">
        <f ca="1">AVERAGE(OFFSET($AM$3,0,0,'Données projet'!$E$10+1,1))-AVERAGE(OFFSET($H$3,0,0,'Données projet'!$E$10+1,1))</f>
        <v>520.95202773768222</v>
      </c>
      <c r="AO121" s="59">
        <f t="shared" si="90"/>
        <v>325.72635759450861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105.70735171088513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105.70735171088513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689</v>
      </c>
      <c r="BE121" s="13">
        <f>BD121*VLOOKUP('Données projet'!$B$11,Paramètres!$A$1:$I$89,3,0)*VLOOKUP('Données projet'!$B$11,Paramètres!$A$1:$I$89,5,0)</f>
        <v>412.02199999999999</v>
      </c>
      <c r="BF121" s="13">
        <f t="shared" si="91"/>
        <v>94.209724877926391</v>
      </c>
      <c r="BG121" s="20">
        <f t="shared" si="61"/>
        <v>881.686920829055</v>
      </c>
      <c r="BH121" s="59">
        <f t="shared" si="62"/>
        <v>1163.3952441936553</v>
      </c>
      <c r="BI121" s="59">
        <f ca="1">AVERAGE(OFFSET($BH$3,0,0,'Données projet'!$E$11+1,1))-AVERAGE(OFFSET($H$3,0,0,'Données projet'!$E$11+1,1))</f>
        <v>528.71639224940395</v>
      </c>
      <c r="BJ121" s="59">
        <f t="shared" si="92"/>
        <v>460.93390058676493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46.112985795362889</v>
      </c>
      <c r="BQ121" s="21">
        <f>EXP(-LN(2)/25)*BQ120+(1-EXP(-LN(2)/25))/(LN(2)/25)*Calculateur!BL121*Calculateur!BN121*VLOOKUP('Données projet'!$B$11,Paramètres!$A$1:$I$89,3,0)*0.475*44/12</f>
        <v>5.1325900892605167</v>
      </c>
      <c r="BR121" s="21">
        <f>EXP(-LN(2)/2)*BR120+(1-EXP(-LN(2)/2))/(LN(2)/2)*BL121*BO121*VLOOKUP('Données projet'!$B$11,Paramètres!$A$1:$I$89,3,0)*0.475*44/12</f>
        <v>2.9765966056709594E-15</v>
      </c>
      <c r="BS121" s="22">
        <f t="shared" si="63"/>
        <v>51.245575884623406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267</v>
      </c>
      <c r="BZ121" s="13">
        <f>BY121*VLOOKUP('Données projet'!$B$12,Paramètres!$A$1:$I$89,3,0)*VLOOKUP('Données projet'!$B$12,Paramètres!$A$1:$I$89,5,0)</f>
        <v>241.58159999999998</v>
      </c>
      <c r="CA121" s="13">
        <f t="shared" si="93"/>
        <v>58.779689232021951</v>
      </c>
      <c r="CB121" s="20">
        <f t="shared" si="64"/>
        <v>523.12924541243819</v>
      </c>
      <c r="CC121" s="59">
        <f t="shared" si="65"/>
        <v>804.83756877703854</v>
      </c>
      <c r="CD121" s="59">
        <f ca="1">AVERAGE(OFFSET($CC$3,0,0,'Données projet'!$E$12+1,1))-AVERAGE(OFFSET($H$3,0,0,'Données projet'!$E$12+1,1))</f>
        <v>398.11190027805549</v>
      </c>
      <c r="CE121" s="59">
        <f t="shared" si="94"/>
        <v>250.47702091764884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71.226465991765679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71.226465991765679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8.3369999999999997</v>
      </c>
      <c r="CT121" s="12">
        <f>IF('Données projet'!$A$140&gt;35,CT120+CS121-DB120,IF(A121&lt;'Données projet'!$A$140,$CQ$205^A121,IF(A121='Données projet'!$A$140,'Données projet'!$B$140,CT120+CS121-DB120)))</f>
        <v>401.83800000000014</v>
      </c>
      <c r="CU121" s="17">
        <f>CT121*VLOOKUP('Données projet'!$B$13,Paramètres!$A$1:$I$89,3,0)*VLOOKUP('Données projet'!$B$13,Paramètres!$A$1:$I$89,5,0)</f>
        <v>382.38904080000009</v>
      </c>
      <c r="CV121" s="13">
        <f t="shared" si="95"/>
        <v>88.197011378102573</v>
      </c>
      <c r="CW121" s="20">
        <f t="shared" si="67"/>
        <v>819.60404087686209</v>
      </c>
      <c r="CX121" s="59">
        <f t="shared" si="68"/>
        <v>1101.3123642414625</v>
      </c>
      <c r="CY121" s="59">
        <f ca="1">AVERAGE(OFFSET($CX$3,0,0,'Données projet'!$E$13+1,1))-AVERAGE(OFFSET($H$3,0,0,'Données projet'!$E$13+1,1))</f>
        <v>697.21496579281836</v>
      </c>
      <c r="CZ121" s="59">
        <f t="shared" si="96"/>
        <v>215.64914236153456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107.39054823091941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107.39054823091941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319</v>
      </c>
      <c r="DP121" s="17">
        <f>DO121*VLOOKUP('Données projet'!$B$14,Paramètres!$A$1:$I$89,3,0)*VLOOKUP('Données projet'!$B$14,Paramètres!$A$1:$I$89,5,0)</f>
        <v>278.67840000000001</v>
      </c>
      <c r="DQ121" s="13">
        <f t="shared" si="97"/>
        <v>66.687639951856809</v>
      </c>
      <c r="DR121" s="20">
        <f t="shared" si="70"/>
        <v>601.51251958281728</v>
      </c>
      <c r="DS121" s="59">
        <f t="shared" si="71"/>
        <v>883.22084294741762</v>
      </c>
      <c r="DT121" s="59">
        <f ca="1">AVERAGE(OFFSET($DS$3,0,0,'Données projet'!$E$14+1,1))-AVERAGE(OFFSET($H$3,0,0,'Données projet'!$E$14+1,1))</f>
        <v>408.24135864450221</v>
      </c>
      <c r="DU121" s="59">
        <f t="shared" si="98"/>
        <v>394.10236303013903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27.506640363098857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27.506640363098857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853.00000000000011</v>
      </c>
      <c r="O122" s="13">
        <f>N122*VLOOKUP('Données projet'!$B$9,Paramètres!$A$1:$I$89,3,0)*VLOOKUP('Données projet'!$B$9,Paramètres!$A$1:$I$89,5,0)</f>
        <v>399.20400000000006</v>
      </c>
      <c r="P122" s="13">
        <f t="shared" si="87"/>
        <v>91.615269732888521</v>
      </c>
      <c r="Q122" s="20">
        <f t="shared" si="107"/>
        <v>854.8435614514475</v>
      </c>
      <c r="R122" s="59">
        <f t="shared" si="55"/>
        <v>1136.7535527493767</v>
      </c>
      <c r="S122" s="59">
        <f ca="1">AVERAGE(OFFSET($R$3,0,0,'Données projet'!$E$9+1,1))-AVERAGE(OFFSET($H$3,0,0,'Données projet'!$E$9+1,1))</f>
        <v>512.58510468904342</v>
      </c>
      <c r="T122" s="59">
        <f t="shared" si="88"/>
        <v>443.6106696463529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64.018633424977565</v>
      </c>
      <c r="AA122" s="21">
        <f>EXP(-LN(2)/25)*AA121+(1-EXP(-LN(2)/25))/(LN(2)/25)*Calculateur!V122*Calculateur!X122*VLOOKUP('Données projet'!$B$9,Paramètres!$A$1:$I$89,3,0)*0.475*44/12</f>
        <v>4.1535260028675065</v>
      </c>
      <c r="AB122" s="21">
        <f>EXP(-LN(2)/2)*AB121+(1-EXP(-LN(2)/2))/(LN(2)/2)*V122*Y122*VLOOKUP('Données projet'!$B$9,Paramètres!$A$1:$I$89,3,0)*0.475*44/12</f>
        <v>3.2613145418655697E-14</v>
      </c>
      <c r="AC122" s="22">
        <f t="shared" si="57"/>
        <v>68.172159427845102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311.298</v>
      </c>
      <c r="AK122" s="13">
        <f t="shared" si="89"/>
        <v>73.539838278528748</v>
      </c>
      <c r="AL122" s="20">
        <f t="shared" si="58"/>
        <v>670.25923500177089</v>
      </c>
      <c r="AM122" s="59">
        <f t="shared" si="59"/>
        <v>952.16922629970009</v>
      </c>
      <c r="AN122" s="59">
        <f ca="1">AVERAGE(OFFSET($AM$3,0,0,'Données projet'!$E$10+1,1))-AVERAGE(OFFSET($H$3,0,0,'Données projet'!$E$10+1,1))</f>
        <v>520.95202773768222</v>
      </c>
      <c r="AO122" s="59">
        <f t="shared" si="90"/>
        <v>325.72635759450861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103.63449501895283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103.63449501895283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689</v>
      </c>
      <c r="BE122" s="13">
        <f>BD122*VLOOKUP('Données projet'!$B$11,Paramètres!$A$1:$I$89,3,0)*VLOOKUP('Données projet'!$B$11,Paramètres!$A$1:$I$89,5,0)</f>
        <v>412.02199999999999</v>
      </c>
      <c r="BF122" s="13">
        <f t="shared" si="91"/>
        <v>94.209724877926391</v>
      </c>
      <c r="BG122" s="20">
        <f t="shared" si="61"/>
        <v>881.686920829055</v>
      </c>
      <c r="BH122" s="59">
        <f t="shared" si="62"/>
        <v>1163.5969121269841</v>
      </c>
      <c r="BI122" s="59">
        <f ca="1">AVERAGE(OFFSET($BH$3,0,0,'Données projet'!$E$11+1,1))-AVERAGE(OFFSET($H$3,0,0,'Données projet'!$E$11+1,1))</f>
        <v>528.71639224940395</v>
      </c>
      <c r="BJ122" s="59">
        <f t="shared" si="92"/>
        <v>460.93390058676493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45.208738270059932</v>
      </c>
      <c r="BQ122" s="21">
        <f>EXP(-LN(2)/25)*BQ121+(1-EXP(-LN(2)/25))/(LN(2)/25)*Calculateur!BL122*Calculateur!BN122*VLOOKUP('Données projet'!$B$11,Paramètres!$A$1:$I$89,3,0)*0.475*44/12</f>
        <v>4.992239143358506</v>
      </c>
      <c r="BR122" s="21">
        <f>EXP(-LN(2)/2)*BR121+(1-EXP(-LN(2)/2))/(LN(2)/2)*BL122*BO122*VLOOKUP('Données projet'!$B$11,Paramètres!$A$1:$I$89,3,0)*0.475*44/12</f>
        <v>2.1047716447267952E-15</v>
      </c>
      <c r="BS122" s="22">
        <f t="shared" si="63"/>
        <v>50.200977413418435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267</v>
      </c>
      <c r="BZ122" s="13">
        <f>BY122*VLOOKUP('Données projet'!$B$12,Paramètres!$A$1:$I$89,3,0)*VLOOKUP('Données projet'!$B$12,Paramètres!$A$1:$I$89,5,0)</f>
        <v>241.58159999999998</v>
      </c>
      <c r="CA122" s="13">
        <f t="shared" si="93"/>
        <v>58.779689232021951</v>
      </c>
      <c r="CB122" s="20">
        <f t="shared" si="64"/>
        <v>523.12924541243819</v>
      </c>
      <c r="CC122" s="59">
        <f t="shared" si="65"/>
        <v>805.03923671036728</v>
      </c>
      <c r="CD122" s="59">
        <f ca="1">AVERAGE(OFFSET($CC$3,0,0,'Données projet'!$E$12+1,1))-AVERAGE(OFFSET($H$3,0,0,'Données projet'!$E$12+1,1))</f>
        <v>398.11190027805549</v>
      </c>
      <c r="CE122" s="59">
        <f t="shared" si="94"/>
        <v>250.47702091764884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69.82975843752169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69.82975843752169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8.3369999999999997</v>
      </c>
      <c r="CT122" s="12">
        <f>IF('Données projet'!$A$140&gt;35,CT121+CS122-DB121,IF(A122&lt;'Données projet'!$A$140,$CQ$205^A122,IF(A122='Données projet'!$A$140,'Données projet'!$B$140,CT121+CS122-DB121)))</f>
        <v>410.17500000000013</v>
      </c>
      <c r="CU122" s="17">
        <f>CT122*VLOOKUP('Données projet'!$B$13,Paramètres!$A$1:$I$89,3,0)*VLOOKUP('Données projet'!$B$13,Paramètres!$A$1:$I$89,5,0)</f>
        <v>390.32253000000014</v>
      </c>
      <c r="CV122" s="13">
        <f t="shared" si="95"/>
        <v>89.811918920133635</v>
      </c>
      <c r="CW122" s="20">
        <f t="shared" si="67"/>
        <v>836.23416520256615</v>
      </c>
      <c r="CX122" s="59">
        <f t="shared" si="68"/>
        <v>1118.1441565004952</v>
      </c>
      <c r="CY122" s="59">
        <f ca="1">AVERAGE(OFFSET($CX$3,0,0,'Données projet'!$E$13+1,1))-AVERAGE(OFFSET($H$3,0,0,'Données projet'!$E$13+1,1))</f>
        <v>697.21496579281836</v>
      </c>
      <c r="CZ122" s="59">
        <f t="shared" si="96"/>
        <v>215.64914236153456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105.28468508187774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105.28468508187774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319</v>
      </c>
      <c r="DP122" s="17">
        <f>DO122*VLOOKUP('Données projet'!$B$14,Paramètres!$A$1:$I$89,3,0)*VLOOKUP('Données projet'!$B$14,Paramètres!$A$1:$I$89,5,0)</f>
        <v>278.67840000000001</v>
      </c>
      <c r="DQ122" s="13">
        <f t="shared" si="97"/>
        <v>66.687639951856809</v>
      </c>
      <c r="DR122" s="20">
        <f t="shared" si="70"/>
        <v>601.51251958281728</v>
      </c>
      <c r="DS122" s="59">
        <f t="shared" si="71"/>
        <v>883.42251088074636</v>
      </c>
      <c r="DT122" s="59">
        <f ca="1">AVERAGE(OFFSET($DS$3,0,0,'Données projet'!$E$14+1,1))-AVERAGE(OFFSET($H$3,0,0,'Données projet'!$E$14+1,1))</f>
        <v>408.24135864450221</v>
      </c>
      <c r="DU122" s="59">
        <f t="shared" si="98"/>
        <v>394.10236303013903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26.96725192297248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26.96725192297248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853.00000000000011</v>
      </c>
      <c r="O123" s="13">
        <f>N123*VLOOKUP('Données projet'!$B$9,Paramètres!$A$1:$I$89,3,0)*VLOOKUP('Données projet'!$B$9,Paramètres!$A$1:$I$89,5,0)</f>
        <v>399.20400000000006</v>
      </c>
      <c r="P123" s="13">
        <f t="shared" si="87"/>
        <v>91.615269732888521</v>
      </c>
      <c r="Q123" s="20">
        <f t="shared" si="107"/>
        <v>854.8435614514475</v>
      </c>
      <c r="R123" s="59">
        <f t="shared" si="55"/>
        <v>1136.9517221949241</v>
      </c>
      <c r="S123" s="59">
        <f ca="1">AVERAGE(OFFSET($R$3,0,0,'Données projet'!$E$9+1,1))-AVERAGE(OFFSET($H$3,0,0,'Données projet'!$E$9+1,1))</f>
        <v>512.58510468904342</v>
      </c>
      <c r="T123" s="59">
        <f t="shared" si="88"/>
        <v>443.6106696463529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62.763267071024522</v>
      </c>
      <c r="AA123" s="21">
        <f>EXP(-LN(2)/25)*AA122+(1-EXP(-LN(2)/25))/(LN(2)/25)*Calculateur!V123*Calculateur!X123*VLOOKUP('Données projet'!$B$9,Paramètres!$A$1:$I$89,3,0)*0.475*44/12</f>
        <v>4.039947615894655</v>
      </c>
      <c r="AB123" s="21">
        <f>EXP(-LN(2)/2)*AB122+(1-EXP(-LN(2)/2))/(LN(2)/2)*V123*Y123*VLOOKUP('Données projet'!$B$9,Paramètres!$A$1:$I$89,3,0)*0.475*44/12</f>
        <v>2.3060976281354429E-14</v>
      </c>
      <c r="AC123" s="22">
        <f t="shared" si="57"/>
        <v>66.803214686919205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311.298</v>
      </c>
      <c r="AK123" s="13">
        <f t="shared" si="89"/>
        <v>73.539838278528748</v>
      </c>
      <c r="AL123" s="20">
        <f t="shared" si="58"/>
        <v>670.25923500177089</v>
      </c>
      <c r="AM123" s="59">
        <f t="shared" si="59"/>
        <v>952.36739574524745</v>
      </c>
      <c r="AN123" s="59">
        <f ca="1">AVERAGE(OFFSET($AM$3,0,0,'Données projet'!$E$10+1,1))-AVERAGE(OFFSET($H$3,0,0,'Données projet'!$E$10+1,1))</f>
        <v>520.95202773768222</v>
      </c>
      <c r="AO123" s="59">
        <f t="shared" si="90"/>
        <v>325.72635759450861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101.60228578243158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101.60228578243158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689</v>
      </c>
      <c r="BE123" s="13">
        <f>BD123*VLOOKUP('Données projet'!$B$11,Paramètres!$A$1:$I$89,3,0)*VLOOKUP('Données projet'!$B$11,Paramètres!$A$1:$I$89,5,0)</f>
        <v>412.02199999999999</v>
      </c>
      <c r="BF123" s="13">
        <f t="shared" si="91"/>
        <v>94.209724877926391</v>
      </c>
      <c r="BG123" s="20">
        <f t="shared" si="61"/>
        <v>881.686920829055</v>
      </c>
      <c r="BH123" s="59">
        <f t="shared" si="62"/>
        <v>1163.7950815725317</v>
      </c>
      <c r="BI123" s="59">
        <f ca="1">AVERAGE(OFFSET($BH$3,0,0,'Données projet'!$E$11+1,1))-AVERAGE(OFFSET($H$3,0,0,'Données projet'!$E$11+1,1))</f>
        <v>528.71639224940395</v>
      </c>
      <c r="BJ123" s="59">
        <f t="shared" si="92"/>
        <v>460.93390058676493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44.322222487191638</v>
      </c>
      <c r="BQ123" s="21">
        <f>EXP(-LN(2)/25)*BQ122+(1-EXP(-LN(2)/25))/(LN(2)/25)*Calculateur!BL123*Calculateur!BN123*VLOOKUP('Données projet'!$B$11,Paramètres!$A$1:$I$89,3,0)*0.475*44/12</f>
        <v>4.8557261014529214</v>
      </c>
      <c r="BR123" s="21">
        <f>EXP(-LN(2)/2)*BR122+(1-EXP(-LN(2)/2))/(LN(2)/2)*BL123*BO123*VLOOKUP('Données projet'!$B$11,Paramètres!$A$1:$I$89,3,0)*0.475*44/12</f>
        <v>1.4882983028354797E-15</v>
      </c>
      <c r="BS123" s="22">
        <f t="shared" si="63"/>
        <v>49.177948588644561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267</v>
      </c>
      <c r="BZ123" s="13">
        <f>BY123*VLOOKUP('Données projet'!$B$12,Paramètres!$A$1:$I$89,3,0)*VLOOKUP('Données projet'!$B$12,Paramètres!$A$1:$I$89,5,0)</f>
        <v>241.58159999999998</v>
      </c>
      <c r="CA123" s="13">
        <f t="shared" si="93"/>
        <v>58.779689232021951</v>
      </c>
      <c r="CB123" s="20">
        <f t="shared" si="64"/>
        <v>523.12924541243819</v>
      </c>
      <c r="CC123" s="59">
        <f t="shared" si="65"/>
        <v>805.23740615591487</v>
      </c>
      <c r="CD123" s="59">
        <f ca="1">AVERAGE(OFFSET($CC$3,0,0,'Données projet'!$E$12+1,1))-AVERAGE(OFFSET($H$3,0,0,'Données projet'!$E$12+1,1))</f>
        <v>398.11190027805549</v>
      </c>
      <c r="CE123" s="59">
        <f t="shared" si="94"/>
        <v>250.47702091764884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68.46043946650893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68.46043946650893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8.3369999999999997</v>
      </c>
      <c r="CT123" s="12">
        <f>IF('Données projet'!$A$140&gt;35,CT122+CS123-DB122,IF(A123&lt;'Données projet'!$A$140,$CQ$205^A123,IF(A123='Données projet'!$A$140,'Données projet'!$B$140,CT122+CS123-DB122)))</f>
        <v>418.51200000000011</v>
      </c>
      <c r="CU123" s="17">
        <f>CT123*VLOOKUP('Données projet'!$B$13,Paramètres!$A$1:$I$89,3,0)*VLOOKUP('Données projet'!$B$13,Paramètres!$A$1:$I$89,5,0)</f>
        <v>398.25601920000014</v>
      </c>
      <c r="CV123" s="13">
        <f t="shared" si="95"/>
        <v>91.42301001526657</v>
      </c>
      <c r="CW123" s="20">
        <f t="shared" si="67"/>
        <v>852.85764254992284</v>
      </c>
      <c r="CX123" s="59">
        <f t="shared" si="68"/>
        <v>1134.9658032933994</v>
      </c>
      <c r="CY123" s="59">
        <f ca="1">AVERAGE(OFFSET($CX$3,0,0,'Données projet'!$E$13+1,1))-AVERAGE(OFFSET($H$3,0,0,'Données projet'!$E$13+1,1))</f>
        <v>697.21496579281836</v>
      </c>
      <c r="CZ123" s="59">
        <f t="shared" si="96"/>
        <v>215.64914236153456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103.22011662473908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103.22011662473908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319</v>
      </c>
      <c r="DP123" s="17">
        <f>DO123*VLOOKUP('Données projet'!$B$14,Paramètres!$A$1:$I$89,3,0)*VLOOKUP('Données projet'!$B$14,Paramètres!$A$1:$I$89,5,0)</f>
        <v>278.67840000000001</v>
      </c>
      <c r="DQ123" s="13">
        <f t="shared" si="97"/>
        <v>66.687639951856809</v>
      </c>
      <c r="DR123" s="20">
        <f t="shared" si="70"/>
        <v>601.51251958281728</v>
      </c>
      <c r="DS123" s="59">
        <f t="shared" si="71"/>
        <v>883.62068032629395</v>
      </c>
      <c r="DT123" s="59">
        <f ca="1">AVERAGE(OFFSET($DS$3,0,0,'Données projet'!$E$14+1,1))-AVERAGE(OFFSET($H$3,0,0,'Données projet'!$E$14+1,1))</f>
        <v>408.24135864450221</v>
      </c>
      <c r="DU123" s="59">
        <f t="shared" si="98"/>
        <v>394.10236303013903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26.438440561162519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26.438440561162519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853.00000000000011</v>
      </c>
      <c r="O124" s="13">
        <f>N124*VLOOKUP('Données projet'!$B$9,Paramètres!$A$1:$I$89,3,0)*VLOOKUP('Données projet'!$B$9,Paramètres!$A$1:$I$89,5,0)</f>
        <v>399.20400000000006</v>
      </c>
      <c r="P124" s="13">
        <f t="shared" si="87"/>
        <v>91.615269732888521</v>
      </c>
      <c r="Q124" s="20">
        <f t="shared" si="107"/>
        <v>854.8435614514475</v>
      </c>
      <c r="R124" s="59">
        <f t="shared" si="55"/>
        <v>1137.1464538436319</v>
      </c>
      <c r="S124" s="59">
        <f ca="1">AVERAGE(OFFSET($R$3,0,0,'Données projet'!$E$9+1,1))-AVERAGE(OFFSET($H$3,0,0,'Données projet'!$E$9+1,1))</f>
        <v>512.58510468904342</v>
      </c>
      <c r="T124" s="59">
        <f t="shared" si="88"/>
        <v>443.6106696463529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61.532517685574632</v>
      </c>
      <c r="AA124" s="21">
        <f>EXP(-LN(2)/25)*AA123+(1-EXP(-LN(2)/25))/(LN(2)/25)*Calculateur!V124*Calculateur!X124*VLOOKUP('Données projet'!$B$9,Paramètres!$A$1:$I$89,3,0)*0.475*44/12</f>
        <v>3.9294750358864041</v>
      </c>
      <c r="AB124" s="21">
        <f>EXP(-LN(2)/2)*AB123+(1-EXP(-LN(2)/2))/(LN(2)/2)*V124*Y124*VLOOKUP('Données projet'!$B$9,Paramètres!$A$1:$I$89,3,0)*0.475*44/12</f>
        <v>1.6306572709327848E-14</v>
      </c>
      <c r="AC124" s="22">
        <f t="shared" si="57"/>
        <v>65.461992721461044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311.298</v>
      </c>
      <c r="AK124" s="13">
        <f t="shared" si="89"/>
        <v>73.539838278528748</v>
      </c>
      <c r="AL124" s="20">
        <f t="shared" si="58"/>
        <v>670.25923500177089</v>
      </c>
      <c r="AM124" s="59">
        <f t="shared" si="59"/>
        <v>952.56212739395528</v>
      </c>
      <c r="AN124" s="59">
        <f ca="1">AVERAGE(OFFSET($AM$3,0,0,'Données projet'!$E$10+1,1))-AVERAGE(OFFSET($H$3,0,0,'Données projet'!$E$10+1,1))</f>
        <v>520.95202773768222</v>
      </c>
      <c r="AO124" s="59">
        <f t="shared" si="90"/>
        <v>325.72635759450861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99.609926929513264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99.609926929513264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689</v>
      </c>
      <c r="BE124" s="13">
        <f>BD124*VLOOKUP('Données projet'!$B$11,Paramètres!$A$1:$I$89,3,0)*VLOOKUP('Données projet'!$B$11,Paramètres!$A$1:$I$89,5,0)</f>
        <v>412.02199999999999</v>
      </c>
      <c r="BF124" s="13">
        <f t="shared" si="91"/>
        <v>94.209724877926391</v>
      </c>
      <c r="BG124" s="20">
        <f t="shared" si="61"/>
        <v>881.686920829055</v>
      </c>
      <c r="BH124" s="59">
        <f t="shared" si="62"/>
        <v>1163.9898132212393</v>
      </c>
      <c r="BI124" s="59">
        <f ca="1">AVERAGE(OFFSET($BH$3,0,0,'Données projet'!$E$11+1,1))-AVERAGE(OFFSET($H$3,0,0,'Données projet'!$E$11+1,1))</f>
        <v>528.71639224940395</v>
      </c>
      <c r="BJ124" s="59">
        <f t="shared" si="92"/>
        <v>460.93390058676493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43.453090738104152</v>
      </c>
      <c r="BQ124" s="21">
        <f>EXP(-LN(2)/25)*BQ123+(1-EXP(-LN(2)/25))/(LN(2)/25)*Calculateur!BL124*Calculateur!BN124*VLOOKUP('Données projet'!$B$11,Paramètres!$A$1:$I$89,3,0)*0.475*44/12</f>
        <v>4.7229460158571532</v>
      </c>
      <c r="BR124" s="21">
        <f>EXP(-LN(2)/2)*BR123+(1-EXP(-LN(2)/2))/(LN(2)/2)*BL124*BO124*VLOOKUP('Données projet'!$B$11,Paramètres!$A$1:$I$89,3,0)*0.475*44/12</f>
        <v>1.0523858223633976E-15</v>
      </c>
      <c r="BS124" s="22">
        <f t="shared" si="63"/>
        <v>48.176036753961306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267</v>
      </c>
      <c r="BZ124" s="13">
        <f>BY124*VLOOKUP('Données projet'!$B$12,Paramètres!$A$1:$I$89,3,0)*VLOOKUP('Données projet'!$B$12,Paramètres!$A$1:$I$89,5,0)</f>
        <v>241.58159999999998</v>
      </c>
      <c r="CA124" s="13">
        <f t="shared" si="93"/>
        <v>58.779689232021951</v>
      </c>
      <c r="CB124" s="20">
        <f t="shared" si="64"/>
        <v>523.12924541243819</v>
      </c>
      <c r="CC124" s="59">
        <f t="shared" si="65"/>
        <v>805.43213780462258</v>
      </c>
      <c r="CD124" s="59">
        <f ca="1">AVERAGE(OFFSET($CC$3,0,0,'Données projet'!$E$12+1,1))-AVERAGE(OFFSET($H$3,0,0,'Données projet'!$E$12+1,1))</f>
        <v>398.11190027805549</v>
      </c>
      <c r="CE124" s="59">
        <f t="shared" si="94"/>
        <v>250.47702091764884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67.117972005315622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67.117972005315622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8.3369999999999997</v>
      </c>
      <c r="CT124" s="12">
        <f>IF('Données projet'!$A$140&gt;35,CT123+CS124-DB123,IF(A124&lt;'Données projet'!$A$140,$CQ$205^A124,IF(A124='Données projet'!$A$140,'Données projet'!$B$140,CT123+CS124-DB123)))</f>
        <v>426.8490000000001</v>
      </c>
      <c r="CU124" s="17">
        <f>CT124*VLOOKUP('Données projet'!$B$13,Paramètres!$A$1:$I$89,3,0)*VLOOKUP('Données projet'!$B$13,Paramètres!$A$1:$I$89,5,0)</f>
        <v>406.18950840000008</v>
      </c>
      <c r="CV124" s="13">
        <f t="shared" si="95"/>
        <v>93.030369451717448</v>
      </c>
      <c r="CW124" s="20">
        <f t="shared" si="67"/>
        <v>869.47462059174131</v>
      </c>
      <c r="CX124" s="59">
        <f t="shared" si="68"/>
        <v>1151.7775129839256</v>
      </c>
      <c r="CY124" s="59">
        <f ca="1">AVERAGE(OFFSET($CX$3,0,0,'Données projet'!$E$13+1,1))-AVERAGE(OFFSET($H$3,0,0,'Données projet'!$E$13+1,1))</f>
        <v>697.21496579281836</v>
      </c>
      <c r="CZ124" s="59">
        <f t="shared" si="96"/>
        <v>215.64914236153456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101.1960330957825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101.1960330957825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319</v>
      </c>
      <c r="DP124" s="17">
        <f>DO124*VLOOKUP('Données projet'!$B$14,Paramètres!$A$1:$I$89,3,0)*VLOOKUP('Données projet'!$B$14,Paramètres!$A$1:$I$89,5,0)</f>
        <v>278.67840000000001</v>
      </c>
      <c r="DQ124" s="13">
        <f t="shared" si="97"/>
        <v>66.687639951856809</v>
      </c>
      <c r="DR124" s="20">
        <f t="shared" si="70"/>
        <v>601.51251958281728</v>
      </c>
      <c r="DS124" s="59">
        <f t="shared" si="71"/>
        <v>883.81541197500167</v>
      </c>
      <c r="DT124" s="59">
        <f ca="1">AVERAGE(OFFSET($DS$3,0,0,'Données projet'!$E$14+1,1))-AVERAGE(OFFSET($H$3,0,0,'Données projet'!$E$14+1,1))</f>
        <v>408.24135864450221</v>
      </c>
      <c r="DU124" s="59">
        <f t="shared" si="98"/>
        <v>394.10236303013903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25.91999886761457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25.91999886761457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853.00000000000011</v>
      </c>
      <c r="O125" s="13">
        <f>N125*VLOOKUP('Données projet'!$B$9,Paramètres!$A$1:$I$89,3,0)*VLOOKUP('Données projet'!$B$9,Paramètres!$A$1:$I$89,5,0)</f>
        <v>399.20400000000006</v>
      </c>
      <c r="P125" s="13">
        <f t="shared" si="87"/>
        <v>91.615269732888521</v>
      </c>
      <c r="Q125" s="20">
        <f t="shared" si="107"/>
        <v>854.8435614514475</v>
      </c>
      <c r="R125" s="59">
        <f t="shared" si="55"/>
        <v>1137.3378073335894</v>
      </c>
      <c r="S125" s="59">
        <f ca="1">AVERAGE(OFFSET($R$3,0,0,'Données projet'!$E$9+1,1))-AVERAGE(OFFSET($H$3,0,0,'Données projet'!$E$9+1,1))</f>
        <v>512.58510468904342</v>
      </c>
      <c r="T125" s="59">
        <f t="shared" si="88"/>
        <v>443.6106696463529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60.325902544890411</v>
      </c>
      <c r="AA125" s="21">
        <f>EXP(-LN(2)/25)*AA124+(1-EXP(-LN(2)/25))/(LN(2)/25)*Calculateur!V125*Calculateur!X125*VLOOKUP('Données projet'!$B$9,Paramètres!$A$1:$I$89,3,0)*0.475*44/12</f>
        <v>3.8220233343879793</v>
      </c>
      <c r="AB125" s="21">
        <f>EXP(-LN(2)/2)*AB124+(1-EXP(-LN(2)/2))/(LN(2)/2)*V125*Y125*VLOOKUP('Données projet'!$B$9,Paramètres!$A$1:$I$89,3,0)*0.475*44/12</f>
        <v>1.1530488140677215E-14</v>
      </c>
      <c r="AC125" s="22">
        <f t="shared" si="57"/>
        <v>64.147925879278404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311.298</v>
      </c>
      <c r="AK125" s="13">
        <f t="shared" si="89"/>
        <v>73.539838278528748</v>
      </c>
      <c r="AL125" s="20">
        <f t="shared" si="58"/>
        <v>670.25923500177089</v>
      </c>
      <c r="AM125" s="59">
        <f t="shared" si="59"/>
        <v>952.75348088391274</v>
      </c>
      <c r="AN125" s="59">
        <f ca="1">AVERAGE(OFFSET($AM$3,0,0,'Données projet'!$E$10+1,1))-AVERAGE(OFFSET($H$3,0,0,'Données projet'!$E$10+1,1))</f>
        <v>520.95202773768222</v>
      </c>
      <c r="AO125" s="59">
        <f t="shared" si="90"/>
        <v>325.72635759450861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97.656637018481774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97.656637018481774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689</v>
      </c>
      <c r="BE125" s="13">
        <f>BD125*VLOOKUP('Données projet'!$B$11,Paramètres!$A$1:$I$89,3,0)*VLOOKUP('Données projet'!$B$11,Paramètres!$A$1:$I$89,5,0)</f>
        <v>412.02199999999999</v>
      </c>
      <c r="BF125" s="13">
        <f t="shared" si="91"/>
        <v>94.209724877926391</v>
      </c>
      <c r="BG125" s="20">
        <f t="shared" si="61"/>
        <v>881.686920829055</v>
      </c>
      <c r="BH125" s="59">
        <f t="shared" si="62"/>
        <v>1164.1811667111967</v>
      </c>
      <c r="BI125" s="59">
        <f ca="1">AVERAGE(OFFSET($BH$3,0,0,'Données projet'!$E$11+1,1))-AVERAGE(OFFSET($H$3,0,0,'Données projet'!$E$11+1,1))</f>
        <v>528.71639224940395</v>
      </c>
      <c r="BJ125" s="59">
        <f t="shared" si="92"/>
        <v>460.93390058676493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42.601002132498252</v>
      </c>
      <c r="BQ125" s="21">
        <f>EXP(-LN(2)/25)*BQ124+(1-EXP(-LN(2)/25))/(LN(2)/25)*Calculateur!BL125*Calculateur!BN125*VLOOKUP('Données projet'!$B$11,Paramètres!$A$1:$I$89,3,0)*0.475*44/12</f>
        <v>4.5937968086846031</v>
      </c>
      <c r="BR125" s="21">
        <f>EXP(-LN(2)/2)*BR124+(1-EXP(-LN(2)/2))/(LN(2)/2)*BL125*BO125*VLOOKUP('Données projet'!$B$11,Paramètres!$A$1:$I$89,3,0)*0.475*44/12</f>
        <v>7.4414915141773986E-16</v>
      </c>
      <c r="BS125" s="22">
        <f t="shared" si="63"/>
        <v>47.194798941182853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267</v>
      </c>
      <c r="BZ125" s="13">
        <f>BY125*VLOOKUP('Données projet'!$B$12,Paramètres!$A$1:$I$89,3,0)*VLOOKUP('Données projet'!$B$12,Paramètres!$A$1:$I$89,5,0)</f>
        <v>241.58159999999998</v>
      </c>
      <c r="CA125" s="13">
        <f t="shared" si="93"/>
        <v>58.779689232021951</v>
      </c>
      <c r="CB125" s="20">
        <f t="shared" si="64"/>
        <v>523.12924541243819</v>
      </c>
      <c r="CC125" s="59">
        <f t="shared" si="65"/>
        <v>805.62349129457994</v>
      </c>
      <c r="CD125" s="59">
        <f ca="1">AVERAGE(OFFSET($CC$3,0,0,'Données projet'!$E$12+1,1))-AVERAGE(OFFSET($H$3,0,0,'Données projet'!$E$12+1,1))</f>
        <v>398.11190027805549</v>
      </c>
      <c r="CE125" s="59">
        <f t="shared" si="94"/>
        <v>250.47702091764884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65.801829512212024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65.801829512212024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8.3369999999999997</v>
      </c>
      <c r="CT125" s="12">
        <f>IF('Données projet'!$A$140&gt;35,CT124+CS125-DB124,IF(A125&lt;'Données projet'!$A$140,$CQ$205^A125,IF(A125='Données projet'!$A$140,'Données projet'!$B$140,CT124+CS125-DB124)))</f>
        <v>435.18600000000009</v>
      </c>
      <c r="CU125" s="17">
        <f>CT125*VLOOKUP('Données projet'!$B$13,Paramètres!$A$1:$I$89,3,0)*VLOOKUP('Données projet'!$B$13,Paramètres!$A$1:$I$89,5,0)</f>
        <v>414.12299760000008</v>
      </c>
      <c r="CV125" s="13">
        <f t="shared" si="95"/>
        <v>94.634078516170817</v>
      </c>
      <c r="CW125" s="20">
        <f t="shared" si="67"/>
        <v>886.08524090233095</v>
      </c>
      <c r="CX125" s="59">
        <f t="shared" si="68"/>
        <v>1168.5794867844727</v>
      </c>
      <c r="CY125" s="59">
        <f ca="1">AVERAGE(OFFSET($CX$3,0,0,'Données projet'!$E$13+1,1))-AVERAGE(OFFSET($H$3,0,0,'Données projet'!$E$13+1,1))</f>
        <v>697.21496579281836</v>
      </c>
      <c r="CZ125" s="59">
        <f t="shared" si="96"/>
        <v>215.64914236153456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99.211640610259707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99.211640610259707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319</v>
      </c>
      <c r="DP125" s="17">
        <f>DO125*VLOOKUP('Données projet'!$B$14,Paramètres!$A$1:$I$89,3,0)*VLOOKUP('Données projet'!$B$14,Paramètres!$A$1:$I$89,5,0)</f>
        <v>278.67840000000001</v>
      </c>
      <c r="DQ125" s="13">
        <f t="shared" si="97"/>
        <v>66.687639951856809</v>
      </c>
      <c r="DR125" s="20">
        <f t="shared" si="70"/>
        <v>601.51251958281728</v>
      </c>
      <c r="DS125" s="59">
        <f t="shared" si="71"/>
        <v>884.00676546495902</v>
      </c>
      <c r="DT125" s="59">
        <f ca="1">AVERAGE(OFFSET($DS$3,0,0,'Données projet'!$E$14+1,1))-AVERAGE(OFFSET($H$3,0,0,'Données projet'!$E$14+1,1))</f>
        <v>408.24135864450221</v>
      </c>
      <c r="DU125" s="59">
        <f t="shared" si="98"/>
        <v>394.10236303013903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25.411723499458887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25.411723499458887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853.00000000000011</v>
      </c>
      <c r="O126" s="13">
        <f>N126*VLOOKUP('Données projet'!$B$9,Paramètres!$A$1:$I$89,3,0)*VLOOKUP('Données projet'!$B$9,Paramètres!$A$1:$I$89,5,0)</f>
        <v>399.20400000000006</v>
      </c>
      <c r="P126" s="13">
        <f t="shared" si="87"/>
        <v>91.615269732888521</v>
      </c>
      <c r="Q126" s="20">
        <f t="shared" si="107"/>
        <v>854.8435614514475</v>
      </c>
      <c r="R126" s="59">
        <f t="shared" si="55"/>
        <v>1137.5258412682981</v>
      </c>
      <c r="S126" s="59">
        <f ca="1">AVERAGE(OFFSET($R$3,0,0,'Données projet'!$E$9+1,1))-AVERAGE(OFFSET($H$3,0,0,'Données projet'!$E$9+1,1))</f>
        <v>512.58510468904342</v>
      </c>
      <c r="T126" s="59">
        <f t="shared" si="88"/>
        <v>443.6106696463529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59.142948391152444</v>
      </c>
      <c r="AA126" s="21">
        <f>EXP(-LN(2)/25)*AA125+(1-EXP(-LN(2)/25))/(LN(2)/25)*Calculateur!V126*Calculateur!X126*VLOOKUP('Données projet'!$B$9,Paramètres!$A$1:$I$89,3,0)*0.475*44/12</f>
        <v>3.7175099053176681</v>
      </c>
      <c r="AB126" s="21">
        <f>EXP(-LN(2)/2)*AB125+(1-EXP(-LN(2)/2))/(LN(2)/2)*V126*Y126*VLOOKUP('Données projet'!$B$9,Paramètres!$A$1:$I$89,3,0)*0.475*44/12</f>
        <v>8.1532863546639242E-15</v>
      </c>
      <c r="AC126" s="22">
        <f t="shared" si="57"/>
        <v>62.860458296470121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311.298</v>
      </c>
      <c r="AK126" s="13">
        <f t="shared" si="89"/>
        <v>73.539838278528748</v>
      </c>
      <c r="AL126" s="20">
        <f t="shared" si="58"/>
        <v>670.25923500177089</v>
      </c>
      <c r="AM126" s="59">
        <f t="shared" si="59"/>
        <v>952.9415148186215</v>
      </c>
      <c r="AN126" s="59">
        <f ca="1">AVERAGE(OFFSET($AM$3,0,0,'Données projet'!$E$10+1,1))-AVERAGE(OFFSET($H$3,0,0,'Données projet'!$E$10+1,1))</f>
        <v>520.95202773768222</v>
      </c>
      <c r="AO126" s="59">
        <f t="shared" si="90"/>
        <v>325.72635759450861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95.741649931216401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95.741649931216401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689</v>
      </c>
      <c r="BE126" s="13">
        <f>BD126*VLOOKUP('Données projet'!$B$11,Paramètres!$A$1:$I$89,3,0)*VLOOKUP('Données projet'!$B$11,Paramètres!$A$1:$I$89,5,0)</f>
        <v>412.02199999999999</v>
      </c>
      <c r="BF126" s="13">
        <f t="shared" si="91"/>
        <v>94.209724877926391</v>
      </c>
      <c r="BG126" s="20">
        <f t="shared" si="61"/>
        <v>881.686920829055</v>
      </c>
      <c r="BH126" s="59">
        <f t="shared" si="62"/>
        <v>1164.3692006459057</v>
      </c>
      <c r="BI126" s="59">
        <f ca="1">AVERAGE(OFFSET($BH$3,0,0,'Données projet'!$E$11+1,1))-AVERAGE(OFFSET($H$3,0,0,'Données projet'!$E$11+1,1))</f>
        <v>528.71639224940395</v>
      </c>
      <c r="BJ126" s="59">
        <f t="shared" si="92"/>
        <v>460.93390058676493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41.765622464725553</v>
      </c>
      <c r="BQ126" s="21">
        <f>EXP(-LN(2)/25)*BQ125+(1-EXP(-LN(2)/25))/(LN(2)/25)*Calculateur!BL126*Calculateur!BN126*VLOOKUP('Données projet'!$B$11,Paramètres!$A$1:$I$89,3,0)*0.475*44/12</f>
        <v>4.4681791933738477</v>
      </c>
      <c r="BR126" s="21">
        <f>EXP(-LN(2)/2)*BR125+(1-EXP(-LN(2)/2))/(LN(2)/2)*BL126*BO126*VLOOKUP('Données projet'!$B$11,Paramètres!$A$1:$I$89,3,0)*0.475*44/12</f>
        <v>5.2619291118169879E-16</v>
      </c>
      <c r="BS126" s="22">
        <f t="shared" si="63"/>
        <v>46.233801658099402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267</v>
      </c>
      <c r="BZ126" s="13">
        <f>BY126*VLOOKUP('Données projet'!$B$12,Paramètres!$A$1:$I$89,3,0)*VLOOKUP('Données projet'!$B$12,Paramètres!$A$1:$I$89,5,0)</f>
        <v>241.58159999999998</v>
      </c>
      <c r="CA126" s="13">
        <f t="shared" si="93"/>
        <v>58.779689232021951</v>
      </c>
      <c r="CB126" s="20">
        <f t="shared" si="64"/>
        <v>523.12924541243819</v>
      </c>
      <c r="CC126" s="59">
        <f t="shared" si="65"/>
        <v>805.81152522928892</v>
      </c>
      <c r="CD126" s="59">
        <f ca="1">AVERAGE(OFFSET($CC$3,0,0,'Données projet'!$E$12+1,1))-AVERAGE(OFFSET($H$3,0,0,'Données projet'!$E$12+1,1))</f>
        <v>398.11190027805549</v>
      </c>
      <c r="CE126" s="59">
        <f t="shared" si="94"/>
        <v>250.47702091764884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64.511495770630532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64.511495770630532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8.3369999999999997</v>
      </c>
      <c r="CT126" s="12">
        <f>IF('Données projet'!$A$140&gt;35,CT125+CS126-DB125,IF(A126&lt;'Données projet'!$A$140,$CQ$205^A126,IF(A126='Données projet'!$A$140,'Données projet'!$B$140,CT125+CS126-DB125)))</f>
        <v>443.52300000000008</v>
      </c>
      <c r="CU126" s="17">
        <f>CT126*VLOOKUP('Données projet'!$B$13,Paramètres!$A$1:$I$89,3,0)*VLOOKUP('Données projet'!$B$13,Paramètres!$A$1:$I$89,5,0)</f>
        <v>422.05648680000002</v>
      </c>
      <c r="CV126" s="13">
        <f t="shared" si="95"/>
        <v>96.234215202646766</v>
      </c>
      <c r="CW126" s="20">
        <f t="shared" si="67"/>
        <v>902.68963932127645</v>
      </c>
      <c r="CX126" s="59">
        <f t="shared" si="68"/>
        <v>1185.3719191381272</v>
      </c>
      <c r="CY126" s="59">
        <f ca="1">AVERAGE(OFFSET($CX$3,0,0,'Données projet'!$E$13+1,1))-AVERAGE(OFFSET($H$3,0,0,'Données projet'!$E$13+1,1))</f>
        <v>697.21496579281836</v>
      </c>
      <c r="CZ126" s="59">
        <f t="shared" si="96"/>
        <v>215.64914236153456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97.266160851018114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97.266160851018114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319</v>
      </c>
      <c r="DP126" s="17">
        <f>DO126*VLOOKUP('Données projet'!$B$14,Paramètres!$A$1:$I$89,3,0)*VLOOKUP('Données projet'!$B$14,Paramètres!$A$1:$I$89,5,0)</f>
        <v>278.67840000000001</v>
      </c>
      <c r="DQ126" s="13">
        <f t="shared" si="97"/>
        <v>66.687639951856809</v>
      </c>
      <c r="DR126" s="20">
        <f t="shared" si="70"/>
        <v>601.51251958281728</v>
      </c>
      <c r="DS126" s="59">
        <f t="shared" si="71"/>
        <v>884.194799399668</v>
      </c>
      <c r="DT126" s="59">
        <f ca="1">AVERAGE(OFFSET($DS$3,0,0,'Données projet'!$E$14+1,1))-AVERAGE(OFFSET($H$3,0,0,'Données projet'!$E$14+1,1))</f>
        <v>408.24135864450221</v>
      </c>
      <c r="DU126" s="59">
        <f t="shared" si="98"/>
        <v>394.10236303013903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24.913415101255371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24.913415101255371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853.00000000000011</v>
      </c>
      <c r="O127" s="13">
        <f>N127*VLOOKUP('Données projet'!$B$9,Paramètres!$A$1:$I$89,3,0)*VLOOKUP('Données projet'!$B$9,Paramètres!$A$1:$I$89,5,0)</f>
        <v>399.20400000000006</v>
      </c>
      <c r="P127" s="13">
        <f t="shared" si="87"/>
        <v>91.615269732888521</v>
      </c>
      <c r="Q127" s="20">
        <f t="shared" si="107"/>
        <v>854.8435614514475</v>
      </c>
      <c r="R127" s="59">
        <f t="shared" si="55"/>
        <v>1137.7106132346207</v>
      </c>
      <c r="S127" s="59">
        <f ca="1">AVERAGE(OFFSET($R$3,0,0,'Données projet'!$E$9+1,1))-AVERAGE(OFFSET($H$3,0,0,'Données projet'!$E$9+1,1))</f>
        <v>512.58510468904342</v>
      </c>
      <c r="T127" s="59">
        <f t="shared" si="88"/>
        <v>443.6106696463529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57.983191246838487</v>
      </c>
      <c r="AA127" s="21">
        <f>EXP(-LN(2)/25)*AA126+(1-EXP(-LN(2)/25))/(LN(2)/25)*Calculateur!V127*Calculateur!X127*VLOOKUP('Données projet'!$B$9,Paramètres!$A$1:$I$89,3,0)*0.475*44/12</f>
        <v>3.6158544014614069</v>
      </c>
      <c r="AB127" s="21">
        <f>EXP(-LN(2)/2)*AB126+(1-EXP(-LN(2)/2))/(LN(2)/2)*V127*Y127*VLOOKUP('Données projet'!$B$9,Paramètres!$A$1:$I$89,3,0)*0.475*44/12</f>
        <v>5.7652440703386073E-15</v>
      </c>
      <c r="AC127" s="22">
        <f t="shared" si="57"/>
        <v>61.599045648299899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311.298</v>
      </c>
      <c r="AK127" s="13">
        <f t="shared" si="89"/>
        <v>73.539838278528748</v>
      </c>
      <c r="AL127" s="20">
        <f t="shared" si="58"/>
        <v>670.25923500177089</v>
      </c>
      <c r="AM127" s="59">
        <f t="shared" si="59"/>
        <v>953.12628678494423</v>
      </c>
      <c r="AN127" s="59">
        <f ca="1">AVERAGE(OFFSET($AM$3,0,0,'Données projet'!$E$10+1,1))-AVERAGE(OFFSET($H$3,0,0,'Données projet'!$E$10+1,1))</f>
        <v>520.95202773768222</v>
      </c>
      <c r="AO127" s="59">
        <f t="shared" si="90"/>
        <v>325.72635759450861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93.864214572705521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93.864214572705521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689</v>
      </c>
      <c r="BE127" s="13">
        <f>BD127*VLOOKUP('Données projet'!$B$11,Paramètres!$A$1:$I$89,3,0)*VLOOKUP('Données projet'!$B$11,Paramètres!$A$1:$I$89,5,0)</f>
        <v>412.02199999999999</v>
      </c>
      <c r="BF127" s="13">
        <f t="shared" si="91"/>
        <v>94.209724877926391</v>
      </c>
      <c r="BG127" s="20">
        <f t="shared" si="61"/>
        <v>881.686920829055</v>
      </c>
      <c r="BH127" s="59">
        <f t="shared" si="62"/>
        <v>1164.5539726122283</v>
      </c>
      <c r="BI127" s="59">
        <f ca="1">AVERAGE(OFFSET($BH$3,0,0,'Données projet'!$E$11+1,1))-AVERAGE(OFFSET($H$3,0,0,'Données projet'!$E$11+1,1))</f>
        <v>528.71639224940395</v>
      </c>
      <c r="BJ127" s="59">
        <f t="shared" si="92"/>
        <v>460.93390058676493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40.946624082706592</v>
      </c>
      <c r="BQ127" s="21">
        <f>EXP(-LN(2)/25)*BQ126+(1-EXP(-LN(2)/25))/(LN(2)/25)*Calculateur!BL127*Calculateur!BN127*VLOOKUP('Données projet'!$B$11,Paramètres!$A$1:$I$89,3,0)*0.475*44/12</f>
        <v>4.345996598359708</v>
      </c>
      <c r="BR127" s="21">
        <f>EXP(-LN(2)/2)*BR126+(1-EXP(-LN(2)/2))/(LN(2)/2)*BL127*BO127*VLOOKUP('Données projet'!$B$11,Paramètres!$A$1:$I$89,3,0)*0.475*44/12</f>
        <v>3.7207457570886993E-16</v>
      </c>
      <c r="BS127" s="22">
        <f t="shared" si="63"/>
        <v>45.292620681066296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267</v>
      </c>
      <c r="BZ127" s="13">
        <f>BY127*VLOOKUP('Données projet'!$B$12,Paramètres!$A$1:$I$89,3,0)*VLOOKUP('Données projet'!$B$12,Paramètres!$A$1:$I$89,5,0)</f>
        <v>241.58159999999998</v>
      </c>
      <c r="CA127" s="13">
        <f t="shared" si="93"/>
        <v>58.779689232021951</v>
      </c>
      <c r="CB127" s="20">
        <f t="shared" si="64"/>
        <v>523.12924541243819</v>
      </c>
      <c r="CC127" s="59">
        <f t="shared" si="65"/>
        <v>805.99629719561153</v>
      </c>
      <c r="CD127" s="59">
        <f ca="1">AVERAGE(OFFSET($CC$3,0,0,'Données projet'!$E$12+1,1))-AVERAGE(OFFSET($H$3,0,0,'Données projet'!$E$12+1,1))</f>
        <v>398.11190027805549</v>
      </c>
      <c r="CE127" s="59">
        <f t="shared" si="94"/>
        <v>250.47702091764884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63.246464686695582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63.246464686695582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8.3369999999999997</v>
      </c>
      <c r="CS127" s="12">
        <f t="array" ref="CS127">INDEX(CR:CR,MIN(IF(ISNUMBER(CR127:CR323),ROW(CR127:CR323),"")))</f>
        <v>8.3369999999999997</v>
      </c>
      <c r="CT127" s="12">
        <f>IF('Données projet'!$A$140&gt;35,CT126+CS127-DB126,IF(A127&lt;'Données projet'!$A$140,$CQ$205^A127,IF(A127='Données projet'!$A$140,'Données projet'!$B$140,CT126+CS127-DB126)))</f>
        <v>451.86000000000007</v>
      </c>
      <c r="CU127" s="17">
        <f>CT127*VLOOKUP('Données projet'!$B$13,Paramètres!$A$1:$I$89,3,0)*VLOOKUP('Données projet'!$B$13,Paramètres!$A$1:$I$89,5,0)</f>
        <v>429.98997600000007</v>
      </c>
      <c r="CV127" s="13">
        <f t="shared" si="95"/>
        <v>97.83085440521765</v>
      </c>
      <c r="CW127" s="20">
        <f t="shared" si="67"/>
        <v>919.28794628908747</v>
      </c>
      <c r="CX127" s="59">
        <f t="shared" si="68"/>
        <v>1202.1549980722607</v>
      </c>
      <c r="CY127" s="59">
        <f ca="1">AVERAGE(OFFSET($CX$3,0,0,'Données projet'!$E$13+1,1))-AVERAGE(OFFSET($H$3,0,0,'Données projet'!$E$13+1,1))</f>
        <v>697.21496579281836</v>
      </c>
      <c r="CZ127" s="59">
        <f t="shared" si="96"/>
        <v>215.64914236153456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0.43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119.12052483680684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119.12052483680684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319</v>
      </c>
      <c r="DP127" s="17">
        <f>DO127*VLOOKUP('Données projet'!$B$14,Paramètres!$A$1:$I$89,3,0)*VLOOKUP('Données projet'!$B$14,Paramètres!$A$1:$I$89,5,0)</f>
        <v>278.67840000000001</v>
      </c>
      <c r="DQ127" s="13">
        <f t="shared" si="97"/>
        <v>66.687639951856809</v>
      </c>
      <c r="DR127" s="20">
        <f t="shared" si="70"/>
        <v>601.51251958281728</v>
      </c>
      <c r="DS127" s="59">
        <f t="shared" si="71"/>
        <v>884.37957136599061</v>
      </c>
      <c r="DT127" s="59">
        <f ca="1">AVERAGE(OFFSET($DS$3,0,0,'Données projet'!$E$14+1,1))-AVERAGE(OFFSET($H$3,0,0,'Données projet'!$E$14+1,1))</f>
        <v>408.24135864450221</v>
      </c>
      <c r="DU127" s="59">
        <f t="shared" si="98"/>
        <v>394.10236303013903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24.424878226802516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24.424878226802516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853.00000000000011</v>
      </c>
      <c r="O128" s="13">
        <f>N128*VLOOKUP('Données projet'!$B$9,Paramètres!$A$1:$I$89,3,0)*VLOOKUP('Données projet'!$B$9,Paramètres!$A$1:$I$89,5,0)</f>
        <v>399.20400000000006</v>
      </c>
      <c r="P128" s="13">
        <f t="shared" si="87"/>
        <v>91.615269732888521</v>
      </c>
      <c r="Q128" s="20">
        <f t="shared" si="107"/>
        <v>854.8435614514475</v>
      </c>
      <c r="R128" s="59">
        <f t="shared" si="55"/>
        <v>1137.892179820416</v>
      </c>
      <c r="S128" s="59">
        <f ca="1">AVERAGE(OFFSET($R$3,0,0,'Données projet'!$E$9+1,1))-AVERAGE(OFFSET($H$3,0,0,'Données projet'!$E$9+1,1))</f>
        <v>512.58510468904342</v>
      </c>
      <c r="T128" s="59">
        <f t="shared" si="88"/>
        <v>443.6106696463529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56.846176232742515</v>
      </c>
      <c r="AA128" s="21">
        <f>EXP(-LN(2)/25)*AA127+(1-EXP(-LN(2)/25))/(LN(2)/25)*Calculateur!V128*Calculateur!X128*VLOOKUP('Données projet'!$B$9,Paramètres!$A$1:$I$89,3,0)*0.475*44/12</f>
        <v>3.5169786727039258</v>
      </c>
      <c r="AB128" s="21">
        <f>EXP(-LN(2)/2)*AB127+(1-EXP(-LN(2)/2))/(LN(2)/2)*V128*Y128*VLOOKUP('Données projet'!$B$9,Paramètres!$A$1:$I$89,3,0)*0.475*44/12</f>
        <v>4.0766431773319621E-15</v>
      </c>
      <c r="AC128" s="22">
        <f t="shared" si="57"/>
        <v>60.36315490544645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311.298</v>
      </c>
      <c r="AK128" s="13">
        <f t="shared" si="89"/>
        <v>73.539838278528748</v>
      </c>
      <c r="AL128" s="20">
        <f t="shared" si="58"/>
        <v>670.25923500177089</v>
      </c>
      <c r="AM128" s="59">
        <f t="shared" si="59"/>
        <v>953.30785337073939</v>
      </c>
      <c r="AN128" s="59">
        <f ca="1">AVERAGE(OFFSET($AM$3,0,0,'Données projet'!$E$10+1,1))-AVERAGE(OFFSET($H$3,0,0,'Données projet'!$E$10+1,1))</f>
        <v>520.95202773768222</v>
      </c>
      <c r="AO128" s="59">
        <f t="shared" si="90"/>
        <v>325.72635759450861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92.023594576452538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92.023594576452538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689</v>
      </c>
      <c r="BE128" s="13">
        <f>BD128*VLOOKUP('Données projet'!$B$11,Paramètres!$A$1:$I$89,3,0)*VLOOKUP('Données projet'!$B$11,Paramètres!$A$1:$I$89,5,0)</f>
        <v>412.02199999999999</v>
      </c>
      <c r="BF128" s="13">
        <f t="shared" si="91"/>
        <v>94.209724877926391</v>
      </c>
      <c r="BG128" s="20">
        <f t="shared" si="61"/>
        <v>881.686920829055</v>
      </c>
      <c r="BH128" s="59">
        <f t="shared" si="62"/>
        <v>1164.7355391980236</v>
      </c>
      <c r="BI128" s="59">
        <f ca="1">AVERAGE(OFFSET($BH$3,0,0,'Données projet'!$E$11+1,1))-AVERAGE(OFFSET($H$3,0,0,'Données projet'!$E$11+1,1))</f>
        <v>528.71639224940395</v>
      </c>
      <c r="BJ128" s="59">
        <f t="shared" si="92"/>
        <v>460.93390058676493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40.143685759419334</v>
      </c>
      <c r="BQ128" s="21">
        <f>EXP(-LN(2)/25)*BQ127+(1-EXP(-LN(2)/25))/(LN(2)/25)*Calculateur!BL128*Calculateur!BN128*VLOOKUP('Données projet'!$B$11,Paramètres!$A$1:$I$89,3,0)*0.475*44/12</f>
        <v>4.2271550928315333</v>
      </c>
      <c r="BR128" s="21">
        <f>EXP(-LN(2)/2)*BR127+(1-EXP(-LN(2)/2))/(LN(2)/2)*BL128*BO128*VLOOKUP('Données projet'!$B$11,Paramètres!$A$1:$I$89,3,0)*0.475*44/12</f>
        <v>2.630964555908494E-16</v>
      </c>
      <c r="BS128" s="22">
        <f t="shared" si="63"/>
        <v>44.370840852250865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267</v>
      </c>
      <c r="BZ128" s="13">
        <f>BY128*VLOOKUP('Données projet'!$B$12,Paramètres!$A$1:$I$89,3,0)*VLOOKUP('Données projet'!$B$12,Paramètres!$A$1:$I$89,5,0)</f>
        <v>241.58159999999998</v>
      </c>
      <c r="CA128" s="13">
        <f t="shared" si="93"/>
        <v>58.779689232021951</v>
      </c>
      <c r="CB128" s="20">
        <f t="shared" si="64"/>
        <v>523.12924541243819</v>
      </c>
      <c r="CC128" s="59">
        <f t="shared" si="65"/>
        <v>806.1778637814067</v>
      </c>
      <c r="CD128" s="59">
        <f ca="1">AVERAGE(OFFSET($CC$3,0,0,'Données projet'!$E$12+1,1))-AVERAGE(OFFSET($H$3,0,0,'Données projet'!$E$12+1,1))</f>
        <v>398.11190027805549</v>
      </c>
      <c r="CE128" s="59">
        <f t="shared" si="94"/>
        <v>250.47702091764884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62.006240090723821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62.006240090723821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8.4949999999999939</v>
      </c>
      <c r="CT128" s="12">
        <f>IF('Données projet'!$A$140&gt;35,CT127+CS128-DB127,IF(A128&lt;'Données projet'!$A$140,$CQ$205^A128,IF(A128='Données projet'!$A$140,'Données projet'!$B$140,CT127+CS128-DB127)))</f>
        <v>407.82500000000005</v>
      </c>
      <c r="CU128" s="17">
        <f>CT128*VLOOKUP('Données projet'!$B$13,Paramètres!$A$1:$I$89,3,0)*VLOOKUP('Données projet'!$B$13,Paramètres!$A$1:$I$89,5,0)</f>
        <v>388.08627000000007</v>
      </c>
      <c r="CV128" s="13">
        <f t="shared" si="95"/>
        <v>89.357105305889561</v>
      </c>
      <c r="CW128" s="20">
        <f t="shared" si="67"/>
        <v>831.5472119910911</v>
      </c>
      <c r="CX128" s="59">
        <f t="shared" si="68"/>
        <v>1114.5958303600596</v>
      </c>
      <c r="CY128" s="59">
        <f ca="1">AVERAGE(OFFSET($CX$3,0,0,'Données projet'!$E$13+1,1))-AVERAGE(OFFSET($H$3,0,0,'Données projet'!$E$13+1,1))</f>
        <v>697.21496579281836</v>
      </c>
      <c r="CZ128" s="59">
        <f t="shared" si="96"/>
        <v>215.64914236153456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116.78464400110299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116.78464400110299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319</v>
      </c>
      <c r="DP128" s="17">
        <f>DO128*VLOOKUP('Données projet'!$B$14,Paramètres!$A$1:$I$89,3,0)*VLOOKUP('Données projet'!$B$14,Paramètres!$A$1:$I$89,5,0)</f>
        <v>278.67840000000001</v>
      </c>
      <c r="DQ128" s="13">
        <f t="shared" si="97"/>
        <v>66.687639951856809</v>
      </c>
      <c r="DR128" s="20">
        <f t="shared" si="70"/>
        <v>601.51251958281728</v>
      </c>
      <c r="DS128" s="59">
        <f t="shared" si="71"/>
        <v>884.56113795178578</v>
      </c>
      <c r="DT128" s="59">
        <f ca="1">AVERAGE(OFFSET($DS$3,0,0,'Données projet'!$E$14+1,1))-AVERAGE(OFFSET($H$3,0,0,'Données projet'!$E$14+1,1))</f>
        <v>408.24135864450221</v>
      </c>
      <c r="DU128" s="59">
        <f t="shared" si="98"/>
        <v>394.10236303013903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23.945921262479612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23.945921262479612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853.00000000000011</v>
      </c>
      <c r="O129" s="13">
        <f>N129*VLOOKUP('Données projet'!$B$9,Paramètres!$A$1:$I$89,3,0)*VLOOKUP('Données projet'!$B$9,Paramètres!$A$1:$I$89,5,0)</f>
        <v>399.20400000000006</v>
      </c>
      <c r="P129" s="13">
        <f t="shared" si="87"/>
        <v>91.615269732888521</v>
      </c>
      <c r="Q129" s="20">
        <f t="shared" si="107"/>
        <v>854.8435614514475</v>
      </c>
      <c r="R129" s="59">
        <f t="shared" si="55"/>
        <v>1138.0705966318696</v>
      </c>
      <c r="S129" s="59">
        <f ca="1">AVERAGE(OFFSET($R$3,0,0,'Données projet'!$E$9+1,1))-AVERAGE(OFFSET($H$3,0,0,'Données projet'!$E$9+1,1))</f>
        <v>512.58510468904342</v>
      </c>
      <c r="T129" s="59">
        <f t="shared" si="88"/>
        <v>443.6106696463529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55.731457389562287</v>
      </c>
      <c r="AA129" s="21">
        <f>EXP(-LN(2)/25)*AA128+(1-EXP(-LN(2)/25))/(LN(2)/25)*Calculateur!V129*Calculateur!X129*VLOOKUP('Données projet'!$B$9,Paramètres!$A$1:$I$89,3,0)*0.475*44/12</f>
        <v>3.4208067059489666</v>
      </c>
      <c r="AB129" s="21">
        <f>EXP(-LN(2)/2)*AB128+(1-EXP(-LN(2)/2))/(LN(2)/2)*V129*Y129*VLOOKUP('Données projet'!$B$9,Paramètres!$A$1:$I$89,3,0)*0.475*44/12</f>
        <v>2.8826220351693037E-15</v>
      </c>
      <c r="AC129" s="22">
        <f t="shared" si="57"/>
        <v>59.152264095511256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311.298</v>
      </c>
      <c r="AK129" s="13">
        <f t="shared" si="89"/>
        <v>73.539838278528748</v>
      </c>
      <c r="AL129" s="20">
        <f t="shared" si="58"/>
        <v>670.25923500177089</v>
      </c>
      <c r="AM129" s="59">
        <f t="shared" si="59"/>
        <v>953.48627018219304</v>
      </c>
      <c r="AN129" s="59">
        <f ca="1">AVERAGE(OFFSET($AM$3,0,0,'Données projet'!$E$10+1,1))-AVERAGE(OFFSET($H$3,0,0,'Données projet'!$E$10+1,1))</f>
        <v>520.95202773768222</v>
      </c>
      <c r="AO129" s="59">
        <f t="shared" si="90"/>
        <v>325.72635759450861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90.219068015658735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90.219068015658735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689</v>
      </c>
      <c r="BE129" s="13">
        <f>BD129*VLOOKUP('Données projet'!$B$11,Paramètres!$A$1:$I$89,3,0)*VLOOKUP('Données projet'!$B$11,Paramètres!$A$1:$I$89,5,0)</f>
        <v>412.02199999999999</v>
      </c>
      <c r="BF129" s="13">
        <f t="shared" si="91"/>
        <v>94.209724877926391</v>
      </c>
      <c r="BG129" s="20">
        <f t="shared" si="61"/>
        <v>881.686920829055</v>
      </c>
      <c r="BH129" s="59">
        <f t="shared" si="62"/>
        <v>1164.9139560094773</v>
      </c>
      <c r="BI129" s="59">
        <f ca="1">AVERAGE(OFFSET($BH$3,0,0,'Données projet'!$E$11+1,1))-AVERAGE(OFFSET($H$3,0,0,'Données projet'!$E$11+1,1))</f>
        <v>528.71639224940395</v>
      </c>
      <c r="BJ129" s="59">
        <f t="shared" si="92"/>
        <v>460.93390058676493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39.356492566907718</v>
      </c>
      <c r="BQ129" s="21">
        <f>EXP(-LN(2)/25)*BQ128+(1-EXP(-LN(2)/25))/(LN(2)/25)*Calculateur!BL129*Calculateur!BN129*VLOOKUP('Données projet'!$B$11,Paramètres!$A$1:$I$89,3,0)*0.475*44/12</f>
        <v>4.1115633145216304</v>
      </c>
      <c r="BR129" s="21">
        <f>EXP(-LN(2)/2)*BR128+(1-EXP(-LN(2)/2))/(LN(2)/2)*BL129*BO129*VLOOKUP('Données projet'!$B$11,Paramètres!$A$1:$I$89,3,0)*0.475*44/12</f>
        <v>1.8603728785443497E-16</v>
      </c>
      <c r="BS129" s="22">
        <f t="shared" si="63"/>
        <v>43.468055881429351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267</v>
      </c>
      <c r="BZ129" s="13">
        <f>BY129*VLOOKUP('Données projet'!$B$12,Paramètres!$A$1:$I$89,3,0)*VLOOKUP('Données projet'!$B$12,Paramètres!$A$1:$I$89,5,0)</f>
        <v>241.58159999999998</v>
      </c>
      <c r="CA129" s="13">
        <f t="shared" si="93"/>
        <v>58.779689232021951</v>
      </c>
      <c r="CB129" s="20">
        <f t="shared" si="64"/>
        <v>523.12924541243819</v>
      </c>
      <c r="CC129" s="59">
        <f t="shared" si="65"/>
        <v>806.35628059286046</v>
      </c>
      <c r="CD129" s="59">
        <f ca="1">AVERAGE(OFFSET($CC$3,0,0,'Données projet'!$E$12+1,1))-AVERAGE(OFFSET($H$3,0,0,'Données projet'!$E$12+1,1))</f>
        <v>398.11190027805549</v>
      </c>
      <c r="CE129" s="59">
        <f t="shared" si="94"/>
        <v>250.47702091764884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60.790335542616759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60.790335542616759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8.4949999999999939</v>
      </c>
      <c r="CT129" s="12">
        <f>IF('Données projet'!$A$140&gt;35,CT128+CS129-DB128,IF(A129&lt;'Données projet'!$A$140,$CQ$205^A129,IF(A129='Données projet'!$A$140,'Données projet'!$B$140,CT128+CS129-DB128)))</f>
        <v>416.32000000000005</v>
      </c>
      <c r="CU129" s="17">
        <f>CT129*VLOOKUP('Données projet'!$B$13,Paramètres!$A$1:$I$89,3,0)*VLOOKUP('Données projet'!$B$13,Paramètres!$A$1:$I$89,5,0)</f>
        <v>396.17011200000002</v>
      </c>
      <c r="CV129" s="13">
        <f t="shared" si="95"/>
        <v>90.99977997888567</v>
      </c>
      <c r="CW129" s="20">
        <f t="shared" si="67"/>
        <v>848.48756186322589</v>
      </c>
      <c r="CX129" s="59">
        <f t="shared" si="68"/>
        <v>1131.7145970436482</v>
      </c>
      <c r="CY129" s="59">
        <f ca="1">AVERAGE(OFFSET($CX$3,0,0,'Données projet'!$E$13+1,1))-AVERAGE(OFFSET($H$3,0,0,'Données projet'!$E$13+1,1))</f>
        <v>697.21496579281836</v>
      </c>
      <c r="CZ129" s="59">
        <f t="shared" si="96"/>
        <v>215.64914236153456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114.49456836384067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114.49456836384067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319</v>
      </c>
      <c r="DP129" s="17">
        <f>DO129*VLOOKUP('Données projet'!$B$14,Paramètres!$A$1:$I$89,3,0)*VLOOKUP('Données projet'!$B$14,Paramètres!$A$1:$I$89,5,0)</f>
        <v>278.67840000000001</v>
      </c>
      <c r="DQ129" s="13">
        <f t="shared" si="97"/>
        <v>66.687639951856809</v>
      </c>
      <c r="DR129" s="20">
        <f t="shared" si="70"/>
        <v>601.51251958281728</v>
      </c>
      <c r="DS129" s="59">
        <f t="shared" si="71"/>
        <v>884.73955476323954</v>
      </c>
      <c r="DT129" s="59">
        <f ca="1">AVERAGE(OFFSET($DS$3,0,0,'Données projet'!$E$14+1,1))-AVERAGE(OFFSET($H$3,0,0,'Données projet'!$E$14+1,1))</f>
        <v>408.24135864450221</v>
      </c>
      <c r="DU129" s="59">
        <f t="shared" si="98"/>
        <v>394.10236303013903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23.476356352092175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23.476356352092175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853.00000000000011</v>
      </c>
      <c r="O130" s="13">
        <f>N130*VLOOKUP('Données projet'!$B$9,Paramètres!$A$1:$I$89,3,0)*VLOOKUP('Données projet'!$B$9,Paramètres!$A$1:$I$89,5,0)</f>
        <v>399.20400000000006</v>
      </c>
      <c r="P130" s="13">
        <f t="shared" si="87"/>
        <v>91.615269732888521</v>
      </c>
      <c r="Q130" s="20">
        <f t="shared" si="107"/>
        <v>854.8435614514475</v>
      </c>
      <c r="R130" s="59">
        <f t="shared" si="55"/>
        <v>1138.245918310525</v>
      </c>
      <c r="S130" s="59">
        <f ca="1">AVERAGE(OFFSET($R$3,0,0,'Données projet'!$E$9+1,1))-AVERAGE(OFFSET($H$3,0,0,'Données projet'!$E$9+1,1))</f>
        <v>512.58510468904342</v>
      </c>
      <c r="T130" s="59">
        <f t="shared" si="88"/>
        <v>443.6106696463529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54.638597502985462</v>
      </c>
      <c r="AA130" s="21">
        <f>EXP(-LN(2)/25)*AA129+(1-EXP(-LN(2)/25))/(LN(2)/25)*Calculateur!V130*Calculateur!X130*VLOOKUP('Données projet'!$B$9,Paramètres!$A$1:$I$89,3,0)*0.475*44/12</f>
        <v>3.3272645666823859</v>
      </c>
      <c r="AB130" s="21">
        <f>EXP(-LN(2)/2)*AB129+(1-EXP(-LN(2)/2))/(LN(2)/2)*V130*Y130*VLOOKUP('Données projet'!$B$9,Paramètres!$A$1:$I$89,3,0)*0.475*44/12</f>
        <v>2.0383215886659811E-15</v>
      </c>
      <c r="AC130" s="22">
        <f t="shared" si="57"/>
        <v>57.96586206966785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311.298</v>
      </c>
      <c r="AK130" s="13">
        <f t="shared" si="89"/>
        <v>73.539838278528748</v>
      </c>
      <c r="AL130" s="20">
        <f t="shared" si="58"/>
        <v>670.25923500177089</v>
      </c>
      <c r="AM130" s="59">
        <f t="shared" si="59"/>
        <v>953.66159186084838</v>
      </c>
      <c r="AN130" s="59">
        <f ca="1">AVERAGE(OFFSET($AM$3,0,0,'Données projet'!$E$10+1,1))-AVERAGE(OFFSET($H$3,0,0,'Données projet'!$E$10+1,1))</f>
        <v>520.95202773768222</v>
      </c>
      <c r="AO130" s="59">
        <f t="shared" si="90"/>
        <v>325.72635759450861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88.449927120069574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88.449927120069574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689</v>
      </c>
      <c r="BE130" s="13">
        <f>BD130*VLOOKUP('Données projet'!$B$11,Paramètres!$A$1:$I$89,3,0)*VLOOKUP('Données projet'!$B$11,Paramètres!$A$1:$I$89,5,0)</f>
        <v>412.02199999999999</v>
      </c>
      <c r="BF130" s="13">
        <f t="shared" si="91"/>
        <v>94.209724877926391</v>
      </c>
      <c r="BG130" s="20">
        <f t="shared" si="61"/>
        <v>881.686920829055</v>
      </c>
      <c r="BH130" s="59">
        <f t="shared" si="62"/>
        <v>1165.0892776881324</v>
      </c>
      <c r="BI130" s="59">
        <f ca="1">AVERAGE(OFFSET($BH$3,0,0,'Données projet'!$E$11+1,1))-AVERAGE(OFFSET($H$3,0,0,'Données projet'!$E$11+1,1))</f>
        <v>528.71639224940395</v>
      </c>
      <c r="BJ130" s="59">
        <f t="shared" si="92"/>
        <v>460.93390058676493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38.584735752760821</v>
      </c>
      <c r="BQ130" s="21">
        <f>EXP(-LN(2)/25)*BQ129+(1-EXP(-LN(2)/25))/(LN(2)/25)*Calculateur!BL130*Calculateur!BN130*VLOOKUP('Données projet'!$B$11,Paramètres!$A$1:$I$89,3,0)*0.475*44/12</f>
        <v>3.9991323994683188</v>
      </c>
      <c r="BR130" s="21">
        <f>EXP(-LN(2)/2)*BR129+(1-EXP(-LN(2)/2))/(LN(2)/2)*BL130*BO130*VLOOKUP('Données projet'!$B$11,Paramètres!$A$1:$I$89,3,0)*0.475*44/12</f>
        <v>1.315482277954247E-16</v>
      </c>
      <c r="BS130" s="22">
        <f t="shared" si="63"/>
        <v>42.583868152229137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267</v>
      </c>
      <c r="BZ130" s="13">
        <f>BY130*VLOOKUP('Données projet'!$B$12,Paramètres!$A$1:$I$89,3,0)*VLOOKUP('Données projet'!$B$12,Paramètres!$A$1:$I$89,5,0)</f>
        <v>241.58159999999998</v>
      </c>
      <c r="CA130" s="13">
        <f t="shared" si="93"/>
        <v>58.779689232021951</v>
      </c>
      <c r="CB130" s="20">
        <f t="shared" si="64"/>
        <v>523.12924541243819</v>
      </c>
      <c r="CC130" s="59">
        <f t="shared" si="65"/>
        <v>806.53160227151557</v>
      </c>
      <c r="CD130" s="59">
        <f ca="1">AVERAGE(OFFSET($CC$3,0,0,'Données projet'!$E$12+1,1))-AVERAGE(OFFSET($H$3,0,0,'Données projet'!$E$12+1,1))</f>
        <v>398.11190027805549</v>
      </c>
      <c r="CE130" s="59">
        <f t="shared" si="94"/>
        <v>250.47702091764884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59.598274141069531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59.598274141069531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8.4949999999999939</v>
      </c>
      <c r="CT130" s="12">
        <f>IF('Données projet'!$A$140&gt;35,CT129+CS130-DB129,IF(A130&lt;'Données projet'!$A$140,$CQ$205^A130,IF(A130='Données projet'!$A$140,'Données projet'!$B$140,CT129+CS130-DB129)))</f>
        <v>424.81500000000005</v>
      </c>
      <c r="CU130" s="17">
        <f>CT130*VLOOKUP('Données projet'!$B$13,Paramètres!$A$1:$I$89,3,0)*VLOOKUP('Données projet'!$B$13,Paramètres!$A$1:$I$89,5,0)</f>
        <v>404.25395400000002</v>
      </c>
      <c r="CV130" s="13">
        <f t="shared" si="95"/>
        <v>92.638557414542902</v>
      </c>
      <c r="CW130" s="20">
        <f t="shared" si="67"/>
        <v>865.42112404699549</v>
      </c>
      <c r="CX130" s="59">
        <f t="shared" si="68"/>
        <v>1148.823480906073</v>
      </c>
      <c r="CY130" s="59">
        <f ca="1">AVERAGE(OFFSET($CX$3,0,0,'Données projet'!$E$13+1,1))-AVERAGE(OFFSET($H$3,0,0,'Données projet'!$E$13+1,1))</f>
        <v>697.21496579281836</v>
      </c>
      <c r="CZ130" s="59">
        <f t="shared" si="96"/>
        <v>215.64914236153456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112.24939971301684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112.24939971301684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319</v>
      </c>
      <c r="DP130" s="17">
        <f>DO130*VLOOKUP('Données projet'!$B$14,Paramètres!$A$1:$I$89,3,0)*VLOOKUP('Données projet'!$B$14,Paramètres!$A$1:$I$89,5,0)</f>
        <v>278.67840000000001</v>
      </c>
      <c r="DQ130" s="13">
        <f t="shared" si="97"/>
        <v>66.687639951856809</v>
      </c>
      <c r="DR130" s="20">
        <f t="shared" si="70"/>
        <v>601.51251958281728</v>
      </c>
      <c r="DS130" s="59">
        <f t="shared" si="71"/>
        <v>884.91487644189465</v>
      </c>
      <c r="DT130" s="59">
        <f ca="1">AVERAGE(OFFSET($DS$3,0,0,'Données projet'!$E$14+1,1))-AVERAGE(OFFSET($H$3,0,0,'Données projet'!$E$14+1,1))</f>
        <v>408.24135864450221</v>
      </c>
      <c r="DU130" s="59">
        <f t="shared" si="98"/>
        <v>394.10236303013903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23.015999323191121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23.015999323191121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853.00000000000011</v>
      </c>
      <c r="O131" s="13">
        <f>N131*VLOOKUP('Données projet'!$B$9,Paramètres!$A$1:$I$89,3,0)*VLOOKUP('Données projet'!$B$9,Paramètres!$A$1:$I$89,5,0)</f>
        <v>399.20400000000006</v>
      </c>
      <c r="P131" s="13">
        <f t="shared" si="87"/>
        <v>91.615269732888521</v>
      </c>
      <c r="Q131" s="20">
        <f t="shared" ref="Q131:Q153" si="108">(O131+P131)*0.475*44/12</f>
        <v>854.8435614514475</v>
      </c>
      <c r="R131" s="59">
        <f t="shared" ref="R131:R194" si="109">Q131+(I131+J131)*44/12</f>
        <v>1138.4181985500161</v>
      </c>
      <c r="S131" s="59">
        <f ca="1">AVERAGE(OFFSET($R$3,0,0,'Données projet'!$E$9+1,1))-AVERAGE(OFFSET($H$3,0,0,'Données projet'!$E$9+1,1))</f>
        <v>512.58510468904342</v>
      </c>
      <c r="T131" s="59">
        <f t="shared" si="88"/>
        <v>443.6106696463529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53.567167932205699</v>
      </c>
      <c r="AA131" s="21">
        <f>EXP(-LN(2)/25)*AA130+(1-EXP(-LN(2)/25))/(LN(2)/25)*Calculateur!V131*Calculateur!X131*VLOOKUP('Données projet'!$B$9,Paramètres!$A$1:$I$89,3,0)*0.475*44/12</f>
        <v>3.2362803421332171</v>
      </c>
      <c r="AB131" s="21">
        <f>EXP(-LN(2)/2)*AB130+(1-EXP(-LN(2)/2))/(LN(2)/2)*V131*Y131*VLOOKUP('Données projet'!$B$9,Paramètres!$A$1:$I$89,3,0)*0.475*44/12</f>
        <v>1.4413110175846518E-15</v>
      </c>
      <c r="AC131" s="22">
        <f t="shared" si="57"/>
        <v>56.803448274338919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311.298</v>
      </c>
      <c r="AK131" s="13">
        <f t="shared" si="89"/>
        <v>73.539838278528748</v>
      </c>
      <c r="AL131" s="20">
        <f t="shared" si="58"/>
        <v>670.25923500177089</v>
      </c>
      <c r="AM131" s="59">
        <f t="shared" si="59"/>
        <v>953.83387210033948</v>
      </c>
      <c r="AN131" s="59">
        <f ca="1">AVERAGE(OFFSET($AM$3,0,0,'Données projet'!$E$10+1,1))-AVERAGE(OFFSET($H$3,0,0,'Données projet'!$E$10+1,1))</f>
        <v>520.95202773768222</v>
      </c>
      <c r="AO131" s="59">
        <f t="shared" si="90"/>
        <v>325.72635759450861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86.715477998373515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86.715477998373515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689</v>
      </c>
      <c r="BE131" s="13">
        <f>BD131*VLOOKUP('Données projet'!$B$11,Paramètres!$A$1:$I$89,3,0)*VLOOKUP('Données projet'!$B$11,Paramètres!$A$1:$I$89,5,0)</f>
        <v>412.02199999999999</v>
      </c>
      <c r="BF131" s="13">
        <f t="shared" si="91"/>
        <v>94.209724877926391</v>
      </c>
      <c r="BG131" s="20">
        <f t="shared" si="61"/>
        <v>881.686920829055</v>
      </c>
      <c r="BH131" s="59">
        <f t="shared" si="62"/>
        <v>1165.2615579276235</v>
      </c>
      <c r="BI131" s="59">
        <f ca="1">AVERAGE(OFFSET($BH$3,0,0,'Données projet'!$E$11+1,1))-AVERAGE(OFFSET($H$3,0,0,'Données projet'!$E$11+1,1))</f>
        <v>528.71639224940395</v>
      </c>
      <c r="BJ131" s="59">
        <f t="shared" si="92"/>
        <v>460.93390058676493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37.828112619014163</v>
      </c>
      <c r="BQ131" s="21">
        <f>EXP(-LN(2)/25)*BQ130+(1-EXP(-LN(2)/25))/(LN(2)/25)*Calculateur!BL131*Calculateur!BN131*VLOOKUP('Données projet'!$B$11,Paramètres!$A$1:$I$89,3,0)*0.475*44/12</f>
        <v>3.8897759136996251</v>
      </c>
      <c r="BR131" s="21">
        <f>EXP(-LN(2)/2)*BR130+(1-EXP(-LN(2)/2))/(LN(2)/2)*BL131*BO131*VLOOKUP('Données projet'!$B$11,Paramètres!$A$1:$I$89,3,0)*0.475*44/12</f>
        <v>9.3018643927217483E-17</v>
      </c>
      <c r="BS131" s="22">
        <f t="shared" si="63"/>
        <v>41.717888532713786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267</v>
      </c>
      <c r="BZ131" s="13">
        <f>BY131*VLOOKUP('Données projet'!$B$12,Paramètres!$A$1:$I$89,3,0)*VLOOKUP('Données projet'!$B$12,Paramètres!$A$1:$I$89,5,0)</f>
        <v>241.58159999999998</v>
      </c>
      <c r="CA131" s="13">
        <f t="shared" si="93"/>
        <v>58.779689232021951</v>
      </c>
      <c r="CB131" s="20">
        <f t="shared" si="64"/>
        <v>523.12924541243819</v>
      </c>
      <c r="CC131" s="59">
        <f t="shared" si="65"/>
        <v>806.70388251100667</v>
      </c>
      <c r="CD131" s="59">
        <f ca="1">AVERAGE(OFFSET($CC$3,0,0,'Données projet'!$E$12+1,1))-AVERAGE(OFFSET($H$3,0,0,'Données projet'!$E$12+1,1))</f>
        <v>398.11190027805549</v>
      </c>
      <c r="CE131" s="59">
        <f t="shared" si="94"/>
        <v>250.47702091764884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58.429588336520986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58.429588336520986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8.4949999999999939</v>
      </c>
      <c r="CT131" s="12">
        <f>IF('Données projet'!$A$140&gt;35,CT130+CS131-DB130,IF(A131&lt;'Données projet'!$A$140,$CQ$205^A131,IF(A131='Données projet'!$A$140,'Données projet'!$B$140,CT130+CS131-DB130)))</f>
        <v>433.31000000000006</v>
      </c>
      <c r="CU131" s="17">
        <f>CT131*VLOOKUP('Données projet'!$B$13,Paramètres!$A$1:$I$89,3,0)*VLOOKUP('Données projet'!$B$13,Paramètres!$A$1:$I$89,5,0)</f>
        <v>412.33779600000008</v>
      </c>
      <c r="CV131" s="13">
        <f t="shared" si="95"/>
        <v>94.273524527573883</v>
      </c>
      <c r="CW131" s="20">
        <f t="shared" si="67"/>
        <v>882.34804991885801</v>
      </c>
      <c r="CX131" s="59">
        <f t="shared" si="68"/>
        <v>1165.9226870174266</v>
      </c>
      <c r="CY131" s="59">
        <f ca="1">AVERAGE(OFFSET($CX$3,0,0,'Données projet'!$E$13+1,1))-AVERAGE(OFFSET($H$3,0,0,'Données projet'!$E$13+1,1))</f>
        <v>697.21496579281836</v>
      </c>
      <c r="CZ131" s="59">
        <f t="shared" si="96"/>
        <v>215.64914236153456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110.04825745001801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110.04825745001801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319</v>
      </c>
      <c r="DP131" s="17">
        <f>DO131*VLOOKUP('Données projet'!$B$14,Paramètres!$A$1:$I$89,3,0)*VLOOKUP('Données projet'!$B$14,Paramètres!$A$1:$I$89,5,0)</f>
        <v>278.67840000000001</v>
      </c>
      <c r="DQ131" s="13">
        <f t="shared" si="97"/>
        <v>66.687639951856809</v>
      </c>
      <c r="DR131" s="20">
        <f t="shared" si="70"/>
        <v>601.51251958281728</v>
      </c>
      <c r="DS131" s="59">
        <f t="shared" si="71"/>
        <v>885.08715668138575</v>
      </c>
      <c r="DT131" s="59">
        <f ca="1">AVERAGE(OFFSET($DS$3,0,0,'Données projet'!$E$14+1,1))-AVERAGE(OFFSET($H$3,0,0,'Données projet'!$E$14+1,1))</f>
        <v>408.24135864450221</v>
      </c>
      <c r="DU131" s="59">
        <f t="shared" si="98"/>
        <v>394.10236303013903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22.564669614836756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22.564669614836756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853.00000000000011</v>
      </c>
      <c r="O132" s="13">
        <f>N132*VLOOKUP('Données projet'!$B$9,Paramètres!$A$1:$I$89,3,0)*VLOOKUP('Données projet'!$B$9,Paramètres!$A$1:$I$89,5,0)</f>
        <v>399.20400000000006</v>
      </c>
      <c r="P132" s="13">
        <f t="shared" si="87"/>
        <v>91.615269732888521</v>
      </c>
      <c r="Q132" s="20">
        <f t="shared" si="108"/>
        <v>854.8435614514475</v>
      </c>
      <c r="R132" s="59">
        <f t="shared" si="109"/>
        <v>1138.5874901125128</v>
      </c>
      <c r="S132" s="59">
        <f ca="1">AVERAGE(OFFSET($R$3,0,0,'Données projet'!$E$9+1,1))-AVERAGE(OFFSET($H$3,0,0,'Données projet'!$E$9+1,1))</f>
        <v>512.58510468904342</v>
      </c>
      <c r="T132" s="59">
        <f t="shared" si="88"/>
        <v>443.6106696463529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52.516748441801418</v>
      </c>
      <c r="AA132" s="21">
        <f>EXP(-LN(2)/25)*AA131+(1-EXP(-LN(2)/25))/(LN(2)/25)*Calculateur!V132*Calculateur!X132*VLOOKUP('Données projet'!$B$9,Paramètres!$A$1:$I$89,3,0)*0.475*44/12</f>
        <v>3.1477840859889978</v>
      </c>
      <c r="AB132" s="21">
        <f>EXP(-LN(2)/2)*AB131+(1-EXP(-LN(2)/2))/(LN(2)/2)*V132*Y132*VLOOKUP('Données projet'!$B$9,Paramètres!$A$1:$I$89,3,0)*0.475*44/12</f>
        <v>1.0191607943329905E-15</v>
      </c>
      <c r="AC132" s="22">
        <f t="shared" ref="AC132:AC153" si="111">SUM(Z132:AB132)</f>
        <v>55.664532527790413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311.298</v>
      </c>
      <c r="AK132" s="13">
        <f t="shared" si="89"/>
        <v>73.539838278528748</v>
      </c>
      <c r="AL132" s="20">
        <f t="shared" ref="AL132:AL153" si="112">(AJ132+AK132)*0.475*44/12</f>
        <v>670.25923500177089</v>
      </c>
      <c r="AM132" s="59">
        <f t="shared" ref="AM132:AM195" si="113">AL132+(AD132+AE132)*44/12</f>
        <v>954.00316366283619</v>
      </c>
      <c r="AN132" s="59">
        <f ca="1">AVERAGE(OFFSET($AM$3,0,0,'Données projet'!$E$10+1,1))-AVERAGE(OFFSET($H$3,0,0,'Données projet'!$E$10+1,1))</f>
        <v>520.95202773768222</v>
      </c>
      <c r="AO132" s="59">
        <f t="shared" si="90"/>
        <v>325.72635759450861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85.015040366044417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85.015040366044417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689</v>
      </c>
      <c r="BE132" s="13">
        <f>BD132*VLOOKUP('Données projet'!$B$11,Paramètres!$A$1:$I$89,3,0)*VLOOKUP('Données projet'!$B$11,Paramètres!$A$1:$I$89,5,0)</f>
        <v>412.02199999999999</v>
      </c>
      <c r="BF132" s="13">
        <f t="shared" si="91"/>
        <v>94.209724877926391</v>
      </c>
      <c r="BG132" s="20">
        <f t="shared" ref="BG132:BG153" si="115">(BE132+BF132)*0.475*44/12</f>
        <v>881.686920829055</v>
      </c>
      <c r="BH132" s="59">
        <f t="shared" ref="BH132:BH195" si="116">BG132+(AY132+AZ132)*44/12</f>
        <v>1165.4308494901204</v>
      </c>
      <c r="BI132" s="59">
        <f ca="1">AVERAGE(OFFSET($BH$3,0,0,'Données projet'!$E$11+1,1))-AVERAGE(OFFSET($H$3,0,0,'Données projet'!$E$11+1,1))</f>
        <v>528.71639224940395</v>
      </c>
      <c r="BJ132" s="59">
        <f t="shared" si="92"/>
        <v>460.93390058676493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37.086326403425737</v>
      </c>
      <c r="BQ132" s="21">
        <f>EXP(-LN(2)/25)*BQ131+(1-EXP(-LN(2)/25))/(LN(2)/25)*Calculateur!BL132*Calculateur!BN132*VLOOKUP('Données projet'!$B$11,Paramètres!$A$1:$I$89,3,0)*0.475*44/12</f>
        <v>3.7834097867850836</v>
      </c>
      <c r="BR132" s="21">
        <f>EXP(-LN(2)/2)*BR131+(1-EXP(-LN(2)/2))/(LN(2)/2)*BL132*BO132*VLOOKUP('Données projet'!$B$11,Paramètres!$A$1:$I$89,3,0)*0.475*44/12</f>
        <v>6.5774113897712349E-17</v>
      </c>
      <c r="BS132" s="22">
        <f t="shared" ref="BS132:BS153" si="117">SUM(BP132:BR132)</f>
        <v>40.869736190210823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267</v>
      </c>
      <c r="BZ132" s="13">
        <f>BY132*VLOOKUP('Données projet'!$B$12,Paramètres!$A$1:$I$89,3,0)*VLOOKUP('Données projet'!$B$12,Paramètres!$A$1:$I$89,5,0)</f>
        <v>241.58159999999998</v>
      </c>
      <c r="CA132" s="13">
        <f t="shared" si="93"/>
        <v>58.779689232021951</v>
      </c>
      <c r="CB132" s="20">
        <f t="shared" ref="CB132:CB153" si="118">(BZ132+CA132)*0.475*44/12</f>
        <v>523.12924541243819</v>
      </c>
      <c r="CC132" s="59">
        <f t="shared" ref="CC132:CC195" si="119">CB132+(BT132+BU132)*44/12</f>
        <v>806.87317407350361</v>
      </c>
      <c r="CD132" s="59">
        <f ca="1">AVERAGE(OFFSET($CC$3,0,0,'Données projet'!$E$12+1,1))-AVERAGE(OFFSET($H$3,0,0,'Données projet'!$E$12+1,1))</f>
        <v>398.11190027805549</v>
      </c>
      <c r="CE132" s="59">
        <f t="shared" si="94"/>
        <v>250.47702091764884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57.28381974777168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57.28381974777168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8.4949999999999939</v>
      </c>
      <c r="CT132" s="12">
        <f>IF('Données projet'!$A$140&gt;35,CT131+CS132-DB131,IF(A132&lt;'Données projet'!$A$140,$CQ$205^A132,IF(A132='Données projet'!$A$140,'Données projet'!$B$140,CT131+CS132-DB131)))</f>
        <v>441.80500000000006</v>
      </c>
      <c r="CU132" s="17">
        <f>CT132*VLOOKUP('Données projet'!$B$13,Paramètres!$A$1:$I$89,3,0)*VLOOKUP('Données projet'!$B$13,Paramètres!$A$1:$I$89,5,0)</f>
        <v>420.42163800000003</v>
      </c>
      <c r="CV132" s="13">
        <f t="shared" si="95"/>
        <v>95.904764629861944</v>
      </c>
      <c r="CW132" s="20">
        <f t="shared" ref="CW132:CW153" si="121">(CU132+CV132)*0.475*44/12</f>
        <v>899.26848458034283</v>
      </c>
      <c r="CX132" s="59">
        <f t="shared" ref="CX132:CX195" si="122">CW132+(CO132+CP132)*44/12</f>
        <v>1183.0124132414082</v>
      </c>
      <c r="CY132" s="59">
        <f ca="1">AVERAGE(OFFSET($CX$3,0,0,'Données projet'!$E$13+1,1))-AVERAGE(OFFSET($H$3,0,0,'Données projet'!$E$13+1,1))</f>
        <v>697.21496579281836</v>
      </c>
      <c r="CZ132" s="59">
        <f t="shared" si="96"/>
        <v>215.64914236153456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107.89027824423238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107.89027824423238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319</v>
      </c>
      <c r="DP132" s="17">
        <f>DO132*VLOOKUP('Données projet'!$B$14,Paramètres!$A$1:$I$89,3,0)*VLOOKUP('Données projet'!$B$14,Paramètres!$A$1:$I$89,5,0)</f>
        <v>278.67840000000001</v>
      </c>
      <c r="DQ132" s="13">
        <f t="shared" si="97"/>
        <v>66.687639951856809</v>
      </c>
      <c r="DR132" s="20">
        <f t="shared" ref="DR132:DR153" si="124">(DP132+DQ132)*0.475*44/12</f>
        <v>601.51251958281728</v>
      </c>
      <c r="DS132" s="59">
        <f t="shared" ref="DS132:DS195" si="125">DR132+(DJ132+DK132)*44/12</f>
        <v>885.25644824388269</v>
      </c>
      <c r="DT132" s="59">
        <f ca="1">AVERAGE(OFFSET($DS$3,0,0,'Données projet'!$E$14+1,1))-AVERAGE(OFFSET($H$3,0,0,'Données projet'!$E$14+1,1))</f>
        <v>408.24135864450221</v>
      </c>
      <c r="DU132" s="59">
        <f t="shared" si="98"/>
        <v>394.10236303013903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22.12219020677928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22.12219020677928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853.00000000000011</v>
      </c>
      <c r="O133" s="13">
        <f>N133*VLOOKUP('Données projet'!$B$9,Paramètres!$A$1:$I$89,3,0)*VLOOKUP('Données projet'!$B$9,Paramètres!$A$1:$I$89,5,0)</f>
        <v>399.20400000000006</v>
      </c>
      <c r="P133" s="13">
        <f t="shared" ref="P133:P196" si="141">EXP(-1.0587+0.8836*LN(O133)+0.284)</f>
        <v>91.615269732888521</v>
      </c>
      <c r="Q133" s="20">
        <f t="shared" si="108"/>
        <v>854.8435614514475</v>
      </c>
      <c r="R133" s="59">
        <f t="shared" si="109"/>
        <v>1138.7538448448795</v>
      </c>
      <c r="S133" s="59">
        <f ca="1">AVERAGE(OFFSET($R$3,0,0,'Données projet'!$E$9+1,1))-AVERAGE(OFFSET($H$3,0,0,'Données projet'!$E$9+1,1))</f>
        <v>512.58510468904342</v>
      </c>
      <c r="T133" s="59">
        <f t="shared" ref="T133:T196" si="142">$T$3</f>
        <v>443.6106696463529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51.486927036911339</v>
      </c>
      <c r="AA133" s="21">
        <f>EXP(-LN(2)/25)*AA132+(1-EXP(-LN(2)/25))/(LN(2)/25)*Calculateur!V133*Calculateur!X133*VLOOKUP('Données projet'!$B$9,Paramètres!$A$1:$I$89,3,0)*0.475*44/12</f>
        <v>3.0617077646228581</v>
      </c>
      <c r="AB133" s="21">
        <f>EXP(-LN(2)/2)*AB132+(1-EXP(-LN(2)/2))/(LN(2)/2)*V133*Y133*VLOOKUP('Données projet'!$B$9,Paramètres!$A$1:$I$89,3,0)*0.475*44/12</f>
        <v>7.2065550879232592E-16</v>
      </c>
      <c r="AC133" s="22">
        <f t="shared" si="111"/>
        <v>54.548634801534199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311.298</v>
      </c>
      <c r="AK133" s="13">
        <f t="shared" ref="AK133:AK153" si="143">EXP(-1.0587+0.8836*LN(AJ133)+0.284)</f>
        <v>73.539838278528748</v>
      </c>
      <c r="AL133" s="20">
        <f t="shared" si="112"/>
        <v>670.25923500177089</v>
      </c>
      <c r="AM133" s="59">
        <f t="shared" si="113"/>
        <v>954.169518395203</v>
      </c>
      <c r="AN133" s="59">
        <f ca="1">AVERAGE(OFFSET($AM$3,0,0,'Données projet'!$E$10+1,1))-AVERAGE(OFFSET($H$3,0,0,'Données projet'!$E$10+1,1))</f>
        <v>520.95202773768222</v>
      </c>
      <c r="AO133" s="59">
        <f t="shared" ref="AO133:AO196" si="144">$AO$3</f>
        <v>325.72635759450861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83.347947278520749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83.347947278520749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689</v>
      </c>
      <c r="BE133" s="13">
        <f>BD133*VLOOKUP('Données projet'!$B$11,Paramètres!$A$1:$I$89,3,0)*VLOOKUP('Données projet'!$B$11,Paramètres!$A$1:$I$89,5,0)</f>
        <v>412.02199999999999</v>
      </c>
      <c r="BF133" s="13">
        <f t="shared" ref="BF133:BF153" si="145">EXP(-1.0587+0.8836*LN(BE133)+0.284)</f>
        <v>94.209724877926391</v>
      </c>
      <c r="BG133" s="20">
        <f t="shared" si="115"/>
        <v>881.686920829055</v>
      </c>
      <c r="BH133" s="59">
        <f t="shared" si="116"/>
        <v>1165.5972042224871</v>
      </c>
      <c r="BI133" s="59">
        <f ca="1">AVERAGE(OFFSET($BH$3,0,0,'Données projet'!$E$11+1,1))-AVERAGE(OFFSET($H$3,0,0,'Données projet'!$E$11+1,1))</f>
        <v>528.71639224940395</v>
      </c>
      <c r="BJ133" s="59">
        <f t="shared" ref="BJ133:BJ196" si="146">$BJ$3</f>
        <v>460.93390058676493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36.359086163080086</v>
      </c>
      <c r="BQ133" s="21">
        <f>EXP(-LN(2)/25)*BQ132+(1-EXP(-LN(2)/25))/(LN(2)/25)*Calculateur!BL133*Calculateur!BN133*VLOOKUP('Données projet'!$B$11,Paramètres!$A$1:$I$89,3,0)*0.475*44/12</f>
        <v>3.679952247204572</v>
      </c>
      <c r="BR133" s="21">
        <f>EXP(-LN(2)/2)*BR132+(1-EXP(-LN(2)/2))/(LN(2)/2)*BL133*BO133*VLOOKUP('Données projet'!$B$11,Paramètres!$A$1:$I$89,3,0)*0.475*44/12</f>
        <v>4.6509321963608741E-17</v>
      </c>
      <c r="BS133" s="22">
        <f t="shared" si="117"/>
        <v>40.039038410284661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267</v>
      </c>
      <c r="BZ133" s="13">
        <f>BY133*VLOOKUP('Données projet'!$B$12,Paramètres!$A$1:$I$89,3,0)*VLOOKUP('Données projet'!$B$12,Paramètres!$A$1:$I$89,5,0)</f>
        <v>241.58159999999998</v>
      </c>
      <c r="CA133" s="13">
        <f t="shared" ref="CA133:CA153" si="147">EXP(-1.0587+0.8836*LN(BZ133)+0.284)</f>
        <v>58.779689232021951</v>
      </c>
      <c r="CB133" s="20">
        <f t="shared" si="118"/>
        <v>523.12924541243819</v>
      </c>
      <c r="CC133" s="59">
        <f t="shared" si="119"/>
        <v>807.0395288058703</v>
      </c>
      <c r="CD133" s="59">
        <f ca="1">AVERAGE(OFFSET($CC$3,0,0,'Données projet'!$E$12+1,1))-AVERAGE(OFFSET($H$3,0,0,'Données projet'!$E$12+1,1))</f>
        <v>398.11190027805549</v>
      </c>
      <c r="CE133" s="59">
        <f t="shared" ref="CE133:CE196" si="148">$CE$3</f>
        <v>250.47702091764884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56.160518982197914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56.160518982197914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8.4949999999999939</v>
      </c>
      <c r="CT133" s="12">
        <f>IF('Données projet'!$A$140&gt;35,CT132+CS133-DB132,IF(A133&lt;'Données projet'!$A$140,$CQ$205^A133,IF(A133='Données projet'!$A$140,'Données projet'!$B$140,CT132+CS133-DB132)))</f>
        <v>450.30000000000007</v>
      </c>
      <c r="CU133" s="17">
        <f>CT133*VLOOKUP('Données projet'!$B$13,Paramètres!$A$1:$I$89,3,0)*VLOOKUP('Données projet'!$B$13,Paramètres!$A$1:$I$89,5,0)</f>
        <v>428.50548000000009</v>
      </c>
      <c r="CV133" s="13">
        <f t="shared" ref="CV133:CV153" si="149">EXP(-1.0587+0.8836*LN(CU133)+0.284)</f>
        <v>97.532357646161373</v>
      </c>
      <c r="CW133" s="20">
        <f t="shared" si="121"/>
        <v>916.18256723373122</v>
      </c>
      <c r="CX133" s="59">
        <f t="shared" si="122"/>
        <v>1200.0928506271634</v>
      </c>
      <c r="CY133" s="59">
        <f ca="1">AVERAGE(OFFSET($CX$3,0,0,'Données projet'!$E$13+1,1))-AVERAGE(OFFSET($H$3,0,0,'Données projet'!$E$13+1,1))</f>
        <v>697.21496579281836</v>
      </c>
      <c r="CZ133" s="59">
        <f t="shared" ref="CZ133:CZ196" si="150">$CZ$3</f>
        <v>215.64914236153456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105.77461569443484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105.77461569443484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319</v>
      </c>
      <c r="DP133" s="17">
        <f>DO133*VLOOKUP('Données projet'!$B$14,Paramètres!$A$1:$I$89,3,0)*VLOOKUP('Données projet'!$B$14,Paramètres!$A$1:$I$89,5,0)</f>
        <v>278.67840000000001</v>
      </c>
      <c r="DQ133" s="13">
        <f t="shared" ref="DQ133:DQ153" si="151">EXP(-1.0587+0.8836*LN(DP133)+0.284)</f>
        <v>66.687639951856809</v>
      </c>
      <c r="DR133" s="20">
        <f t="shared" si="124"/>
        <v>601.51251958281728</v>
      </c>
      <c r="DS133" s="59">
        <f t="shared" si="125"/>
        <v>885.42280297624939</v>
      </c>
      <c r="DT133" s="59">
        <f ca="1">AVERAGE(OFFSET($DS$3,0,0,'Données projet'!$E$14+1,1))-AVERAGE(OFFSET($H$3,0,0,'Données projet'!$E$14+1,1))</f>
        <v>408.24135864450221</v>
      </c>
      <c r="DU133" s="59">
        <f t="shared" ref="DU133:DU196" si="152">$DU$3</f>
        <v>394.10236303013903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21.688387550028022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21.688387550028022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853.00000000000011</v>
      </c>
      <c r="O134" s="13">
        <f>N134*VLOOKUP('Données projet'!$B$9,Paramètres!$A$1:$I$89,3,0)*VLOOKUP('Données projet'!$B$9,Paramètres!$A$1:$I$89,5,0)</f>
        <v>399.20400000000006</v>
      </c>
      <c r="P134" s="13">
        <f t="shared" si="141"/>
        <v>91.615269732888521</v>
      </c>
      <c r="Q134" s="20">
        <f t="shared" si="108"/>
        <v>854.8435614514475</v>
      </c>
      <c r="R134" s="59">
        <f t="shared" si="109"/>
        <v>1138.9173136945533</v>
      </c>
      <c r="S134" s="59">
        <f ca="1">AVERAGE(OFFSET($R$3,0,0,'Données projet'!$E$9+1,1))-AVERAGE(OFFSET($H$3,0,0,'Données projet'!$E$9+1,1))</f>
        <v>512.58510468904342</v>
      </c>
      <c r="T134" s="59">
        <f t="shared" si="142"/>
        <v>443.6106696463529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50.477299801642118</v>
      </c>
      <c r="AA134" s="21">
        <f>EXP(-LN(2)/25)*AA133+(1-EXP(-LN(2)/25))/(LN(2)/25)*Calculateur!V134*Calculateur!X134*VLOOKUP('Données projet'!$B$9,Paramètres!$A$1:$I$89,3,0)*0.475*44/12</f>
        <v>2.9779852047910325</v>
      </c>
      <c r="AB134" s="21">
        <f>EXP(-LN(2)/2)*AB133+(1-EXP(-LN(2)/2))/(LN(2)/2)*V134*Y134*VLOOKUP('Données projet'!$B$9,Paramètres!$A$1:$I$89,3,0)*0.475*44/12</f>
        <v>5.0958039716649526E-16</v>
      </c>
      <c r="AC134" s="22">
        <f t="shared" si="111"/>
        <v>53.455285006433151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311.298</v>
      </c>
      <c r="AK134" s="13">
        <f t="shared" si="143"/>
        <v>73.539838278528748</v>
      </c>
      <c r="AL134" s="20">
        <f t="shared" si="112"/>
        <v>670.25923500177089</v>
      </c>
      <c r="AM134" s="59">
        <f t="shared" si="113"/>
        <v>954.33298724487668</v>
      </c>
      <c r="AN134" s="59">
        <f ca="1">AVERAGE(OFFSET($AM$3,0,0,'Données projet'!$E$10+1,1))-AVERAGE(OFFSET($H$3,0,0,'Données projet'!$E$10+1,1))</f>
        <v>520.95202773768222</v>
      </c>
      <c r="AO134" s="59">
        <f t="shared" si="144"/>
        <v>325.72635759450861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81.713544869617039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81.713544869617039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689</v>
      </c>
      <c r="BE134" s="13">
        <f>BD134*VLOOKUP('Données projet'!$B$11,Paramètres!$A$1:$I$89,3,0)*VLOOKUP('Données projet'!$B$11,Paramètres!$A$1:$I$89,5,0)</f>
        <v>412.02199999999999</v>
      </c>
      <c r="BF134" s="13">
        <f t="shared" si="145"/>
        <v>94.209724877926391</v>
      </c>
      <c r="BG134" s="20">
        <f t="shared" si="115"/>
        <v>881.686920829055</v>
      </c>
      <c r="BH134" s="59">
        <f t="shared" si="116"/>
        <v>1165.7606730721607</v>
      </c>
      <c r="BI134" s="59">
        <f ca="1">AVERAGE(OFFSET($BH$3,0,0,'Données projet'!$E$11+1,1))-AVERAGE(OFFSET($H$3,0,0,'Données projet'!$E$11+1,1))</f>
        <v>528.71639224940395</v>
      </c>
      <c r="BJ134" s="59">
        <f t="shared" si="146"/>
        <v>460.93390058676493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35.64610666027486</v>
      </c>
      <c r="BQ134" s="21">
        <f>EXP(-LN(2)/25)*BQ133+(1-EXP(-LN(2)/25))/(LN(2)/25)*Calculateur!BL134*Calculateur!BN134*VLOOKUP('Données projet'!$B$11,Paramètres!$A$1:$I$89,3,0)*0.475*44/12</f>
        <v>3.5793237594844851</v>
      </c>
      <c r="BR134" s="21">
        <f>EXP(-LN(2)/2)*BR133+(1-EXP(-LN(2)/2))/(LN(2)/2)*BL134*BO134*VLOOKUP('Données projet'!$B$11,Paramètres!$A$1:$I$89,3,0)*0.475*44/12</f>
        <v>3.2887056948856174E-17</v>
      </c>
      <c r="BS134" s="22">
        <f t="shared" si="117"/>
        <v>39.225430419759348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267</v>
      </c>
      <c r="BZ134" s="13">
        <f>BY134*VLOOKUP('Données projet'!$B$12,Paramètres!$A$1:$I$89,3,0)*VLOOKUP('Données projet'!$B$12,Paramètres!$A$1:$I$89,5,0)</f>
        <v>241.58159999999998</v>
      </c>
      <c r="CA134" s="13">
        <f t="shared" si="147"/>
        <v>58.779689232021951</v>
      </c>
      <c r="CB134" s="20">
        <f t="shared" si="118"/>
        <v>523.12924541243819</v>
      </c>
      <c r="CC134" s="59">
        <f t="shared" si="119"/>
        <v>807.20299765554387</v>
      </c>
      <c r="CD134" s="59">
        <f ca="1">AVERAGE(OFFSET($CC$3,0,0,'Données projet'!$E$12+1,1))-AVERAGE(OFFSET($H$3,0,0,'Données projet'!$E$12+1,1))</f>
        <v>398.11190027805549</v>
      </c>
      <c r="CE134" s="59">
        <f t="shared" si="148"/>
        <v>250.47702091764884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55.059245459491237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55.059245459491237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8.4949999999999939</v>
      </c>
      <c r="CT134" s="12">
        <f>IF('Données projet'!$A$140&gt;35,CT133+CS134-DB133,IF(A134&lt;'Données projet'!$A$140,$CQ$205^A134,IF(A134='Données projet'!$A$140,'Données projet'!$B$140,CT133+CS134-DB133)))</f>
        <v>458.79500000000007</v>
      </c>
      <c r="CU134" s="17">
        <f>CT134*VLOOKUP('Données projet'!$B$13,Paramètres!$A$1:$I$89,3,0)*VLOOKUP('Données projet'!$B$13,Paramètres!$A$1:$I$89,5,0)</f>
        <v>436.58932200000004</v>
      </c>
      <c r="CV134" s="13">
        <f t="shared" si="149"/>
        <v>99.156380313060154</v>
      </c>
      <c r="CW134" s="20">
        <f t="shared" si="121"/>
        <v>933.09043152857976</v>
      </c>
      <c r="CX134" s="59">
        <f t="shared" si="122"/>
        <v>1217.1641837716854</v>
      </c>
      <c r="CY134" s="59">
        <f ca="1">AVERAGE(OFFSET($CX$3,0,0,'Données projet'!$E$13+1,1))-AVERAGE(OFFSET($H$3,0,0,'Données projet'!$E$13+1,1))</f>
        <v>697.21496579281836</v>
      </c>
      <c r="CZ134" s="59">
        <f t="shared" si="150"/>
        <v>215.64914236153456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103.70043999681211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103.70043999681211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319</v>
      </c>
      <c r="DP134" s="17">
        <f>DO134*VLOOKUP('Données projet'!$B$14,Paramètres!$A$1:$I$89,3,0)*VLOOKUP('Données projet'!$B$14,Paramètres!$A$1:$I$89,5,0)</f>
        <v>278.67840000000001</v>
      </c>
      <c r="DQ134" s="13">
        <f t="shared" si="151"/>
        <v>66.687639951856809</v>
      </c>
      <c r="DR134" s="20">
        <f t="shared" si="124"/>
        <v>601.51251958281728</v>
      </c>
      <c r="DS134" s="59">
        <f t="shared" si="125"/>
        <v>885.58627182592295</v>
      </c>
      <c r="DT134" s="59">
        <f ca="1">AVERAGE(OFFSET($DS$3,0,0,'Données projet'!$E$14+1,1))-AVERAGE(OFFSET($H$3,0,0,'Données projet'!$E$14+1,1))</f>
        <v>408.24135864450221</v>
      </c>
      <c r="DU134" s="59">
        <f t="shared" si="152"/>
        <v>394.10236303013903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21.26309149878216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21.26309149878216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853.00000000000011</v>
      </c>
      <c r="O135" s="13">
        <f>N135*VLOOKUP('Données projet'!$B$9,Paramètres!$A$1:$I$89,3,0)*VLOOKUP('Données projet'!$B$9,Paramètres!$A$1:$I$89,5,0)</f>
        <v>399.20400000000006</v>
      </c>
      <c r="P135" s="13">
        <f t="shared" si="141"/>
        <v>91.615269732888521</v>
      </c>
      <c r="Q135" s="20">
        <f t="shared" si="108"/>
        <v>854.8435614514475</v>
      </c>
      <c r="R135" s="59">
        <f t="shared" si="109"/>
        <v>1139.0779467251466</v>
      </c>
      <c r="S135" s="59">
        <f ca="1">AVERAGE(OFFSET($R$3,0,0,'Données projet'!$E$9+1,1))-AVERAGE(OFFSET($H$3,0,0,'Données projet'!$E$9+1,1))</f>
        <v>512.58510468904342</v>
      </c>
      <c r="T135" s="59">
        <f t="shared" si="142"/>
        <v>443.6106696463529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49.487470740644724</v>
      </c>
      <c r="AA135" s="21">
        <f>EXP(-LN(2)/25)*AA134+(1-EXP(-LN(2)/25))/(LN(2)/25)*Calculateur!V135*Calculateur!X135*VLOOKUP('Données projet'!$B$9,Paramètres!$A$1:$I$89,3,0)*0.475*44/12</f>
        <v>2.896552042760586</v>
      </c>
      <c r="AB135" s="21">
        <f>EXP(-LN(2)/2)*AB134+(1-EXP(-LN(2)/2))/(LN(2)/2)*V135*Y135*VLOOKUP('Données projet'!$B$9,Paramètres!$A$1:$I$89,3,0)*0.475*44/12</f>
        <v>3.6032775439616296E-16</v>
      </c>
      <c r="AC135" s="22">
        <f t="shared" si="111"/>
        <v>52.384022783405314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311.298</v>
      </c>
      <c r="AK135" s="13">
        <f t="shared" si="143"/>
        <v>73.539838278528748</v>
      </c>
      <c r="AL135" s="20">
        <f t="shared" si="112"/>
        <v>670.25923500177089</v>
      </c>
      <c r="AM135" s="59">
        <f t="shared" si="113"/>
        <v>954.49362027546999</v>
      </c>
      <c r="AN135" s="59">
        <f ca="1">AVERAGE(OFFSET($AM$3,0,0,'Données projet'!$E$10+1,1))-AVERAGE(OFFSET($H$3,0,0,'Données projet'!$E$10+1,1))</f>
        <v>520.95202773768222</v>
      </c>
      <c r="AO135" s="59">
        <f t="shared" si="144"/>
        <v>325.72635759450861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80.111192095064894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80.111192095064894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689</v>
      </c>
      <c r="BE135" s="13">
        <f>BD135*VLOOKUP('Données projet'!$B$11,Paramètres!$A$1:$I$89,3,0)*VLOOKUP('Données projet'!$B$11,Paramètres!$A$1:$I$89,5,0)</f>
        <v>412.02199999999999</v>
      </c>
      <c r="BF135" s="13">
        <f t="shared" si="145"/>
        <v>94.209724877926391</v>
      </c>
      <c r="BG135" s="20">
        <f t="shared" si="115"/>
        <v>881.686920829055</v>
      </c>
      <c r="BH135" s="59">
        <f t="shared" si="116"/>
        <v>1165.9213061027542</v>
      </c>
      <c r="BI135" s="59">
        <f ca="1">AVERAGE(OFFSET($BH$3,0,0,'Données projet'!$E$11+1,1))-AVERAGE(OFFSET($H$3,0,0,'Données projet'!$E$11+1,1))</f>
        <v>528.71639224940395</v>
      </c>
      <c r="BJ135" s="59">
        <f t="shared" si="146"/>
        <v>460.93390058676493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34.947108250645094</v>
      </c>
      <c r="BQ135" s="21">
        <f>EXP(-LN(2)/25)*BQ134+(1-EXP(-LN(2)/25))/(LN(2)/25)*Calculateur!BL135*Calculateur!BN135*VLOOKUP('Données projet'!$B$11,Paramètres!$A$1:$I$89,3,0)*0.475*44/12</f>
        <v>3.4814469630529259</v>
      </c>
      <c r="BR135" s="21">
        <f>EXP(-LN(2)/2)*BR134+(1-EXP(-LN(2)/2))/(LN(2)/2)*BL135*BO135*VLOOKUP('Données projet'!$B$11,Paramètres!$A$1:$I$89,3,0)*0.475*44/12</f>
        <v>2.3254660981804371E-17</v>
      </c>
      <c r="BS135" s="22">
        <f t="shared" si="117"/>
        <v>38.428555213698019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267</v>
      </c>
      <c r="BZ135" s="13">
        <f>BY135*VLOOKUP('Données projet'!$B$12,Paramètres!$A$1:$I$89,3,0)*VLOOKUP('Données projet'!$B$12,Paramètres!$A$1:$I$89,5,0)</f>
        <v>241.58159999999998</v>
      </c>
      <c r="CA135" s="13">
        <f t="shared" si="147"/>
        <v>58.779689232021951</v>
      </c>
      <c r="CB135" s="20">
        <f t="shared" si="118"/>
        <v>523.12924541243819</v>
      </c>
      <c r="CC135" s="59">
        <f t="shared" si="119"/>
        <v>807.36363068613741</v>
      </c>
      <c r="CD135" s="59">
        <f ca="1">AVERAGE(OFFSET($CC$3,0,0,'Données projet'!$E$12+1,1))-AVERAGE(OFFSET($H$3,0,0,'Données projet'!$E$12+1,1))</f>
        <v>398.11190027805549</v>
      </c>
      <c r="CE135" s="59">
        <f t="shared" si="148"/>
        <v>250.47702091764884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53.979567238854315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53.979567238854315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8.4949999999999939</v>
      </c>
      <c r="CT135" s="12">
        <f>IF('Données projet'!$A$140&gt;35,CT134+CS135-DB134,IF(A135&lt;'Données projet'!$A$140,$CQ$205^A135,IF(A135='Données projet'!$A$140,'Données projet'!$B$140,CT134+CS135-DB134)))</f>
        <v>467.29000000000008</v>
      </c>
      <c r="CU135" s="17">
        <f>CT135*VLOOKUP('Données projet'!$B$13,Paramètres!$A$1:$I$89,3,0)*VLOOKUP('Données projet'!$B$13,Paramètres!$A$1:$I$89,5,0)</f>
        <v>444.6731640000001</v>
      </c>
      <c r="CV135" s="13">
        <f t="shared" si="149"/>
        <v>100.77690636279087</v>
      </c>
      <c r="CW135" s="20">
        <f t="shared" si="121"/>
        <v>949.99220588186074</v>
      </c>
      <c r="CX135" s="59">
        <f t="shared" si="122"/>
        <v>1234.2265911555598</v>
      </c>
      <c r="CY135" s="59">
        <f ca="1">AVERAGE(OFFSET($CX$3,0,0,'Données projet'!$E$13+1,1))-AVERAGE(OFFSET($H$3,0,0,'Données projet'!$E$13+1,1))</f>
        <v>697.21496579281836</v>
      </c>
      <c r="CZ135" s="59">
        <f t="shared" si="150"/>
        <v>215.64914236153456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101.6669376194975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101.6669376194975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319</v>
      </c>
      <c r="DP135" s="17">
        <f>DO135*VLOOKUP('Données projet'!$B$14,Paramètres!$A$1:$I$89,3,0)*VLOOKUP('Données projet'!$B$14,Paramètres!$A$1:$I$89,5,0)</f>
        <v>278.67840000000001</v>
      </c>
      <c r="DQ135" s="13">
        <f t="shared" si="151"/>
        <v>66.687639951856809</v>
      </c>
      <c r="DR135" s="20">
        <f t="shared" si="124"/>
        <v>601.51251958281728</v>
      </c>
      <c r="DS135" s="59">
        <f t="shared" si="125"/>
        <v>885.74690485651649</v>
      </c>
      <c r="DT135" s="59">
        <f ca="1">AVERAGE(OFFSET($DS$3,0,0,'Données projet'!$E$14+1,1))-AVERAGE(OFFSET($H$3,0,0,'Données projet'!$E$14+1,1))</f>
        <v>408.24135864450221</v>
      </c>
      <c r="DU135" s="59">
        <f t="shared" si="152"/>
        <v>394.10236303013903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20.846135243696253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20.846135243696253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853.00000000000011</v>
      </c>
      <c r="O136" s="13">
        <f>N136*VLOOKUP('Données projet'!$B$9,Paramètres!$A$1:$I$89,3,0)*VLOOKUP('Données projet'!$B$9,Paramètres!$A$1:$I$89,5,0)</f>
        <v>399.20400000000006</v>
      </c>
      <c r="P136" s="13">
        <f t="shared" si="141"/>
        <v>91.615269732888521</v>
      </c>
      <c r="Q136" s="20">
        <f t="shared" si="108"/>
        <v>854.8435614514475</v>
      </c>
      <c r="R136" s="59">
        <f t="shared" si="109"/>
        <v>1139.2357931317808</v>
      </c>
      <c r="S136" s="59">
        <f ca="1">AVERAGE(OFFSET($R$3,0,0,'Données projet'!$E$9+1,1))-AVERAGE(OFFSET($H$3,0,0,'Données projet'!$E$9+1,1))</f>
        <v>512.58510468904342</v>
      </c>
      <c r="T136" s="59">
        <f t="shared" si="142"/>
        <v>443.6106696463529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48.517051623797371</v>
      </c>
      <c r="AA136" s="21">
        <f>EXP(-LN(2)/25)*AA135+(1-EXP(-LN(2)/25))/(LN(2)/25)*Calculateur!V136*Calculateur!X136*VLOOKUP('Données projet'!$B$9,Paramètres!$A$1:$I$89,3,0)*0.475*44/12</f>
        <v>2.8173456748282462</v>
      </c>
      <c r="AB136" s="21">
        <f>EXP(-LN(2)/2)*AB135+(1-EXP(-LN(2)/2))/(LN(2)/2)*V136*Y136*VLOOKUP('Données projet'!$B$9,Paramètres!$A$1:$I$89,3,0)*0.475*44/12</f>
        <v>2.5479019858324763E-16</v>
      </c>
      <c r="AC136" s="22">
        <f t="shared" si="111"/>
        <v>51.334397298625618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311.298</v>
      </c>
      <c r="AK136" s="13">
        <f t="shared" si="143"/>
        <v>73.539838278528748</v>
      </c>
      <c r="AL136" s="20">
        <f t="shared" si="112"/>
        <v>670.25923500177089</v>
      </c>
      <c r="AM136" s="59">
        <f t="shared" si="113"/>
        <v>954.65146668210423</v>
      </c>
      <c r="AN136" s="59">
        <f ca="1">AVERAGE(OFFSET($AM$3,0,0,'Données projet'!$E$10+1,1))-AVERAGE(OFFSET($H$3,0,0,'Données projet'!$E$10+1,1))</f>
        <v>520.95202773768222</v>
      </c>
      <c r="AO136" s="59">
        <f t="shared" si="144"/>
        <v>325.72635759450861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78.540260481083024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78.540260481083024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689</v>
      </c>
      <c r="BE136" s="13">
        <f>BD136*VLOOKUP('Données projet'!$B$11,Paramètres!$A$1:$I$89,3,0)*VLOOKUP('Données projet'!$B$11,Paramètres!$A$1:$I$89,5,0)</f>
        <v>412.02199999999999</v>
      </c>
      <c r="BF136" s="13">
        <f t="shared" si="145"/>
        <v>94.209724877926391</v>
      </c>
      <c r="BG136" s="20">
        <f t="shared" si="115"/>
        <v>881.686920829055</v>
      </c>
      <c r="BH136" s="59">
        <f t="shared" si="116"/>
        <v>1166.0791525093885</v>
      </c>
      <c r="BI136" s="59">
        <f ca="1">AVERAGE(OFFSET($BH$3,0,0,'Données projet'!$E$11+1,1))-AVERAGE(OFFSET($H$3,0,0,'Données projet'!$E$11+1,1))</f>
        <v>528.71639224940395</v>
      </c>
      <c r="BJ136" s="59">
        <f t="shared" si="146"/>
        <v>460.93390058676493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34.261816773481236</v>
      </c>
      <c r="BQ136" s="21">
        <f>EXP(-LN(2)/25)*BQ135+(1-EXP(-LN(2)/25))/(LN(2)/25)*Calculateur!BL136*Calculateur!BN136*VLOOKUP('Données projet'!$B$11,Paramètres!$A$1:$I$89,3,0)*0.475*44/12</f>
        <v>3.3862466127669046</v>
      </c>
      <c r="BR136" s="21">
        <f>EXP(-LN(2)/2)*BR135+(1-EXP(-LN(2)/2))/(LN(2)/2)*BL136*BO136*VLOOKUP('Données projet'!$B$11,Paramètres!$A$1:$I$89,3,0)*0.475*44/12</f>
        <v>1.6443528474428087E-17</v>
      </c>
      <c r="BS136" s="22">
        <f t="shared" si="117"/>
        <v>37.64806338624814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267</v>
      </c>
      <c r="BZ136" s="13">
        <f>BY136*VLOOKUP('Données projet'!$B$12,Paramètres!$A$1:$I$89,3,0)*VLOOKUP('Données projet'!$B$12,Paramètres!$A$1:$I$89,5,0)</f>
        <v>241.58159999999998</v>
      </c>
      <c r="CA136" s="13">
        <f t="shared" si="147"/>
        <v>58.779689232021951</v>
      </c>
      <c r="CB136" s="20">
        <f t="shared" si="118"/>
        <v>523.12924541243819</v>
      </c>
      <c r="CC136" s="59">
        <f t="shared" si="119"/>
        <v>807.52147709277165</v>
      </c>
      <c r="CD136" s="59">
        <f ca="1">AVERAGE(OFFSET($CC$3,0,0,'Données projet'!$E$12+1,1))-AVERAGE(OFFSET($H$3,0,0,'Données projet'!$E$12+1,1))</f>
        <v>398.11190027805549</v>
      </c>
      <c r="CE136" s="59">
        <f t="shared" si="148"/>
        <v>250.47702091764884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52.921060849585395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52.921060849585395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8.4949999999999939</v>
      </c>
      <c r="CT136" s="12">
        <f>IF('Données projet'!$A$140&gt;35,CT135+CS136-DB135,IF(A136&lt;'Données projet'!$A$140,$CQ$205^A136,IF(A136='Données projet'!$A$140,'Données projet'!$B$140,CT135+CS136-DB135)))</f>
        <v>475.78500000000008</v>
      </c>
      <c r="CU136" s="17">
        <f>CT136*VLOOKUP('Données projet'!$B$13,Paramètres!$A$1:$I$89,3,0)*VLOOKUP('Données projet'!$B$13,Paramètres!$A$1:$I$89,5,0)</f>
        <v>452.75700600000005</v>
      </c>
      <c r="CV136" s="13">
        <f t="shared" si="149"/>
        <v>102.39400669329594</v>
      </c>
      <c r="CW136" s="20">
        <f t="shared" si="121"/>
        <v>966.88801377415712</v>
      </c>
      <c r="CX136" s="59">
        <f t="shared" si="122"/>
        <v>1251.2802454544906</v>
      </c>
      <c r="CY136" s="59">
        <f ca="1">AVERAGE(OFFSET($CX$3,0,0,'Données projet'!$E$13+1,1))-AVERAGE(OFFSET($H$3,0,0,'Données projet'!$E$13+1,1))</f>
        <v>697.21496579281836</v>
      </c>
      <c r="CZ136" s="59">
        <f t="shared" si="150"/>
        <v>215.64914236153456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99.673310983488051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99.673310983488051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319</v>
      </c>
      <c r="DP136" s="17">
        <f>DO136*VLOOKUP('Données projet'!$B$14,Paramètres!$A$1:$I$89,3,0)*VLOOKUP('Données projet'!$B$14,Paramètres!$A$1:$I$89,5,0)</f>
        <v>278.67840000000001</v>
      </c>
      <c r="DQ136" s="13">
        <f t="shared" si="151"/>
        <v>66.687639951856809</v>
      </c>
      <c r="DR136" s="20">
        <f t="shared" si="124"/>
        <v>601.51251958281728</v>
      </c>
      <c r="DS136" s="59">
        <f t="shared" si="125"/>
        <v>885.90475126315073</v>
      </c>
      <c r="DT136" s="59">
        <f ca="1">AVERAGE(OFFSET($DS$3,0,0,'Données projet'!$E$14+1,1))-AVERAGE(OFFSET($H$3,0,0,'Données projet'!$E$14+1,1))</f>
        <v>408.24135864450221</v>
      </c>
      <c r="DU136" s="59">
        <f t="shared" si="152"/>
        <v>394.10236303013903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20.437355246454377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20.437355246454377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853.00000000000011</v>
      </c>
      <c r="O137" s="13">
        <f>N137*VLOOKUP('Données projet'!$B$9,Paramètres!$A$1:$I$89,3,0)*VLOOKUP('Données projet'!$B$9,Paramètres!$A$1:$I$89,5,0)</f>
        <v>399.20400000000006</v>
      </c>
      <c r="P137" s="13">
        <f t="shared" si="141"/>
        <v>91.615269732888521</v>
      </c>
      <c r="Q137" s="20">
        <f t="shared" si="108"/>
        <v>854.8435614514475</v>
      </c>
      <c r="R137" s="59">
        <f t="shared" si="109"/>
        <v>1139.3909012561517</v>
      </c>
      <c r="S137" s="59">
        <f ca="1">AVERAGE(OFFSET($R$3,0,0,'Données projet'!$E$9+1,1))-AVERAGE(OFFSET($H$3,0,0,'Données projet'!$E$9+1,1))</f>
        <v>512.58510468904342</v>
      </c>
      <c r="T137" s="59">
        <f t="shared" si="142"/>
        <v>443.6106696463529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47.565661833934179</v>
      </c>
      <c r="AA137" s="21">
        <f>EXP(-LN(2)/25)*AA136+(1-EXP(-LN(2)/25))/(LN(2)/25)*Calculateur!V137*Calculateur!X137*VLOOKUP('Données projet'!$B$9,Paramètres!$A$1:$I$89,3,0)*0.475*44/12</f>
        <v>2.7403052091922979</v>
      </c>
      <c r="AB137" s="21">
        <f>EXP(-LN(2)/2)*AB136+(1-EXP(-LN(2)/2))/(LN(2)/2)*V137*Y137*VLOOKUP('Données projet'!$B$9,Paramètres!$A$1:$I$89,3,0)*0.475*44/12</f>
        <v>1.8016387719808148E-16</v>
      </c>
      <c r="AC137" s="22">
        <f t="shared" si="111"/>
        <v>50.305967043126479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311.298</v>
      </c>
      <c r="AK137" s="13">
        <f t="shared" si="143"/>
        <v>73.539838278528748</v>
      </c>
      <c r="AL137" s="20">
        <f t="shared" si="112"/>
        <v>670.25923500177089</v>
      </c>
      <c r="AM137" s="59">
        <f t="shared" si="113"/>
        <v>954.80657480647517</v>
      </c>
      <c r="AN137" s="59">
        <f ca="1">AVERAGE(OFFSET($AM$3,0,0,'Données projet'!$E$10+1,1))-AVERAGE(OFFSET($H$3,0,0,'Données projet'!$E$10+1,1))</f>
        <v>520.95202773768222</v>
      </c>
      <c r="AO137" s="59">
        <f t="shared" si="144"/>
        <v>325.72635759450861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77.000133877877673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77.000133877877673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689</v>
      </c>
      <c r="BE137" s="13">
        <f>BD137*VLOOKUP('Données projet'!$B$11,Paramètres!$A$1:$I$89,3,0)*VLOOKUP('Données projet'!$B$11,Paramètres!$A$1:$I$89,5,0)</f>
        <v>412.02199999999999</v>
      </c>
      <c r="BF137" s="13">
        <f t="shared" si="145"/>
        <v>94.209724877926391</v>
      </c>
      <c r="BG137" s="20">
        <f t="shared" si="115"/>
        <v>881.686920829055</v>
      </c>
      <c r="BH137" s="59">
        <f t="shared" si="116"/>
        <v>1166.2342606337593</v>
      </c>
      <c r="BI137" s="59">
        <f ca="1">AVERAGE(OFFSET($BH$3,0,0,'Données projet'!$E$11+1,1))-AVERAGE(OFFSET($H$3,0,0,'Données projet'!$E$11+1,1))</f>
        <v>528.71639224940395</v>
      </c>
      <c r="BJ137" s="59">
        <f t="shared" si="146"/>
        <v>460.93390058676493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33.589963444198027</v>
      </c>
      <c r="BQ137" s="21">
        <f>EXP(-LN(2)/25)*BQ136+(1-EXP(-LN(2)/25))/(LN(2)/25)*Calculateur!BL137*Calculateur!BN137*VLOOKUP('Données projet'!$B$11,Paramètres!$A$1:$I$89,3,0)*0.475*44/12</f>
        <v>3.2936495210658236</v>
      </c>
      <c r="BR137" s="21">
        <f>EXP(-LN(2)/2)*BR136+(1-EXP(-LN(2)/2))/(LN(2)/2)*BL137*BO137*VLOOKUP('Données projet'!$B$11,Paramètres!$A$1:$I$89,3,0)*0.475*44/12</f>
        <v>1.1627330490902185E-17</v>
      </c>
      <c r="BS137" s="22">
        <f t="shared" si="117"/>
        <v>36.88361296526385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267</v>
      </c>
      <c r="BZ137" s="13">
        <f>BY137*VLOOKUP('Données projet'!$B$12,Paramètres!$A$1:$I$89,3,0)*VLOOKUP('Données projet'!$B$12,Paramètres!$A$1:$I$89,5,0)</f>
        <v>241.58159999999998</v>
      </c>
      <c r="CA137" s="13">
        <f t="shared" si="147"/>
        <v>58.779689232021951</v>
      </c>
      <c r="CB137" s="20">
        <f t="shared" si="118"/>
        <v>523.12924541243819</v>
      </c>
      <c r="CC137" s="59">
        <f t="shared" si="119"/>
        <v>807.67658521714247</v>
      </c>
      <c r="CD137" s="59">
        <f ca="1">AVERAGE(OFFSET($CC$3,0,0,'Données projet'!$E$12+1,1))-AVERAGE(OFFSET($H$3,0,0,'Données projet'!$E$12+1,1))</f>
        <v>398.11190027805549</v>
      </c>
      <c r="CE137" s="59">
        <f t="shared" si="148"/>
        <v>250.47702091764884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51.883311124984893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51.883311124984893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8.4949999999999939</v>
      </c>
      <c r="CS137" s="12">
        <f t="array" ref="CS137">INDEX(CR:CR,MIN(IF(ISNUMBER(CR137:CR333),ROW(CR137:CR333),"")))</f>
        <v>8.4949999999999939</v>
      </c>
      <c r="CT137" s="12">
        <f>IF('Données projet'!$A$140&gt;35,CT136+CS137-DB136,IF(A137&lt;'Données projet'!$A$140,$CQ$205^A137,IF(A137='Données projet'!$A$140,'Données projet'!$B$140,CT136+CS137-DB136)))</f>
        <v>484.28000000000009</v>
      </c>
      <c r="CU137" s="17">
        <f>CT137*VLOOKUP('Données projet'!$B$13,Paramètres!$A$1:$I$89,3,0)*VLOOKUP('Données projet'!$B$13,Paramètres!$A$1:$I$89,5,0)</f>
        <v>460.84084800000011</v>
      </c>
      <c r="CV137" s="13">
        <f t="shared" si="149"/>
        <v>104.0077495258046</v>
      </c>
      <c r="CW137" s="20">
        <f t="shared" si="121"/>
        <v>983.77797402410977</v>
      </c>
      <c r="CX137" s="59">
        <f t="shared" si="122"/>
        <v>1268.3253138288142</v>
      </c>
      <c r="CY137" s="59">
        <f ca="1">AVERAGE(OFFSET($CX$3,0,0,'Données projet'!$E$13+1,1))-AVERAGE(OFFSET($H$3,0,0,'Données projet'!$E$13+1,1))</f>
        <v>697.21496579281836</v>
      </c>
      <c r="CZ137" s="59">
        <f t="shared" si="150"/>
        <v>215.64914236153456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0.43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122.57514764045364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122.57514764045364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319</v>
      </c>
      <c r="DP137" s="17">
        <f>DO137*VLOOKUP('Données projet'!$B$14,Paramètres!$A$1:$I$89,3,0)*VLOOKUP('Données projet'!$B$14,Paramètres!$A$1:$I$89,5,0)</f>
        <v>278.67840000000001</v>
      </c>
      <c r="DQ137" s="13">
        <f t="shared" si="151"/>
        <v>66.687639951856809</v>
      </c>
      <c r="DR137" s="20">
        <f t="shared" si="124"/>
        <v>601.51251958281728</v>
      </c>
      <c r="DS137" s="59">
        <f t="shared" si="125"/>
        <v>886.05985938752156</v>
      </c>
      <c r="DT137" s="59">
        <f ca="1">AVERAGE(OFFSET($DS$3,0,0,'Données projet'!$E$14+1,1))-AVERAGE(OFFSET($H$3,0,0,'Données projet'!$E$14+1,1))</f>
        <v>408.24135864450221</v>
      </c>
      <c r="DU137" s="59">
        <f t="shared" si="152"/>
        <v>394.10236303013903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20.036591175627237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20.036591175627237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853.00000000000011</v>
      </c>
      <c r="O138" s="13">
        <f>N138*VLOOKUP('Données projet'!$B$9,Paramètres!$A$1:$I$89,3,0)*VLOOKUP('Données projet'!$B$9,Paramètres!$A$1:$I$89,5,0)</f>
        <v>399.20400000000006</v>
      </c>
      <c r="P138" s="13">
        <f t="shared" si="141"/>
        <v>91.615269732888521</v>
      </c>
      <c r="Q138" s="20">
        <f t="shared" si="108"/>
        <v>854.8435614514475</v>
      </c>
      <c r="R138" s="59">
        <f t="shared" si="109"/>
        <v>1139.5433186013347</v>
      </c>
      <c r="S138" s="59">
        <f ca="1">AVERAGE(OFFSET($R$3,0,0,'Données projet'!$E$9+1,1))-AVERAGE(OFFSET($H$3,0,0,'Données projet'!$E$9+1,1))</f>
        <v>512.58510468904342</v>
      </c>
      <c r="T138" s="59">
        <f t="shared" si="142"/>
        <v>443.6106696463529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46.63292821755973</v>
      </c>
      <c r="AA138" s="21">
        <f>EXP(-LN(2)/25)*AA137+(1-EXP(-LN(2)/25))/(LN(2)/25)*Calculateur!V138*Calculateur!X138*VLOOKUP('Données projet'!$B$9,Paramètres!$A$1:$I$89,3,0)*0.475*44/12</f>
        <v>2.6653714191405466</v>
      </c>
      <c r="AB138" s="21">
        <f>EXP(-LN(2)/2)*AB137+(1-EXP(-LN(2)/2))/(LN(2)/2)*V138*Y138*VLOOKUP('Données projet'!$B$9,Paramètres!$A$1:$I$89,3,0)*0.475*44/12</f>
        <v>1.2739509929162382E-16</v>
      </c>
      <c r="AC138" s="22">
        <f t="shared" si="111"/>
        <v>49.298299636700278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311.298</v>
      </c>
      <c r="AK138" s="13">
        <f t="shared" si="143"/>
        <v>73.539838278528748</v>
      </c>
      <c r="AL138" s="20">
        <f t="shared" si="112"/>
        <v>670.25923500177089</v>
      </c>
      <c r="AM138" s="59">
        <f t="shared" si="113"/>
        <v>954.95899215165809</v>
      </c>
      <c r="AN138" s="59">
        <f ca="1">AVERAGE(OFFSET($AM$3,0,0,'Données projet'!$E$10+1,1))-AVERAGE(OFFSET($H$3,0,0,'Données projet'!$E$10+1,1))</f>
        <v>520.95202773768222</v>
      </c>
      <c r="AO138" s="59">
        <f t="shared" si="144"/>
        <v>325.72635759450861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75.490208217976701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75.490208217976701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689</v>
      </c>
      <c r="BE138" s="13">
        <f>BD138*VLOOKUP('Données projet'!$B$11,Paramètres!$A$1:$I$89,3,0)*VLOOKUP('Données projet'!$B$11,Paramètres!$A$1:$I$89,5,0)</f>
        <v>412.02199999999999</v>
      </c>
      <c r="BF138" s="13">
        <f t="shared" si="145"/>
        <v>94.209724877926391</v>
      </c>
      <c r="BG138" s="20">
        <f t="shared" si="115"/>
        <v>881.686920829055</v>
      </c>
      <c r="BH138" s="59">
        <f t="shared" si="116"/>
        <v>1166.3866779789421</v>
      </c>
      <c r="BI138" s="59">
        <f ca="1">AVERAGE(OFFSET($BH$3,0,0,'Données projet'!$E$11+1,1))-AVERAGE(OFFSET($H$3,0,0,'Données projet'!$E$11+1,1))</f>
        <v>528.71639224940395</v>
      </c>
      <c r="BJ138" s="59">
        <f t="shared" si="146"/>
        <v>460.93390058676493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32.931284748911999</v>
      </c>
      <c r="BQ138" s="21">
        <f>EXP(-LN(2)/25)*BQ137+(1-EXP(-LN(2)/25))/(LN(2)/25)*Calculateur!BL138*Calculateur!BN138*VLOOKUP('Données projet'!$B$11,Paramètres!$A$1:$I$89,3,0)*0.475*44/12</f>
        <v>3.2035845017067781</v>
      </c>
      <c r="BR138" s="21">
        <f>EXP(-LN(2)/2)*BR137+(1-EXP(-LN(2)/2))/(LN(2)/2)*BL138*BO138*VLOOKUP('Données projet'!$B$11,Paramètres!$A$1:$I$89,3,0)*0.475*44/12</f>
        <v>8.2217642372140436E-18</v>
      </c>
      <c r="BS138" s="22">
        <f t="shared" si="117"/>
        <v>36.134869250618777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267</v>
      </c>
      <c r="BZ138" s="13">
        <f>BY138*VLOOKUP('Données projet'!$B$12,Paramètres!$A$1:$I$89,3,0)*VLOOKUP('Données projet'!$B$12,Paramètres!$A$1:$I$89,5,0)</f>
        <v>241.58159999999998</v>
      </c>
      <c r="CA138" s="13">
        <f t="shared" si="147"/>
        <v>58.779689232021951</v>
      </c>
      <c r="CB138" s="20">
        <f t="shared" si="118"/>
        <v>523.12924541243819</v>
      </c>
      <c r="CC138" s="59">
        <f t="shared" si="119"/>
        <v>807.82900256232529</v>
      </c>
      <c r="CD138" s="59">
        <f ca="1">AVERAGE(OFFSET($CC$3,0,0,'Données projet'!$E$12+1,1))-AVERAGE(OFFSET($H$3,0,0,'Données projet'!$E$12+1,1))</f>
        <v>398.11190027805549</v>
      </c>
      <c r="CE138" s="59">
        <f t="shared" si="148"/>
        <v>250.47702091764884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50.86591103951897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50.86591103951897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8.561000000000007</v>
      </c>
      <c r="CT138" s="12">
        <f>IF('Données projet'!$A$140&gt;35,CT137+CS138-DB137,IF(A138&lt;'Données projet'!$A$140,$CQ$205^A138,IF(A138='Données projet'!$A$140,'Données projet'!$B$140,CT137+CS138-DB137)))</f>
        <v>437.89100000000013</v>
      </c>
      <c r="CU138" s="17">
        <f>CT138*VLOOKUP('Données projet'!$B$13,Paramètres!$A$1:$I$89,3,0)*VLOOKUP('Données projet'!$B$13,Paramètres!$A$1:$I$89,5,0)</f>
        <v>416.69707560000012</v>
      </c>
      <c r="CV138" s="13">
        <f t="shared" si="149"/>
        <v>95.153642267833021</v>
      </c>
      <c r="CW138" s="20">
        <f t="shared" si="121"/>
        <v>891.4733336198093</v>
      </c>
      <c r="CX138" s="59">
        <f t="shared" si="122"/>
        <v>1176.1730907696965</v>
      </c>
      <c r="CY138" s="59">
        <f ca="1">AVERAGE(OFFSET($CX$3,0,0,'Données projet'!$E$13+1,1))-AVERAGE(OFFSET($H$3,0,0,'Données projet'!$E$13+1,1))</f>
        <v>697.21496579281836</v>
      </c>
      <c r="CZ138" s="59">
        <f t="shared" si="150"/>
        <v>215.64914236153456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120.17152375868213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120.17152375868213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319</v>
      </c>
      <c r="DP138" s="17">
        <f>DO138*VLOOKUP('Données projet'!$B$14,Paramètres!$A$1:$I$89,3,0)*VLOOKUP('Données projet'!$B$14,Paramètres!$A$1:$I$89,5,0)</f>
        <v>278.67840000000001</v>
      </c>
      <c r="DQ138" s="13">
        <f t="shared" si="151"/>
        <v>66.687639951856809</v>
      </c>
      <c r="DR138" s="20">
        <f t="shared" si="124"/>
        <v>601.51251958281728</v>
      </c>
      <c r="DS138" s="59">
        <f t="shared" si="125"/>
        <v>886.21227673270437</v>
      </c>
      <c r="DT138" s="59">
        <f ca="1">AVERAGE(OFFSET($DS$3,0,0,'Données projet'!$E$14+1,1))-AVERAGE(OFFSET($H$3,0,0,'Données projet'!$E$14+1,1))</f>
        <v>408.24135864450221</v>
      </c>
      <c r="DU138" s="59">
        <f t="shared" si="152"/>
        <v>394.10236303013903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19.643685843787068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19.643685843787068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853.00000000000011</v>
      </c>
      <c r="O139" s="13">
        <f>N139*VLOOKUP('Données projet'!$B$9,Paramètres!$A$1:$I$89,3,0)*VLOOKUP('Données projet'!$B$9,Paramètres!$A$1:$I$89,5,0)</f>
        <v>399.20400000000006</v>
      </c>
      <c r="P139" s="13">
        <f t="shared" si="141"/>
        <v>91.615269732888521</v>
      </c>
      <c r="Q139" s="20">
        <f t="shared" si="108"/>
        <v>854.8435614514475</v>
      </c>
      <c r="R139" s="59">
        <f t="shared" si="109"/>
        <v>1139.6930918463327</v>
      </c>
      <c r="S139" s="59">
        <f ca="1">AVERAGE(OFFSET($R$3,0,0,'Données projet'!$E$9+1,1))-AVERAGE(OFFSET($H$3,0,0,'Données projet'!$E$9+1,1))</f>
        <v>512.58510468904342</v>
      </c>
      <c r="T139" s="59">
        <f t="shared" si="142"/>
        <v>443.6106696463529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45.718484938491059</v>
      </c>
      <c r="AA139" s="21">
        <f>EXP(-LN(2)/25)*AA138+(1-EXP(-LN(2)/25))/(LN(2)/25)*Calculateur!V139*Calculateur!X139*VLOOKUP('Données projet'!$B$9,Paramètres!$A$1:$I$89,3,0)*0.475*44/12</f>
        <v>2.5924866975183574</v>
      </c>
      <c r="AB139" s="21">
        <f>EXP(-LN(2)/2)*AB138+(1-EXP(-LN(2)/2))/(LN(2)/2)*V139*Y139*VLOOKUP('Données projet'!$B$9,Paramètres!$A$1:$I$89,3,0)*0.475*44/12</f>
        <v>9.008193859904074E-17</v>
      </c>
      <c r="AC139" s="22">
        <f t="shared" si="111"/>
        <v>48.31097163600942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311.298</v>
      </c>
      <c r="AK139" s="13">
        <f t="shared" si="143"/>
        <v>73.539838278528748</v>
      </c>
      <c r="AL139" s="20">
        <f t="shared" si="112"/>
        <v>670.25923500177089</v>
      </c>
      <c r="AM139" s="59">
        <f t="shared" si="113"/>
        <v>955.10876539665605</v>
      </c>
      <c r="AN139" s="59">
        <f ca="1">AVERAGE(OFFSET($AM$3,0,0,'Données projet'!$E$10+1,1))-AVERAGE(OFFSET($H$3,0,0,'Données projet'!$E$10+1,1))</f>
        <v>520.95202773768222</v>
      </c>
      <c r="AO139" s="59">
        <f t="shared" si="144"/>
        <v>325.72635759450861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74.009891279302678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74.009891279302678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689</v>
      </c>
      <c r="BE139" s="13">
        <f>BD139*VLOOKUP('Données projet'!$B$11,Paramètres!$A$1:$I$89,3,0)*VLOOKUP('Données projet'!$B$11,Paramètres!$A$1:$I$89,5,0)</f>
        <v>412.02199999999999</v>
      </c>
      <c r="BF139" s="13">
        <f t="shared" si="145"/>
        <v>94.209724877926391</v>
      </c>
      <c r="BG139" s="20">
        <f t="shared" si="115"/>
        <v>881.686920829055</v>
      </c>
      <c r="BH139" s="59">
        <f t="shared" si="116"/>
        <v>1166.5364512239403</v>
      </c>
      <c r="BI139" s="59">
        <f ca="1">AVERAGE(OFFSET($BH$3,0,0,'Données projet'!$E$11+1,1))-AVERAGE(OFFSET($H$3,0,0,'Données projet'!$E$11+1,1))</f>
        <v>528.71639224940395</v>
      </c>
      <c r="BJ139" s="59">
        <f t="shared" si="146"/>
        <v>460.93390058676493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32.285522341086192</v>
      </c>
      <c r="BQ139" s="21">
        <f>EXP(-LN(2)/25)*BQ138+(1-EXP(-LN(2)/25))/(LN(2)/25)*Calculateur!BL139*Calculateur!BN139*VLOOKUP('Données projet'!$B$11,Paramètres!$A$1:$I$89,3,0)*0.475*44/12</f>
        <v>3.1159823150384192</v>
      </c>
      <c r="BR139" s="21">
        <f>EXP(-LN(2)/2)*BR138+(1-EXP(-LN(2)/2))/(LN(2)/2)*BL139*BO139*VLOOKUP('Données projet'!$B$11,Paramètres!$A$1:$I$89,3,0)*0.475*44/12</f>
        <v>5.8136652454510927E-18</v>
      </c>
      <c r="BS139" s="22">
        <f t="shared" si="117"/>
        <v>35.401504656124615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267</v>
      </c>
      <c r="BZ139" s="13">
        <f>BY139*VLOOKUP('Données projet'!$B$12,Paramètres!$A$1:$I$89,3,0)*VLOOKUP('Données projet'!$B$12,Paramètres!$A$1:$I$89,5,0)</f>
        <v>241.58159999999998</v>
      </c>
      <c r="CA139" s="13">
        <f t="shared" si="147"/>
        <v>58.779689232021951</v>
      </c>
      <c r="CB139" s="20">
        <f t="shared" si="118"/>
        <v>523.12924541243819</v>
      </c>
      <c r="CC139" s="59">
        <f t="shared" si="119"/>
        <v>807.97877580732347</v>
      </c>
      <c r="CD139" s="59">
        <f ca="1">AVERAGE(OFFSET($CC$3,0,0,'Données projet'!$E$12+1,1))-AVERAGE(OFFSET($H$3,0,0,'Données projet'!$E$12+1,1))</f>
        <v>398.11190027805549</v>
      </c>
      <c r="CE139" s="59">
        <f t="shared" si="148"/>
        <v>250.47702091764884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49.86846154917626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49.86846154917626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8.561000000000007</v>
      </c>
      <c r="CT139" s="12">
        <f>IF('Données projet'!$A$140&gt;35,CT138+CS139-DB138,IF(A139&lt;'Données projet'!$A$140,$CQ$205^A139,IF(A139='Données projet'!$A$140,'Données projet'!$B$140,CT138+CS139-DB138)))</f>
        <v>446.45200000000011</v>
      </c>
      <c r="CU139" s="17">
        <f>CT139*VLOOKUP('Données projet'!$B$13,Paramètres!$A$1:$I$89,3,0)*VLOOKUP('Données projet'!$B$13,Paramètres!$A$1:$I$89,5,0)</f>
        <v>424.84372320000006</v>
      </c>
      <c r="CV139" s="13">
        <f t="shared" si="149"/>
        <v>96.795549912832186</v>
      </c>
      <c r="CW139" s="20">
        <f t="shared" si="121"/>
        <v>908.52173400484946</v>
      </c>
      <c r="CX139" s="59">
        <f t="shared" si="122"/>
        <v>1193.3712643997346</v>
      </c>
      <c r="CY139" s="59">
        <f ca="1">AVERAGE(OFFSET($CX$3,0,0,'Données projet'!$E$13+1,1))-AVERAGE(OFFSET($H$3,0,0,'Données projet'!$E$13+1,1))</f>
        <v>697.21496579281836</v>
      </c>
      <c r="CZ139" s="59">
        <f t="shared" si="150"/>
        <v>215.64914236153456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117.81503347516635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117.81503347516635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319</v>
      </c>
      <c r="DP139" s="17">
        <f>DO139*VLOOKUP('Données projet'!$B$14,Paramètres!$A$1:$I$89,3,0)*VLOOKUP('Données projet'!$B$14,Paramètres!$A$1:$I$89,5,0)</f>
        <v>278.67840000000001</v>
      </c>
      <c r="DQ139" s="13">
        <f t="shared" si="151"/>
        <v>66.687639951856809</v>
      </c>
      <c r="DR139" s="20">
        <f t="shared" si="124"/>
        <v>601.51251958281728</v>
      </c>
      <c r="DS139" s="59">
        <f t="shared" si="125"/>
        <v>886.36204997770255</v>
      </c>
      <c r="DT139" s="59">
        <f ca="1">AVERAGE(OFFSET($DS$3,0,0,'Données projet'!$E$14+1,1))-AVERAGE(OFFSET($H$3,0,0,'Données projet'!$E$14+1,1))</f>
        <v>408.24135864450221</v>
      </c>
      <c r="DU139" s="59">
        <f t="shared" si="152"/>
        <v>394.10236303013903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19.258485145855698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19.258485145855698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853.00000000000011</v>
      </c>
      <c r="O140" s="13">
        <f>N140*VLOOKUP('Données projet'!$B$9,Paramètres!$A$1:$I$89,3,0)*VLOOKUP('Données projet'!$B$9,Paramètres!$A$1:$I$89,5,0)</f>
        <v>399.20400000000006</v>
      </c>
      <c r="P140" s="13">
        <f t="shared" si="141"/>
        <v>91.615269732888521</v>
      </c>
      <c r="Q140" s="20">
        <f t="shared" si="108"/>
        <v>854.8435614514475</v>
      </c>
      <c r="R140" s="59">
        <f t="shared" si="109"/>
        <v>1139.8402668603728</v>
      </c>
      <c r="S140" s="59">
        <f ca="1">AVERAGE(OFFSET($R$3,0,0,'Données projet'!$E$9+1,1))-AVERAGE(OFFSET($H$3,0,0,'Données projet'!$E$9+1,1))</f>
        <v>512.58510468904342</v>
      </c>
      <c r="T140" s="59">
        <f t="shared" si="142"/>
        <v>443.6106696463529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44.821973334369595</v>
      </c>
      <c r="AA140" s="21">
        <f>EXP(-LN(2)/25)*AA139+(1-EXP(-LN(2)/25))/(LN(2)/25)*Calculateur!V140*Calculateur!X140*VLOOKUP('Données projet'!$B$9,Paramètres!$A$1:$I$89,3,0)*0.475*44/12</f>
        <v>2.5215950124417676</v>
      </c>
      <c r="AB140" s="21">
        <f>EXP(-LN(2)/2)*AB139+(1-EXP(-LN(2)/2))/(LN(2)/2)*V140*Y140*VLOOKUP('Données projet'!$B$9,Paramètres!$A$1:$I$89,3,0)*0.475*44/12</f>
        <v>6.3697549645811908E-17</v>
      </c>
      <c r="AC140" s="22">
        <f t="shared" si="111"/>
        <v>47.34356834681136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311.298</v>
      </c>
      <c r="AK140" s="13">
        <f t="shared" si="143"/>
        <v>73.539838278528748</v>
      </c>
      <c r="AL140" s="20">
        <f t="shared" si="112"/>
        <v>670.25923500177089</v>
      </c>
      <c r="AM140" s="59">
        <f t="shared" si="113"/>
        <v>955.25594041069621</v>
      </c>
      <c r="AN140" s="59">
        <f ca="1">AVERAGE(OFFSET($AM$3,0,0,'Données projet'!$E$10+1,1))-AVERAGE(OFFSET($H$3,0,0,'Données projet'!$E$10+1,1))</f>
        <v>520.95202773768222</v>
      </c>
      <c r="AO140" s="59">
        <f t="shared" si="144"/>
        <v>325.72635759450861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72.558602452891876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72.558602452891876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689</v>
      </c>
      <c r="BE140" s="13">
        <f>BD140*VLOOKUP('Données projet'!$B$11,Paramètres!$A$1:$I$89,3,0)*VLOOKUP('Données projet'!$B$11,Paramètres!$A$1:$I$89,5,0)</f>
        <v>412.02199999999999</v>
      </c>
      <c r="BF140" s="13">
        <f t="shared" si="145"/>
        <v>94.209724877926391</v>
      </c>
      <c r="BG140" s="20">
        <f t="shared" si="115"/>
        <v>881.686920829055</v>
      </c>
      <c r="BH140" s="59">
        <f t="shared" si="116"/>
        <v>1166.6836262379804</v>
      </c>
      <c r="BI140" s="59">
        <f ca="1">AVERAGE(OFFSET($BH$3,0,0,'Données projet'!$E$11+1,1))-AVERAGE(OFFSET($H$3,0,0,'Données projet'!$E$11+1,1))</f>
        <v>528.71639224940395</v>
      </c>
      <c r="BJ140" s="59">
        <f t="shared" si="146"/>
        <v>460.93390058676493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31.652422940201674</v>
      </c>
      <c r="BQ140" s="21">
        <f>EXP(-LN(2)/25)*BQ139+(1-EXP(-LN(2)/25))/(LN(2)/25)*Calculateur!BL140*Calculateur!BN140*VLOOKUP('Données projet'!$B$11,Paramètres!$A$1:$I$89,3,0)*0.475*44/12</f>
        <v>3.0307756147713052</v>
      </c>
      <c r="BR140" s="21">
        <f>EXP(-LN(2)/2)*BR139+(1-EXP(-LN(2)/2))/(LN(2)/2)*BL140*BO140*VLOOKUP('Données projet'!$B$11,Paramètres!$A$1:$I$89,3,0)*0.475*44/12</f>
        <v>4.1108821186070218E-18</v>
      </c>
      <c r="BS140" s="22">
        <f t="shared" si="117"/>
        <v>34.683198554972982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267</v>
      </c>
      <c r="BZ140" s="13">
        <f>BY140*VLOOKUP('Données projet'!$B$12,Paramètres!$A$1:$I$89,3,0)*VLOOKUP('Données projet'!$B$12,Paramètres!$A$1:$I$89,5,0)</f>
        <v>241.58159999999998</v>
      </c>
      <c r="CA140" s="13">
        <f t="shared" si="147"/>
        <v>58.779689232021951</v>
      </c>
      <c r="CB140" s="20">
        <f t="shared" si="118"/>
        <v>523.12924541243819</v>
      </c>
      <c r="CC140" s="59">
        <f t="shared" si="119"/>
        <v>808.12595082136363</v>
      </c>
      <c r="CD140" s="59">
        <f ca="1">AVERAGE(OFFSET($CC$3,0,0,'Données projet'!$E$12+1,1))-AVERAGE(OFFSET($H$3,0,0,'Données projet'!$E$12+1,1))</f>
        <v>398.11190027805549</v>
      </c>
      <c r="CE140" s="59">
        <f t="shared" si="148"/>
        <v>250.47702091764884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48.890571434955056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48.890571434955056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8.561000000000007</v>
      </c>
      <c r="CT140" s="12">
        <f>IF('Données projet'!$A$140&gt;35,CT139+CS140-DB139,IF(A140&lt;'Données projet'!$A$140,$CQ$205^A140,IF(A140='Données projet'!$A$140,'Données projet'!$B$140,CT139+CS140-DB139)))</f>
        <v>455.01300000000015</v>
      </c>
      <c r="CU140" s="17">
        <f>CT140*VLOOKUP('Données projet'!$B$13,Paramètres!$A$1:$I$89,3,0)*VLOOKUP('Données projet'!$B$13,Paramètres!$A$1:$I$89,5,0)</f>
        <v>432.99037080000011</v>
      </c>
      <c r="CV140" s="13">
        <f t="shared" si="149"/>
        <v>98.433796597914238</v>
      </c>
      <c r="CW140" s="20">
        <f t="shared" si="121"/>
        <v>925.56375821803397</v>
      </c>
      <c r="CX140" s="59">
        <f t="shared" si="122"/>
        <v>1210.5604636269593</v>
      </c>
      <c r="CY140" s="59">
        <f ca="1">AVERAGE(OFFSET($CX$3,0,0,'Données projet'!$E$13+1,1))-AVERAGE(OFFSET($H$3,0,0,'Données projet'!$E$13+1,1))</f>
        <v>697.21496579281836</v>
      </c>
      <c r="CZ140" s="59">
        <f t="shared" si="150"/>
        <v>215.64914236153456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115.50475252879316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115.50475252879316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319</v>
      </c>
      <c r="DP140" s="17">
        <f>DO140*VLOOKUP('Données projet'!$B$14,Paramètres!$A$1:$I$89,3,0)*VLOOKUP('Données projet'!$B$14,Paramètres!$A$1:$I$89,5,0)</f>
        <v>278.67840000000001</v>
      </c>
      <c r="DQ140" s="13">
        <f t="shared" si="151"/>
        <v>66.687639951856809</v>
      </c>
      <c r="DR140" s="20">
        <f t="shared" si="124"/>
        <v>601.51251958281728</v>
      </c>
      <c r="DS140" s="59">
        <f t="shared" si="125"/>
        <v>886.50922499174271</v>
      </c>
      <c r="DT140" s="59">
        <f ca="1">AVERAGE(OFFSET($DS$3,0,0,'Données projet'!$E$14+1,1))-AVERAGE(OFFSET($H$3,0,0,'Données projet'!$E$14+1,1))</f>
        <v>408.24135864450221</v>
      </c>
      <c r="DU140" s="59">
        <f t="shared" si="152"/>
        <v>394.10236303013903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18.880837998661534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18.880837998661534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853.00000000000011</v>
      </c>
      <c r="O141" s="13">
        <f>N141*VLOOKUP('Données projet'!$B$9,Paramètres!$A$1:$I$89,3,0)*VLOOKUP('Données projet'!$B$9,Paramètres!$A$1:$I$89,5,0)</f>
        <v>399.20400000000006</v>
      </c>
      <c r="P141" s="13">
        <f t="shared" si="141"/>
        <v>91.615269732888521</v>
      </c>
      <c r="Q141" s="20">
        <f t="shared" si="108"/>
        <v>854.8435614514475</v>
      </c>
      <c r="R141" s="59">
        <f t="shared" si="109"/>
        <v>1139.9848887169535</v>
      </c>
      <c r="S141" s="59">
        <f ca="1">AVERAGE(OFFSET($R$3,0,0,'Données projet'!$E$9+1,1))-AVERAGE(OFFSET($H$3,0,0,'Données projet'!$E$9+1,1))</f>
        <v>512.58510468904342</v>
      </c>
      <c r="T141" s="59">
        <f t="shared" si="142"/>
        <v>443.6106696463529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43.94304177598687</v>
      </c>
      <c r="AA141" s="21">
        <f>EXP(-LN(2)/25)*AA140+(1-EXP(-LN(2)/25))/(LN(2)/25)*Calculateur!V141*Calculateur!X141*VLOOKUP('Données projet'!$B$9,Paramètres!$A$1:$I$89,3,0)*0.475*44/12</f>
        <v>2.4526418642216288</v>
      </c>
      <c r="AB141" s="21">
        <f>EXP(-LN(2)/2)*AB140+(1-EXP(-LN(2)/2))/(LN(2)/2)*V141*Y141*VLOOKUP('Données projet'!$B$9,Paramètres!$A$1:$I$89,3,0)*0.475*44/12</f>
        <v>4.504096929952037E-17</v>
      </c>
      <c r="AC141" s="22">
        <f t="shared" si="111"/>
        <v>46.395683640208496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311.298</v>
      </c>
      <c r="AK141" s="13">
        <f t="shared" si="143"/>
        <v>73.539838278528748</v>
      </c>
      <c r="AL141" s="20">
        <f t="shared" si="112"/>
        <v>670.25923500177089</v>
      </c>
      <c r="AM141" s="59">
        <f t="shared" si="113"/>
        <v>955.40056226727688</v>
      </c>
      <c r="AN141" s="59">
        <f ca="1">AVERAGE(OFFSET($AM$3,0,0,'Données projet'!$E$10+1,1))-AVERAGE(OFFSET($H$3,0,0,'Données projet'!$E$10+1,1))</f>
        <v>520.95202773768222</v>
      </c>
      <c r="AO141" s="59">
        <f t="shared" si="144"/>
        <v>325.72635759450861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71.135772515168213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71.135772515168213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689</v>
      </c>
      <c r="BE141" s="13">
        <f>BD141*VLOOKUP('Données projet'!$B$11,Paramètres!$A$1:$I$89,3,0)*VLOOKUP('Données projet'!$B$11,Paramètres!$A$1:$I$89,5,0)</f>
        <v>412.02199999999999</v>
      </c>
      <c r="BF141" s="13">
        <f t="shared" si="145"/>
        <v>94.209724877926391</v>
      </c>
      <c r="BG141" s="20">
        <f t="shared" si="115"/>
        <v>881.686920829055</v>
      </c>
      <c r="BH141" s="59">
        <f t="shared" si="116"/>
        <v>1166.8282480945609</v>
      </c>
      <c r="BI141" s="59">
        <f ca="1">AVERAGE(OFFSET($BH$3,0,0,'Données projet'!$E$11+1,1))-AVERAGE(OFFSET($H$3,0,0,'Données projet'!$E$11+1,1))</f>
        <v>528.71639224940395</v>
      </c>
      <c r="BJ141" s="59">
        <f t="shared" si="146"/>
        <v>460.93390058676493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31.031738232415996</v>
      </c>
      <c r="BQ141" s="21">
        <f>EXP(-LN(2)/25)*BQ140+(1-EXP(-LN(2)/25))/(LN(2)/25)*Calculateur!BL141*Calculateur!BN141*VLOOKUP('Données projet'!$B$11,Paramètres!$A$1:$I$89,3,0)*0.475*44/12</f>
        <v>2.9478988962038213</v>
      </c>
      <c r="BR141" s="21">
        <f>EXP(-LN(2)/2)*BR140+(1-EXP(-LN(2)/2))/(LN(2)/2)*BL141*BO141*VLOOKUP('Données projet'!$B$11,Paramètres!$A$1:$I$89,3,0)*0.475*44/12</f>
        <v>2.9068326227255463E-18</v>
      </c>
      <c r="BS141" s="22">
        <f t="shared" si="117"/>
        <v>33.979637128619821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267</v>
      </c>
      <c r="BZ141" s="13">
        <f>BY141*VLOOKUP('Données projet'!$B$12,Paramètres!$A$1:$I$89,3,0)*VLOOKUP('Données projet'!$B$12,Paramètres!$A$1:$I$89,5,0)</f>
        <v>241.58159999999998</v>
      </c>
      <c r="CA141" s="13">
        <f t="shared" si="147"/>
        <v>58.779689232021951</v>
      </c>
      <c r="CB141" s="20">
        <f t="shared" si="118"/>
        <v>523.12924541243819</v>
      </c>
      <c r="CC141" s="59">
        <f t="shared" si="119"/>
        <v>808.27057267794407</v>
      </c>
      <c r="CD141" s="59">
        <f ca="1">AVERAGE(OFFSET($CC$3,0,0,'Données projet'!$E$12+1,1))-AVERAGE(OFFSET($H$3,0,0,'Données projet'!$E$12+1,1))</f>
        <v>398.11190027805549</v>
      </c>
      <c r="CE141" s="59">
        <f t="shared" si="148"/>
        <v>250.47702091764884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47.931857149419656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47.931857149419656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8.561000000000007</v>
      </c>
      <c r="CT141" s="12">
        <f>IF('Données projet'!$A$140&gt;35,CT140+CS141-DB140,IF(A141&lt;'Données projet'!$A$140,$CQ$205^A141,IF(A141='Données projet'!$A$140,'Données projet'!$B$140,CT140+CS141-DB140)))</f>
        <v>463.57400000000018</v>
      </c>
      <c r="CU141" s="17">
        <f>CT141*VLOOKUP('Données projet'!$B$13,Paramètres!$A$1:$I$89,3,0)*VLOOKUP('Données projet'!$B$13,Paramètres!$A$1:$I$89,5,0)</f>
        <v>441.13701840000022</v>
      </c>
      <c r="CV141" s="13">
        <f t="shared" si="149"/>
        <v>100.06845914615758</v>
      </c>
      <c r="CW141" s="20">
        <f t="shared" si="121"/>
        <v>942.59954005955797</v>
      </c>
      <c r="CX141" s="59">
        <f t="shared" si="122"/>
        <v>1227.7408673250638</v>
      </c>
      <c r="CY141" s="59">
        <f ca="1">AVERAGE(OFFSET($CX$3,0,0,'Données projet'!$E$13+1,1))-AVERAGE(OFFSET($H$3,0,0,'Données projet'!$E$13+1,1))</f>
        <v>697.21496579281836</v>
      </c>
      <c r="CZ141" s="59">
        <f t="shared" si="150"/>
        <v>215.64914236153456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113.23977478264612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113.23977478264612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319</v>
      </c>
      <c r="DP141" s="17">
        <f>DO141*VLOOKUP('Données projet'!$B$14,Paramètres!$A$1:$I$89,3,0)*VLOOKUP('Données projet'!$B$14,Paramètres!$A$1:$I$89,5,0)</f>
        <v>278.67840000000001</v>
      </c>
      <c r="DQ141" s="13">
        <f t="shared" si="151"/>
        <v>66.687639951856809</v>
      </c>
      <c r="DR141" s="20">
        <f t="shared" si="124"/>
        <v>601.51251958281728</v>
      </c>
      <c r="DS141" s="59">
        <f t="shared" si="125"/>
        <v>886.65384684832316</v>
      </c>
      <c r="DT141" s="59">
        <f ca="1">AVERAGE(OFFSET($DS$3,0,0,'Données projet'!$E$14+1,1))-AVERAGE(OFFSET($H$3,0,0,'Données projet'!$E$14+1,1))</f>
        <v>408.24135864450221</v>
      </c>
      <c r="DU141" s="59">
        <f t="shared" si="152"/>
        <v>394.10236303013903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18.510596281681831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18.510596281681831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853.00000000000011</v>
      </c>
      <c r="O142" s="13">
        <f>N142*VLOOKUP('Données projet'!$B$9,Paramètres!$A$1:$I$89,3,0)*VLOOKUP('Données projet'!$B$9,Paramètres!$A$1:$I$89,5,0)</f>
        <v>399.20400000000006</v>
      </c>
      <c r="P142" s="13">
        <f t="shared" si="141"/>
        <v>91.615269732888521</v>
      </c>
      <c r="Q142" s="20">
        <f t="shared" si="108"/>
        <v>854.8435614514475</v>
      </c>
      <c r="R142" s="59">
        <f t="shared" si="109"/>
        <v>1140.1270017076483</v>
      </c>
      <c r="S142" s="59">
        <f ca="1">AVERAGE(OFFSET($R$3,0,0,'Données projet'!$E$9+1,1))-AVERAGE(OFFSET($H$3,0,0,'Données projet'!$E$9+1,1))</f>
        <v>512.58510468904342</v>
      </c>
      <c r="T142" s="59">
        <f t="shared" si="142"/>
        <v>443.6106696463529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43.081345529368711</v>
      </c>
      <c r="AA142" s="21">
        <f>EXP(-LN(2)/25)*AA141+(1-EXP(-LN(2)/25))/(LN(2)/25)*Calculateur!V142*Calculateur!X142*VLOOKUP('Données projet'!$B$9,Paramètres!$A$1:$I$89,3,0)*0.475*44/12</f>
        <v>2.3855742434656584</v>
      </c>
      <c r="AB142" s="21">
        <f>EXP(-LN(2)/2)*AB141+(1-EXP(-LN(2)/2))/(LN(2)/2)*V142*Y142*VLOOKUP('Données projet'!$B$9,Paramètres!$A$1:$I$89,3,0)*0.475*44/12</f>
        <v>3.1848774822905954E-17</v>
      </c>
      <c r="AC142" s="22">
        <f t="shared" si="111"/>
        <v>45.466919772834373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311.298</v>
      </c>
      <c r="AK142" s="13">
        <f t="shared" si="143"/>
        <v>73.539838278528748</v>
      </c>
      <c r="AL142" s="20">
        <f t="shared" si="112"/>
        <v>670.25923500177089</v>
      </c>
      <c r="AM142" s="59">
        <f t="shared" si="113"/>
        <v>955.54267525797172</v>
      </c>
      <c r="AN142" s="59">
        <f ca="1">AVERAGE(OFFSET($AM$3,0,0,'Données projet'!$E$10+1,1))-AVERAGE(OFFSET($H$3,0,0,'Données projet'!$E$10+1,1))</f>
        <v>520.95202773768222</v>
      </c>
      <c r="AO142" s="59">
        <f t="shared" si="144"/>
        <v>325.72635759450861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69.740843404682735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69.740843404682735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689</v>
      </c>
      <c r="BE142" s="13">
        <f>BD142*VLOOKUP('Données projet'!$B$11,Paramètres!$A$1:$I$89,3,0)*VLOOKUP('Données projet'!$B$11,Paramètres!$A$1:$I$89,5,0)</f>
        <v>412.02199999999999</v>
      </c>
      <c r="BF142" s="13">
        <f t="shared" si="145"/>
        <v>94.209724877926391</v>
      </c>
      <c r="BG142" s="20">
        <f t="shared" si="115"/>
        <v>881.686920829055</v>
      </c>
      <c r="BH142" s="59">
        <f t="shared" si="116"/>
        <v>1166.9703610852559</v>
      </c>
      <c r="BI142" s="59">
        <f ca="1">AVERAGE(OFFSET($BH$3,0,0,'Données projet'!$E$11+1,1))-AVERAGE(OFFSET($H$3,0,0,'Données projet'!$E$11+1,1))</f>
        <v>528.71639224940395</v>
      </c>
      <c r="BJ142" s="59">
        <f t="shared" si="146"/>
        <v>460.93390058676493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30.423224773169707</v>
      </c>
      <c r="BQ142" s="21">
        <f>EXP(-LN(2)/25)*BQ141+(1-EXP(-LN(2)/25))/(LN(2)/25)*Calculateur!BL142*Calculateur!BN142*VLOOKUP('Données projet'!$B$11,Paramètres!$A$1:$I$89,3,0)*0.475*44/12</f>
        <v>2.8672884458638626</v>
      </c>
      <c r="BR142" s="21">
        <f>EXP(-LN(2)/2)*BR141+(1-EXP(-LN(2)/2))/(LN(2)/2)*BL142*BO142*VLOOKUP('Données projet'!$B$11,Paramètres!$A$1:$I$89,3,0)*0.475*44/12</f>
        <v>2.0554410593035109E-18</v>
      </c>
      <c r="BS142" s="22">
        <f t="shared" si="117"/>
        <v>33.290513219033571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267</v>
      </c>
      <c r="BZ142" s="13">
        <f>BY142*VLOOKUP('Données projet'!$B$12,Paramètres!$A$1:$I$89,3,0)*VLOOKUP('Données projet'!$B$12,Paramètres!$A$1:$I$89,5,0)</f>
        <v>241.58159999999998</v>
      </c>
      <c r="CA142" s="13">
        <f t="shared" si="147"/>
        <v>58.779689232021951</v>
      </c>
      <c r="CB142" s="20">
        <f t="shared" si="118"/>
        <v>523.12924541243819</v>
      </c>
      <c r="CC142" s="59">
        <f t="shared" si="119"/>
        <v>808.41268566863914</v>
      </c>
      <c r="CD142" s="59">
        <f ca="1">AVERAGE(OFFSET($CC$3,0,0,'Données projet'!$E$12+1,1))-AVERAGE(OFFSET($H$3,0,0,'Données projet'!$E$12+1,1))</f>
        <v>398.11190027805549</v>
      </c>
      <c r="CE142" s="59">
        <f t="shared" si="148"/>
        <v>250.47702091764884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46.991942666265629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46.991942666265629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8.561000000000007</v>
      </c>
      <c r="CT142" s="12">
        <f>IF('Données projet'!$A$140&gt;35,CT141+CS142-DB141,IF(A142&lt;'Données projet'!$A$140,$CQ$205^A142,IF(A142='Données projet'!$A$140,'Données projet'!$B$140,CT141+CS142-DB141)))</f>
        <v>472.13500000000022</v>
      </c>
      <c r="CU142" s="17">
        <f>CT142*VLOOKUP('Données projet'!$B$13,Paramètres!$A$1:$I$89,3,0)*VLOOKUP('Données projet'!$B$13,Paramètres!$A$1:$I$89,5,0)</f>
        <v>449.28366600000027</v>
      </c>
      <c r="CV142" s="13">
        <f t="shared" si="149"/>
        <v>101.69961138077295</v>
      </c>
      <c r="CW142" s="20">
        <f t="shared" si="121"/>
        <v>959.6292081048465</v>
      </c>
      <c r="CX142" s="59">
        <f t="shared" si="122"/>
        <v>1244.9126483610473</v>
      </c>
      <c r="CY142" s="59">
        <f ca="1">AVERAGE(OFFSET($CX$3,0,0,'Données projet'!$E$13+1,1))-AVERAGE(OFFSET($H$3,0,0,'Données projet'!$E$13+1,1))</f>
        <v>697.21496579281836</v>
      </c>
      <c r="CZ142" s="59">
        <f t="shared" si="150"/>
        <v>215.64914236153456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111.019211868601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111.019211868601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319</v>
      </c>
      <c r="DP142" s="17">
        <f>DO142*VLOOKUP('Données projet'!$B$14,Paramètres!$A$1:$I$89,3,0)*VLOOKUP('Données projet'!$B$14,Paramètres!$A$1:$I$89,5,0)</f>
        <v>278.67840000000001</v>
      </c>
      <c r="DQ142" s="13">
        <f t="shared" si="151"/>
        <v>66.687639951856809</v>
      </c>
      <c r="DR142" s="20">
        <f t="shared" si="124"/>
        <v>601.51251958281728</v>
      </c>
      <c r="DS142" s="59">
        <f t="shared" si="125"/>
        <v>886.79595983901822</v>
      </c>
      <c r="DT142" s="59">
        <f ca="1">AVERAGE(OFFSET($DS$3,0,0,'Données projet'!$E$14+1,1))-AVERAGE(OFFSET($H$3,0,0,'Données projet'!$E$14+1,1))</f>
        <v>408.24135864450221</v>
      </c>
      <c r="DU142" s="59">
        <f t="shared" si="152"/>
        <v>394.10236303013903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18.147614778946952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18.147614778946952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853.00000000000011</v>
      </c>
      <c r="O143" s="13">
        <f>N143*VLOOKUP('Données projet'!$B$9,Paramètres!$A$1:$I$89,3,0)*VLOOKUP('Données projet'!$B$9,Paramètres!$A$1:$I$89,5,0)</f>
        <v>399.20400000000006</v>
      </c>
      <c r="P143" s="13">
        <f t="shared" si="141"/>
        <v>91.615269732888521</v>
      </c>
      <c r="Q143" s="20">
        <f t="shared" si="108"/>
        <v>854.8435614514475</v>
      </c>
      <c r="R143" s="59">
        <f t="shared" si="109"/>
        <v>1140.2666493556719</v>
      </c>
      <c r="S143" s="59">
        <f ca="1">AVERAGE(OFFSET($R$3,0,0,'Données projet'!$E$9+1,1))-AVERAGE(OFFSET($H$3,0,0,'Données projet'!$E$9+1,1))</f>
        <v>512.58510468904342</v>
      </c>
      <c r="T143" s="59">
        <f t="shared" si="142"/>
        <v>443.6106696463529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42.236546620563921</v>
      </c>
      <c r="AA143" s="21">
        <f>EXP(-LN(2)/25)*AA142+(1-EXP(-LN(2)/25))/(LN(2)/25)*Calculateur!V143*Calculateur!X143*VLOOKUP('Données projet'!$B$9,Paramètres!$A$1:$I$89,3,0)*0.475*44/12</f>
        <v>2.3203405903261927</v>
      </c>
      <c r="AB143" s="21">
        <f>EXP(-LN(2)/2)*AB142+(1-EXP(-LN(2)/2))/(LN(2)/2)*V143*Y143*VLOOKUP('Données projet'!$B$9,Paramètres!$A$1:$I$89,3,0)*0.475*44/12</f>
        <v>2.2520484649760185E-17</v>
      </c>
      <c r="AC143" s="22">
        <f t="shared" si="111"/>
        <v>44.55688721089011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311.298</v>
      </c>
      <c r="AK143" s="13">
        <f t="shared" si="143"/>
        <v>73.539838278528748</v>
      </c>
      <c r="AL143" s="20">
        <f t="shared" si="112"/>
        <v>670.25923500177089</v>
      </c>
      <c r="AM143" s="59">
        <f t="shared" si="113"/>
        <v>955.68232290599531</v>
      </c>
      <c r="AN143" s="59">
        <f ca="1">AVERAGE(OFFSET($AM$3,0,0,'Données projet'!$E$10+1,1))-AVERAGE(OFFSET($H$3,0,0,'Données projet'!$E$10+1,1))</f>
        <v>520.95202773768222</v>
      </c>
      <c r="AO143" s="59">
        <f t="shared" si="144"/>
        <v>325.72635759450861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68.373268003231132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68.373268003231132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689</v>
      </c>
      <c r="BE143" s="13">
        <f>BD143*VLOOKUP('Données projet'!$B$11,Paramètres!$A$1:$I$89,3,0)*VLOOKUP('Données projet'!$B$11,Paramètres!$A$1:$I$89,5,0)</f>
        <v>412.02199999999999</v>
      </c>
      <c r="BF143" s="13">
        <f t="shared" si="145"/>
        <v>94.209724877926391</v>
      </c>
      <c r="BG143" s="20">
        <f t="shared" si="115"/>
        <v>881.686920829055</v>
      </c>
      <c r="BH143" s="59">
        <f t="shared" si="116"/>
        <v>1167.1100087332793</v>
      </c>
      <c r="BI143" s="59">
        <f ca="1">AVERAGE(OFFSET($BH$3,0,0,'Données projet'!$E$11+1,1))-AVERAGE(OFFSET($H$3,0,0,'Données projet'!$E$11+1,1))</f>
        <v>528.71639224940395</v>
      </c>
      <c r="BJ143" s="59">
        <f t="shared" si="146"/>
        <v>460.93390058676493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29.826643891702673</v>
      </c>
      <c r="BQ143" s="21">
        <f>EXP(-LN(2)/25)*BQ142+(1-EXP(-LN(2)/25))/(LN(2)/25)*Calculateur!BL143*Calculateur!BN143*VLOOKUP('Données projet'!$B$11,Paramètres!$A$1:$I$89,3,0)*0.475*44/12</f>
        <v>2.7888822925275694</v>
      </c>
      <c r="BR143" s="21">
        <f>EXP(-LN(2)/2)*BR142+(1-EXP(-LN(2)/2))/(LN(2)/2)*BL143*BO143*VLOOKUP('Données projet'!$B$11,Paramètres!$A$1:$I$89,3,0)*0.475*44/12</f>
        <v>1.4534163113627732E-18</v>
      </c>
      <c r="BS143" s="22">
        <f t="shared" si="117"/>
        <v>32.615526184230241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267</v>
      </c>
      <c r="BZ143" s="13">
        <f>BY143*VLOOKUP('Données projet'!$B$12,Paramètres!$A$1:$I$89,3,0)*VLOOKUP('Données projet'!$B$12,Paramètres!$A$1:$I$89,5,0)</f>
        <v>241.58159999999998</v>
      </c>
      <c r="CA143" s="13">
        <f t="shared" si="147"/>
        <v>58.779689232021951</v>
      </c>
      <c r="CB143" s="20">
        <f t="shared" si="118"/>
        <v>523.12924541243819</v>
      </c>
      <c r="CC143" s="59">
        <f t="shared" si="119"/>
        <v>808.5523333166625</v>
      </c>
      <c r="CD143" s="59">
        <f ca="1">AVERAGE(OFFSET($CC$3,0,0,'Données projet'!$E$12+1,1))-AVERAGE(OFFSET($H$3,0,0,'Données projet'!$E$12+1,1))</f>
        <v>398.11190027805549</v>
      </c>
      <c r="CE143" s="59">
        <f t="shared" si="148"/>
        <v>250.47702091764884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46.070459332835021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46.070459332835021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8.561000000000007</v>
      </c>
      <c r="CT143" s="12">
        <f>IF('Données projet'!$A$140&gt;35,CT142+CS143-DB142,IF(A143&lt;'Données projet'!$A$140,$CQ$205^A143,IF(A143='Données projet'!$A$140,'Données projet'!$B$140,CT142+CS143-DB142)))</f>
        <v>480.69600000000025</v>
      </c>
      <c r="CU143" s="17">
        <f>CT143*VLOOKUP('Données projet'!$B$13,Paramètres!$A$1:$I$89,3,0)*VLOOKUP('Données projet'!$B$13,Paramètres!$A$1:$I$89,5,0)</f>
        <v>457.43031360000026</v>
      </c>
      <c r="CV143" s="13">
        <f t="shared" si="149"/>
        <v>103.32732429447849</v>
      </c>
      <c r="CW143" s="20">
        <f t="shared" si="121"/>
        <v>976.65288599955056</v>
      </c>
      <c r="CX143" s="59">
        <f t="shared" si="122"/>
        <v>1262.0759739037749</v>
      </c>
      <c r="CY143" s="59">
        <f ca="1">AVERAGE(OFFSET($CX$3,0,0,'Données projet'!$E$13+1,1))-AVERAGE(OFFSET($H$3,0,0,'Données projet'!$E$13+1,1))</f>
        <v>697.21496579281836</v>
      </c>
      <c r="CZ143" s="59">
        <f t="shared" si="150"/>
        <v>215.64914236153456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108.84219283889067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108.84219283889067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319</v>
      </c>
      <c r="DP143" s="17">
        <f>DO143*VLOOKUP('Données projet'!$B$14,Paramètres!$A$1:$I$89,3,0)*VLOOKUP('Données projet'!$B$14,Paramètres!$A$1:$I$89,5,0)</f>
        <v>278.67840000000001</v>
      </c>
      <c r="DQ143" s="13">
        <f t="shared" si="151"/>
        <v>66.687639951856809</v>
      </c>
      <c r="DR143" s="20">
        <f t="shared" si="124"/>
        <v>601.51251958281728</v>
      </c>
      <c r="DS143" s="59">
        <f t="shared" si="125"/>
        <v>886.93560748704158</v>
      </c>
      <c r="DT143" s="59">
        <f ca="1">AVERAGE(OFFSET($DS$3,0,0,'Données projet'!$E$14+1,1))-AVERAGE(OFFSET($H$3,0,0,'Données projet'!$E$14+1,1))</f>
        <v>408.24135864450221</v>
      </c>
      <c r="DU143" s="59">
        <f t="shared" si="152"/>
        <v>394.10236303013903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17.791751122083848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17.791751122083848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853.00000000000011</v>
      </c>
      <c r="O144" s="13">
        <f>N144*VLOOKUP('Données projet'!$B$9,Paramètres!$A$1:$I$89,3,0)*VLOOKUP('Données projet'!$B$9,Paramètres!$A$1:$I$89,5,0)</f>
        <v>399.20400000000006</v>
      </c>
      <c r="P144" s="13">
        <f t="shared" si="141"/>
        <v>91.615269732888521</v>
      </c>
      <c r="Q144" s="20">
        <f t="shared" si="108"/>
        <v>854.8435614514475</v>
      </c>
      <c r="R144" s="59">
        <f t="shared" si="109"/>
        <v>1140.4038744292075</v>
      </c>
      <c r="S144" s="59">
        <f ca="1">AVERAGE(OFFSET($R$3,0,0,'Données projet'!$E$9+1,1))-AVERAGE(OFFSET($H$3,0,0,'Données projet'!$E$9+1,1))</f>
        <v>512.58510468904342</v>
      </c>
      <c r="T144" s="59">
        <f t="shared" si="142"/>
        <v>443.6106696463529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41.408313703084339</v>
      </c>
      <c r="AA144" s="21">
        <f>EXP(-LN(2)/25)*AA143+(1-EXP(-LN(2)/25))/(LN(2)/25)*Calculateur!V144*Calculateur!X144*VLOOKUP('Données projet'!$B$9,Paramètres!$A$1:$I$89,3,0)*0.475*44/12</f>
        <v>2.2568907548623143</v>
      </c>
      <c r="AB144" s="21">
        <f>EXP(-LN(2)/2)*AB143+(1-EXP(-LN(2)/2))/(LN(2)/2)*V144*Y144*VLOOKUP('Données projet'!$B$9,Paramètres!$A$1:$I$89,3,0)*0.475*44/12</f>
        <v>1.5924387411452977E-17</v>
      </c>
      <c r="AC144" s="22">
        <f t="shared" si="111"/>
        <v>43.665204457946651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311.298</v>
      </c>
      <c r="AK144" s="13">
        <f t="shared" si="143"/>
        <v>73.539838278528748</v>
      </c>
      <c r="AL144" s="20">
        <f t="shared" si="112"/>
        <v>670.25923500177089</v>
      </c>
      <c r="AM144" s="59">
        <f t="shared" si="113"/>
        <v>955.81954797953085</v>
      </c>
      <c r="AN144" s="59">
        <f ca="1">AVERAGE(OFFSET($AM$3,0,0,'Données projet'!$E$10+1,1))-AVERAGE(OFFSET($H$3,0,0,'Données projet'!$E$10+1,1))</f>
        <v>520.95202773768222</v>
      </c>
      <c r="AO144" s="59">
        <f t="shared" si="144"/>
        <v>325.72635759450861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67.032509921263369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67.032509921263369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689</v>
      </c>
      <c r="BE144" s="13">
        <f>BD144*VLOOKUP('Données projet'!$B$11,Paramètres!$A$1:$I$89,3,0)*VLOOKUP('Données projet'!$B$11,Paramètres!$A$1:$I$89,5,0)</f>
        <v>412.02199999999999</v>
      </c>
      <c r="BF144" s="13">
        <f t="shared" si="145"/>
        <v>94.209724877926391</v>
      </c>
      <c r="BG144" s="20">
        <f t="shared" si="115"/>
        <v>881.686920829055</v>
      </c>
      <c r="BH144" s="59">
        <f t="shared" si="116"/>
        <v>1167.2472338068151</v>
      </c>
      <c r="BI144" s="59">
        <f ca="1">AVERAGE(OFFSET($BH$3,0,0,'Données projet'!$E$11+1,1))-AVERAGE(OFFSET($H$3,0,0,'Données projet'!$E$11+1,1))</f>
        <v>528.71639224940395</v>
      </c>
      <c r="BJ144" s="59">
        <f t="shared" si="146"/>
        <v>460.93390058676493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29.241761597442803</v>
      </c>
      <c r="BQ144" s="21">
        <f>EXP(-LN(2)/25)*BQ143+(1-EXP(-LN(2)/25))/(LN(2)/25)*Calculateur!BL144*Calculateur!BN144*VLOOKUP('Données projet'!$B$11,Paramètres!$A$1:$I$89,3,0)*0.475*44/12</f>
        <v>2.7126201595774573</v>
      </c>
      <c r="BR144" s="21">
        <f>EXP(-LN(2)/2)*BR143+(1-EXP(-LN(2)/2))/(LN(2)/2)*BL144*BO144*VLOOKUP('Données projet'!$B$11,Paramètres!$A$1:$I$89,3,0)*0.475*44/12</f>
        <v>1.0277205296517555E-18</v>
      </c>
      <c r="BS144" s="22">
        <f t="shared" si="117"/>
        <v>31.954381757020261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267</v>
      </c>
      <c r="BZ144" s="13">
        <f>BY144*VLOOKUP('Données projet'!$B$12,Paramètres!$A$1:$I$89,3,0)*VLOOKUP('Données projet'!$B$12,Paramètres!$A$1:$I$89,5,0)</f>
        <v>241.58159999999998</v>
      </c>
      <c r="CA144" s="13">
        <f t="shared" si="147"/>
        <v>58.779689232021951</v>
      </c>
      <c r="CB144" s="20">
        <f t="shared" si="118"/>
        <v>523.12924541243819</v>
      </c>
      <c r="CC144" s="59">
        <f t="shared" si="119"/>
        <v>808.68955839019827</v>
      </c>
      <c r="CD144" s="59">
        <f ca="1">AVERAGE(OFFSET($CC$3,0,0,'Données projet'!$E$12+1,1))-AVERAGE(OFFSET($H$3,0,0,'Données projet'!$E$12+1,1))</f>
        <v>398.11190027805549</v>
      </c>
      <c r="CE144" s="59">
        <f t="shared" si="148"/>
        <v>250.47702091764884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45.167045725523657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45.167045725523657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8.561000000000007</v>
      </c>
      <c r="CT144" s="12">
        <f>IF('Données projet'!$A$140&gt;35,CT143+CS144-DB143,IF(A144&lt;'Données projet'!$A$140,$CQ$205^A144,IF(A144='Données projet'!$A$140,'Données projet'!$B$140,CT143+CS144-DB143)))</f>
        <v>489.25700000000029</v>
      </c>
      <c r="CU144" s="17">
        <f>CT144*VLOOKUP('Données projet'!$B$13,Paramètres!$A$1:$I$89,3,0)*VLOOKUP('Données projet'!$B$13,Paramètres!$A$1:$I$89,5,0)</f>
        <v>465.57696120000031</v>
      </c>
      <c r="CV144" s="13">
        <f t="shared" si="149"/>
        <v>104.95166620646756</v>
      </c>
      <c r="CW144" s="20">
        <f t="shared" si="121"/>
        <v>993.67069273293157</v>
      </c>
      <c r="CX144" s="59">
        <f t="shared" si="122"/>
        <v>1279.2310057106915</v>
      </c>
      <c r="CY144" s="59">
        <f ca="1">AVERAGE(OFFSET($CX$3,0,0,'Données projet'!$E$13+1,1))-AVERAGE(OFFSET($H$3,0,0,'Données projet'!$E$13+1,1))</f>
        <v>697.21496579281836</v>
      </c>
      <c r="CZ144" s="59">
        <f t="shared" si="150"/>
        <v>215.64914236153456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106.70786382450247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106.70786382450247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319</v>
      </c>
      <c r="DP144" s="17">
        <f>DO144*VLOOKUP('Données projet'!$B$14,Paramètres!$A$1:$I$89,3,0)*VLOOKUP('Données projet'!$B$14,Paramètres!$A$1:$I$89,5,0)</f>
        <v>278.67840000000001</v>
      </c>
      <c r="DQ144" s="13">
        <f t="shared" si="151"/>
        <v>66.687639951856809</v>
      </c>
      <c r="DR144" s="20">
        <f t="shared" si="124"/>
        <v>601.51251958281728</v>
      </c>
      <c r="DS144" s="59">
        <f t="shared" si="125"/>
        <v>887.07283256057735</v>
      </c>
      <c r="DT144" s="59">
        <f ca="1">AVERAGE(OFFSET($DS$3,0,0,'Données projet'!$E$14+1,1))-AVERAGE(OFFSET($H$3,0,0,'Données projet'!$E$14+1,1))</f>
        <v>408.24135864450221</v>
      </c>
      <c r="DU144" s="59">
        <f t="shared" si="152"/>
        <v>394.10236303013903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17.442865734476435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17.442865734476435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853.00000000000011</v>
      </c>
      <c r="O145" s="13">
        <f>N145*VLOOKUP('Données projet'!$B$9,Paramètres!$A$1:$I$89,3,0)*VLOOKUP('Données projet'!$B$9,Paramètres!$A$1:$I$89,5,0)</f>
        <v>399.20400000000006</v>
      </c>
      <c r="P145" s="13">
        <f t="shared" si="141"/>
        <v>91.615269732888521</v>
      </c>
      <c r="Q145" s="20">
        <f t="shared" si="108"/>
        <v>854.8435614514475</v>
      </c>
      <c r="R145" s="59">
        <f t="shared" si="109"/>
        <v>1140.5387189545065</v>
      </c>
      <c r="S145" s="59">
        <f ca="1">AVERAGE(OFFSET($R$3,0,0,'Données projet'!$E$9+1,1))-AVERAGE(OFFSET($H$3,0,0,'Données projet'!$E$9+1,1))</f>
        <v>512.58510468904342</v>
      </c>
      <c r="T145" s="59">
        <f t="shared" si="142"/>
        <v>443.6106696463529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40.596321927944331</v>
      </c>
      <c r="AA145" s="21">
        <f>EXP(-LN(2)/25)*AA144+(1-EXP(-LN(2)/25))/(LN(2)/25)*Calculateur!V145*Calculateur!X145*VLOOKUP('Données projet'!$B$9,Paramètres!$A$1:$I$89,3,0)*0.475*44/12</f>
        <v>2.1951759584858777</v>
      </c>
      <c r="AB145" s="21">
        <f>EXP(-LN(2)/2)*AB144+(1-EXP(-LN(2)/2))/(LN(2)/2)*V145*Y145*VLOOKUP('Données projet'!$B$9,Paramètres!$A$1:$I$89,3,0)*0.475*44/12</f>
        <v>1.1260242324880092E-17</v>
      </c>
      <c r="AC145" s="22">
        <f t="shared" si="111"/>
        <v>42.791497886430207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311.298</v>
      </c>
      <c r="AK145" s="13">
        <f t="shared" si="143"/>
        <v>73.539838278528748</v>
      </c>
      <c r="AL145" s="20">
        <f t="shared" si="112"/>
        <v>670.25923500177089</v>
      </c>
      <c r="AM145" s="59">
        <f t="shared" si="113"/>
        <v>955.95439250482991</v>
      </c>
      <c r="AN145" s="59">
        <f ca="1">AVERAGE(OFFSET($AM$3,0,0,'Données projet'!$E$10+1,1))-AVERAGE(OFFSET($H$3,0,0,'Données projet'!$E$10+1,1))</f>
        <v>520.95202773768222</v>
      </c>
      <c r="AO145" s="59">
        <f t="shared" si="144"/>
        <v>325.72635759450861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65.718043287501303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65.718043287501303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689</v>
      </c>
      <c r="BE145" s="13">
        <f>BD145*VLOOKUP('Données projet'!$B$11,Paramètres!$A$1:$I$89,3,0)*VLOOKUP('Données projet'!$B$11,Paramètres!$A$1:$I$89,5,0)</f>
        <v>412.02199999999999</v>
      </c>
      <c r="BF145" s="13">
        <f t="shared" si="145"/>
        <v>94.209724877926391</v>
      </c>
      <c r="BG145" s="20">
        <f t="shared" si="115"/>
        <v>881.686920829055</v>
      </c>
      <c r="BH145" s="59">
        <f t="shared" si="116"/>
        <v>1167.3820783321141</v>
      </c>
      <c r="BI145" s="59">
        <f ca="1">AVERAGE(OFFSET($BH$3,0,0,'Données projet'!$E$11+1,1))-AVERAGE(OFFSET($H$3,0,0,'Données projet'!$E$11+1,1))</f>
        <v>528.71639224940395</v>
      </c>
      <c r="BJ145" s="59">
        <f t="shared" si="146"/>
        <v>460.93390058676493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28.668348488230393</v>
      </c>
      <c r="BQ145" s="21">
        <f>EXP(-LN(2)/25)*BQ144+(1-EXP(-LN(2)/25))/(LN(2)/25)*Calculateur!BL145*Calculateur!BN145*VLOOKUP('Données projet'!$B$11,Paramètres!$A$1:$I$89,3,0)*0.475*44/12</f>
        <v>2.6384434186633174</v>
      </c>
      <c r="BR145" s="21">
        <f>EXP(-LN(2)/2)*BR144+(1-EXP(-LN(2)/2))/(LN(2)/2)*BL145*BO145*VLOOKUP('Données projet'!$B$11,Paramètres!$A$1:$I$89,3,0)*0.475*44/12</f>
        <v>7.2670815568138658E-19</v>
      </c>
      <c r="BS145" s="22">
        <f t="shared" si="117"/>
        <v>31.306791906893711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267</v>
      </c>
      <c r="BZ145" s="13">
        <f>BY145*VLOOKUP('Données projet'!$B$12,Paramètres!$A$1:$I$89,3,0)*VLOOKUP('Données projet'!$B$12,Paramètres!$A$1:$I$89,5,0)</f>
        <v>241.58159999999998</v>
      </c>
      <c r="CA145" s="13">
        <f t="shared" si="147"/>
        <v>58.779689232021951</v>
      </c>
      <c r="CB145" s="20">
        <f t="shared" si="118"/>
        <v>523.12924541243819</v>
      </c>
      <c r="CC145" s="59">
        <f t="shared" si="119"/>
        <v>808.82440291549733</v>
      </c>
      <c r="CD145" s="59">
        <f ca="1">AVERAGE(OFFSET($CC$3,0,0,'Données projet'!$E$12+1,1))-AVERAGE(OFFSET($H$3,0,0,'Données projet'!$E$12+1,1))</f>
        <v>398.11190027805549</v>
      </c>
      <c r="CE145" s="59">
        <f t="shared" si="148"/>
        <v>250.47702091764884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44.281347508023778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44.281347508023778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8.561000000000007</v>
      </c>
      <c r="CT145" s="12">
        <f>IF('Données projet'!$A$140&gt;35,CT144+CS145-DB144,IF(A145&lt;'Données projet'!$A$140,$CQ$205^A145,IF(A145='Données projet'!$A$140,'Données projet'!$B$140,CT144+CS145-DB144)))</f>
        <v>497.81800000000032</v>
      </c>
      <c r="CU145" s="17">
        <f>CT145*VLOOKUP('Données projet'!$B$13,Paramètres!$A$1:$I$89,3,0)*VLOOKUP('Données projet'!$B$13,Paramètres!$A$1:$I$89,5,0)</f>
        <v>473.72360880000031</v>
      </c>
      <c r="CV145" s="13">
        <f t="shared" si="149"/>
        <v>106.57270290807962</v>
      </c>
      <c r="CW145" s="20">
        <f t="shared" si="121"/>
        <v>1010.6827428915725</v>
      </c>
      <c r="CX145" s="59">
        <f t="shared" si="122"/>
        <v>1296.3779003946315</v>
      </c>
      <c r="CY145" s="59">
        <f ca="1">AVERAGE(OFFSET($CX$3,0,0,'Données projet'!$E$13+1,1))-AVERAGE(OFFSET($H$3,0,0,'Données projet'!$E$13+1,1))</f>
        <v>697.21496579281836</v>
      </c>
      <c r="CZ145" s="59">
        <f t="shared" si="150"/>
        <v>215.64914236153456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104.61538770027425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104.61538770027425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319</v>
      </c>
      <c r="DP145" s="17">
        <f>DO145*VLOOKUP('Données projet'!$B$14,Paramètres!$A$1:$I$89,3,0)*VLOOKUP('Données projet'!$B$14,Paramètres!$A$1:$I$89,5,0)</f>
        <v>278.67840000000001</v>
      </c>
      <c r="DQ145" s="13">
        <f t="shared" si="151"/>
        <v>66.687639951856809</v>
      </c>
      <c r="DR145" s="20">
        <f t="shared" si="124"/>
        <v>601.51251958281728</v>
      </c>
      <c r="DS145" s="59">
        <f t="shared" si="125"/>
        <v>887.20767708587641</v>
      </c>
      <c r="DT145" s="59">
        <f ca="1">AVERAGE(OFFSET($DS$3,0,0,'Données projet'!$E$14+1,1))-AVERAGE(OFFSET($H$3,0,0,'Données projet'!$E$14+1,1))</f>
        <v>408.24135864450221</v>
      </c>
      <c r="DU145" s="59">
        <f t="shared" si="152"/>
        <v>394.10236303013903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17.100821776520927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17.100821776520927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853.00000000000011</v>
      </c>
      <c r="O146" s="13">
        <f>N146*VLOOKUP('Données projet'!$B$9,Paramètres!$A$1:$I$89,3,0)*VLOOKUP('Données projet'!$B$9,Paramètres!$A$1:$I$89,5,0)</f>
        <v>399.20400000000006</v>
      </c>
      <c r="P146" s="13">
        <f t="shared" si="141"/>
        <v>91.615269732888521</v>
      </c>
      <c r="Q146" s="20">
        <f t="shared" si="108"/>
        <v>854.8435614514475</v>
      </c>
      <c r="R146" s="59">
        <f t="shared" si="109"/>
        <v>1140.671224228759</v>
      </c>
      <c r="S146" s="59">
        <f ca="1">AVERAGE(OFFSET($R$3,0,0,'Données projet'!$E$9+1,1))-AVERAGE(OFFSET($H$3,0,0,'Données projet'!$E$9+1,1))</f>
        <v>512.58510468904342</v>
      </c>
      <c r="T146" s="59">
        <f t="shared" si="142"/>
        <v>443.6106696463529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39.800252816248744</v>
      </c>
      <c r="AA146" s="21">
        <f>EXP(-LN(2)/25)*AA145+(1-EXP(-LN(2)/25))/(LN(2)/25)*Calculateur!V146*Calculateur!X146*VLOOKUP('Données projet'!$B$9,Paramètres!$A$1:$I$89,3,0)*0.475*44/12</f>
        <v>2.135148756461795</v>
      </c>
      <c r="AB146" s="21">
        <f>EXP(-LN(2)/2)*AB145+(1-EXP(-LN(2)/2))/(LN(2)/2)*V146*Y146*VLOOKUP('Données projet'!$B$9,Paramètres!$A$1:$I$89,3,0)*0.475*44/12</f>
        <v>7.9621937057264885E-18</v>
      </c>
      <c r="AC146" s="22">
        <f t="shared" si="111"/>
        <v>41.935401572710539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311.298</v>
      </c>
      <c r="AK146" s="13">
        <f t="shared" si="143"/>
        <v>73.539838278528748</v>
      </c>
      <c r="AL146" s="20">
        <f t="shared" si="112"/>
        <v>670.25923500177089</v>
      </c>
      <c r="AM146" s="59">
        <f t="shared" si="113"/>
        <v>956.08689777908239</v>
      </c>
      <c r="AN146" s="59">
        <f ca="1">AVERAGE(OFFSET($AM$3,0,0,'Données projet'!$E$10+1,1))-AVERAGE(OFFSET($H$3,0,0,'Données projet'!$E$10+1,1))</f>
        <v>520.95202773768222</v>
      </c>
      <c r="AO146" s="59">
        <f t="shared" si="144"/>
        <v>325.72635759450861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64.429352542681841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64.429352542681841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689</v>
      </c>
      <c r="BE146" s="13">
        <f>BD146*VLOOKUP('Données projet'!$B$11,Paramètres!$A$1:$I$89,3,0)*VLOOKUP('Données projet'!$B$11,Paramètres!$A$1:$I$89,5,0)</f>
        <v>412.02199999999999</v>
      </c>
      <c r="BF146" s="13">
        <f t="shared" si="145"/>
        <v>94.209724877926391</v>
      </c>
      <c r="BG146" s="20">
        <f t="shared" si="115"/>
        <v>881.686920829055</v>
      </c>
      <c r="BH146" s="59">
        <f t="shared" si="116"/>
        <v>1167.5145836063664</v>
      </c>
      <c r="BI146" s="59">
        <f ca="1">AVERAGE(OFFSET($BH$3,0,0,'Données projet'!$E$11+1,1))-AVERAGE(OFFSET($H$3,0,0,'Données projet'!$E$11+1,1))</f>
        <v>528.71639224940395</v>
      </c>
      <c r="BJ146" s="59">
        <f t="shared" si="146"/>
        <v>460.93390058676493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28.106179660342178</v>
      </c>
      <c r="BQ146" s="21">
        <f>EXP(-LN(2)/25)*BQ145+(1-EXP(-LN(2)/25))/(LN(2)/25)*Calculateur!BL146*Calculateur!BN146*VLOOKUP('Données projet'!$B$11,Paramètres!$A$1:$I$89,3,0)*0.475*44/12</f>
        <v>2.5662950446302597</v>
      </c>
      <c r="BR146" s="21">
        <f>EXP(-LN(2)/2)*BR145+(1-EXP(-LN(2)/2))/(LN(2)/2)*BL146*BO146*VLOOKUP('Données projet'!$B$11,Paramètres!$A$1:$I$89,3,0)*0.475*44/12</f>
        <v>5.1386026482587773E-19</v>
      </c>
      <c r="BS146" s="22">
        <f t="shared" si="117"/>
        <v>30.672474704972437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267</v>
      </c>
      <c r="BZ146" s="13">
        <f>BY146*VLOOKUP('Données projet'!$B$12,Paramètres!$A$1:$I$89,3,0)*VLOOKUP('Données projet'!$B$12,Paramètres!$A$1:$I$89,5,0)</f>
        <v>241.58159999999998</v>
      </c>
      <c r="CA146" s="13">
        <f t="shared" si="147"/>
        <v>58.779689232021951</v>
      </c>
      <c r="CB146" s="20">
        <f t="shared" si="118"/>
        <v>523.12924541243819</v>
      </c>
      <c r="CC146" s="59">
        <f t="shared" si="119"/>
        <v>808.95690818974958</v>
      </c>
      <c r="CD146" s="59">
        <f ca="1">AVERAGE(OFFSET($CC$3,0,0,'Données projet'!$E$12+1,1))-AVERAGE(OFFSET($H$3,0,0,'Données projet'!$E$12+1,1))</f>
        <v>398.11190027805549</v>
      </c>
      <c r="CE146" s="59">
        <f t="shared" si="148"/>
        <v>250.47702091764884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43.413017292346495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43.413017292346495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8.561000000000007</v>
      </c>
      <c r="CT146" s="12">
        <f>IF('Données projet'!$A$140&gt;35,CT145+CS146-DB145,IF(A146&lt;'Données projet'!$A$140,$CQ$205^A146,IF(A146='Données projet'!$A$140,'Données projet'!$B$140,CT145+CS146-DB145)))</f>
        <v>506.37900000000036</v>
      </c>
      <c r="CU146" s="17">
        <f>CT146*VLOOKUP('Données projet'!$B$13,Paramètres!$A$1:$I$89,3,0)*VLOOKUP('Données projet'!$B$13,Paramètres!$A$1:$I$89,5,0)</f>
        <v>481.87025640000036</v>
      </c>
      <c r="CV146" s="13">
        <f t="shared" si="149"/>
        <v>108.1904977981653</v>
      </c>
      <c r="CW146" s="20">
        <f t="shared" si="121"/>
        <v>1027.6891468951385</v>
      </c>
      <c r="CX146" s="59">
        <f t="shared" si="122"/>
        <v>1313.5168096724499</v>
      </c>
      <c r="CY146" s="59">
        <f ca="1">AVERAGE(OFFSET($CX$3,0,0,'Données projet'!$E$13+1,1))-AVERAGE(OFFSET($H$3,0,0,'Données projet'!$E$13+1,1))</f>
        <v>697.21496579281836</v>
      </c>
      <c r="CZ146" s="59">
        <f t="shared" si="150"/>
        <v>215.64914236153456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102.56394375655775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102.56394375655775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319</v>
      </c>
      <c r="DP146" s="17">
        <f>DO146*VLOOKUP('Données projet'!$B$14,Paramètres!$A$1:$I$89,3,0)*VLOOKUP('Données projet'!$B$14,Paramètres!$A$1:$I$89,5,0)</f>
        <v>278.67840000000001</v>
      </c>
      <c r="DQ146" s="13">
        <f t="shared" si="151"/>
        <v>66.687639951856809</v>
      </c>
      <c r="DR146" s="20">
        <f t="shared" si="124"/>
        <v>601.51251958281728</v>
      </c>
      <c r="DS146" s="59">
        <f t="shared" si="125"/>
        <v>887.34018236012867</v>
      </c>
      <c r="DT146" s="59">
        <f ca="1">AVERAGE(OFFSET($DS$3,0,0,'Données projet'!$E$14+1,1))-AVERAGE(OFFSET($H$3,0,0,'Données projet'!$E$14+1,1))</f>
        <v>408.24135864450221</v>
      </c>
      <c r="DU146" s="59">
        <f t="shared" si="152"/>
        <v>394.10236303013903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16.765485091954712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16.765485091954712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853.00000000000011</v>
      </c>
      <c r="O147" s="13">
        <f>N147*VLOOKUP('Données projet'!$B$9,Paramètres!$A$1:$I$89,3,0)*VLOOKUP('Données projet'!$B$9,Paramètres!$A$1:$I$89,5,0)</f>
        <v>399.20400000000006</v>
      </c>
      <c r="P147" s="13">
        <f t="shared" si="141"/>
        <v>91.615269732888521</v>
      </c>
      <c r="Q147" s="20">
        <f t="shared" si="108"/>
        <v>854.8435614514475</v>
      </c>
      <c r="R147" s="59">
        <f t="shared" si="109"/>
        <v>1140.8014308327404</v>
      </c>
      <c r="S147" s="59">
        <f ca="1">AVERAGE(OFFSET($R$3,0,0,'Données projet'!$E$9+1,1))-AVERAGE(OFFSET($H$3,0,0,'Données projet'!$E$9+1,1))</f>
        <v>512.58510468904342</v>
      </c>
      <c r="T147" s="59">
        <f t="shared" si="142"/>
        <v>443.6106696463529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39.019794134279294</v>
      </c>
      <c r="AA147" s="21">
        <f>EXP(-LN(2)/25)*AA146+(1-EXP(-LN(2)/25))/(LN(2)/25)*Calculateur!V147*Calculateur!X147*VLOOKUP('Données projet'!$B$9,Paramètres!$A$1:$I$89,3,0)*0.475*44/12</f>
        <v>2.0767630014337541</v>
      </c>
      <c r="AB147" s="21">
        <f>EXP(-LN(2)/2)*AB146+(1-EXP(-LN(2)/2))/(LN(2)/2)*V147*Y147*VLOOKUP('Données projet'!$B$9,Paramètres!$A$1:$I$89,3,0)*0.475*44/12</f>
        <v>5.6301211624400462E-18</v>
      </c>
      <c r="AC147" s="22">
        <f t="shared" si="111"/>
        <v>41.096557135713049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311.298</v>
      </c>
      <c r="AK147" s="13">
        <f t="shared" si="143"/>
        <v>73.539838278528748</v>
      </c>
      <c r="AL147" s="20">
        <f t="shared" si="112"/>
        <v>670.25923500177089</v>
      </c>
      <c r="AM147" s="59">
        <f t="shared" si="113"/>
        <v>956.21710438306377</v>
      </c>
      <c r="AN147" s="59">
        <f ca="1">AVERAGE(OFFSET($AM$3,0,0,'Données projet'!$E$10+1,1))-AVERAGE(OFFSET($H$3,0,0,'Données projet'!$E$10+1,1))</f>
        <v>520.95202773768222</v>
      </c>
      <c r="AO147" s="59">
        <f t="shared" si="144"/>
        <v>325.72635759450861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63.165932237344542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63.165932237344542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689</v>
      </c>
      <c r="BE147" s="13">
        <f>BD147*VLOOKUP('Données projet'!$B$11,Paramètres!$A$1:$I$89,3,0)*VLOOKUP('Données projet'!$B$11,Paramètres!$A$1:$I$89,5,0)</f>
        <v>412.02199999999999</v>
      </c>
      <c r="BF147" s="13">
        <f t="shared" si="145"/>
        <v>94.209724877926391</v>
      </c>
      <c r="BG147" s="20">
        <f t="shared" si="115"/>
        <v>881.686920829055</v>
      </c>
      <c r="BH147" s="59">
        <f t="shared" si="116"/>
        <v>1167.6447902103478</v>
      </c>
      <c r="BI147" s="59">
        <f ca="1">AVERAGE(OFFSET($BH$3,0,0,'Données projet'!$E$11+1,1))-AVERAGE(OFFSET($H$3,0,0,'Données projet'!$E$11+1,1))</f>
        <v>528.71639224940395</v>
      </c>
      <c r="BJ147" s="59">
        <f t="shared" si="146"/>
        <v>460.93390058676493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27.555034620279724</v>
      </c>
      <c r="BQ147" s="21">
        <f>EXP(-LN(2)/25)*BQ146+(1-EXP(-LN(2)/25))/(LN(2)/25)*Calculateur!BL147*Calculateur!BN147*VLOOKUP('Données projet'!$B$11,Paramètres!$A$1:$I$89,3,0)*0.475*44/12</f>
        <v>2.4961195716792544</v>
      </c>
      <c r="BR147" s="21">
        <f>EXP(-LN(2)/2)*BR146+(1-EXP(-LN(2)/2))/(LN(2)/2)*BL147*BO147*VLOOKUP('Données projet'!$B$11,Paramètres!$A$1:$I$89,3,0)*0.475*44/12</f>
        <v>3.6335407784069329E-19</v>
      </c>
      <c r="BS147" s="22">
        <f t="shared" si="117"/>
        <v>30.051154191958979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267</v>
      </c>
      <c r="BZ147" s="13">
        <f>BY147*VLOOKUP('Données projet'!$B$12,Paramètres!$A$1:$I$89,3,0)*VLOOKUP('Données projet'!$B$12,Paramètres!$A$1:$I$89,5,0)</f>
        <v>241.58159999999998</v>
      </c>
      <c r="CA147" s="13">
        <f t="shared" si="147"/>
        <v>58.779689232021951</v>
      </c>
      <c r="CB147" s="20">
        <f t="shared" si="118"/>
        <v>523.12924541243819</v>
      </c>
      <c r="CC147" s="59">
        <f t="shared" si="119"/>
        <v>809.08711479373108</v>
      </c>
      <c r="CD147" s="59">
        <f ca="1">AVERAGE(OFFSET($CC$3,0,0,'Données projet'!$E$12+1,1))-AVERAGE(OFFSET($H$3,0,0,'Données projet'!$E$12+1,1))</f>
        <v>398.11190027805549</v>
      </c>
      <c r="CE147" s="59">
        <f t="shared" si="148"/>
        <v>250.47702091764884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42.561714502569515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42.561714502569515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8.561000000000007</v>
      </c>
      <c r="CS147" s="12">
        <f t="array" ref="CS147">INDEX(CR:CR,MIN(IF(ISNUMBER(CR147:CR343),ROW(CR147:CR343),"")))</f>
        <v>8.561000000000007</v>
      </c>
      <c r="CT147" s="12">
        <f>IF('Données projet'!$A$140&gt;35,CT146+CS147-DB146,IF(A147&lt;'Données projet'!$A$140,$CQ$205^A147,IF(A147='Données projet'!$A$140,'Données projet'!$B$140,CT146+CS147-DB146)))</f>
        <v>514.9400000000004</v>
      </c>
      <c r="CU147" s="17">
        <f>CT147*VLOOKUP('Données projet'!$B$13,Paramètres!$A$1:$I$89,3,0)*VLOOKUP('Données projet'!$B$13,Paramètres!$A$1:$I$89,5,0)</f>
        <v>490.01690400000041</v>
      </c>
      <c r="CV147" s="13">
        <f t="shared" si="149"/>
        <v>109.80511200903999</v>
      </c>
      <c r="CW147" s="20">
        <f t="shared" si="121"/>
        <v>1044.6900112157455</v>
      </c>
      <c r="CX147" s="59">
        <f t="shared" si="122"/>
        <v>1330.6478805970382</v>
      </c>
      <c r="CY147" s="59">
        <f ca="1">AVERAGE(OFFSET($CX$3,0,0,'Données projet'!$E$13+1,1))-AVERAGE(OFFSET($H$3,0,0,'Données projet'!$E$13+1,1))</f>
        <v>697.21496579281836</v>
      </c>
      <c r="CZ147" s="59">
        <f t="shared" si="150"/>
        <v>215.64914236153456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0.43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125.88858279443528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125.88858279443528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319</v>
      </c>
      <c r="DP147" s="17">
        <f>DO147*VLOOKUP('Données projet'!$B$14,Paramètres!$A$1:$I$89,3,0)*VLOOKUP('Données projet'!$B$14,Paramètres!$A$1:$I$89,5,0)</f>
        <v>278.67840000000001</v>
      </c>
      <c r="DQ147" s="13">
        <f t="shared" si="151"/>
        <v>66.687639951856809</v>
      </c>
      <c r="DR147" s="20">
        <f t="shared" si="124"/>
        <v>601.51251958281728</v>
      </c>
      <c r="DS147" s="59">
        <f t="shared" si="125"/>
        <v>887.47038896411016</v>
      </c>
      <c r="DT147" s="59">
        <f ca="1">AVERAGE(OFFSET($DS$3,0,0,'Données projet'!$E$14+1,1))-AVERAGE(OFFSET($H$3,0,0,'Données projet'!$E$14+1,1))</f>
        <v>408.24135864450221</v>
      </c>
      <c r="DU147" s="59">
        <f t="shared" si="152"/>
        <v>394.10236303013903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16.436724155237659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16.436724155237659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853.00000000000011</v>
      </c>
      <c r="O148" s="13">
        <f>N148*VLOOKUP('Données projet'!$B$9,Paramètres!$A$1:$I$89,3,0)*VLOOKUP('Données projet'!$B$9,Paramètres!$A$1:$I$89,5,0)</f>
        <v>399.20400000000006</v>
      </c>
      <c r="P148" s="13">
        <f t="shared" si="141"/>
        <v>91.615269732888521</v>
      </c>
      <c r="Q148" s="20">
        <f t="shared" si="108"/>
        <v>854.8435614514475</v>
      </c>
      <c r="R148" s="59">
        <f t="shared" si="109"/>
        <v>1140.9293786432411</v>
      </c>
      <c r="S148" s="59">
        <f ca="1">AVERAGE(OFFSET($R$3,0,0,'Données projet'!$E$9+1,1))-AVERAGE(OFFSET($H$3,0,0,'Données projet'!$E$9+1,1))</f>
        <v>512.58510468904342</v>
      </c>
      <c r="T148" s="59">
        <f t="shared" si="142"/>
        <v>443.6106696463529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38.254639771030469</v>
      </c>
      <c r="AA148" s="21">
        <f>EXP(-LN(2)/25)*AA147+(1-EXP(-LN(2)/25))/(LN(2)/25)*Calculateur!V148*Calculateur!X148*VLOOKUP('Données projet'!$B$9,Paramètres!$A$1:$I$89,3,0)*0.475*44/12</f>
        <v>2.0199738079473284</v>
      </c>
      <c r="AB148" s="21">
        <f>EXP(-LN(2)/2)*AB147+(1-EXP(-LN(2)/2))/(LN(2)/2)*V148*Y148*VLOOKUP('Données projet'!$B$9,Paramètres!$A$1:$I$89,3,0)*0.475*44/12</f>
        <v>3.9810968528632442E-18</v>
      </c>
      <c r="AC148" s="22">
        <f t="shared" si="111"/>
        <v>40.274613578977799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311.298</v>
      </c>
      <c r="AK148" s="13">
        <f t="shared" si="143"/>
        <v>73.539838278528748</v>
      </c>
      <c r="AL148" s="20">
        <f t="shared" si="112"/>
        <v>670.25923500177089</v>
      </c>
      <c r="AM148" s="59">
        <f t="shared" si="113"/>
        <v>956.34505219356447</v>
      </c>
      <c r="AN148" s="59">
        <f ca="1">AVERAGE(OFFSET($AM$3,0,0,'Données projet'!$E$10+1,1))-AVERAGE(OFFSET($H$3,0,0,'Données projet'!$E$10+1,1))</f>
        <v>520.95202773768222</v>
      </c>
      <c r="AO148" s="59">
        <f t="shared" si="144"/>
        <v>325.72635759450861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61.927286833584617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61.927286833584617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689</v>
      </c>
      <c r="BE148" s="13">
        <f>BD148*VLOOKUP('Données projet'!$B$11,Paramètres!$A$1:$I$89,3,0)*VLOOKUP('Données projet'!$B$11,Paramètres!$A$1:$I$89,5,0)</f>
        <v>412.02199999999999</v>
      </c>
      <c r="BF148" s="13">
        <f t="shared" si="145"/>
        <v>94.209724877926391</v>
      </c>
      <c r="BG148" s="20">
        <f t="shared" si="115"/>
        <v>881.686920829055</v>
      </c>
      <c r="BH148" s="59">
        <f t="shared" si="116"/>
        <v>1167.7727380208485</v>
      </c>
      <c r="BI148" s="59">
        <f ca="1">AVERAGE(OFFSET($BH$3,0,0,'Données projet'!$E$11+1,1))-AVERAGE(OFFSET($H$3,0,0,'Données projet'!$E$11+1,1))</f>
        <v>528.71639224940395</v>
      </c>
      <c r="BJ148" s="59">
        <f t="shared" si="146"/>
        <v>460.93390058676493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27.01469719828761</v>
      </c>
      <c r="BQ148" s="21">
        <f>EXP(-LN(2)/25)*BQ147+(1-EXP(-LN(2)/25))/(LN(2)/25)*Calculateur!BL148*Calculateur!BN148*VLOOKUP('Données projet'!$B$11,Paramètres!$A$1:$I$89,3,0)*0.475*44/12</f>
        <v>2.427863050726462</v>
      </c>
      <c r="BR148" s="21">
        <f>EXP(-LN(2)/2)*BR147+(1-EXP(-LN(2)/2))/(LN(2)/2)*BL148*BO148*VLOOKUP('Données projet'!$B$11,Paramètres!$A$1:$I$89,3,0)*0.475*44/12</f>
        <v>2.5693013241293886E-19</v>
      </c>
      <c r="BS148" s="22">
        <f t="shared" si="117"/>
        <v>29.442560249014072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267</v>
      </c>
      <c r="BZ148" s="13">
        <f>BY148*VLOOKUP('Données projet'!$B$12,Paramètres!$A$1:$I$89,3,0)*VLOOKUP('Données projet'!$B$12,Paramètres!$A$1:$I$89,5,0)</f>
        <v>241.58159999999998</v>
      </c>
      <c r="CA148" s="13">
        <f t="shared" si="147"/>
        <v>58.779689232021951</v>
      </c>
      <c r="CB148" s="20">
        <f t="shared" si="118"/>
        <v>523.12924541243819</v>
      </c>
      <c r="CC148" s="59">
        <f t="shared" si="119"/>
        <v>809.21506260423178</v>
      </c>
      <c r="CD148" s="59">
        <f ca="1">AVERAGE(OFFSET($CC$3,0,0,'Données projet'!$E$12+1,1))-AVERAGE(OFFSET($H$3,0,0,'Données projet'!$E$12+1,1))</f>
        <v>398.11190027805549</v>
      </c>
      <c r="CE148" s="59">
        <f t="shared" si="148"/>
        <v>250.47702091764884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41.727105241256631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41.727105241256631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8.7559999999999949</v>
      </c>
      <c r="CT148" s="12">
        <f>IF('Données projet'!$A$140&gt;35,CT147+CS148-DB147,IF(A148&lt;'Données projet'!$A$140,$CQ$205^A148,IF(A148='Données projet'!$A$140,'Données projet'!$B$140,CT147+CS148-DB147)))</f>
        <v>467.68600000000038</v>
      </c>
      <c r="CU148" s="17">
        <f>CT148*VLOOKUP('Données projet'!$B$13,Paramètres!$A$1:$I$89,3,0)*VLOOKUP('Données projet'!$B$13,Paramètres!$A$1:$I$89,5,0)</f>
        <v>445.04999760000032</v>
      </c>
      <c r="CV148" s="13">
        <f t="shared" si="149"/>
        <v>100.85236414117045</v>
      </c>
      <c r="CW148" s="20">
        <f t="shared" si="121"/>
        <v>950.77994669920588</v>
      </c>
      <c r="CX148" s="59">
        <f t="shared" si="122"/>
        <v>1236.8657638909995</v>
      </c>
      <c r="CY148" s="59">
        <f ca="1">AVERAGE(OFFSET($CX$3,0,0,'Données projet'!$E$13+1,1))-AVERAGE(OFFSET($H$3,0,0,'Données projet'!$E$13+1,1))</f>
        <v>697.21496579281836</v>
      </c>
      <c r="CZ148" s="59">
        <f t="shared" si="150"/>
        <v>215.64914236153456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123.41998447029007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123.41998447029007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319</v>
      </c>
      <c r="DP148" s="17">
        <f>DO148*VLOOKUP('Données projet'!$B$14,Paramètres!$A$1:$I$89,3,0)*VLOOKUP('Données projet'!$B$14,Paramètres!$A$1:$I$89,5,0)</f>
        <v>278.67840000000001</v>
      </c>
      <c r="DQ148" s="13">
        <f t="shared" si="151"/>
        <v>66.687639951856809</v>
      </c>
      <c r="DR148" s="20">
        <f t="shared" si="124"/>
        <v>601.51251958281728</v>
      </c>
      <c r="DS148" s="59">
        <f t="shared" si="125"/>
        <v>887.59833677461086</v>
      </c>
      <c r="DT148" s="59">
        <f ca="1">AVERAGE(OFFSET($DS$3,0,0,'Données projet'!$E$14+1,1))-AVERAGE(OFFSET($H$3,0,0,'Données projet'!$E$14+1,1))</f>
        <v>408.24135864450221</v>
      </c>
      <c r="DU148" s="59">
        <f t="shared" si="152"/>
        <v>394.10236303013903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16.114410019965256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16.114410019965256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853.00000000000011</v>
      </c>
      <c r="O149" s="13">
        <f>N149*VLOOKUP('Données projet'!$B$9,Paramètres!$A$1:$I$89,3,0)*VLOOKUP('Données projet'!$B$9,Paramètres!$A$1:$I$89,5,0)</f>
        <v>399.20400000000006</v>
      </c>
      <c r="P149" s="13">
        <f t="shared" si="141"/>
        <v>91.615269732888521</v>
      </c>
      <c r="Q149" s="20">
        <f t="shared" si="108"/>
        <v>854.8435614514475</v>
      </c>
      <c r="R149" s="59">
        <f t="shared" si="109"/>
        <v>1141.0551068452783</v>
      </c>
      <c r="S149" s="59">
        <f ca="1">AVERAGE(OFFSET($R$3,0,0,'Données projet'!$E$9+1,1))-AVERAGE(OFFSET($H$3,0,0,'Données projet'!$E$9+1,1))</f>
        <v>512.58510468904342</v>
      </c>
      <c r="T149" s="59">
        <f t="shared" si="142"/>
        <v>443.6106696463529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37.504489618146877</v>
      </c>
      <c r="AA149" s="21">
        <f>EXP(-LN(2)/25)*AA148+(1-EXP(-LN(2)/25))/(LN(2)/25)*Calculateur!V149*Calculateur!X149*VLOOKUP('Données projet'!$B$9,Paramètres!$A$1:$I$89,3,0)*0.475*44/12</f>
        <v>1.9647375179432029</v>
      </c>
      <c r="AB149" s="21">
        <f>EXP(-LN(2)/2)*AB148+(1-EXP(-LN(2)/2))/(LN(2)/2)*V149*Y149*VLOOKUP('Données projet'!$B$9,Paramètres!$A$1:$I$89,3,0)*0.475*44/12</f>
        <v>2.8150605812200231E-18</v>
      </c>
      <c r="AC149" s="22">
        <f t="shared" si="111"/>
        <v>39.469227136090083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311.298</v>
      </c>
      <c r="AK149" s="13">
        <f t="shared" si="143"/>
        <v>73.539838278528748</v>
      </c>
      <c r="AL149" s="20">
        <f t="shared" si="112"/>
        <v>670.25923500177089</v>
      </c>
      <c r="AM149" s="59">
        <f t="shared" si="113"/>
        <v>956.47078039560154</v>
      </c>
      <c r="AN149" s="59">
        <f ca="1">AVERAGE(OFFSET($AM$3,0,0,'Données projet'!$E$10+1,1))-AVERAGE(OFFSET($H$3,0,0,'Données projet'!$E$10+1,1))</f>
        <v>520.95202773768222</v>
      </c>
      <c r="AO149" s="59">
        <f t="shared" si="144"/>
        <v>325.72635759450861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60.712930510693326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60.712930510693326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689</v>
      </c>
      <c r="BE149" s="13">
        <f>BD149*VLOOKUP('Données projet'!$B$11,Paramètres!$A$1:$I$89,3,0)*VLOOKUP('Données projet'!$B$11,Paramètres!$A$1:$I$89,5,0)</f>
        <v>412.02199999999999</v>
      </c>
      <c r="BF149" s="13">
        <f t="shared" si="145"/>
        <v>94.209724877926391</v>
      </c>
      <c r="BG149" s="20">
        <f t="shared" si="115"/>
        <v>881.686920829055</v>
      </c>
      <c r="BH149" s="59">
        <f t="shared" si="116"/>
        <v>1167.8984662228856</v>
      </c>
      <c r="BI149" s="59">
        <f ca="1">AVERAGE(OFFSET($BH$3,0,0,'Données projet'!$E$11+1,1))-AVERAGE(OFFSET($H$3,0,0,'Données projet'!$E$11+1,1))</f>
        <v>528.71639224940395</v>
      </c>
      <c r="BJ149" s="59">
        <f t="shared" si="146"/>
        <v>460.93390058676493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26.484955463567481</v>
      </c>
      <c r="BQ149" s="21">
        <f>EXP(-LN(2)/25)*BQ148+(1-EXP(-LN(2)/25))/(LN(2)/25)*Calculateur!BL149*Calculateur!BN149*VLOOKUP('Données projet'!$B$11,Paramètres!$A$1:$I$89,3,0)*0.475*44/12</f>
        <v>2.3614730079285779</v>
      </c>
      <c r="BR149" s="21">
        <f>EXP(-LN(2)/2)*BR148+(1-EXP(-LN(2)/2))/(LN(2)/2)*BL149*BO149*VLOOKUP('Données projet'!$B$11,Paramètres!$A$1:$I$89,3,0)*0.475*44/12</f>
        <v>1.8167703892034665E-19</v>
      </c>
      <c r="BS149" s="22">
        <f t="shared" si="117"/>
        <v>28.846428471496058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267</v>
      </c>
      <c r="BZ149" s="13">
        <f>BY149*VLOOKUP('Données projet'!$B$12,Paramètres!$A$1:$I$89,3,0)*VLOOKUP('Données projet'!$B$12,Paramètres!$A$1:$I$89,5,0)</f>
        <v>241.58159999999998</v>
      </c>
      <c r="CA149" s="13">
        <f t="shared" si="147"/>
        <v>58.779689232021951</v>
      </c>
      <c r="CB149" s="20">
        <f t="shared" si="118"/>
        <v>523.12924541243819</v>
      </c>
      <c r="CC149" s="59">
        <f t="shared" si="119"/>
        <v>809.34079080626884</v>
      </c>
      <c r="CD149" s="59">
        <f ca="1">AVERAGE(OFFSET($CC$3,0,0,'Données projet'!$E$12+1,1))-AVERAGE(OFFSET($H$3,0,0,'Données projet'!$E$12+1,1))</f>
        <v>398.11190027805549</v>
      </c>
      <c r="CE149" s="59">
        <f t="shared" si="148"/>
        <v>250.47702091764884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40.908862158496703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40.908862158496703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8.7559999999999949</v>
      </c>
      <c r="CT149" s="12">
        <f>IF('Données projet'!$A$140&gt;35,CT148+CS149-DB148,IF(A149&lt;'Données projet'!$A$140,$CQ$205^A149,IF(A149='Données projet'!$A$140,'Données projet'!$B$140,CT148+CS149-DB148)))</f>
        <v>476.44200000000035</v>
      </c>
      <c r="CU149" s="17">
        <f>CT149*VLOOKUP('Données projet'!$B$13,Paramètres!$A$1:$I$89,3,0)*VLOOKUP('Données projet'!$B$13,Paramètres!$A$1:$I$89,5,0)</f>
        <v>453.38220720000038</v>
      </c>
      <c r="CV149" s="13">
        <f t="shared" si="149"/>
        <v>102.51893187267257</v>
      </c>
      <c r="CW149" s="20">
        <f t="shared" si="121"/>
        <v>968.19448388490548</v>
      </c>
      <c r="CX149" s="59">
        <f t="shared" si="122"/>
        <v>1254.4060292787362</v>
      </c>
      <c r="CY149" s="59">
        <f ca="1">AVERAGE(OFFSET($CX$3,0,0,'Données projet'!$E$13+1,1))-AVERAGE(OFFSET($H$3,0,0,'Données projet'!$E$13+1,1))</f>
        <v>697.21496579281836</v>
      </c>
      <c r="CZ149" s="59">
        <f t="shared" si="150"/>
        <v>215.64914236153456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120.99979385358505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120.99979385358505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319</v>
      </c>
      <c r="DP149" s="17">
        <f>DO149*VLOOKUP('Données projet'!$B$14,Paramètres!$A$1:$I$89,3,0)*VLOOKUP('Données projet'!$B$14,Paramètres!$A$1:$I$89,5,0)</f>
        <v>278.67840000000001</v>
      </c>
      <c r="DQ149" s="13">
        <f t="shared" si="151"/>
        <v>66.687639951856809</v>
      </c>
      <c r="DR149" s="20">
        <f t="shared" si="124"/>
        <v>601.51251958281728</v>
      </c>
      <c r="DS149" s="59">
        <f t="shared" si="125"/>
        <v>887.72406497664792</v>
      </c>
      <c r="DT149" s="59">
        <f ca="1">AVERAGE(OFFSET($DS$3,0,0,'Données projet'!$E$14+1,1))-AVERAGE(OFFSET($H$3,0,0,'Données projet'!$E$14+1,1))</f>
        <v>408.24135864450221</v>
      </c>
      <c r="DU149" s="59">
        <f t="shared" si="152"/>
        <v>394.10236303013903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15.798416268293334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15.798416268293334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853.00000000000011</v>
      </c>
      <c r="O150" s="13">
        <f>N150*VLOOKUP('Données projet'!$B$9,Paramètres!$A$1:$I$89,3,0)*VLOOKUP('Données projet'!$B$9,Paramètres!$A$1:$I$89,5,0)</f>
        <v>399.20400000000006</v>
      </c>
      <c r="P150" s="13">
        <f t="shared" si="141"/>
        <v>91.615269732888521</v>
      </c>
      <c r="Q150" s="20">
        <f t="shared" si="108"/>
        <v>854.8435614514475</v>
      </c>
      <c r="R150" s="59">
        <f t="shared" si="109"/>
        <v>1141.1786539440959</v>
      </c>
      <c r="S150" s="59">
        <f ca="1">AVERAGE(OFFSET($R$3,0,0,'Données projet'!$E$9+1,1))-AVERAGE(OFFSET($H$3,0,0,'Données projet'!$E$9+1,1))</f>
        <v>512.58510468904342</v>
      </c>
      <c r="T150" s="59">
        <f t="shared" si="142"/>
        <v>443.6106696463529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36.769049452214915</v>
      </c>
      <c r="AA150" s="21">
        <f>EXP(-LN(2)/25)*AA149+(1-EXP(-LN(2)/25))/(LN(2)/25)*Calculateur!V150*Calculateur!X150*VLOOKUP('Données projet'!$B$9,Paramètres!$A$1:$I$89,3,0)*0.475*44/12</f>
        <v>1.9110116671939905</v>
      </c>
      <c r="AB150" s="21">
        <f>EXP(-LN(2)/2)*AB149+(1-EXP(-LN(2)/2))/(LN(2)/2)*V150*Y150*VLOOKUP('Données projet'!$B$9,Paramètres!$A$1:$I$89,3,0)*0.475*44/12</f>
        <v>1.9905484264316221E-18</v>
      </c>
      <c r="AC150" s="22">
        <f t="shared" si="111"/>
        <v>38.680061119408904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311.298</v>
      </c>
      <c r="AK150" s="13">
        <f t="shared" si="143"/>
        <v>73.539838278528748</v>
      </c>
      <c r="AL150" s="20">
        <f t="shared" si="112"/>
        <v>670.25923500177089</v>
      </c>
      <c r="AM150" s="59">
        <f t="shared" si="113"/>
        <v>956.5943274944193</v>
      </c>
      <c r="AN150" s="59">
        <f ca="1">AVERAGE(OFFSET($AM$3,0,0,'Données projet'!$E$10+1,1))-AVERAGE(OFFSET($H$3,0,0,'Données projet'!$E$10+1,1))</f>
        <v>520.95202773768222</v>
      </c>
      <c r="AO150" s="59">
        <f t="shared" si="144"/>
        <v>325.72635759450861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59.522386974609709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59.522386974609709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689</v>
      </c>
      <c r="BE150" s="13">
        <f>BD150*VLOOKUP('Données projet'!$B$11,Paramètres!$A$1:$I$89,3,0)*VLOOKUP('Données projet'!$B$11,Paramètres!$A$1:$I$89,5,0)</f>
        <v>412.02199999999999</v>
      </c>
      <c r="BF150" s="13">
        <f t="shared" si="145"/>
        <v>94.209724877926391</v>
      </c>
      <c r="BG150" s="20">
        <f t="shared" si="115"/>
        <v>881.686920829055</v>
      </c>
      <c r="BH150" s="59">
        <f t="shared" si="116"/>
        <v>1168.0220133217035</v>
      </c>
      <c r="BI150" s="59">
        <f ca="1">AVERAGE(OFFSET($BH$3,0,0,'Données projet'!$E$11+1,1))-AVERAGE(OFFSET($H$3,0,0,'Données projet'!$E$11+1,1))</f>
        <v>528.71639224940395</v>
      </c>
      <c r="BJ150" s="59">
        <f t="shared" si="146"/>
        <v>460.93390058676493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25.965601641154656</v>
      </c>
      <c r="BQ150" s="21">
        <f>EXP(-LN(2)/25)*BQ149+(1-EXP(-LN(2)/25))/(LN(2)/25)*Calculateur!BL150*Calculateur!BN150*VLOOKUP('Données projet'!$B$11,Paramètres!$A$1:$I$89,3,0)*0.475*44/12</f>
        <v>2.2968984043423029</v>
      </c>
      <c r="BR150" s="21">
        <f>EXP(-LN(2)/2)*BR149+(1-EXP(-LN(2)/2))/(LN(2)/2)*BL150*BO150*VLOOKUP('Données projet'!$B$11,Paramètres!$A$1:$I$89,3,0)*0.475*44/12</f>
        <v>1.2846506620646943E-19</v>
      </c>
      <c r="BS150" s="22">
        <f t="shared" si="117"/>
        <v>28.26250004549696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267</v>
      </c>
      <c r="BZ150" s="13">
        <f>BY150*VLOOKUP('Données projet'!$B$12,Paramètres!$A$1:$I$89,3,0)*VLOOKUP('Données projet'!$B$12,Paramètres!$A$1:$I$89,5,0)</f>
        <v>241.58159999999998</v>
      </c>
      <c r="CA150" s="13">
        <f t="shared" si="147"/>
        <v>58.779689232021951</v>
      </c>
      <c r="CB150" s="20">
        <f t="shared" si="118"/>
        <v>523.12924541243819</v>
      </c>
      <c r="CC150" s="59">
        <f t="shared" si="119"/>
        <v>809.46433790508661</v>
      </c>
      <c r="CD150" s="59">
        <f ca="1">AVERAGE(OFFSET($CC$3,0,0,'Données projet'!$E$12+1,1))-AVERAGE(OFFSET($H$3,0,0,'Données projet'!$E$12+1,1))</f>
        <v>398.11190027805549</v>
      </c>
      <c r="CE150" s="59">
        <f t="shared" si="148"/>
        <v>250.47702091764884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40.106664323510699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40.106664323510699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8.7559999999999949</v>
      </c>
      <c r="CT150" s="12">
        <f>IF('Données projet'!$A$140&gt;35,CT149+CS150-DB149,IF(A150&lt;'Données projet'!$A$140,$CQ$205^A150,IF(A150='Données projet'!$A$140,'Données projet'!$B$140,CT149+CS150-DB149)))</f>
        <v>485.19800000000032</v>
      </c>
      <c r="CU150" s="17">
        <f>CT150*VLOOKUP('Données projet'!$B$13,Paramètres!$A$1:$I$89,3,0)*VLOOKUP('Données projet'!$B$13,Paramètres!$A$1:$I$89,5,0)</f>
        <v>461.71441680000027</v>
      </c>
      <c r="CV150" s="13">
        <f t="shared" si="149"/>
        <v>104.18193810316261</v>
      </c>
      <c r="CW150" s="20">
        <f t="shared" si="121"/>
        <v>985.60281812300855</v>
      </c>
      <c r="CX150" s="59">
        <f t="shared" si="122"/>
        <v>1271.9379106156571</v>
      </c>
      <c r="CY150" s="59">
        <f ca="1">AVERAGE(OFFSET($CX$3,0,0,'Données projet'!$E$13+1,1))-AVERAGE(OFFSET($H$3,0,0,'Données projet'!$E$13+1,1))</f>
        <v>697.21496579281836</v>
      </c>
      <c r="CZ150" s="59">
        <f t="shared" si="150"/>
        <v>215.64914236153456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118.62706169870309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118.62706169870309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319</v>
      </c>
      <c r="DP150" s="17">
        <f>DO150*VLOOKUP('Données projet'!$B$14,Paramètres!$A$1:$I$89,3,0)*VLOOKUP('Données projet'!$B$14,Paramètres!$A$1:$I$89,5,0)</f>
        <v>278.67840000000001</v>
      </c>
      <c r="DQ150" s="13">
        <f t="shared" si="151"/>
        <v>66.687639951856809</v>
      </c>
      <c r="DR150" s="20">
        <f t="shared" si="124"/>
        <v>601.51251958281728</v>
      </c>
      <c r="DS150" s="59">
        <f t="shared" si="125"/>
        <v>887.84761207546569</v>
      </c>
      <c r="DT150" s="59">
        <f ca="1">AVERAGE(OFFSET($DS$3,0,0,'Données projet'!$E$14+1,1))-AVERAGE(OFFSET($H$3,0,0,'Données projet'!$E$14+1,1))</f>
        <v>408.24135864450221</v>
      </c>
      <c r="DU150" s="59">
        <f t="shared" si="152"/>
        <v>394.10236303013903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15.488618961354542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15.488618961354542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853.00000000000011</v>
      </c>
      <c r="O151" s="13">
        <f>N151*VLOOKUP('Données projet'!$B$9,Paramètres!$A$1:$I$89,3,0)*VLOOKUP('Données projet'!$B$9,Paramètres!$A$1:$I$89,5,0)</f>
        <v>399.20400000000006</v>
      </c>
      <c r="P151" s="13">
        <f t="shared" si="141"/>
        <v>91.615269732888521</v>
      </c>
      <c r="Q151" s="20">
        <f t="shared" si="108"/>
        <v>854.8435614514475</v>
      </c>
      <c r="R151" s="59">
        <f t="shared" si="109"/>
        <v>1141.3000577769592</v>
      </c>
      <c r="S151" s="59">
        <f ca="1">AVERAGE(OFFSET($R$3,0,0,'Données projet'!$E$9+1,1))-AVERAGE(OFFSET($H$3,0,0,'Données projet'!$E$9+1,1))</f>
        <v>512.58510468904342</v>
      </c>
      <c r="T151" s="59">
        <f t="shared" si="142"/>
        <v>443.6106696463529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36.048030819362673</v>
      </c>
      <c r="AA151" s="21">
        <f>EXP(-LN(2)/25)*AA150+(1-EXP(-LN(2)/25))/(LN(2)/25)*Calculateur!V151*Calculateur!X151*VLOOKUP('Données projet'!$B$9,Paramètres!$A$1:$I$89,3,0)*0.475*44/12</f>
        <v>1.8587549526588349</v>
      </c>
      <c r="AB151" s="21">
        <f>EXP(-LN(2)/2)*AB150+(1-EXP(-LN(2)/2))/(LN(2)/2)*V151*Y151*VLOOKUP('Données projet'!$B$9,Paramètres!$A$1:$I$89,3,0)*0.475*44/12</f>
        <v>1.4075302906100116E-18</v>
      </c>
      <c r="AC151" s="22">
        <f t="shared" si="111"/>
        <v>37.906785772021507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311.298</v>
      </c>
      <c r="AK151" s="13">
        <f t="shared" si="143"/>
        <v>73.539838278528748</v>
      </c>
      <c r="AL151" s="20">
        <f t="shared" si="112"/>
        <v>670.25923500177089</v>
      </c>
      <c r="AM151" s="59">
        <f t="shared" si="113"/>
        <v>956.71573132728258</v>
      </c>
      <c r="AN151" s="59">
        <f ca="1">AVERAGE(OFFSET($AM$3,0,0,'Données projet'!$E$10+1,1))-AVERAGE(OFFSET($H$3,0,0,'Données projet'!$E$10+1,1))</f>
        <v>520.95202773768222</v>
      </c>
      <c r="AO151" s="59">
        <f t="shared" si="144"/>
        <v>325.72635759450861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58.355189271108841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58.355189271108841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689</v>
      </c>
      <c r="BE151" s="13">
        <f>BD151*VLOOKUP('Données projet'!$B$11,Paramètres!$A$1:$I$89,3,0)*VLOOKUP('Données projet'!$B$11,Paramètres!$A$1:$I$89,5,0)</f>
        <v>412.02199999999999</v>
      </c>
      <c r="BF151" s="13">
        <f t="shared" si="145"/>
        <v>94.209724877926391</v>
      </c>
      <c r="BG151" s="20">
        <f t="shared" si="115"/>
        <v>881.686920829055</v>
      </c>
      <c r="BH151" s="59">
        <f t="shared" si="116"/>
        <v>1168.1434171545666</v>
      </c>
      <c r="BI151" s="59">
        <f ca="1">AVERAGE(OFFSET($BH$3,0,0,'Données projet'!$E$11+1,1))-AVERAGE(OFFSET($H$3,0,0,'Données projet'!$E$11+1,1))</f>
        <v>528.71639224940395</v>
      </c>
      <c r="BJ151" s="59">
        <f t="shared" si="146"/>
        <v>460.93390058676493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25.456432030424796</v>
      </c>
      <c r="BQ151" s="21">
        <f>EXP(-LN(2)/25)*BQ150+(1-EXP(-LN(2)/25))/(LN(2)/25)*Calculateur!BL151*Calculateur!BN151*VLOOKUP('Données projet'!$B$11,Paramètres!$A$1:$I$89,3,0)*0.475*44/12</f>
        <v>2.2340895966869252</v>
      </c>
      <c r="BR151" s="21">
        <f>EXP(-LN(2)/2)*BR150+(1-EXP(-LN(2)/2))/(LN(2)/2)*BL151*BO151*VLOOKUP('Données projet'!$B$11,Paramètres!$A$1:$I$89,3,0)*0.475*44/12</f>
        <v>9.0838519460173323E-20</v>
      </c>
      <c r="BS151" s="22">
        <f t="shared" si="117"/>
        <v>27.690521627111721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267</v>
      </c>
      <c r="BZ151" s="13">
        <f>BY151*VLOOKUP('Données projet'!$B$12,Paramètres!$A$1:$I$89,3,0)*VLOOKUP('Données projet'!$B$12,Paramètres!$A$1:$I$89,5,0)</f>
        <v>241.58159999999998</v>
      </c>
      <c r="CA151" s="13">
        <f t="shared" si="147"/>
        <v>58.779689232021951</v>
      </c>
      <c r="CB151" s="20">
        <f t="shared" si="118"/>
        <v>523.12924541243819</v>
      </c>
      <c r="CC151" s="59">
        <f t="shared" si="119"/>
        <v>809.58574173794989</v>
      </c>
      <c r="CD151" s="59">
        <f ca="1">AVERAGE(OFFSET($CC$3,0,0,'Données projet'!$E$12+1,1))-AVERAGE(OFFSET($H$3,0,0,'Données projet'!$E$12+1,1))</f>
        <v>398.11190027805549</v>
      </c>
      <c r="CE151" s="59">
        <f t="shared" si="148"/>
        <v>250.47702091764884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39.320197098776404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39.320197098776404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8.7559999999999949</v>
      </c>
      <c r="CT151" s="12">
        <f>IF('Données projet'!$A$140&gt;35,CT150+CS151-DB150,IF(A151&lt;'Données projet'!$A$140,$CQ$205^A151,IF(A151='Données projet'!$A$140,'Données projet'!$B$140,CT150+CS151-DB150)))</f>
        <v>493.95400000000029</v>
      </c>
      <c r="CU151" s="17">
        <f>CT151*VLOOKUP('Données projet'!$B$13,Paramètres!$A$1:$I$89,3,0)*VLOOKUP('Données projet'!$B$13,Paramètres!$A$1:$I$89,5,0)</f>
        <v>470.04662640000026</v>
      </c>
      <c r="CV151" s="13">
        <f t="shared" si="149"/>
        <v>105.84145451810926</v>
      </c>
      <c r="CW151" s="20">
        <f t="shared" si="121"/>
        <v>1003.0050742657073</v>
      </c>
      <c r="CX151" s="59">
        <f t="shared" si="122"/>
        <v>1289.461570591219</v>
      </c>
      <c r="CY151" s="59">
        <f ca="1">AVERAGE(OFFSET($CX$3,0,0,'Données projet'!$E$13+1,1))-AVERAGE(OFFSET($H$3,0,0,'Données projet'!$E$13+1,1))</f>
        <v>697.21496579281836</v>
      </c>
      <c r="CZ151" s="59">
        <f t="shared" si="150"/>
        <v>215.64914236153456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116.30085737415466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116.30085737415466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319</v>
      </c>
      <c r="DP151" s="17">
        <f>DO151*VLOOKUP('Données projet'!$B$14,Paramètres!$A$1:$I$89,3,0)*VLOOKUP('Données projet'!$B$14,Paramètres!$A$1:$I$89,5,0)</f>
        <v>278.67840000000001</v>
      </c>
      <c r="DQ151" s="13">
        <f t="shared" si="151"/>
        <v>66.687639951856809</v>
      </c>
      <c r="DR151" s="20">
        <f t="shared" si="124"/>
        <v>601.51251958281728</v>
      </c>
      <c r="DS151" s="59">
        <f t="shared" si="125"/>
        <v>887.96901590832897</v>
      </c>
      <c r="DT151" s="59">
        <f ca="1">AVERAGE(OFFSET($DS$3,0,0,'Données projet'!$E$14+1,1))-AVERAGE(OFFSET($H$3,0,0,'Données projet'!$E$14+1,1))</f>
        <v>408.24135864450221</v>
      </c>
      <c r="DU151" s="59">
        <f t="shared" si="152"/>
        <v>394.10236303013903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15.184896590647119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15.184896590647119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853.00000000000011</v>
      </c>
      <c r="O152" s="13">
        <f>N152*VLOOKUP('Données projet'!$B$9,Paramètres!$A$1:$I$89,3,0)*VLOOKUP('Données projet'!$B$9,Paramètres!$A$1:$I$89,5,0)</f>
        <v>399.20400000000006</v>
      </c>
      <c r="P152" s="13">
        <f t="shared" si="141"/>
        <v>91.615269732888521</v>
      </c>
      <c r="Q152" s="20">
        <f t="shared" si="108"/>
        <v>854.8435614514475</v>
      </c>
      <c r="R152" s="59">
        <f t="shared" si="109"/>
        <v>1141.4193555247407</v>
      </c>
      <c r="S152" s="59">
        <f ca="1">AVERAGE(OFFSET($R$3,0,0,'Données projet'!$E$9+1,1))-AVERAGE(OFFSET($H$3,0,0,'Données projet'!$E$9+1,1))</f>
        <v>512.58510468904342</v>
      </c>
      <c r="T152" s="59">
        <f t="shared" si="142"/>
        <v>443.6106696463529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35.341150922122722</v>
      </c>
      <c r="AA152" s="21">
        <f>EXP(-LN(2)/25)*AA151+(1-EXP(-LN(2)/25))/(LN(2)/25)*Calculateur!V152*Calculateur!X152*VLOOKUP('Données projet'!$B$9,Paramètres!$A$1:$I$89,3,0)*0.475*44/12</f>
        <v>1.8079272007307043</v>
      </c>
      <c r="AB152" s="21">
        <f>EXP(-LN(2)/2)*AB151+(1-EXP(-LN(2)/2))/(LN(2)/2)*V152*Y152*VLOOKUP('Données projet'!$B$9,Paramètres!$A$1:$I$89,3,0)*0.475*44/12</f>
        <v>9.9527421321581106E-19</v>
      </c>
      <c r="AC152" s="22">
        <f t="shared" si="111"/>
        <v>37.149078122853425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311.298</v>
      </c>
      <c r="AK152" s="13">
        <f t="shared" si="143"/>
        <v>73.539838278528748</v>
      </c>
      <c r="AL152" s="20">
        <f t="shared" si="112"/>
        <v>670.25923500177089</v>
      </c>
      <c r="AM152" s="59">
        <f t="shared" si="113"/>
        <v>956.83502907506397</v>
      </c>
      <c r="AN152" s="59">
        <f ca="1">AVERAGE(OFFSET($AM$3,0,0,'Données projet'!$E$10+1,1))-AVERAGE(OFFSET($H$3,0,0,'Données projet'!$E$10+1,1))</f>
        <v>520.95202773768222</v>
      </c>
      <c r="AO152" s="59">
        <f t="shared" si="144"/>
        <v>325.72635759450861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57.210879602653321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57.210879602653321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689</v>
      </c>
      <c r="BE152" s="13">
        <f>BD152*VLOOKUP('Données projet'!$B$11,Paramètres!$A$1:$I$89,3,0)*VLOOKUP('Données projet'!$B$11,Paramètres!$A$1:$I$89,5,0)</f>
        <v>412.02199999999999</v>
      </c>
      <c r="BF152" s="13">
        <f t="shared" si="145"/>
        <v>94.209724877926391</v>
      </c>
      <c r="BG152" s="20">
        <f t="shared" si="115"/>
        <v>881.686920829055</v>
      </c>
      <c r="BH152" s="59">
        <f t="shared" si="116"/>
        <v>1168.2627149023481</v>
      </c>
      <c r="BI152" s="59">
        <f ca="1">AVERAGE(OFFSET($BH$3,0,0,'Données projet'!$E$11+1,1))-AVERAGE(OFFSET($H$3,0,0,'Données projet'!$E$11+1,1))</f>
        <v>528.71639224940395</v>
      </c>
      <c r="BJ152" s="59">
        <f t="shared" si="146"/>
        <v>460.93390058676493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24.95724692519855</v>
      </c>
      <c r="BQ152" s="21">
        <f>EXP(-LN(2)/25)*BQ151+(1-EXP(-LN(2)/25))/(LN(2)/25)*Calculateur!BL152*Calculateur!BN152*VLOOKUP('Données projet'!$B$11,Paramètres!$A$1:$I$89,3,0)*0.475*44/12</f>
        <v>2.1729982991798553</v>
      </c>
      <c r="BR152" s="21">
        <f>EXP(-LN(2)/2)*BR151+(1-EXP(-LN(2)/2))/(LN(2)/2)*BL152*BO152*VLOOKUP('Données projet'!$B$11,Paramètres!$A$1:$I$89,3,0)*0.475*44/12</f>
        <v>6.4232533103234716E-20</v>
      </c>
      <c r="BS152" s="22">
        <f t="shared" si="117"/>
        <v>27.130245224378406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267</v>
      </c>
      <c r="BZ152" s="13">
        <f>BY152*VLOOKUP('Données projet'!$B$12,Paramètres!$A$1:$I$89,3,0)*VLOOKUP('Données projet'!$B$12,Paramètres!$A$1:$I$89,5,0)</f>
        <v>241.58159999999998</v>
      </c>
      <c r="CA152" s="13">
        <f t="shared" si="147"/>
        <v>58.779689232021951</v>
      </c>
      <c r="CB152" s="20">
        <f t="shared" si="118"/>
        <v>523.12924541243819</v>
      </c>
      <c r="CC152" s="59">
        <f t="shared" si="119"/>
        <v>809.70503948573128</v>
      </c>
      <c r="CD152" s="59">
        <f ca="1">AVERAGE(OFFSET($CC$3,0,0,'Données projet'!$E$12+1,1))-AVERAGE(OFFSET($H$3,0,0,'Données projet'!$E$12+1,1))</f>
        <v>398.11190027805549</v>
      </c>
      <c r="CE152" s="59">
        <f t="shared" si="148"/>
        <v>250.47702091764884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38.549152016621512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38.549152016621512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8.7559999999999949</v>
      </c>
      <c r="CT152" s="12">
        <f>IF('Données projet'!$A$140&gt;35,CT151+CS152-DB151,IF(A152&lt;'Données projet'!$A$140,$CQ$205^A152,IF(A152='Données projet'!$A$140,'Données projet'!$B$140,CT151+CS152-DB151)))</f>
        <v>502.71000000000026</v>
      </c>
      <c r="CU152" s="17">
        <f>CT152*VLOOKUP('Données projet'!$B$13,Paramètres!$A$1:$I$89,3,0)*VLOOKUP('Données projet'!$B$13,Paramètres!$A$1:$I$89,5,0)</f>
        <v>478.37883600000026</v>
      </c>
      <c r="CV152" s="13">
        <f t="shared" si="149"/>
        <v>107.49755011597769</v>
      </c>
      <c r="CW152" s="20">
        <f t="shared" si="121"/>
        <v>1020.4013724853284</v>
      </c>
      <c r="CX152" s="59">
        <f t="shared" si="122"/>
        <v>1306.9771665586213</v>
      </c>
      <c r="CY152" s="59">
        <f ca="1">AVERAGE(OFFSET($CX$3,0,0,'Données projet'!$E$13+1,1))-AVERAGE(OFFSET($H$3,0,0,'Données projet'!$E$13+1,1))</f>
        <v>697.21496579281836</v>
      </c>
      <c r="CZ152" s="59">
        <f t="shared" si="150"/>
        <v>215.64914236153456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114.02026849756608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114.02026849756608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319</v>
      </c>
      <c r="DP152" s="17">
        <f>DO152*VLOOKUP('Données projet'!$B$14,Paramètres!$A$1:$I$89,3,0)*VLOOKUP('Données projet'!$B$14,Paramètres!$A$1:$I$89,5,0)</f>
        <v>278.67840000000001</v>
      </c>
      <c r="DQ152" s="13">
        <f t="shared" si="151"/>
        <v>66.687639951856809</v>
      </c>
      <c r="DR152" s="20">
        <f t="shared" si="124"/>
        <v>601.51251958281728</v>
      </c>
      <c r="DS152" s="59">
        <f t="shared" si="125"/>
        <v>888.08831365611036</v>
      </c>
      <c r="DT152" s="59">
        <f ca="1">AVERAGE(OFFSET($DS$3,0,0,'Données projet'!$E$14+1,1))-AVERAGE(OFFSET($H$3,0,0,'Données projet'!$E$14+1,1))</f>
        <v>408.24135864450221</v>
      </c>
      <c r="DU152" s="59">
        <f t="shared" si="152"/>
        <v>394.10236303013903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14.887130030376916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14.887130030376916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853.00000000000011</v>
      </c>
      <c r="O153" s="13">
        <f>N153*VLOOKUP('Données projet'!$B$9,Paramètres!$A$1:$I$89,3,0)*VLOOKUP('Données projet'!$B$9,Paramètres!$A$1:$I$89,5,0)</f>
        <v>399.20400000000006</v>
      </c>
      <c r="P153" s="13">
        <f t="shared" si="141"/>
        <v>91.615269732888521</v>
      </c>
      <c r="Q153" s="20">
        <f t="shared" si="108"/>
        <v>854.8435614514475</v>
      </c>
      <c r="R153" s="59">
        <f t="shared" si="109"/>
        <v>1141.5365837233078</v>
      </c>
      <c r="S153" s="59">
        <f ca="1">AVERAGE(OFFSET($R$3,0,0,'Données projet'!$E$9+1,1))-AVERAGE(OFFSET($H$3,0,0,'Données projet'!$E$9+1,1))</f>
        <v>512.58510468904342</v>
      </c>
      <c r="T153" s="59">
        <f t="shared" si="142"/>
        <v>443.6106696463529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34.648132508513484</v>
      </c>
      <c r="AA153" s="21">
        <f>EXP(-LN(2)/25)*AA152+(1-EXP(-LN(2)/25))/(LN(2)/25)*Calculateur!V153*Calculateur!X153*VLOOKUP('Données projet'!$B$9,Paramètres!$A$1:$I$89,3,0)*0.475*44/12</f>
        <v>1.7584893363519638</v>
      </c>
      <c r="AB153" s="21">
        <f>EXP(-LN(2)/2)*AB152+(1-EXP(-LN(2)/2))/(LN(2)/2)*V153*Y153*VLOOKUP('Données projet'!$B$9,Paramètres!$A$1:$I$89,3,0)*0.475*44/12</f>
        <v>7.0376514530500578E-19</v>
      </c>
      <c r="AC153" s="22">
        <f t="shared" si="111"/>
        <v>36.406621844865448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311.298</v>
      </c>
      <c r="AK153" s="13">
        <f t="shared" si="143"/>
        <v>73.539838278528748</v>
      </c>
      <c r="AL153" s="20">
        <f t="shared" si="112"/>
        <v>670.25923500177089</v>
      </c>
      <c r="AM153" s="59">
        <f t="shared" si="113"/>
        <v>956.95225727363118</v>
      </c>
      <c r="AN153" s="59">
        <f ca="1">AVERAGE(OFFSET($AM$3,0,0,'Données projet'!$E$10+1,1))-AVERAGE(OFFSET($H$3,0,0,'Données projet'!$E$10+1,1))</f>
        <v>520.95202773768222</v>
      </c>
      <c r="AO153" s="59">
        <f t="shared" si="144"/>
        <v>325.72635759450861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56.089009148836233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56.089009148836233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689</v>
      </c>
      <c r="BE153" s="13">
        <f>BD153*VLOOKUP('Données projet'!$B$11,Paramètres!$A$1:$I$89,3,0)*VLOOKUP('Données projet'!$B$11,Paramètres!$A$1:$I$89,5,0)</f>
        <v>412.02199999999999</v>
      </c>
      <c r="BF153" s="13">
        <f t="shared" si="145"/>
        <v>94.209724877926391</v>
      </c>
      <c r="BG153" s="20">
        <f t="shared" si="115"/>
        <v>881.686920829055</v>
      </c>
      <c r="BH153" s="59">
        <f t="shared" si="116"/>
        <v>1168.3799431009154</v>
      </c>
      <c r="BI153" s="59">
        <f ca="1">AVERAGE(OFFSET($BH$3,0,0,'Données projet'!$E$11+1,1))-AVERAGE(OFFSET($H$3,0,0,'Données projet'!$E$11+1,1))</f>
        <v>528.71639224940395</v>
      </c>
      <c r="BJ153" s="59">
        <f t="shared" si="146"/>
        <v>460.93390058676493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24.467850535412943</v>
      </c>
      <c r="BQ153" s="21">
        <f>EXP(-LN(2)/25)*BQ152+(1-EXP(-LN(2)/25))/(LN(2)/25)*Calculateur!BL153*Calculateur!BN153*VLOOKUP('Données projet'!$B$11,Paramètres!$A$1:$I$89,3,0)*0.475*44/12</f>
        <v>2.113577546415768</v>
      </c>
      <c r="BR153" s="21">
        <f>EXP(-LN(2)/2)*BR152+(1-EXP(-LN(2)/2))/(LN(2)/2)*BL153*BO153*VLOOKUP('Données projet'!$B$11,Paramètres!$A$1:$I$89,3,0)*0.475*44/12</f>
        <v>4.5419259730086661E-20</v>
      </c>
      <c r="BS153" s="22">
        <f t="shared" si="117"/>
        <v>26.581428081828712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267</v>
      </c>
      <c r="BZ153" s="13">
        <f>BY153*VLOOKUP('Données projet'!$B$12,Paramètres!$A$1:$I$89,3,0)*VLOOKUP('Données projet'!$B$12,Paramètres!$A$1:$I$89,5,0)</f>
        <v>241.58159999999998</v>
      </c>
      <c r="CA153" s="13">
        <f t="shared" si="147"/>
        <v>58.779689232021951</v>
      </c>
      <c r="CB153" s="20">
        <f t="shared" si="118"/>
        <v>523.12924541243819</v>
      </c>
      <c r="CC153" s="59">
        <f t="shared" si="119"/>
        <v>809.82226768429859</v>
      </c>
      <c r="CD153" s="59">
        <f ca="1">AVERAGE(OFFSET($CC$3,0,0,'Données projet'!$E$12+1,1))-AVERAGE(OFFSET($H$3,0,0,'Données projet'!$E$12+1,1))</f>
        <v>398.11190027805549</v>
      </c>
      <c r="CE153" s="59">
        <f t="shared" si="148"/>
        <v>250.47702091764884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37.793226658236613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37.793226658236613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8.7559999999999949</v>
      </c>
      <c r="CT153" s="12">
        <f>IF('Données projet'!$A$140&gt;35,CT152+CS153-DB152,IF(A153&lt;'Données projet'!$A$140,$CQ$205^A153,IF(A153='Données projet'!$A$140,'Données projet'!$B$140,CT152+CS153-DB152)))</f>
        <v>511.46600000000024</v>
      </c>
      <c r="CU153" s="17">
        <f>CT153*VLOOKUP('Données projet'!$B$13,Paramètres!$A$1:$I$89,3,0)*VLOOKUP('Données projet'!$B$13,Paramètres!$A$1:$I$89,5,0)</f>
        <v>486.7110456000002</v>
      </c>
      <c r="CV153" s="13">
        <f t="shared" si="149"/>
        <v>109.15029135396259</v>
      </c>
      <c r="CW153" s="20">
        <f t="shared" si="121"/>
        <v>1037.7918285281519</v>
      </c>
      <c r="CX153" s="59">
        <f t="shared" si="122"/>
        <v>1324.4848508000123</v>
      </c>
      <c r="CY153" s="59">
        <f ca="1">AVERAGE(OFFSET($CX$3,0,0,'Données projet'!$E$13+1,1))-AVERAGE(OFFSET($H$3,0,0,'Données projet'!$E$13+1,1))</f>
        <v>697.21496579281836</v>
      </c>
      <c r="CZ153" s="59">
        <f t="shared" si="150"/>
        <v>215.64914236153456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111.78440057782555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111.78440057782555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319</v>
      </c>
      <c r="DP153" s="17">
        <f>DO153*VLOOKUP('Données projet'!$B$14,Paramètres!$A$1:$I$89,3,0)*VLOOKUP('Données projet'!$B$14,Paramètres!$A$1:$I$89,5,0)</f>
        <v>278.67840000000001</v>
      </c>
      <c r="DQ153" s="13">
        <f t="shared" si="151"/>
        <v>66.687639951856809</v>
      </c>
      <c r="DR153" s="20">
        <f t="shared" si="124"/>
        <v>601.51251958281728</v>
      </c>
      <c r="DS153" s="59">
        <f t="shared" si="125"/>
        <v>888.20554185467768</v>
      </c>
      <c r="DT153" s="59">
        <f ca="1">AVERAGE(OFFSET($DS$3,0,0,'Données projet'!$E$14+1,1))-AVERAGE(OFFSET($H$3,0,0,'Données projet'!$E$14+1,1))</f>
        <v>408.24135864450221</v>
      </c>
      <c r="DU153" s="59">
        <f t="shared" si="152"/>
        <v>394.10236303013903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14.595202490733943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14.595202490733943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853.00000000000011</v>
      </c>
      <c r="O154" s="13">
        <f>N154*VLOOKUP('Données projet'!$B$9,Paramètres!$A$1:$I$89,3,0)*VLOOKUP('Données projet'!$B$9,Paramètres!$A$1:$I$89,5,0)</f>
        <v>399.20400000000006</v>
      </c>
      <c r="P154" s="13">
        <f t="shared" si="141"/>
        <v>91.615269732888521</v>
      </c>
      <c r="Q154" s="20">
        <f t="shared" ref="Q154:Q203" si="162">(O154+P154)*0.475*44/12</f>
        <v>854.8435614514475</v>
      </c>
      <c r="R154" s="59">
        <f t="shared" si="109"/>
        <v>1141.6517782747128</v>
      </c>
      <c r="S154" s="59">
        <f ca="1">AVERAGE(OFFSET($R$3,0,0,'Données projet'!$E$9+1,1))-AVERAGE(OFFSET($H$3,0,0,'Données projet'!$E$9+1,1))</f>
        <v>512.58510468904342</v>
      </c>
      <c r="T154" s="59">
        <f t="shared" si="142"/>
        <v>443.6106696463529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33.968703763295629</v>
      </c>
      <c r="AA154" s="21">
        <f>EXP(-LN(2)/25)*AA153+(1-EXP(-LN(2)/25))/(LN(2)/25)*Calculateur!V154*Calculateur!X154*VLOOKUP('Données projet'!$B$9,Paramètres!$A$1:$I$89,3,0)*0.475*44/12</f>
        <v>1.7104033529744842</v>
      </c>
      <c r="AB154" s="21">
        <f>EXP(-LN(2)/2)*AB153+(1-EXP(-LN(2)/2))/(LN(2)/2)*V154*Y154*VLOOKUP('Données projet'!$B$9,Paramètres!$A$1:$I$89,3,0)*0.475*44/12</f>
        <v>4.9763710660790553E-19</v>
      </c>
      <c r="AC154" s="22">
        <f t="shared" ref="AC154:AC203" si="163">SUM(Z154:AB154)</f>
        <v>35.67910711627011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311.298</v>
      </c>
      <c r="AK154" s="13">
        <f t="shared" ref="AK154:AK203" si="164">EXP(-1.0587+0.8836*LN(AJ154)+0.284)</f>
        <v>73.539838278528748</v>
      </c>
      <c r="AL154" s="20">
        <f t="shared" ref="AL154:AL203" si="165">(AJ154+AK154)*0.475*44/12</f>
        <v>670.25923500177089</v>
      </c>
      <c r="AM154" s="59">
        <f t="shared" si="113"/>
        <v>957.06745182503619</v>
      </c>
      <c r="AN154" s="59">
        <f ca="1">AVERAGE(OFFSET($AM$3,0,0,'Données projet'!$E$10+1,1))-AVERAGE(OFFSET($H$3,0,0,'Données projet'!$E$10+1,1))</f>
        <v>520.95202773768222</v>
      </c>
      <c r="AO154" s="59">
        <f t="shared" si="144"/>
        <v>325.72635759450861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54.989137890345084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54.989137890345084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689</v>
      </c>
      <c r="BE154" s="13">
        <f>BD154*VLOOKUP('Données projet'!$B$11,Paramètres!$A$1:$I$89,3,0)*VLOOKUP('Données projet'!$B$11,Paramètres!$A$1:$I$89,5,0)</f>
        <v>412.02199999999999</v>
      </c>
      <c r="BF154" s="13">
        <f t="shared" ref="BF154:BF203" si="167">EXP(-1.0587+0.8836*LN(BE154)+0.284)</f>
        <v>94.209724877926391</v>
      </c>
      <c r="BG154" s="20">
        <f t="shared" ref="BG154:BG203" si="168">(BE154+BF154)*0.475*44/12</f>
        <v>881.686920829055</v>
      </c>
      <c r="BH154" s="59">
        <f t="shared" si="116"/>
        <v>1168.4951376523204</v>
      </c>
      <c r="BI154" s="59">
        <f ca="1">AVERAGE(OFFSET($BH$3,0,0,'Données projet'!$E$11+1,1))-AVERAGE(OFFSET($H$3,0,0,'Données projet'!$E$11+1,1))</f>
        <v>528.71639224940395</v>
      </c>
      <c r="BJ154" s="59">
        <f t="shared" si="146"/>
        <v>460.93390058676493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23.988050910328706</v>
      </c>
      <c r="BQ154" s="21">
        <f>EXP(-LN(2)/25)*BQ153+(1-EXP(-LN(2)/25))/(LN(2)/25)*Calculateur!BL154*Calculateur!BN154*VLOOKUP('Données projet'!$B$11,Paramètres!$A$1:$I$89,3,0)*0.475*44/12</f>
        <v>2.0557816572608165</v>
      </c>
      <c r="BR154" s="21">
        <f>EXP(-LN(2)/2)*BR153+(1-EXP(-LN(2)/2))/(LN(2)/2)*BL154*BO154*VLOOKUP('Données projet'!$B$11,Paramètres!$A$1:$I$89,3,0)*0.475*44/12</f>
        <v>3.2116266551617358E-20</v>
      </c>
      <c r="BS154" s="22">
        <f t="shared" ref="BS154:BS203" si="169">SUM(BP154:BR154)</f>
        <v>26.043832567589522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267</v>
      </c>
      <c r="BZ154" s="13">
        <f>BY154*VLOOKUP('Données projet'!$B$12,Paramètres!$A$1:$I$89,3,0)*VLOOKUP('Données projet'!$B$12,Paramètres!$A$1:$I$89,5,0)</f>
        <v>241.58159999999998</v>
      </c>
      <c r="CA154" s="13">
        <f t="shared" ref="CA154:CA203" si="170">EXP(-1.0587+0.8836*LN(BZ154)+0.284)</f>
        <v>58.779689232021951</v>
      </c>
      <c r="CB154" s="20">
        <f t="shared" ref="CB154:CB203" si="171">(BZ154+CA154)*0.475*44/12</f>
        <v>523.12924541243819</v>
      </c>
      <c r="CC154" s="59">
        <f t="shared" si="119"/>
        <v>809.93746223570361</v>
      </c>
      <c r="CD154" s="59">
        <f ca="1">AVERAGE(OFFSET($CC$3,0,0,'Données projet'!$E$12+1,1))-AVERAGE(OFFSET($H$3,0,0,'Données projet'!$E$12+1,1))</f>
        <v>398.11190027805549</v>
      </c>
      <c r="CE154" s="59">
        <f t="shared" si="148"/>
        <v>250.47702091764884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37.052124535060699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37.052124535060699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8.7559999999999949</v>
      </c>
      <c r="CT154" s="12">
        <f>IF('Données projet'!$A$140&gt;35,CT153+CS154-DB153,IF(A154&lt;'Données projet'!$A$140,$CQ$205^A154,IF(A154='Données projet'!$A$140,'Données projet'!$B$140,CT153+CS154-DB153)))</f>
        <v>520.22200000000021</v>
      </c>
      <c r="CU154" s="17">
        <f>CT154*VLOOKUP('Données projet'!$B$13,Paramètres!$A$1:$I$89,3,0)*VLOOKUP('Données projet'!$B$13,Paramètres!$A$1:$I$89,5,0)</f>
        <v>495.0432552000002</v>
      </c>
      <c r="CV154" s="13">
        <f t="shared" ref="CV154:CV203" si="173">EXP(-1.0587+0.8836*LN(CU154)+0.284)</f>
        <v>110.7997422834583</v>
      </c>
      <c r="CW154" s="20">
        <f t="shared" ref="CW154:CW203" si="174">(CU154+CV154)*0.475*44/12</f>
        <v>1055.1765539503567</v>
      </c>
      <c r="CX154" s="59">
        <f t="shared" si="122"/>
        <v>1341.9847707736221</v>
      </c>
      <c r="CY154" s="59">
        <f ca="1">AVERAGE(OFFSET($CX$3,0,0,'Données projet'!$E$13+1,1))-AVERAGE(OFFSET($H$3,0,0,'Données projet'!$E$13+1,1))</f>
        <v>697.21496579281836</v>
      </c>
      <c r="CZ154" s="59">
        <f t="shared" si="150"/>
        <v>215.64914236153456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109.59237666424636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109.59237666424636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319</v>
      </c>
      <c r="DP154" s="17">
        <f>DO154*VLOOKUP('Données projet'!$B$14,Paramètres!$A$1:$I$89,3,0)*VLOOKUP('Données projet'!$B$14,Paramètres!$A$1:$I$89,5,0)</f>
        <v>278.67840000000001</v>
      </c>
      <c r="DQ154" s="13">
        <f t="shared" ref="DQ154:DQ203" si="176">EXP(-1.0587+0.8836*LN(DP154)+0.284)</f>
        <v>66.687639951856809</v>
      </c>
      <c r="DR154" s="20">
        <f t="shared" ref="DR154:DR203" si="177">(DP154+DQ154)*0.475*44/12</f>
        <v>601.51251958281728</v>
      </c>
      <c r="DS154" s="59">
        <f t="shared" si="125"/>
        <v>888.32073640608269</v>
      </c>
      <c r="DT154" s="59">
        <f ca="1">AVERAGE(OFFSET($DS$3,0,0,'Données projet'!$E$14+1,1))-AVERAGE(OFFSET($H$3,0,0,'Données projet'!$E$14+1,1))</f>
        <v>408.24135864450221</v>
      </c>
      <c r="DU154" s="59">
        <f t="shared" si="152"/>
        <v>394.10236303013903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14.308999472085151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14.308999472085151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853.00000000000011</v>
      </c>
      <c r="O155" s="13">
        <f>N155*VLOOKUP('Données projet'!$B$9,Paramètres!$A$1:$I$89,3,0)*VLOOKUP('Données projet'!$B$9,Paramètres!$A$1:$I$89,5,0)</f>
        <v>399.20400000000006</v>
      </c>
      <c r="P155" s="13">
        <f t="shared" si="141"/>
        <v>91.615269732888521</v>
      </c>
      <c r="Q155" s="20">
        <f t="shared" si="162"/>
        <v>854.8435614514475</v>
      </c>
      <c r="R155" s="59">
        <f t="shared" si="109"/>
        <v>1141.7649744581875</v>
      </c>
      <c r="S155" s="59">
        <f ca="1">AVERAGE(OFFSET($R$3,0,0,'Données projet'!$E$9+1,1))-AVERAGE(OFFSET($H$3,0,0,'Données projet'!$E$9+1,1))</f>
        <v>512.58510468904342</v>
      </c>
      <c r="T155" s="59">
        <f t="shared" si="142"/>
        <v>443.6106696463529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33.30259820136088</v>
      </c>
      <c r="AA155" s="21">
        <f>EXP(-LN(2)/25)*AA154+(1-EXP(-LN(2)/25))/(LN(2)/25)*Calculateur!V155*Calculateur!X155*VLOOKUP('Données projet'!$B$9,Paramètres!$A$1:$I$89,3,0)*0.475*44/12</f>
        <v>1.6636322833411938</v>
      </c>
      <c r="AB155" s="21">
        <f>EXP(-LN(2)/2)*AB154+(1-EXP(-LN(2)/2))/(LN(2)/2)*V155*Y155*VLOOKUP('Données projet'!$B$9,Paramètres!$A$1:$I$89,3,0)*0.475*44/12</f>
        <v>3.5188257265250289E-19</v>
      </c>
      <c r="AC155" s="22">
        <f t="shared" si="163"/>
        <v>34.966230484702074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311.298</v>
      </c>
      <c r="AK155" s="13">
        <f t="shared" si="164"/>
        <v>73.539838278528748</v>
      </c>
      <c r="AL155" s="20">
        <f t="shared" si="165"/>
        <v>670.25923500177089</v>
      </c>
      <c r="AM155" s="59">
        <f t="shared" si="113"/>
        <v>957.18064800851084</v>
      </c>
      <c r="AN155" s="59">
        <f ca="1">AVERAGE(OFFSET($AM$3,0,0,'Données projet'!$E$10+1,1))-AVERAGE(OFFSET($H$3,0,0,'Données projet'!$E$10+1,1))</f>
        <v>520.95202773768222</v>
      </c>
      <c r="AO155" s="59">
        <f t="shared" si="144"/>
        <v>325.72635759450861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53.910834436377726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53.910834436377726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689</v>
      </c>
      <c r="BE155" s="13">
        <f>BD155*VLOOKUP('Données projet'!$B$11,Paramètres!$A$1:$I$89,3,0)*VLOOKUP('Données projet'!$B$11,Paramètres!$A$1:$I$89,5,0)</f>
        <v>412.02199999999999</v>
      </c>
      <c r="BF155" s="13">
        <f t="shared" si="167"/>
        <v>94.209724877926391</v>
      </c>
      <c r="BG155" s="20">
        <f t="shared" si="168"/>
        <v>881.686920829055</v>
      </c>
      <c r="BH155" s="59">
        <f t="shared" si="116"/>
        <v>1168.6083338357948</v>
      </c>
      <c r="BI155" s="59">
        <f ca="1">AVERAGE(OFFSET($BH$3,0,0,'Données projet'!$E$11+1,1))-AVERAGE(OFFSET($H$3,0,0,'Données projet'!$E$11+1,1))</f>
        <v>528.71639224940395</v>
      </c>
      <c r="BJ155" s="59">
        <f t="shared" si="146"/>
        <v>460.93390058676493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23.517659863243498</v>
      </c>
      <c r="BQ155" s="21">
        <f>EXP(-LN(2)/25)*BQ154+(1-EXP(-LN(2)/25))/(LN(2)/25)*Calculateur!BL155*Calculateur!BN155*VLOOKUP('Données projet'!$B$11,Paramètres!$A$1:$I$89,3,0)*0.475*44/12</f>
        <v>1.9995661997341607</v>
      </c>
      <c r="BR155" s="21">
        <f>EXP(-LN(2)/2)*BR154+(1-EXP(-LN(2)/2))/(LN(2)/2)*BL155*BO155*VLOOKUP('Données projet'!$B$11,Paramètres!$A$1:$I$89,3,0)*0.475*44/12</f>
        <v>2.2709629865043331E-20</v>
      </c>
      <c r="BS155" s="22">
        <f t="shared" si="169"/>
        <v>25.517226062977659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267</v>
      </c>
      <c r="BZ155" s="13">
        <f>BY155*VLOOKUP('Données projet'!$B$12,Paramètres!$A$1:$I$89,3,0)*VLOOKUP('Données projet'!$B$12,Paramètres!$A$1:$I$89,5,0)</f>
        <v>241.58159999999998</v>
      </c>
      <c r="CA155" s="13">
        <f t="shared" si="170"/>
        <v>58.779689232021951</v>
      </c>
      <c r="CB155" s="20">
        <f t="shared" si="171"/>
        <v>523.12924541243819</v>
      </c>
      <c r="CC155" s="59">
        <f t="shared" si="119"/>
        <v>810.05065841917803</v>
      </c>
      <c r="CD155" s="59">
        <f ca="1">AVERAGE(OFFSET($CC$3,0,0,'Données projet'!$E$12+1,1))-AVERAGE(OFFSET($H$3,0,0,'Données projet'!$E$12+1,1))</f>
        <v>398.11190027805549</v>
      </c>
      <c r="CE155" s="59">
        <f t="shared" si="148"/>
        <v>250.47702091764884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36.325554972492604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36.325554972492604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8.7559999999999949</v>
      </c>
      <c r="CT155" s="12">
        <f>IF('Données projet'!$A$140&gt;35,CT154+CS155-DB154,IF(A155&lt;'Données projet'!$A$140,$CQ$205^A155,IF(A155='Données projet'!$A$140,'Données projet'!$B$140,CT154+CS155-DB154)))</f>
        <v>528.97800000000018</v>
      </c>
      <c r="CU155" s="17">
        <f>CT155*VLOOKUP('Données projet'!$B$13,Paramètres!$A$1:$I$89,3,0)*VLOOKUP('Données projet'!$B$13,Paramètres!$A$1:$I$89,5,0)</f>
        <v>503.3754648000002</v>
      </c>
      <c r="CV155" s="13">
        <f t="shared" si="173"/>
        <v>112.44596467615034</v>
      </c>
      <c r="CW155" s="20">
        <f t="shared" si="174"/>
        <v>1072.555656337629</v>
      </c>
      <c r="CX155" s="59">
        <f t="shared" si="122"/>
        <v>1359.4770693443688</v>
      </c>
      <c r="CY155" s="59">
        <f ca="1">AVERAGE(OFFSET($CX$3,0,0,'Données projet'!$E$13+1,1))-AVERAGE(OFFSET($H$3,0,0,'Données projet'!$E$13+1,1))</f>
        <v>697.21496579281836</v>
      </c>
      <c r="CZ155" s="59">
        <f t="shared" si="150"/>
        <v>215.64914236153456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107.44333700260988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107.44333700260988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319</v>
      </c>
      <c r="DP155" s="17">
        <f>DO155*VLOOKUP('Données projet'!$B$14,Paramètres!$A$1:$I$89,3,0)*VLOOKUP('Données projet'!$B$14,Paramètres!$A$1:$I$89,5,0)</f>
        <v>278.67840000000001</v>
      </c>
      <c r="DQ155" s="13">
        <f t="shared" si="176"/>
        <v>66.687639951856809</v>
      </c>
      <c r="DR155" s="20">
        <f t="shared" si="177"/>
        <v>601.51251958281728</v>
      </c>
      <c r="DS155" s="59">
        <f t="shared" si="125"/>
        <v>888.43393258955712</v>
      </c>
      <c r="DT155" s="59">
        <f ca="1">AVERAGE(OFFSET($DS$3,0,0,'Données projet'!$E$14+1,1))-AVERAGE(OFFSET($H$3,0,0,'Données projet'!$E$14+1,1))</f>
        <v>408.24135864450221</v>
      </c>
      <c r="DU155" s="59">
        <f t="shared" si="152"/>
        <v>394.10236303013903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14.028408720065459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14.028408720065459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853.00000000000011</v>
      </c>
      <c r="O156" s="13">
        <f>N156*VLOOKUP('Données projet'!$B$9,Paramètres!$A$1:$I$89,3,0)*VLOOKUP('Données projet'!$B$9,Paramètres!$A$1:$I$89,5,0)</f>
        <v>399.20400000000006</v>
      </c>
      <c r="P156" s="13">
        <f t="shared" si="141"/>
        <v>91.615269732888521</v>
      </c>
      <c r="Q156" s="20">
        <f t="shared" si="162"/>
        <v>854.8435614514475</v>
      </c>
      <c r="R156" s="59">
        <f t="shared" si="109"/>
        <v>1141.8762069409474</v>
      </c>
      <c r="S156" s="59">
        <f ca="1">AVERAGE(OFFSET($R$3,0,0,'Données projet'!$E$9+1,1))-AVERAGE(OFFSET($H$3,0,0,'Données projet'!$E$9+1,1))</f>
        <v>512.58510468904342</v>
      </c>
      <c r="T156" s="59">
        <f t="shared" si="142"/>
        <v>443.6106696463529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32.649554563211396</v>
      </c>
      <c r="AA156" s="21">
        <f>EXP(-LN(2)/25)*AA155+(1-EXP(-LN(2)/25))/(LN(2)/25)*Calculateur!V156*Calculateur!X156*VLOOKUP('Données projet'!$B$9,Paramètres!$A$1:$I$89,3,0)*0.475*44/12</f>
        <v>1.6181401710666095</v>
      </c>
      <c r="AB156" s="21">
        <f>EXP(-LN(2)/2)*AB155+(1-EXP(-LN(2)/2))/(LN(2)/2)*V156*Y156*VLOOKUP('Données projet'!$B$9,Paramètres!$A$1:$I$89,3,0)*0.475*44/12</f>
        <v>2.4881855330395277E-19</v>
      </c>
      <c r="AC156" s="22">
        <f t="shared" si="163"/>
        <v>34.267694734278002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311.298</v>
      </c>
      <c r="AK156" s="13">
        <f t="shared" si="164"/>
        <v>73.539838278528748</v>
      </c>
      <c r="AL156" s="20">
        <f t="shared" si="165"/>
        <v>670.25923500177089</v>
      </c>
      <c r="AM156" s="59">
        <f t="shared" si="113"/>
        <v>957.29188049127083</v>
      </c>
      <c r="AN156" s="59">
        <f ca="1">AVERAGE(OFFSET($AM$3,0,0,'Données projet'!$E$10+1,1))-AVERAGE(OFFSET($H$3,0,0,'Données projet'!$E$10+1,1))</f>
        <v>520.95202773768222</v>
      </c>
      <c r="AO156" s="59">
        <f t="shared" si="144"/>
        <v>325.72635759450861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52.853675855442503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52.853675855442503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689</v>
      </c>
      <c r="BE156" s="13">
        <f>BD156*VLOOKUP('Données projet'!$B$11,Paramètres!$A$1:$I$89,3,0)*VLOOKUP('Données projet'!$B$11,Paramètres!$A$1:$I$89,5,0)</f>
        <v>412.02199999999999</v>
      </c>
      <c r="BF156" s="13">
        <f t="shared" si="167"/>
        <v>94.209724877926391</v>
      </c>
      <c r="BG156" s="20">
        <f t="shared" si="168"/>
        <v>881.686920829055</v>
      </c>
      <c r="BH156" s="59">
        <f t="shared" si="116"/>
        <v>1168.7195663185551</v>
      </c>
      <c r="BI156" s="59">
        <f ca="1">AVERAGE(OFFSET($BH$3,0,0,'Données projet'!$E$11+1,1))-AVERAGE(OFFSET($H$3,0,0,'Données projet'!$E$11+1,1))</f>
        <v>528.71639224940395</v>
      </c>
      <c r="BJ156" s="59">
        <f t="shared" si="146"/>
        <v>460.93390058676493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23.056492897681423</v>
      </c>
      <c r="BQ156" s="21">
        <f>EXP(-LN(2)/25)*BQ155+(1-EXP(-LN(2)/25))/(LN(2)/25)*Calculateur!BL156*Calculateur!BN156*VLOOKUP('Données projet'!$B$11,Paramètres!$A$1:$I$89,3,0)*0.475*44/12</f>
        <v>1.9448879568498136</v>
      </c>
      <c r="BR156" s="21">
        <f>EXP(-LN(2)/2)*BR155+(1-EXP(-LN(2)/2))/(LN(2)/2)*BL156*BO156*VLOOKUP('Données projet'!$B$11,Paramètres!$A$1:$I$89,3,0)*0.475*44/12</f>
        <v>1.6058133275808679E-20</v>
      </c>
      <c r="BS156" s="22">
        <f t="shared" si="169"/>
        <v>25.001380854531238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267</v>
      </c>
      <c r="BZ156" s="13">
        <f>BY156*VLOOKUP('Données projet'!$B$12,Paramètres!$A$1:$I$89,3,0)*VLOOKUP('Données projet'!$B$12,Paramètres!$A$1:$I$89,5,0)</f>
        <v>241.58159999999998</v>
      </c>
      <c r="CA156" s="13">
        <f t="shared" si="170"/>
        <v>58.779689232021951</v>
      </c>
      <c r="CB156" s="20">
        <f t="shared" si="171"/>
        <v>523.12924541243819</v>
      </c>
      <c r="CC156" s="59">
        <f t="shared" si="119"/>
        <v>810.16189090193825</v>
      </c>
      <c r="CD156" s="59">
        <f ca="1">AVERAGE(OFFSET($CC$3,0,0,'Données projet'!$E$12+1,1))-AVERAGE(OFFSET($H$3,0,0,'Données projet'!$E$12+1,1))</f>
        <v>398.11190027805549</v>
      </c>
      <c r="CE156" s="59">
        <f t="shared" si="148"/>
        <v>250.47702091764884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35.613232995882797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35.613232995882797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8.7559999999999949</v>
      </c>
      <c r="CT156" s="12">
        <f>IF('Données projet'!$A$140&gt;35,CT155+CS156-DB155,IF(A156&lt;'Données projet'!$A$140,$CQ$205^A156,IF(A156='Données projet'!$A$140,'Données projet'!$B$140,CT155+CS156-DB155)))</f>
        <v>537.73400000000015</v>
      </c>
      <c r="CU156" s="17">
        <f>CT156*VLOOKUP('Données projet'!$B$13,Paramètres!$A$1:$I$89,3,0)*VLOOKUP('Données projet'!$B$13,Paramètres!$A$1:$I$89,5,0)</f>
        <v>511.70767440000009</v>
      </c>
      <c r="CV156" s="13">
        <f t="shared" si="173"/>
        <v>114.08901814152235</v>
      </c>
      <c r="CW156" s="20">
        <f t="shared" si="174"/>
        <v>1089.9292395098182</v>
      </c>
      <c r="CX156" s="59">
        <f t="shared" si="122"/>
        <v>1376.9618849993183</v>
      </c>
      <c r="CY156" s="59">
        <f ca="1">AVERAGE(OFFSET($CX$3,0,0,'Données projet'!$E$13+1,1))-AVERAGE(OFFSET($H$3,0,0,'Données projet'!$E$13+1,1))</f>
        <v>697.21496579281836</v>
      </c>
      <c r="CZ156" s="59">
        <f t="shared" si="150"/>
        <v>215.64914236153456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105.33643869795333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105.33643869795333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319</v>
      </c>
      <c r="DP156" s="17">
        <f>DO156*VLOOKUP('Données projet'!$B$14,Paramètres!$A$1:$I$89,3,0)*VLOOKUP('Données projet'!$B$14,Paramètres!$A$1:$I$89,5,0)</f>
        <v>278.67840000000001</v>
      </c>
      <c r="DQ156" s="13">
        <f t="shared" si="176"/>
        <v>66.687639951856809</v>
      </c>
      <c r="DR156" s="20">
        <f t="shared" si="177"/>
        <v>601.51251958281728</v>
      </c>
      <c r="DS156" s="59">
        <f t="shared" si="125"/>
        <v>888.54516507231733</v>
      </c>
      <c r="DT156" s="59">
        <f ca="1">AVERAGE(OFFSET($DS$3,0,0,'Données projet'!$E$14+1,1))-AVERAGE(OFFSET($H$3,0,0,'Données projet'!$E$14+1,1))</f>
        <v>408.24135864450221</v>
      </c>
      <c r="DU156" s="59">
        <f t="shared" si="152"/>
        <v>394.10236303013903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13.753320181549412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13.753320181549412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853.00000000000011</v>
      </c>
      <c r="O157" s="13">
        <f>N157*VLOOKUP('Données projet'!$B$9,Paramètres!$A$1:$I$89,3,0)*VLOOKUP('Données projet'!$B$9,Paramètres!$A$1:$I$89,5,0)</f>
        <v>399.20400000000006</v>
      </c>
      <c r="P157" s="13">
        <f t="shared" si="141"/>
        <v>91.615269732888521</v>
      </c>
      <c r="Q157" s="20">
        <f t="shared" si="162"/>
        <v>854.8435614514475</v>
      </c>
      <c r="R157" s="59">
        <f t="shared" si="109"/>
        <v>1141.9855097888103</v>
      </c>
      <c r="S157" s="59">
        <f ca="1">AVERAGE(OFFSET($R$3,0,0,'Données projet'!$E$9+1,1))-AVERAGE(OFFSET($H$3,0,0,'Données projet'!$E$9+1,1))</f>
        <v>512.58510468904342</v>
      </c>
      <c r="T157" s="59">
        <f t="shared" si="142"/>
        <v>443.6106696463529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32.009316712488733</v>
      </c>
      <c r="AA157" s="21">
        <f>EXP(-LN(2)/25)*AA156+(1-EXP(-LN(2)/25))/(LN(2)/25)*Calculateur!V157*Calculateur!X157*VLOOKUP('Données projet'!$B$9,Paramètres!$A$1:$I$89,3,0)*0.475*44/12</f>
        <v>1.5738920429944998</v>
      </c>
      <c r="AB157" s="21">
        <f>EXP(-LN(2)/2)*AB156+(1-EXP(-LN(2)/2))/(LN(2)/2)*V157*Y157*VLOOKUP('Données projet'!$B$9,Paramètres!$A$1:$I$89,3,0)*0.475*44/12</f>
        <v>1.7594128632625144E-19</v>
      </c>
      <c r="AC157" s="22">
        <f t="shared" si="163"/>
        <v>33.583208755483234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311.298</v>
      </c>
      <c r="AK157" s="13">
        <f t="shared" si="164"/>
        <v>73.539838278528748</v>
      </c>
      <c r="AL157" s="20">
        <f t="shared" si="165"/>
        <v>670.25923500177089</v>
      </c>
      <c r="AM157" s="59">
        <f t="shared" si="113"/>
        <v>957.40118333913369</v>
      </c>
      <c r="AN157" s="59">
        <f ca="1">AVERAGE(OFFSET($AM$3,0,0,'Données projet'!$E$10+1,1))-AVERAGE(OFFSET($H$3,0,0,'Données projet'!$E$10+1,1))</f>
        <v>520.95202773768222</v>
      </c>
      <c r="AO157" s="59">
        <f t="shared" si="144"/>
        <v>325.72635759450861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51.817247509476353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51.817247509476353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689</v>
      </c>
      <c r="BE157" s="13">
        <f>BD157*VLOOKUP('Données projet'!$B$11,Paramètres!$A$1:$I$89,3,0)*VLOOKUP('Données projet'!$B$11,Paramètres!$A$1:$I$89,5,0)</f>
        <v>412.02199999999999</v>
      </c>
      <c r="BF157" s="13">
        <f t="shared" si="167"/>
        <v>94.209724877926391</v>
      </c>
      <c r="BG157" s="20">
        <f t="shared" si="168"/>
        <v>881.686920829055</v>
      </c>
      <c r="BH157" s="59">
        <f t="shared" si="116"/>
        <v>1168.8288691664177</v>
      </c>
      <c r="BI157" s="59">
        <f ca="1">AVERAGE(OFFSET($BH$3,0,0,'Données projet'!$E$11+1,1))-AVERAGE(OFFSET($H$3,0,0,'Données projet'!$E$11+1,1))</f>
        <v>528.71639224940395</v>
      </c>
      <c r="BJ157" s="59">
        <f t="shared" si="146"/>
        <v>460.93390058676493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22.604369135029945</v>
      </c>
      <c r="BQ157" s="21">
        <f>EXP(-LN(2)/25)*BQ156+(1-EXP(-LN(2)/25))/(LN(2)/25)*Calculateur!BL157*Calculateur!BN157*VLOOKUP('Données projet'!$B$11,Paramètres!$A$1:$I$89,3,0)*0.475*44/12</f>
        <v>1.8917048933925429</v>
      </c>
      <c r="BR157" s="21">
        <f>EXP(-LN(2)/2)*BR156+(1-EXP(-LN(2)/2))/(LN(2)/2)*BL157*BO157*VLOOKUP('Données projet'!$B$11,Paramètres!$A$1:$I$89,3,0)*0.475*44/12</f>
        <v>1.1354814932521665E-20</v>
      </c>
      <c r="BS157" s="22">
        <f t="shared" si="169"/>
        <v>24.496074028422488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267</v>
      </c>
      <c r="BZ157" s="13">
        <f>BY157*VLOOKUP('Données projet'!$B$12,Paramètres!$A$1:$I$89,3,0)*VLOOKUP('Données projet'!$B$12,Paramètres!$A$1:$I$89,5,0)</f>
        <v>241.58159999999998</v>
      </c>
      <c r="CA157" s="13">
        <f t="shared" si="170"/>
        <v>58.779689232021951</v>
      </c>
      <c r="CB157" s="20">
        <f t="shared" si="171"/>
        <v>523.12924541243819</v>
      </c>
      <c r="CC157" s="59">
        <f t="shared" si="119"/>
        <v>810.27119374980089</v>
      </c>
      <c r="CD157" s="59">
        <f ca="1">AVERAGE(OFFSET($CC$3,0,0,'Données projet'!$E$12+1,1))-AVERAGE(OFFSET($H$3,0,0,'Données projet'!$E$12+1,1))</f>
        <v>398.11190027805549</v>
      </c>
      <c r="CE157" s="59">
        <f t="shared" si="148"/>
        <v>250.47702091764884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34.914879218760802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34.914879218760802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8.7559999999999949</v>
      </c>
      <c r="CS157" s="12">
        <f t="array" ref="CS157">INDEX(CR:CR,MIN(IF(ISNUMBER(CR157:CR353),ROW(CR157:CR353),"")))</f>
        <v>8.7559999999999949</v>
      </c>
      <c r="CT157" s="12">
        <f>IF('Données projet'!$A$140&gt;35,CT156+CS157-DB156,IF(A157&lt;'Données projet'!$A$140,$CQ$205^A157,IF(A157='Données projet'!$A$140,'Données projet'!$B$140,CT156+CS157-DB156)))</f>
        <v>546.49000000000012</v>
      </c>
      <c r="CU157" s="17">
        <f>CT157*VLOOKUP('Données projet'!$B$13,Paramètres!$A$1:$I$89,3,0)*VLOOKUP('Données projet'!$B$13,Paramètres!$A$1:$I$89,5,0)</f>
        <v>520.03988400000014</v>
      </c>
      <c r="CV157" s="13">
        <f t="shared" si="173"/>
        <v>115.72896023649142</v>
      </c>
      <c r="CW157" s="20">
        <f t="shared" si="174"/>
        <v>1107.2974037118893</v>
      </c>
      <c r="CX157" s="59">
        <f t="shared" si="122"/>
        <v>1394.439352049252</v>
      </c>
      <c r="CY157" s="59">
        <f ca="1">AVERAGE(OFFSET($CX$3,0,0,'Données projet'!$E$13+1,1))-AVERAGE(OFFSET($H$3,0,0,'Données projet'!$E$13+1,1))</f>
        <v>697.21496579281836</v>
      </c>
      <c r="CZ157" s="59">
        <f t="shared" si="150"/>
        <v>215.64914236153456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0.43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128.20864701306394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128.20864701306394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319</v>
      </c>
      <c r="DP157" s="17">
        <f>DO157*VLOOKUP('Données projet'!$B$14,Paramètres!$A$1:$I$89,3,0)*VLOOKUP('Données projet'!$B$14,Paramètres!$A$1:$I$89,5,0)</f>
        <v>278.67840000000001</v>
      </c>
      <c r="DQ157" s="13">
        <f t="shared" si="176"/>
        <v>66.687639951856809</v>
      </c>
      <c r="DR157" s="20">
        <f t="shared" si="177"/>
        <v>601.51251958281728</v>
      </c>
      <c r="DS157" s="59">
        <f t="shared" si="125"/>
        <v>888.65446792017997</v>
      </c>
      <c r="DT157" s="59">
        <f ca="1">AVERAGE(OFFSET($DS$3,0,0,'Données projet'!$E$14+1,1))-AVERAGE(OFFSET($H$3,0,0,'Données projet'!$E$14+1,1))</f>
        <v>408.24135864450221</v>
      </c>
      <c r="DU157" s="59">
        <f t="shared" si="152"/>
        <v>394.10236303013903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13.483625961486224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13.483625961486224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853.00000000000011</v>
      </c>
      <c r="O158" s="13">
        <f>N158*VLOOKUP('Données projet'!$B$9,Paramètres!$A$1:$I$89,3,0)*VLOOKUP('Données projet'!$B$9,Paramètres!$A$1:$I$89,5,0)</f>
        <v>399.20400000000006</v>
      </c>
      <c r="P158" s="13">
        <f t="shared" si="141"/>
        <v>91.615269732888521</v>
      </c>
      <c r="Q158" s="20">
        <f t="shared" si="162"/>
        <v>854.8435614514475</v>
      </c>
      <c r="R158" s="59">
        <f t="shared" si="109"/>
        <v>1142.0929164766271</v>
      </c>
      <c r="S158" s="59">
        <f ca="1">AVERAGE(OFFSET($R$3,0,0,'Données projet'!$E$9+1,1))-AVERAGE(OFFSET($H$3,0,0,'Données projet'!$E$9+1,1))</f>
        <v>512.58510468904342</v>
      </c>
      <c r="T158" s="59">
        <f t="shared" si="142"/>
        <v>443.6106696463529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31.381633535512211</v>
      </c>
      <c r="AA158" s="21">
        <f>EXP(-LN(2)/25)*AA157+(1-EXP(-LN(2)/25))/(LN(2)/25)*Calculateur!V158*Calculateur!X158*VLOOKUP('Données projet'!$B$9,Paramètres!$A$1:$I$89,3,0)*0.475*44/12</f>
        <v>1.5308538823114299</v>
      </c>
      <c r="AB158" s="21">
        <f>EXP(-LN(2)/2)*AB157+(1-EXP(-LN(2)/2))/(LN(2)/2)*V158*Y158*VLOOKUP('Données projet'!$B$9,Paramètres!$A$1:$I$89,3,0)*0.475*44/12</f>
        <v>1.2440927665197638E-19</v>
      </c>
      <c r="AC158" s="22">
        <f t="shared" si="163"/>
        <v>32.912487417823641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311.298</v>
      </c>
      <c r="AK158" s="13">
        <f t="shared" si="164"/>
        <v>73.539838278528748</v>
      </c>
      <c r="AL158" s="20">
        <f t="shared" si="165"/>
        <v>670.25923500177089</v>
      </c>
      <c r="AM158" s="59">
        <f t="shared" si="113"/>
        <v>957.50859002695051</v>
      </c>
      <c r="AN158" s="59">
        <f ca="1">AVERAGE(OFFSET($AM$3,0,0,'Données projet'!$E$10+1,1))-AVERAGE(OFFSET($H$3,0,0,'Données projet'!$E$10+1,1))</f>
        <v>520.95202773768222</v>
      </c>
      <c r="AO158" s="59">
        <f t="shared" si="144"/>
        <v>325.72635759450861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50.801142891215726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50.801142891215726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689</v>
      </c>
      <c r="BE158" s="13">
        <f>BD158*VLOOKUP('Données projet'!$B$11,Paramètres!$A$1:$I$89,3,0)*VLOOKUP('Données projet'!$B$11,Paramètres!$A$1:$I$89,5,0)</f>
        <v>412.02199999999999</v>
      </c>
      <c r="BF158" s="13">
        <f t="shared" si="167"/>
        <v>94.209724877926391</v>
      </c>
      <c r="BG158" s="20">
        <f t="shared" si="168"/>
        <v>881.686920829055</v>
      </c>
      <c r="BH158" s="59">
        <f t="shared" si="116"/>
        <v>1168.9362758542347</v>
      </c>
      <c r="BI158" s="59">
        <f ca="1">AVERAGE(OFFSET($BH$3,0,0,'Données projet'!$E$11+1,1))-AVERAGE(OFFSET($H$3,0,0,'Données projet'!$E$11+1,1))</f>
        <v>528.71639224940395</v>
      </c>
      <c r="BJ158" s="59">
        <f t="shared" si="146"/>
        <v>460.93390058676493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22.161111243595798</v>
      </c>
      <c r="BQ158" s="21">
        <f>EXP(-LN(2)/25)*BQ157+(1-EXP(-LN(2)/25))/(LN(2)/25)*Calculateur!BL158*Calculateur!BN158*VLOOKUP('Données projet'!$B$11,Paramètres!$A$1:$I$89,3,0)*0.475*44/12</f>
        <v>1.8399761236022869</v>
      </c>
      <c r="BR158" s="21">
        <f>EXP(-LN(2)/2)*BR157+(1-EXP(-LN(2)/2))/(LN(2)/2)*BL158*BO158*VLOOKUP('Données projet'!$B$11,Paramètres!$A$1:$I$89,3,0)*0.475*44/12</f>
        <v>8.0290666379043395E-21</v>
      </c>
      <c r="BS158" s="22">
        <f t="shared" si="169"/>
        <v>24.001087367198085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267</v>
      </c>
      <c r="BZ158" s="13">
        <f>BY158*VLOOKUP('Données projet'!$B$12,Paramètres!$A$1:$I$89,3,0)*VLOOKUP('Données projet'!$B$12,Paramètres!$A$1:$I$89,5,0)</f>
        <v>241.58159999999998</v>
      </c>
      <c r="CA158" s="13">
        <f t="shared" si="170"/>
        <v>58.779689232021951</v>
      </c>
      <c r="CB158" s="20">
        <f t="shared" si="171"/>
        <v>523.12924541243819</v>
      </c>
      <c r="CC158" s="59">
        <f t="shared" si="119"/>
        <v>810.37860043761793</v>
      </c>
      <c r="CD158" s="59">
        <f ca="1">AVERAGE(OFFSET($CC$3,0,0,'Données projet'!$E$12+1,1))-AVERAGE(OFFSET($H$3,0,0,'Données projet'!$E$12+1,1))</f>
        <v>398.11190027805549</v>
      </c>
      <c r="CE158" s="59">
        <f t="shared" si="148"/>
        <v>250.47702091764884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34.230219733254422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34.230219733254422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8.8960000000000043</v>
      </c>
      <c r="CT158" s="12">
        <f>IF('Données projet'!$A$140&gt;35,CT157+CS158-DB157,IF(A158&lt;'Données projet'!$A$140,$CQ$205^A158,IF(A158='Données projet'!$A$140,'Données projet'!$B$140,CT157+CS158-DB157)))</f>
        <v>500.25600000000009</v>
      </c>
      <c r="CU158" s="17">
        <f>CT158*VLOOKUP('Données projet'!$B$13,Paramètres!$A$1:$I$89,3,0)*VLOOKUP('Données projet'!$B$13,Paramètres!$A$1:$I$89,5,0)</f>
        <v>476.04360960000008</v>
      </c>
      <c r="CV158" s="13">
        <f t="shared" si="173"/>
        <v>107.03374567724661</v>
      </c>
      <c r="CW158" s="20">
        <f t="shared" si="174"/>
        <v>1015.5263937745381</v>
      </c>
      <c r="CX158" s="59">
        <f t="shared" si="122"/>
        <v>1302.7757487997178</v>
      </c>
      <c r="CY158" s="59">
        <f ca="1">AVERAGE(OFFSET($CX$3,0,0,'Données projet'!$E$13+1,1))-AVERAGE(OFFSET($H$3,0,0,'Données projet'!$E$13+1,1))</f>
        <v>697.21496579281836</v>
      </c>
      <c r="CZ158" s="59">
        <f t="shared" si="150"/>
        <v>215.64914236153456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125.69455364469087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125.69455364469087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319</v>
      </c>
      <c r="DP158" s="17">
        <f>DO158*VLOOKUP('Données projet'!$B$14,Paramètres!$A$1:$I$89,3,0)*VLOOKUP('Données projet'!$B$14,Paramètres!$A$1:$I$89,5,0)</f>
        <v>278.67840000000001</v>
      </c>
      <c r="DQ158" s="13">
        <f t="shared" si="176"/>
        <v>66.687639951856809</v>
      </c>
      <c r="DR158" s="20">
        <f t="shared" si="177"/>
        <v>601.51251958281728</v>
      </c>
      <c r="DS158" s="59">
        <f t="shared" si="125"/>
        <v>888.76187460799702</v>
      </c>
      <c r="DT158" s="59">
        <f ca="1">AVERAGE(OFFSET($DS$3,0,0,'Données projet'!$E$14+1,1))-AVERAGE(OFFSET($H$3,0,0,'Données projet'!$E$14+1,1))</f>
        <v>408.24135864450221</v>
      </c>
      <c r="DU158" s="59">
        <f t="shared" si="152"/>
        <v>394.10236303013903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13.219220280581244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13.219220280581244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853.00000000000011</v>
      </c>
      <c r="O159" s="13">
        <f>N159*VLOOKUP('Données projet'!$B$9,Paramètres!$A$1:$I$89,3,0)*VLOOKUP('Données projet'!$B$9,Paramètres!$A$1:$I$89,5,0)</f>
        <v>399.20400000000006</v>
      </c>
      <c r="P159" s="13">
        <f t="shared" si="141"/>
        <v>91.615269732888521</v>
      </c>
      <c r="Q159" s="20">
        <f t="shared" si="162"/>
        <v>854.8435614514475</v>
      </c>
      <c r="R159" s="59">
        <f t="shared" si="109"/>
        <v>1142.1984598985359</v>
      </c>
      <c r="S159" s="59">
        <f ca="1">AVERAGE(OFFSET($R$3,0,0,'Données projet'!$E$9+1,1))-AVERAGE(OFFSET($H$3,0,0,'Données projet'!$E$9+1,1))</f>
        <v>512.58510468904342</v>
      </c>
      <c r="T159" s="59">
        <f t="shared" si="142"/>
        <v>443.6106696463529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30.766258842787266</v>
      </c>
      <c r="AA159" s="21">
        <f>EXP(-LN(2)/25)*AA158+(1-EXP(-LN(2)/25))/(LN(2)/25)*Calculateur!V159*Calculateur!X159*VLOOKUP('Données projet'!$B$9,Paramètres!$A$1:$I$89,3,0)*0.475*44/12</f>
        <v>1.4889926023955171</v>
      </c>
      <c r="AB159" s="21">
        <f>EXP(-LN(2)/2)*AB158+(1-EXP(-LN(2)/2))/(LN(2)/2)*V159*Y159*VLOOKUP('Données projet'!$B$9,Paramètres!$A$1:$I$89,3,0)*0.475*44/12</f>
        <v>8.7970643163125722E-20</v>
      </c>
      <c r="AC159" s="22">
        <f t="shared" si="163"/>
        <v>32.255251445182786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311.298</v>
      </c>
      <c r="AK159" s="13">
        <f t="shared" si="164"/>
        <v>73.539838278528748</v>
      </c>
      <c r="AL159" s="20">
        <f t="shared" si="165"/>
        <v>670.25923500177089</v>
      </c>
      <c r="AM159" s="59">
        <f t="shared" si="113"/>
        <v>957.61413344885921</v>
      </c>
      <c r="AN159" s="59">
        <f ca="1">AVERAGE(OFFSET($AM$3,0,0,'Données projet'!$E$10+1,1))-AVERAGE(OFFSET($H$3,0,0,'Données projet'!$E$10+1,1))</f>
        <v>520.95202773768222</v>
      </c>
      <c r="AO159" s="59">
        <f t="shared" si="144"/>
        <v>325.72635759450861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49.804963464756568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49.804963464756568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689</v>
      </c>
      <c r="BE159" s="13">
        <f>BD159*VLOOKUP('Données projet'!$B$11,Paramètres!$A$1:$I$89,3,0)*VLOOKUP('Données projet'!$B$11,Paramètres!$A$1:$I$89,5,0)</f>
        <v>412.02199999999999</v>
      </c>
      <c r="BF159" s="13">
        <f t="shared" si="167"/>
        <v>94.209724877926391</v>
      </c>
      <c r="BG159" s="20">
        <f t="shared" si="168"/>
        <v>881.686920829055</v>
      </c>
      <c r="BH159" s="59">
        <f t="shared" si="116"/>
        <v>1169.0418192761433</v>
      </c>
      <c r="BI159" s="59">
        <f ca="1">AVERAGE(OFFSET($BH$3,0,0,'Données projet'!$E$11+1,1))-AVERAGE(OFFSET($H$3,0,0,'Données projet'!$E$11+1,1))</f>
        <v>528.71639224940395</v>
      </c>
      <c r="BJ159" s="59">
        <f t="shared" si="146"/>
        <v>460.93390058676493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21.726545369052054</v>
      </c>
      <c r="BQ159" s="21">
        <f>EXP(-LN(2)/25)*BQ158+(1-EXP(-LN(2)/25))/(LN(2)/25)*Calculateur!BL159*Calculateur!BN159*VLOOKUP('Données projet'!$B$11,Paramètres!$A$1:$I$89,3,0)*0.475*44/12</f>
        <v>1.7896618797422434</v>
      </c>
      <c r="BR159" s="21">
        <f>EXP(-LN(2)/2)*BR158+(1-EXP(-LN(2)/2))/(LN(2)/2)*BL159*BO159*VLOOKUP('Données projet'!$B$11,Paramètres!$A$1:$I$89,3,0)*0.475*44/12</f>
        <v>5.6774074662608327E-21</v>
      </c>
      <c r="BS159" s="22">
        <f t="shared" si="169"/>
        <v>23.516207248794299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267</v>
      </c>
      <c r="BZ159" s="13">
        <f>BY159*VLOOKUP('Données projet'!$B$12,Paramètres!$A$1:$I$89,3,0)*VLOOKUP('Données projet'!$B$12,Paramètres!$A$1:$I$89,5,0)</f>
        <v>241.58159999999998</v>
      </c>
      <c r="CA159" s="13">
        <f t="shared" si="170"/>
        <v>58.779689232021951</v>
      </c>
      <c r="CB159" s="20">
        <f t="shared" si="171"/>
        <v>523.12924541243819</v>
      </c>
      <c r="CC159" s="59">
        <f t="shared" si="119"/>
        <v>810.48414385952651</v>
      </c>
      <c r="CD159" s="59">
        <f ca="1">AVERAGE(OFFSET($CC$3,0,0,'Données projet'!$E$12+1,1))-AVERAGE(OFFSET($H$3,0,0,'Données projet'!$E$12+1,1))</f>
        <v>398.11190027805549</v>
      </c>
      <c r="CE159" s="59">
        <f t="shared" si="148"/>
        <v>250.47702091764884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33.558986002657775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33.558986002657775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8.8960000000000043</v>
      </c>
      <c r="CT159" s="12">
        <f>IF('Données projet'!$A$140&gt;35,CT158+CS159-DB158,IF(A159&lt;'Données projet'!$A$140,$CQ$205^A159,IF(A159='Données projet'!$A$140,'Données projet'!$B$140,CT158+CS159-DB158)))</f>
        <v>509.1520000000001</v>
      </c>
      <c r="CU159" s="17">
        <f>CT159*VLOOKUP('Données projet'!$B$13,Paramètres!$A$1:$I$89,3,0)*VLOOKUP('Données projet'!$B$13,Paramètres!$A$1:$I$89,5,0)</f>
        <v>484.50904320000012</v>
      </c>
      <c r="CV159" s="13">
        <f t="shared" si="173"/>
        <v>108.71383409121859</v>
      </c>
      <c r="CW159" s="20">
        <f t="shared" si="174"/>
        <v>1033.1965112822061</v>
      </c>
      <c r="CX159" s="59">
        <f t="shared" si="122"/>
        <v>1320.5514097292944</v>
      </c>
      <c r="CY159" s="59">
        <f ca="1">AVERAGE(OFFSET($CX$3,0,0,'Données projet'!$E$13+1,1))-AVERAGE(OFFSET($H$3,0,0,'Données projet'!$E$13+1,1))</f>
        <v>697.21496579281836</v>
      </c>
      <c r="CZ159" s="59">
        <f t="shared" si="150"/>
        <v>215.64914236153456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123.22976011382606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123.22976011382606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319</v>
      </c>
      <c r="DP159" s="17">
        <f>DO159*VLOOKUP('Données projet'!$B$14,Paramètres!$A$1:$I$89,3,0)*VLOOKUP('Données projet'!$B$14,Paramètres!$A$1:$I$89,5,0)</f>
        <v>278.67840000000001</v>
      </c>
      <c r="DQ159" s="13">
        <f t="shared" si="176"/>
        <v>66.687639951856809</v>
      </c>
      <c r="DR159" s="20">
        <f t="shared" si="177"/>
        <v>601.51251958281728</v>
      </c>
      <c r="DS159" s="59">
        <f t="shared" si="125"/>
        <v>888.86741802990559</v>
      </c>
      <c r="DT159" s="59">
        <f ca="1">AVERAGE(OFFSET($DS$3,0,0,'Données projet'!$E$14+1,1))-AVERAGE(OFFSET($H$3,0,0,'Données projet'!$E$14+1,1))</f>
        <v>408.24135864450221</v>
      </c>
      <c r="DU159" s="59">
        <f t="shared" si="152"/>
        <v>394.10236303013903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12.959999433807269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12.959999433807269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853.00000000000011</v>
      </c>
      <c r="O160" s="13">
        <f>N160*VLOOKUP('Données projet'!$B$9,Paramètres!$A$1:$I$89,3,0)*VLOOKUP('Données projet'!$B$9,Paramètres!$A$1:$I$89,5,0)</f>
        <v>399.20400000000006</v>
      </c>
      <c r="P160" s="13">
        <f t="shared" si="141"/>
        <v>91.615269732888521</v>
      </c>
      <c r="Q160" s="20">
        <f t="shared" si="162"/>
        <v>854.8435614514475</v>
      </c>
      <c r="R160" s="59">
        <f t="shared" si="109"/>
        <v>1142.3021723780341</v>
      </c>
      <c r="S160" s="59">
        <f ca="1">AVERAGE(OFFSET($R$3,0,0,'Données projet'!$E$9+1,1))-AVERAGE(OFFSET($H$3,0,0,'Données projet'!$E$9+1,1))</f>
        <v>512.58510468904342</v>
      </c>
      <c r="T160" s="59">
        <f t="shared" si="142"/>
        <v>443.6106696463529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30.162951272445156</v>
      </c>
      <c r="AA160" s="21">
        <f>EXP(-LN(2)/25)*AA159+(1-EXP(-LN(2)/25))/(LN(2)/25)*Calculateur!V160*Calculateur!X160*VLOOKUP('Données projet'!$B$9,Paramètres!$A$1:$I$89,3,0)*0.475*44/12</f>
        <v>1.4482760213802939</v>
      </c>
      <c r="AB160" s="21">
        <f>EXP(-LN(2)/2)*AB159+(1-EXP(-LN(2)/2))/(LN(2)/2)*V160*Y160*VLOOKUP('Données projet'!$B$9,Paramètres!$A$1:$I$89,3,0)*0.475*44/12</f>
        <v>6.2204638325988191E-20</v>
      </c>
      <c r="AC160" s="22">
        <f t="shared" si="163"/>
        <v>31.611227293825451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311.298</v>
      </c>
      <c r="AK160" s="13">
        <f t="shared" si="164"/>
        <v>73.539838278528748</v>
      </c>
      <c r="AL160" s="20">
        <f t="shared" si="165"/>
        <v>670.25923500177089</v>
      </c>
      <c r="AM160" s="59">
        <f t="shared" si="113"/>
        <v>957.71784592835752</v>
      </c>
      <c r="AN160" s="59">
        <f ca="1">AVERAGE(OFFSET($AM$3,0,0,'Données projet'!$E$10+1,1))-AVERAGE(OFFSET($H$3,0,0,'Données projet'!$E$10+1,1))</f>
        <v>520.95202773768222</v>
      </c>
      <c r="AO160" s="59">
        <f t="shared" si="144"/>
        <v>325.72635759450861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48.828318509240823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48.828318509240823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689</v>
      </c>
      <c r="BE160" s="13">
        <f>BD160*VLOOKUP('Données projet'!$B$11,Paramètres!$A$1:$I$89,3,0)*VLOOKUP('Données projet'!$B$11,Paramètres!$A$1:$I$89,5,0)</f>
        <v>412.02199999999999</v>
      </c>
      <c r="BF160" s="13">
        <f t="shared" si="167"/>
        <v>94.209724877926391</v>
      </c>
      <c r="BG160" s="20">
        <f t="shared" si="168"/>
        <v>881.686920829055</v>
      </c>
      <c r="BH160" s="59">
        <f t="shared" si="116"/>
        <v>1169.1455317556415</v>
      </c>
      <c r="BI160" s="59">
        <f ca="1">AVERAGE(OFFSET($BH$3,0,0,'Données projet'!$E$11+1,1))-AVERAGE(OFFSET($H$3,0,0,'Données projet'!$E$11+1,1))</f>
        <v>528.71639224940395</v>
      </c>
      <c r="BJ160" s="59">
        <f t="shared" si="146"/>
        <v>460.93390058676493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21.300501066249105</v>
      </c>
      <c r="BQ160" s="21">
        <f>EXP(-LN(2)/25)*BQ159+(1-EXP(-LN(2)/25))/(LN(2)/25)*Calculateur!BL160*Calculateur!BN160*VLOOKUP('Données projet'!$B$11,Paramètres!$A$1:$I$89,3,0)*0.475*44/12</f>
        <v>1.7407234815264638</v>
      </c>
      <c r="BR160" s="21">
        <f>EXP(-LN(2)/2)*BR159+(1-EXP(-LN(2)/2))/(LN(2)/2)*BL160*BO160*VLOOKUP('Données projet'!$B$11,Paramètres!$A$1:$I$89,3,0)*0.475*44/12</f>
        <v>4.0145333189521697E-21</v>
      </c>
      <c r="BS160" s="22">
        <f t="shared" si="169"/>
        <v>23.041224547775567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267</v>
      </c>
      <c r="BZ160" s="13">
        <f>BY160*VLOOKUP('Données projet'!$B$12,Paramètres!$A$1:$I$89,3,0)*VLOOKUP('Données projet'!$B$12,Paramètres!$A$1:$I$89,5,0)</f>
        <v>241.58159999999998</v>
      </c>
      <c r="CA160" s="13">
        <f t="shared" si="170"/>
        <v>58.779689232021951</v>
      </c>
      <c r="CB160" s="20">
        <f t="shared" si="171"/>
        <v>523.12924541243819</v>
      </c>
      <c r="CC160" s="59">
        <f t="shared" si="119"/>
        <v>810.58785633902471</v>
      </c>
      <c r="CD160" s="59">
        <f ca="1">AVERAGE(OFFSET($CC$3,0,0,'Données projet'!$E$12+1,1))-AVERAGE(OFFSET($H$3,0,0,'Données projet'!$E$12+1,1))</f>
        <v>398.11190027805549</v>
      </c>
      <c r="CE160" s="59">
        <f t="shared" si="148"/>
        <v>250.47702091764884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32.900914756105976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32.900914756105976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8.8960000000000043</v>
      </c>
      <c r="CT160" s="12">
        <f>IF('Données projet'!$A$140&gt;35,CT159+CS160-DB159,IF(A160&lt;'Données projet'!$A$140,$CQ$205^A160,IF(A160='Données projet'!$A$140,'Données projet'!$B$140,CT159+CS160-DB159)))</f>
        <v>518.04800000000012</v>
      </c>
      <c r="CU160" s="17">
        <f>CT160*VLOOKUP('Données projet'!$B$13,Paramètres!$A$1:$I$89,3,0)*VLOOKUP('Données projet'!$B$13,Paramètres!$A$1:$I$89,5,0)</f>
        <v>492.9744768000001</v>
      </c>
      <c r="CV160" s="13">
        <f t="shared" si="173"/>
        <v>110.390508892475</v>
      </c>
      <c r="CW160" s="20">
        <f t="shared" si="174"/>
        <v>1050.8606834143941</v>
      </c>
      <c r="CX160" s="59">
        <f t="shared" si="122"/>
        <v>1338.3192943409806</v>
      </c>
      <c r="CY160" s="59">
        <f ca="1">AVERAGE(OFFSET($CX$3,0,0,'Données projet'!$E$13+1,1))-AVERAGE(OFFSET($H$3,0,0,'Données projet'!$E$13+1,1))</f>
        <v>697.21496579281836</v>
      </c>
      <c r="CZ160" s="59">
        <f t="shared" si="150"/>
        <v>215.64914236153456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120.81329968072589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120.81329968072589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319</v>
      </c>
      <c r="DP160" s="17">
        <f>DO160*VLOOKUP('Données projet'!$B$14,Paramètres!$A$1:$I$89,3,0)*VLOOKUP('Données projet'!$B$14,Paramètres!$A$1:$I$89,5,0)</f>
        <v>278.67840000000001</v>
      </c>
      <c r="DQ160" s="13">
        <f t="shared" si="176"/>
        <v>66.687639951856809</v>
      </c>
      <c r="DR160" s="20">
        <f t="shared" si="177"/>
        <v>601.51251958281728</v>
      </c>
      <c r="DS160" s="59">
        <f t="shared" si="125"/>
        <v>888.97113050940379</v>
      </c>
      <c r="DT160" s="59">
        <f ca="1">AVERAGE(OFFSET($DS$3,0,0,'Données projet'!$E$14+1,1))-AVERAGE(OFFSET($H$3,0,0,'Données projet'!$E$14+1,1))</f>
        <v>408.24135864450221</v>
      </c>
      <c r="DU160" s="59">
        <f t="shared" si="152"/>
        <v>394.10236303013903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12.705861749729428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12.705861749729428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853.00000000000011</v>
      </c>
      <c r="O161" s="13">
        <f>N161*VLOOKUP('Données projet'!$B$9,Paramètres!$A$1:$I$89,3,0)*VLOOKUP('Données projet'!$B$9,Paramètres!$A$1:$I$89,5,0)</f>
        <v>399.20400000000006</v>
      </c>
      <c r="P161" s="13">
        <f t="shared" si="141"/>
        <v>91.615269732888521</v>
      </c>
      <c r="Q161" s="20">
        <f t="shared" si="162"/>
        <v>854.8435614514475</v>
      </c>
      <c r="R161" s="59">
        <f t="shared" si="109"/>
        <v>1142.4040856778795</v>
      </c>
      <c r="S161" s="59">
        <f ca="1">AVERAGE(OFFSET($R$3,0,0,'Données projet'!$E$9+1,1))-AVERAGE(OFFSET($H$3,0,0,'Données projet'!$E$9+1,1))</f>
        <v>512.58510468904342</v>
      </c>
      <c r="T161" s="59">
        <f t="shared" si="142"/>
        <v>443.6106696463529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29.571474195576172</v>
      </c>
      <c r="AA161" s="21">
        <f>EXP(-LN(2)/25)*AA160+(1-EXP(-LN(2)/25))/(LN(2)/25)*Calculateur!V161*Calculateur!X161*VLOOKUP('Données projet'!$B$9,Paramètres!$A$1:$I$89,3,0)*0.475*44/12</f>
        <v>1.4086728374141237</v>
      </c>
      <c r="AB161" s="21">
        <f>EXP(-LN(2)/2)*AB160+(1-EXP(-LN(2)/2))/(LN(2)/2)*V161*Y161*VLOOKUP('Données projet'!$B$9,Paramètres!$A$1:$I$89,3,0)*0.475*44/12</f>
        <v>4.3985321581562861E-20</v>
      </c>
      <c r="AC161" s="22">
        <f t="shared" si="163"/>
        <v>30.980147032990295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311.298</v>
      </c>
      <c r="AK161" s="13">
        <f t="shared" si="164"/>
        <v>73.539838278528748</v>
      </c>
      <c r="AL161" s="20">
        <f t="shared" si="165"/>
        <v>670.25923500177089</v>
      </c>
      <c r="AM161" s="59">
        <f t="shared" si="113"/>
        <v>957.81975922820288</v>
      </c>
      <c r="AN161" s="59">
        <f ca="1">AVERAGE(OFFSET($AM$3,0,0,'Données projet'!$E$10+1,1))-AVERAGE(OFFSET($H$3,0,0,'Données projet'!$E$10+1,1))</f>
        <v>520.95202773768222</v>
      </c>
      <c r="AO161" s="59">
        <f t="shared" si="144"/>
        <v>325.72635759450861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47.870824965608143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47.870824965608143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689</v>
      </c>
      <c r="BE161" s="13">
        <f>BD161*VLOOKUP('Données projet'!$B$11,Paramètres!$A$1:$I$89,3,0)*VLOOKUP('Données projet'!$B$11,Paramètres!$A$1:$I$89,5,0)</f>
        <v>412.02199999999999</v>
      </c>
      <c r="BF161" s="13">
        <f t="shared" si="167"/>
        <v>94.209724877926391</v>
      </c>
      <c r="BG161" s="20">
        <f t="shared" si="168"/>
        <v>881.686920829055</v>
      </c>
      <c r="BH161" s="59">
        <f t="shared" si="116"/>
        <v>1169.2474450554869</v>
      </c>
      <c r="BI161" s="59">
        <f ca="1">AVERAGE(OFFSET($BH$3,0,0,'Données projet'!$E$11+1,1))-AVERAGE(OFFSET($H$3,0,0,'Données projet'!$E$11+1,1))</f>
        <v>528.71639224940395</v>
      </c>
      <c r="BJ161" s="59">
        <f t="shared" si="146"/>
        <v>460.93390058676493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20.882811232362755</v>
      </c>
      <c r="BQ161" s="21">
        <f>EXP(-LN(2)/25)*BQ160+(1-EXP(-LN(2)/25))/(LN(2)/25)*Calculateur!BL161*Calculateur!BN161*VLOOKUP('Données projet'!$B$11,Paramètres!$A$1:$I$89,3,0)*0.475*44/12</f>
        <v>1.6931233063834532</v>
      </c>
      <c r="BR161" s="21">
        <f>EXP(-LN(2)/2)*BR160+(1-EXP(-LN(2)/2))/(LN(2)/2)*BL161*BO161*VLOOKUP('Données projet'!$B$11,Paramètres!$A$1:$I$89,3,0)*0.475*44/12</f>
        <v>2.8387037331304163E-21</v>
      </c>
      <c r="BS161" s="22">
        <f t="shared" si="169"/>
        <v>22.575934538746207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267</v>
      </c>
      <c r="BZ161" s="13">
        <f>BY161*VLOOKUP('Données projet'!$B$12,Paramètres!$A$1:$I$89,3,0)*VLOOKUP('Données projet'!$B$12,Paramètres!$A$1:$I$89,5,0)</f>
        <v>241.58159999999998</v>
      </c>
      <c r="CA161" s="13">
        <f t="shared" si="170"/>
        <v>58.779689232021951</v>
      </c>
      <c r="CB161" s="20">
        <f t="shared" si="171"/>
        <v>523.12924541243819</v>
      </c>
      <c r="CC161" s="59">
        <f t="shared" si="119"/>
        <v>810.68976963887019</v>
      </c>
      <c r="CD161" s="59">
        <f ca="1">AVERAGE(OFFSET($CC$3,0,0,'Données projet'!$E$12+1,1))-AVERAGE(OFFSET($H$3,0,0,'Données projet'!$E$12+1,1))</f>
        <v>398.11190027805549</v>
      </c>
      <c r="CE161" s="59">
        <f t="shared" si="148"/>
        <v>250.47702091764884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32.25574788531523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32.25574788531523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8.8960000000000043</v>
      </c>
      <c r="CT161" s="12">
        <f>IF('Données projet'!$A$140&gt;35,CT160+CS161-DB160,IF(A161&lt;'Données projet'!$A$140,$CQ$205^A161,IF(A161='Données projet'!$A$140,'Données projet'!$B$140,CT160+CS161-DB160)))</f>
        <v>526.94400000000007</v>
      </c>
      <c r="CU161" s="17">
        <f>CT161*VLOOKUP('Données projet'!$B$13,Paramètres!$A$1:$I$89,3,0)*VLOOKUP('Données projet'!$B$13,Paramètres!$A$1:$I$89,5,0)</f>
        <v>501.43991040000009</v>
      </c>
      <c r="CV161" s="13">
        <f t="shared" si="173"/>
        <v>112.06383546447631</v>
      </c>
      <c r="CW161" s="20">
        <f t="shared" si="174"/>
        <v>1068.5190240472964</v>
      </c>
      <c r="CX161" s="59">
        <f t="shared" si="122"/>
        <v>1356.0795482737285</v>
      </c>
      <c r="CY161" s="59">
        <f ca="1">AVERAGE(OFFSET($CX$3,0,0,'Données projet'!$E$13+1,1))-AVERAGE(OFFSET($H$3,0,0,'Données projet'!$E$13+1,1))</f>
        <v>697.21496579281836</v>
      </c>
      <c r="CZ161" s="59">
        <f t="shared" si="150"/>
        <v>215.64914236153456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118.44422456282349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118.44422456282349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319</v>
      </c>
      <c r="DP161" s="17">
        <f>DO161*VLOOKUP('Données projet'!$B$14,Paramètres!$A$1:$I$89,3,0)*VLOOKUP('Données projet'!$B$14,Paramètres!$A$1:$I$89,5,0)</f>
        <v>278.67840000000001</v>
      </c>
      <c r="DQ161" s="13">
        <f t="shared" si="176"/>
        <v>66.687639951856809</v>
      </c>
      <c r="DR161" s="20">
        <f t="shared" si="177"/>
        <v>601.51251958281728</v>
      </c>
      <c r="DS161" s="59">
        <f t="shared" si="125"/>
        <v>889.07304380924927</v>
      </c>
      <c r="DT161" s="59">
        <f ca="1">AVERAGE(OFFSET($DS$3,0,0,'Données projet'!$E$14+1,1))-AVERAGE(OFFSET($H$3,0,0,'Données projet'!$E$14+1,1))</f>
        <v>408.24135864450221</v>
      </c>
      <c r="DU161" s="59">
        <f t="shared" si="152"/>
        <v>394.10236303013903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12.456707550627671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12.456707550627671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853.00000000000011</v>
      </c>
      <c r="O162" s="13">
        <f>N162*VLOOKUP('Données projet'!$B$9,Paramètres!$A$1:$I$89,3,0)*VLOOKUP('Données projet'!$B$9,Paramètres!$A$1:$I$89,5,0)</f>
        <v>399.20400000000006</v>
      </c>
      <c r="P162" s="13">
        <f t="shared" si="141"/>
        <v>91.615269732888521</v>
      </c>
      <c r="Q162" s="20">
        <f t="shared" si="162"/>
        <v>854.8435614514475</v>
      </c>
      <c r="R162" s="59">
        <f t="shared" si="109"/>
        <v>1142.5042310098165</v>
      </c>
      <c r="S162" s="59">
        <f ca="1">AVERAGE(OFFSET($R$3,0,0,'Données projet'!$E$9+1,1))-AVERAGE(OFFSET($H$3,0,0,'Données projet'!$E$9+1,1))</f>
        <v>512.58510468904342</v>
      </c>
      <c r="T162" s="59">
        <f t="shared" si="142"/>
        <v>443.6106696463529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28.991595623419194</v>
      </c>
      <c r="AA162" s="21">
        <f>EXP(-LN(2)/25)*AA161+(1-EXP(-LN(2)/25))/(LN(2)/25)*Calculateur!V162*Calculateur!X162*VLOOKUP('Données projet'!$B$9,Paramètres!$A$1:$I$89,3,0)*0.475*44/12</f>
        <v>1.3701526045961496</v>
      </c>
      <c r="AB162" s="21">
        <f>EXP(-LN(2)/2)*AB161+(1-EXP(-LN(2)/2))/(LN(2)/2)*V162*Y162*VLOOKUP('Données projet'!$B$9,Paramètres!$A$1:$I$89,3,0)*0.475*44/12</f>
        <v>3.1102319162994096E-20</v>
      </c>
      <c r="AC162" s="22">
        <f t="shared" si="163"/>
        <v>30.361748228015344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311.298</v>
      </c>
      <c r="AK162" s="13">
        <f t="shared" si="164"/>
        <v>73.539838278528748</v>
      </c>
      <c r="AL162" s="20">
        <f t="shared" si="165"/>
        <v>670.25923500177089</v>
      </c>
      <c r="AM162" s="59">
        <f t="shared" si="113"/>
        <v>957.91990456013991</v>
      </c>
      <c r="AN162" s="59">
        <f ca="1">AVERAGE(OFFSET($AM$3,0,0,'Données projet'!$E$10+1,1))-AVERAGE(OFFSET($H$3,0,0,'Données projet'!$E$10+1,1))</f>
        <v>520.95202773768222</v>
      </c>
      <c r="AO162" s="59">
        <f t="shared" si="144"/>
        <v>325.72635759450861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46.932107286352704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46.932107286352704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689</v>
      </c>
      <c r="BE162" s="13">
        <f>BD162*VLOOKUP('Données projet'!$B$11,Paramètres!$A$1:$I$89,3,0)*VLOOKUP('Données projet'!$B$11,Paramètres!$A$1:$I$89,5,0)</f>
        <v>412.02199999999999</v>
      </c>
      <c r="BF162" s="13">
        <f t="shared" si="167"/>
        <v>94.209724877926391</v>
      </c>
      <c r="BG162" s="20">
        <f t="shared" si="168"/>
        <v>881.686920829055</v>
      </c>
      <c r="BH162" s="59">
        <f t="shared" si="116"/>
        <v>1169.3475903874239</v>
      </c>
      <c r="BI162" s="59">
        <f ca="1">AVERAGE(OFFSET($BH$3,0,0,'Données projet'!$E$11+1,1))-AVERAGE(OFFSET($H$3,0,0,'Données projet'!$E$11+1,1))</f>
        <v>528.71639224940395</v>
      </c>
      <c r="BJ162" s="59">
        <f t="shared" si="146"/>
        <v>460.93390058676493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20.473312041353275</v>
      </c>
      <c r="BQ162" s="21">
        <f>EXP(-LN(2)/25)*BQ161+(1-EXP(-LN(2)/25))/(LN(2)/25)*Calculateur!BL162*Calculateur!BN162*VLOOKUP('Données projet'!$B$11,Paramètres!$A$1:$I$89,3,0)*0.475*44/12</f>
        <v>1.6468247605329127</v>
      </c>
      <c r="BR162" s="21">
        <f>EXP(-LN(2)/2)*BR161+(1-EXP(-LN(2)/2))/(LN(2)/2)*BL162*BO162*VLOOKUP('Données projet'!$B$11,Paramètres!$A$1:$I$89,3,0)*0.475*44/12</f>
        <v>2.0072666594760849E-21</v>
      </c>
      <c r="BS162" s="22">
        <f t="shared" si="169"/>
        <v>22.120136801886186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267</v>
      </c>
      <c r="BZ162" s="13">
        <f>BY162*VLOOKUP('Données projet'!$B$12,Paramètres!$A$1:$I$89,3,0)*VLOOKUP('Données projet'!$B$12,Paramètres!$A$1:$I$89,5,0)</f>
        <v>241.58159999999998</v>
      </c>
      <c r="CA162" s="13">
        <f t="shared" si="170"/>
        <v>58.779689232021951</v>
      </c>
      <c r="CB162" s="20">
        <f t="shared" si="171"/>
        <v>523.12924541243819</v>
      </c>
      <c r="CC162" s="59">
        <f t="shared" si="119"/>
        <v>810.7899149708071</v>
      </c>
      <c r="CD162" s="59">
        <f ca="1">AVERAGE(OFFSET($CC$3,0,0,'Données projet'!$E$12+1,1))-AVERAGE(OFFSET($H$3,0,0,'Données projet'!$E$12+1,1))</f>
        <v>398.11190027805549</v>
      </c>
      <c r="CE162" s="59">
        <f t="shared" si="148"/>
        <v>250.47702091764884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31.623232343347755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31.623232343347755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8.8960000000000043</v>
      </c>
      <c r="CT162" s="12">
        <f>IF('Données projet'!$A$140&gt;35,CT161+CS162-DB161,IF(A162&lt;'Données projet'!$A$140,$CQ$205^A162,IF(A162='Données projet'!$A$140,'Données projet'!$B$140,CT161+CS162-DB161)))</f>
        <v>535.84</v>
      </c>
      <c r="CU162" s="17">
        <f>CT162*VLOOKUP('Données projet'!$B$13,Paramètres!$A$1:$I$89,3,0)*VLOOKUP('Données projet'!$B$13,Paramètres!$A$1:$I$89,5,0)</f>
        <v>509.90534400000007</v>
      </c>
      <c r="CV162" s="13">
        <f t="shared" si="173"/>
        <v>113.73387685652062</v>
      </c>
      <c r="CW162" s="20">
        <f t="shared" si="174"/>
        <v>1086.1716429917735</v>
      </c>
      <c r="CX162" s="59">
        <f t="shared" si="122"/>
        <v>1373.8323125501424</v>
      </c>
      <c r="CY162" s="59">
        <f ca="1">AVERAGE(OFFSET($CX$3,0,0,'Données projet'!$E$13+1,1))-AVERAGE(OFFSET($H$3,0,0,'Données projet'!$E$13+1,1))</f>
        <v>697.21496579281836</v>
      </c>
      <c r="CZ162" s="59">
        <f t="shared" si="150"/>
        <v>215.64914236153456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116.12160556299003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116.12160556299003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319</v>
      </c>
      <c r="DP162" s="17">
        <f>DO162*VLOOKUP('Données projet'!$B$14,Paramètres!$A$1:$I$89,3,0)*VLOOKUP('Données projet'!$B$14,Paramètres!$A$1:$I$89,5,0)</f>
        <v>278.67840000000001</v>
      </c>
      <c r="DQ162" s="13">
        <f t="shared" si="176"/>
        <v>66.687639951856809</v>
      </c>
      <c r="DR162" s="20">
        <f t="shared" si="177"/>
        <v>601.51251958281728</v>
      </c>
      <c r="DS162" s="59">
        <f t="shared" si="125"/>
        <v>889.17318914118619</v>
      </c>
      <c r="DT162" s="59">
        <f ca="1">AVERAGE(OFFSET($DS$3,0,0,'Données projet'!$E$14+1,1))-AVERAGE(OFFSET($H$3,0,0,'Données projet'!$E$14+1,1))</f>
        <v>408.24135864450221</v>
      </c>
      <c r="DU162" s="59">
        <f t="shared" si="152"/>
        <v>394.10236303013903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12.212439113401244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12.212439113401244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853.00000000000011</v>
      </c>
      <c r="O163" s="13">
        <f>N163*VLOOKUP('Données projet'!$B$9,Paramètres!$A$1:$I$89,3,0)*VLOOKUP('Données projet'!$B$9,Paramètres!$A$1:$I$89,5,0)</f>
        <v>399.20400000000006</v>
      </c>
      <c r="P163" s="13">
        <f t="shared" si="141"/>
        <v>91.615269732888521</v>
      </c>
      <c r="Q163" s="20">
        <f t="shared" si="162"/>
        <v>854.8435614514475</v>
      </c>
      <c r="R163" s="59">
        <f t="shared" si="109"/>
        <v>1142.6026390441359</v>
      </c>
      <c r="S163" s="59">
        <f ca="1">AVERAGE(OFFSET($R$3,0,0,'Données projet'!$E$9+1,1))-AVERAGE(OFFSET($H$3,0,0,'Données projet'!$E$9+1,1))</f>
        <v>512.58510468904342</v>
      </c>
      <c r="T163" s="59">
        <f t="shared" si="142"/>
        <v>443.6106696463529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28.423088116371211</v>
      </c>
      <c r="AA163" s="21">
        <f>EXP(-LN(2)/25)*AA162+(1-EXP(-LN(2)/25))/(LN(2)/25)*Calculateur!V163*Calculateur!X163*VLOOKUP('Données projet'!$B$9,Paramètres!$A$1:$I$89,3,0)*0.475*44/12</f>
        <v>1.332685709570274</v>
      </c>
      <c r="AB163" s="21">
        <f>EXP(-LN(2)/2)*AB162+(1-EXP(-LN(2)/2))/(LN(2)/2)*V163*Y163*VLOOKUP('Données projet'!$B$9,Paramètres!$A$1:$I$89,3,0)*0.475*44/12</f>
        <v>2.1992660790781431E-20</v>
      </c>
      <c r="AC163" s="22">
        <f t="shared" si="163"/>
        <v>29.755773825941485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311.298</v>
      </c>
      <c r="AK163" s="13">
        <f t="shared" si="164"/>
        <v>73.539838278528748</v>
      </c>
      <c r="AL163" s="20">
        <f t="shared" si="165"/>
        <v>670.25923500177089</v>
      </c>
      <c r="AM163" s="59">
        <f t="shared" si="113"/>
        <v>958.0183125944593</v>
      </c>
      <c r="AN163" s="59">
        <f ca="1">AVERAGE(OFFSET($AM$3,0,0,'Données projet'!$E$10+1,1))-AVERAGE(OFFSET($H$3,0,0,'Données projet'!$E$10+1,1))</f>
        <v>520.95202773768222</v>
      </c>
      <c r="AO163" s="59">
        <f t="shared" si="144"/>
        <v>325.72635759450861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46.011797288226212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46.011797288226212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689</v>
      </c>
      <c r="BE163" s="13">
        <f>BD163*VLOOKUP('Données projet'!$B$11,Paramètres!$A$1:$I$89,3,0)*VLOOKUP('Données projet'!$B$11,Paramètres!$A$1:$I$89,5,0)</f>
        <v>412.02199999999999</v>
      </c>
      <c r="BF163" s="13">
        <f t="shared" si="167"/>
        <v>94.209724877926391</v>
      </c>
      <c r="BG163" s="20">
        <f t="shared" si="168"/>
        <v>881.686920829055</v>
      </c>
      <c r="BH163" s="59">
        <f t="shared" si="116"/>
        <v>1169.4459984217433</v>
      </c>
      <c r="BI163" s="59">
        <f ca="1">AVERAGE(OFFSET($BH$3,0,0,'Données projet'!$E$11+1,1))-AVERAGE(OFFSET($H$3,0,0,'Données projet'!$E$11+1,1))</f>
        <v>528.71639224940395</v>
      </c>
      <c r="BJ163" s="59">
        <f t="shared" si="146"/>
        <v>460.93390058676493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20.071842879709646</v>
      </c>
      <c r="BQ163" s="21">
        <f>EXP(-LN(2)/25)*BQ162+(1-EXP(-LN(2)/25))/(LN(2)/25)*Calculateur!BL163*Calculateur!BN163*VLOOKUP('Données projet'!$B$11,Paramètres!$A$1:$I$89,3,0)*0.475*44/12</f>
        <v>1.6017922508533899</v>
      </c>
      <c r="BR163" s="21">
        <f>EXP(-LN(2)/2)*BR162+(1-EXP(-LN(2)/2))/(LN(2)/2)*BL163*BO163*VLOOKUP('Données projet'!$B$11,Paramètres!$A$1:$I$89,3,0)*0.475*44/12</f>
        <v>1.4193518665652082E-21</v>
      </c>
      <c r="BS163" s="22">
        <f t="shared" si="169"/>
        <v>21.673635130563035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267</v>
      </c>
      <c r="BZ163" s="13">
        <f>BY163*VLOOKUP('Données projet'!$B$12,Paramètres!$A$1:$I$89,3,0)*VLOOKUP('Données projet'!$B$12,Paramètres!$A$1:$I$89,5,0)</f>
        <v>241.58159999999998</v>
      </c>
      <c r="CA163" s="13">
        <f t="shared" si="170"/>
        <v>58.779689232021951</v>
      </c>
      <c r="CB163" s="20">
        <f t="shared" si="171"/>
        <v>523.12924541243819</v>
      </c>
      <c r="CC163" s="59">
        <f t="shared" si="119"/>
        <v>810.88832300512649</v>
      </c>
      <c r="CD163" s="59">
        <f ca="1">AVERAGE(OFFSET($CC$3,0,0,'Données projet'!$E$12+1,1))-AVERAGE(OFFSET($H$3,0,0,'Données projet'!$E$12+1,1))</f>
        <v>398.11190027805549</v>
      </c>
      <c r="CE163" s="59">
        <f t="shared" si="148"/>
        <v>250.47702091764884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31.003120045361879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31.003120045361879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8.8960000000000043</v>
      </c>
      <c r="CT163" s="12">
        <f>IF('Données projet'!$A$140&gt;35,CT162+CS163-DB162,IF(A163&lt;'Données projet'!$A$140,$CQ$205^A163,IF(A163='Données projet'!$A$140,'Données projet'!$B$140,CT162+CS163-DB162)))</f>
        <v>544.73599999999999</v>
      </c>
      <c r="CU163" s="17">
        <f>CT163*VLOOKUP('Données projet'!$B$13,Paramètres!$A$1:$I$89,3,0)*VLOOKUP('Données projet'!$B$13,Paramètres!$A$1:$I$89,5,0)</f>
        <v>518.3707776</v>
      </c>
      <c r="CV163" s="13">
        <f t="shared" si="173"/>
        <v>115.4006939044155</v>
      </c>
      <c r="CW163" s="20">
        <f t="shared" si="174"/>
        <v>1103.8186462035235</v>
      </c>
      <c r="CX163" s="59">
        <f t="shared" si="122"/>
        <v>1391.5777237962118</v>
      </c>
      <c r="CY163" s="59">
        <f ca="1">AVERAGE(OFFSET($CX$3,0,0,'Données projet'!$E$13+1,1))-AVERAGE(OFFSET($H$3,0,0,'Données projet'!$E$13+1,1))</f>
        <v>697.21496579281836</v>
      </c>
      <c r="CZ163" s="59">
        <f t="shared" si="150"/>
        <v>215.64914236153456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113.84453170508559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113.84453170508559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319</v>
      </c>
      <c r="DP163" s="17">
        <f>DO163*VLOOKUP('Données projet'!$B$14,Paramètres!$A$1:$I$89,3,0)*VLOOKUP('Données projet'!$B$14,Paramètres!$A$1:$I$89,5,0)</f>
        <v>278.67840000000001</v>
      </c>
      <c r="DQ163" s="13">
        <f t="shared" si="176"/>
        <v>66.687639951856809</v>
      </c>
      <c r="DR163" s="20">
        <f t="shared" si="177"/>
        <v>601.51251958281728</v>
      </c>
      <c r="DS163" s="59">
        <f t="shared" si="125"/>
        <v>889.27159717550558</v>
      </c>
      <c r="DT163" s="59">
        <f ca="1">AVERAGE(OFFSET($DS$3,0,0,'Données projet'!$E$14+1,1))-AVERAGE(OFFSET($H$3,0,0,'Données projet'!$E$14+1,1))</f>
        <v>408.24135864450221</v>
      </c>
      <c r="DU163" s="59">
        <f t="shared" si="152"/>
        <v>394.10236303013903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11.972960631239792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11.972960631239792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853.00000000000011</v>
      </c>
      <c r="O164" s="13">
        <f>N164*VLOOKUP('Données projet'!$B$9,Paramètres!$A$1:$I$89,3,0)*VLOOKUP('Données projet'!$B$9,Paramètres!$A$1:$I$89,5,0)</f>
        <v>399.20400000000006</v>
      </c>
      <c r="P164" s="13">
        <f t="shared" si="141"/>
        <v>91.615269732888521</v>
      </c>
      <c r="Q164" s="20">
        <f t="shared" si="162"/>
        <v>854.8435614514475</v>
      </c>
      <c r="R164" s="59">
        <f t="shared" si="109"/>
        <v>1142.6993399190671</v>
      </c>
      <c r="S164" s="59">
        <f ca="1">AVERAGE(OFFSET($R$3,0,0,'Données projet'!$E$9+1,1))-AVERAGE(OFFSET($H$3,0,0,'Données projet'!$E$9+1,1))</f>
        <v>512.58510468904342</v>
      </c>
      <c r="T164" s="59">
        <f t="shared" si="142"/>
        <v>443.6106696463529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27.865728694781097</v>
      </c>
      <c r="AA164" s="21">
        <f>EXP(-LN(2)/25)*AA163+(1-EXP(-LN(2)/25))/(LN(2)/25)*Calculateur!V164*Calculateur!X164*VLOOKUP('Données projet'!$B$9,Paramètres!$A$1:$I$89,3,0)*0.475*44/12</f>
        <v>1.2962433487591793</v>
      </c>
      <c r="AB164" s="21">
        <f>EXP(-LN(2)/2)*AB163+(1-EXP(-LN(2)/2))/(LN(2)/2)*V164*Y164*VLOOKUP('Données projet'!$B$9,Paramètres!$A$1:$I$89,3,0)*0.475*44/12</f>
        <v>1.5551159581497048E-20</v>
      </c>
      <c r="AC164" s="22">
        <f t="shared" si="163"/>
        <v>29.161972043540278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311.298</v>
      </c>
      <c r="AK164" s="13">
        <f t="shared" si="164"/>
        <v>73.539838278528748</v>
      </c>
      <c r="AL164" s="20">
        <f t="shared" si="165"/>
        <v>670.25923500177089</v>
      </c>
      <c r="AM164" s="59">
        <f t="shared" si="113"/>
        <v>958.11501346939053</v>
      </c>
      <c r="AN164" s="59">
        <f ca="1">AVERAGE(OFFSET($AM$3,0,0,'Données projet'!$E$10+1,1))-AVERAGE(OFFSET($H$3,0,0,'Données projet'!$E$10+1,1))</f>
        <v>520.95202773768222</v>
      </c>
      <c r="AO164" s="59">
        <f t="shared" si="144"/>
        <v>325.72635759450861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45.109534007829311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45.109534007829311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689</v>
      </c>
      <c r="BE164" s="13">
        <f>BD164*VLOOKUP('Données projet'!$B$11,Paramètres!$A$1:$I$89,3,0)*VLOOKUP('Données projet'!$B$11,Paramètres!$A$1:$I$89,5,0)</f>
        <v>412.02199999999999</v>
      </c>
      <c r="BF164" s="13">
        <f t="shared" si="167"/>
        <v>94.209724877926391</v>
      </c>
      <c r="BG164" s="20">
        <f t="shared" si="168"/>
        <v>881.686920829055</v>
      </c>
      <c r="BH164" s="59">
        <f t="shared" si="116"/>
        <v>1169.5426992966748</v>
      </c>
      <c r="BI164" s="59">
        <f ca="1">AVERAGE(OFFSET($BH$3,0,0,'Données projet'!$E$11+1,1))-AVERAGE(OFFSET($H$3,0,0,'Données projet'!$E$11+1,1))</f>
        <v>528.71639224940395</v>
      </c>
      <c r="BJ164" s="59">
        <f t="shared" si="146"/>
        <v>460.93390058676493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19.678246283453838</v>
      </c>
      <c r="BQ164" s="21">
        <f>EXP(-LN(2)/25)*BQ163+(1-EXP(-LN(2)/25))/(LN(2)/25)*Calculateur!BL164*Calculateur!BN164*VLOOKUP('Données projet'!$B$11,Paramètres!$A$1:$I$89,3,0)*0.475*44/12</f>
        <v>1.5579911575192105</v>
      </c>
      <c r="BR164" s="21">
        <f>EXP(-LN(2)/2)*BR163+(1-EXP(-LN(2)/2))/(LN(2)/2)*BL164*BO164*VLOOKUP('Données projet'!$B$11,Paramètres!$A$1:$I$89,3,0)*0.475*44/12</f>
        <v>1.0036333297380424E-21</v>
      </c>
      <c r="BS164" s="22">
        <f t="shared" si="169"/>
        <v>21.236237440973049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267</v>
      </c>
      <c r="BZ164" s="13">
        <f>BY164*VLOOKUP('Données projet'!$B$12,Paramètres!$A$1:$I$89,3,0)*VLOOKUP('Données projet'!$B$12,Paramètres!$A$1:$I$89,5,0)</f>
        <v>241.58159999999998</v>
      </c>
      <c r="CA164" s="13">
        <f t="shared" si="170"/>
        <v>58.779689232021951</v>
      </c>
      <c r="CB164" s="20">
        <f t="shared" si="171"/>
        <v>523.12924541243819</v>
      </c>
      <c r="CC164" s="59">
        <f t="shared" si="119"/>
        <v>810.98502388005795</v>
      </c>
      <c r="CD164" s="59">
        <f ca="1">AVERAGE(OFFSET($CC$3,0,0,'Données projet'!$E$12+1,1))-AVERAGE(OFFSET($H$3,0,0,'Données projet'!$E$12+1,1))</f>
        <v>398.11190027805549</v>
      </c>
      <c r="CE164" s="59">
        <f t="shared" si="148"/>
        <v>250.47702091764884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30.395167771308348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30.395167771308348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8.8960000000000043</v>
      </c>
      <c r="CT164" s="12">
        <f>IF('Données projet'!$A$140&gt;35,CT163+CS164-DB163,IF(A164&lt;'Données projet'!$A$140,$CQ$205^A164,IF(A164='Données projet'!$A$140,'Données projet'!$B$140,CT163+CS164-DB163)))</f>
        <v>553.63199999999995</v>
      </c>
      <c r="CU164" s="17">
        <f>CT164*VLOOKUP('Données projet'!$B$13,Paramètres!$A$1:$I$89,3,0)*VLOOKUP('Données projet'!$B$13,Paramètres!$A$1:$I$89,5,0)</f>
        <v>526.83621119999998</v>
      </c>
      <c r="CV164" s="13">
        <f t="shared" si="173"/>
        <v>117.06434534304272</v>
      </c>
      <c r="CW164" s="20">
        <f t="shared" si="174"/>
        <v>1121.4601359791325</v>
      </c>
      <c r="CX164" s="59">
        <f t="shared" si="122"/>
        <v>1409.3159144467522</v>
      </c>
      <c r="CY164" s="59">
        <f ca="1">AVERAGE(OFFSET($CX$3,0,0,'Données projet'!$E$13+1,1))-AVERAGE(OFFSET($H$3,0,0,'Données projet'!$E$13+1,1))</f>
        <v>697.21496579281836</v>
      </c>
      <c r="CZ164" s="59">
        <f t="shared" si="150"/>
        <v>215.64914236153456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111.61210987665673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111.61210987665673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319</v>
      </c>
      <c r="DP164" s="17">
        <f>DO164*VLOOKUP('Données projet'!$B$14,Paramètres!$A$1:$I$89,3,0)*VLOOKUP('Données projet'!$B$14,Paramètres!$A$1:$I$89,5,0)</f>
        <v>278.67840000000001</v>
      </c>
      <c r="DQ164" s="13">
        <f t="shared" si="176"/>
        <v>66.687639951856809</v>
      </c>
      <c r="DR164" s="20">
        <f t="shared" si="177"/>
        <v>601.51251958281728</v>
      </c>
      <c r="DS164" s="59">
        <f t="shared" si="125"/>
        <v>889.36829805043703</v>
      </c>
      <c r="DT164" s="59">
        <f ca="1">AVERAGE(OFFSET($DS$3,0,0,'Données projet'!$E$14+1,1))-AVERAGE(OFFSET($H$3,0,0,'Données projet'!$E$14+1,1))</f>
        <v>408.24135864450221</v>
      </c>
      <c r="DU164" s="59">
        <f t="shared" si="152"/>
        <v>394.10236303013903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11.738178176046075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11.738178176046075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853.00000000000011</v>
      </c>
      <c r="O165" s="13">
        <f>N165*VLOOKUP('Données projet'!$B$9,Paramètres!$A$1:$I$89,3,0)*VLOOKUP('Données projet'!$B$9,Paramètres!$A$1:$I$89,5,0)</f>
        <v>399.20400000000006</v>
      </c>
      <c r="P165" s="13">
        <f t="shared" si="141"/>
        <v>91.615269732888521</v>
      </c>
      <c r="Q165" s="20">
        <f t="shared" si="162"/>
        <v>854.8435614514475</v>
      </c>
      <c r="R165" s="59">
        <f t="shared" si="109"/>
        <v>1142.7943632500092</v>
      </c>
      <c r="S165" s="59">
        <f ca="1">AVERAGE(OFFSET($R$3,0,0,'Données projet'!$E$9+1,1))-AVERAGE(OFFSET($H$3,0,0,'Données projet'!$E$9+1,1))</f>
        <v>512.58510468904342</v>
      </c>
      <c r="T165" s="59">
        <f t="shared" si="142"/>
        <v>443.6106696463529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27.319298751492688</v>
      </c>
      <c r="AA165" s="21">
        <f>EXP(-LN(2)/25)*AA164+(1-EXP(-LN(2)/25))/(LN(2)/25)*Calculateur!V165*Calculateur!X165*VLOOKUP('Données projet'!$B$9,Paramètres!$A$1:$I$89,3,0)*0.475*44/12</f>
        <v>1.2607975062208845</v>
      </c>
      <c r="AB165" s="21">
        <f>EXP(-LN(2)/2)*AB164+(1-EXP(-LN(2)/2))/(LN(2)/2)*V165*Y165*VLOOKUP('Données projet'!$B$9,Paramètres!$A$1:$I$89,3,0)*0.475*44/12</f>
        <v>1.0996330395390715E-20</v>
      </c>
      <c r="AC165" s="22">
        <f t="shared" si="163"/>
        <v>28.580096257713574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311.298</v>
      </c>
      <c r="AK165" s="13">
        <f t="shared" si="164"/>
        <v>73.539838278528748</v>
      </c>
      <c r="AL165" s="20">
        <f t="shared" si="165"/>
        <v>670.25923500177089</v>
      </c>
      <c r="AM165" s="59">
        <f t="shared" si="113"/>
        <v>958.21003680033255</v>
      </c>
      <c r="AN165" s="59">
        <f ca="1">AVERAGE(OFFSET($AM$3,0,0,'Données projet'!$E$10+1,1))-AVERAGE(OFFSET($H$3,0,0,'Données projet'!$E$10+1,1))</f>
        <v>520.95202773768222</v>
      </c>
      <c r="AO165" s="59">
        <f t="shared" si="144"/>
        <v>325.72635759450861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44.22496356003473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44.22496356003473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689</v>
      </c>
      <c r="BE165" s="13">
        <f>BD165*VLOOKUP('Données projet'!$B$11,Paramètres!$A$1:$I$89,3,0)*VLOOKUP('Données projet'!$B$11,Paramètres!$A$1:$I$89,5,0)</f>
        <v>412.02199999999999</v>
      </c>
      <c r="BF165" s="13">
        <f t="shared" si="167"/>
        <v>94.209724877926391</v>
      </c>
      <c r="BG165" s="20">
        <f t="shared" si="168"/>
        <v>881.686920829055</v>
      </c>
      <c r="BH165" s="59">
        <f t="shared" si="116"/>
        <v>1169.6377226276168</v>
      </c>
      <c r="BI165" s="59">
        <f ca="1">AVERAGE(OFFSET($BH$3,0,0,'Données projet'!$E$11+1,1))-AVERAGE(OFFSET($H$3,0,0,'Données projet'!$E$11+1,1))</f>
        <v>528.71639224940395</v>
      </c>
      <c r="BJ165" s="59">
        <f t="shared" si="146"/>
        <v>460.93390058676493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19.292367876380389</v>
      </c>
      <c r="BQ165" s="21">
        <f>EXP(-LN(2)/25)*BQ164+(1-EXP(-LN(2)/25))/(LN(2)/25)*Calculateur!BL165*Calculateur!BN165*VLOOKUP('Données projet'!$B$11,Paramètres!$A$1:$I$89,3,0)*0.475*44/12</f>
        <v>1.5153878073856535</v>
      </c>
      <c r="BR165" s="21">
        <f>EXP(-LN(2)/2)*BR164+(1-EXP(-LN(2)/2))/(LN(2)/2)*BL165*BO165*VLOOKUP('Données projet'!$B$11,Paramètres!$A$1:$I$89,3,0)*0.475*44/12</f>
        <v>7.0967593328260408E-22</v>
      </c>
      <c r="BS165" s="22">
        <f t="shared" si="169"/>
        <v>20.807755683766043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267</v>
      </c>
      <c r="BZ165" s="13">
        <f>BY165*VLOOKUP('Données projet'!$B$12,Paramètres!$A$1:$I$89,3,0)*VLOOKUP('Données projet'!$B$12,Paramètres!$A$1:$I$89,5,0)</f>
        <v>241.58159999999998</v>
      </c>
      <c r="CA165" s="13">
        <f t="shared" si="170"/>
        <v>58.779689232021951</v>
      </c>
      <c r="CB165" s="20">
        <f t="shared" si="171"/>
        <v>523.12924541243819</v>
      </c>
      <c r="CC165" s="59">
        <f t="shared" si="119"/>
        <v>811.08004721099996</v>
      </c>
      <c r="CD165" s="59">
        <f ca="1">AVERAGE(OFFSET($CC$3,0,0,'Données projet'!$E$12+1,1))-AVERAGE(OFFSET($H$3,0,0,'Données projet'!$E$12+1,1))</f>
        <v>398.11190027805549</v>
      </c>
      <c r="CE165" s="59">
        <f t="shared" si="148"/>
        <v>250.47702091764884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29.799137070534737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29.799137070534737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8.8960000000000043</v>
      </c>
      <c r="CT165" s="12">
        <f>IF('Données projet'!$A$140&gt;35,CT164+CS165-DB164,IF(A165&lt;'Données projet'!$A$140,$CQ$205^A165,IF(A165='Données projet'!$A$140,'Données projet'!$B$140,CT164+CS165-DB164)))</f>
        <v>562.52799999999991</v>
      </c>
      <c r="CU165" s="17">
        <f>CT165*VLOOKUP('Données projet'!$B$13,Paramètres!$A$1:$I$89,3,0)*VLOOKUP('Données projet'!$B$13,Paramètres!$A$1:$I$89,5,0)</f>
        <v>535.30164479999985</v>
      </c>
      <c r="CV165" s="13">
        <f t="shared" si="173"/>
        <v>118.72488791148284</v>
      </c>
      <c r="CW165" s="20">
        <f t="shared" si="174"/>
        <v>1139.0962111391655</v>
      </c>
      <c r="CX165" s="59">
        <f t="shared" si="122"/>
        <v>1427.0470129377272</v>
      </c>
      <c r="CY165" s="59">
        <f ca="1">AVERAGE(OFFSET($CX$3,0,0,'Données projet'!$E$13+1,1))-AVERAGE(OFFSET($H$3,0,0,'Données projet'!$E$13+1,1))</f>
        <v>697.21496579281836</v>
      </c>
      <c r="CZ165" s="59">
        <f t="shared" si="150"/>
        <v>215.64914236153456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109.42346447864051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109.42346447864051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319</v>
      </c>
      <c r="DP165" s="17">
        <f>DO165*VLOOKUP('Données projet'!$B$14,Paramètres!$A$1:$I$89,3,0)*VLOOKUP('Données projet'!$B$14,Paramètres!$A$1:$I$89,5,0)</f>
        <v>278.67840000000001</v>
      </c>
      <c r="DQ165" s="13">
        <f t="shared" si="176"/>
        <v>66.687639951856809</v>
      </c>
      <c r="DR165" s="20">
        <f t="shared" si="177"/>
        <v>601.51251958281728</v>
      </c>
      <c r="DS165" s="59">
        <f t="shared" si="125"/>
        <v>889.46332138137905</v>
      </c>
      <c r="DT165" s="59">
        <f ca="1">AVERAGE(OFFSET($DS$3,0,0,'Données projet'!$E$14+1,1))-AVERAGE(OFFSET($H$3,0,0,'Données projet'!$E$14+1,1))</f>
        <v>408.24135864450221</v>
      </c>
      <c r="DU165" s="59">
        <f t="shared" si="152"/>
        <v>394.10236303013903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11.50799966159555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11.50799966159555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853.00000000000011</v>
      </c>
      <c r="O166" s="13">
        <f>N166*VLOOKUP('Données projet'!$B$9,Paramètres!$A$1:$I$89,3,0)*VLOOKUP('Données projet'!$B$9,Paramètres!$A$1:$I$89,5,0)</f>
        <v>399.20400000000006</v>
      </c>
      <c r="P166" s="13">
        <f t="shared" si="141"/>
        <v>91.615269732888521</v>
      </c>
      <c r="Q166" s="20">
        <f t="shared" si="162"/>
        <v>854.8435614514475</v>
      </c>
      <c r="R166" s="59">
        <f t="shared" si="109"/>
        <v>1142.8877381385996</v>
      </c>
      <c r="S166" s="59">
        <f ca="1">AVERAGE(OFFSET($R$3,0,0,'Données projet'!$E$9+1,1))-AVERAGE(OFFSET($H$3,0,0,'Données projet'!$E$9+1,1))</f>
        <v>512.58510468904342</v>
      </c>
      <c r="T166" s="59">
        <f t="shared" si="142"/>
        <v>443.6106696463529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26.783583966102807</v>
      </c>
      <c r="AA166" s="21">
        <f>EXP(-LN(2)/25)*AA165+(1-EXP(-LN(2)/25))/(LN(2)/25)*Calculateur!V166*Calculateur!X166*VLOOKUP('Données projet'!$B$9,Paramètres!$A$1:$I$89,3,0)*0.475*44/12</f>
        <v>1.2263209321108151</v>
      </c>
      <c r="AB166" s="21">
        <f>EXP(-LN(2)/2)*AB165+(1-EXP(-LN(2)/2))/(LN(2)/2)*V166*Y166*VLOOKUP('Données projet'!$B$9,Paramètres!$A$1:$I$89,3,0)*0.475*44/12</f>
        <v>7.7755797907485239E-21</v>
      </c>
      <c r="AC166" s="22">
        <f t="shared" si="163"/>
        <v>28.009904898213623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311.298</v>
      </c>
      <c r="AK166" s="13">
        <f t="shared" si="164"/>
        <v>73.539838278528748</v>
      </c>
      <c r="AL166" s="20">
        <f t="shared" si="165"/>
        <v>670.25923500177089</v>
      </c>
      <c r="AM166" s="59">
        <f t="shared" si="113"/>
        <v>958.30341168892312</v>
      </c>
      <c r="AN166" s="59">
        <f ca="1">AVERAGE(OFFSET($AM$3,0,0,'Données projet'!$E$10+1,1))-AVERAGE(OFFSET($H$3,0,0,'Données projet'!$E$10+1,1))</f>
        <v>520.95202773768222</v>
      </c>
      <c r="AO166" s="59">
        <f t="shared" si="144"/>
        <v>325.72635759450861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43.357738999186701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43.357738999186701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689</v>
      </c>
      <c r="BE166" s="13">
        <f>BD166*VLOOKUP('Données projet'!$B$11,Paramètres!$A$1:$I$89,3,0)*VLOOKUP('Données projet'!$B$11,Paramètres!$A$1:$I$89,5,0)</f>
        <v>412.02199999999999</v>
      </c>
      <c r="BF166" s="13">
        <f t="shared" si="167"/>
        <v>94.209724877926391</v>
      </c>
      <c r="BG166" s="20">
        <f t="shared" si="168"/>
        <v>881.686920829055</v>
      </c>
      <c r="BH166" s="59">
        <f t="shared" si="116"/>
        <v>1169.7310975162072</v>
      </c>
      <c r="BI166" s="59">
        <f ca="1">AVERAGE(OFFSET($BH$3,0,0,'Données projet'!$E$11+1,1))-AVERAGE(OFFSET($H$3,0,0,'Données projet'!$E$11+1,1))</f>
        <v>528.71639224940395</v>
      </c>
      <c r="BJ166" s="59">
        <f t="shared" si="146"/>
        <v>460.93390058676493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18.91405630950706</v>
      </c>
      <c r="BQ166" s="21">
        <f>EXP(-LN(2)/25)*BQ165+(1-EXP(-LN(2)/25))/(LN(2)/25)*Calculateur!BL166*Calculateur!BN166*VLOOKUP('Données projet'!$B$11,Paramètres!$A$1:$I$89,3,0)*0.475*44/12</f>
        <v>1.4739494481019115</v>
      </c>
      <c r="BR166" s="21">
        <f>EXP(-LN(2)/2)*BR165+(1-EXP(-LN(2)/2))/(LN(2)/2)*BL166*BO166*VLOOKUP('Données projet'!$B$11,Paramètres!$A$1:$I$89,3,0)*0.475*44/12</f>
        <v>5.0181666486902122E-22</v>
      </c>
      <c r="BS166" s="22">
        <f t="shared" si="169"/>
        <v>20.388005757608973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267</v>
      </c>
      <c r="BZ166" s="13">
        <f>BY166*VLOOKUP('Données projet'!$B$12,Paramètres!$A$1:$I$89,3,0)*VLOOKUP('Données projet'!$B$12,Paramètres!$A$1:$I$89,5,0)</f>
        <v>241.58159999999998</v>
      </c>
      <c r="CA166" s="13">
        <f t="shared" si="170"/>
        <v>58.779689232021951</v>
      </c>
      <c r="CB166" s="20">
        <f t="shared" si="171"/>
        <v>523.12924541243819</v>
      </c>
      <c r="CC166" s="59">
        <f t="shared" si="119"/>
        <v>811.17342209959043</v>
      </c>
      <c r="CD166" s="59">
        <f ca="1">AVERAGE(OFFSET($CC$3,0,0,'Données projet'!$E$12+1,1))-AVERAGE(OFFSET($H$3,0,0,'Données projet'!$E$12+1,1))</f>
        <v>398.11190027805549</v>
      </c>
      <c r="CE166" s="59">
        <f t="shared" si="148"/>
        <v>250.47702091764884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29.214794168260465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29.214794168260465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8.8960000000000043</v>
      </c>
      <c r="CT166" s="12">
        <f>IF('Données projet'!$A$140&gt;35,CT165+CS166-DB165,IF(A166&lt;'Données projet'!$A$140,$CQ$205^A166,IF(A166='Données projet'!$A$140,'Données projet'!$B$140,CT165+CS166-DB165)))</f>
        <v>571.42399999999986</v>
      </c>
      <c r="CU166" s="17">
        <f>CT166*VLOOKUP('Données projet'!$B$13,Paramètres!$A$1:$I$89,3,0)*VLOOKUP('Données projet'!$B$13,Paramètres!$A$1:$I$89,5,0)</f>
        <v>543.76707839999983</v>
      </c>
      <c r="CV166" s="13">
        <f t="shared" si="173"/>
        <v>120.38237645130253</v>
      </c>
      <c r="CW166" s="20">
        <f t="shared" si="174"/>
        <v>1156.7269671993515</v>
      </c>
      <c r="CX166" s="59">
        <f t="shared" si="122"/>
        <v>1444.7711438865038</v>
      </c>
      <c r="CY166" s="59">
        <f ca="1">AVERAGE(OFFSET($CX$3,0,0,'Données projet'!$E$13+1,1))-AVERAGE(OFFSET($H$3,0,0,'Données projet'!$E$13+1,1))</f>
        <v>697.21496579281836</v>
      </c>
      <c r="CZ166" s="59">
        <f t="shared" si="150"/>
        <v>215.64914236153456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107.2777370819375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107.2777370819375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319</v>
      </c>
      <c r="DP166" s="17">
        <f>DO166*VLOOKUP('Données projet'!$B$14,Paramètres!$A$1:$I$89,3,0)*VLOOKUP('Données projet'!$B$14,Paramètres!$A$1:$I$89,5,0)</f>
        <v>278.67840000000001</v>
      </c>
      <c r="DQ166" s="13">
        <f t="shared" si="176"/>
        <v>66.687639951856809</v>
      </c>
      <c r="DR166" s="20">
        <f t="shared" si="177"/>
        <v>601.51251958281728</v>
      </c>
      <c r="DS166" s="59">
        <f t="shared" si="125"/>
        <v>889.55669626996951</v>
      </c>
      <c r="DT166" s="59">
        <f ca="1">AVERAGE(OFFSET($DS$3,0,0,'Données projet'!$E$14+1,1))-AVERAGE(OFFSET($H$3,0,0,'Données projet'!$E$14+1,1))</f>
        <v>408.24135864450221</v>
      </c>
      <c r="DU166" s="59">
        <f t="shared" si="152"/>
        <v>394.10236303013903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11.282334807418367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11.282334807418367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853.00000000000011</v>
      </c>
      <c r="O167" s="13">
        <f>N167*VLOOKUP('Données projet'!$B$9,Paramètres!$A$1:$I$89,3,0)*VLOOKUP('Données projet'!$B$9,Paramètres!$A$1:$I$89,5,0)</f>
        <v>399.20400000000006</v>
      </c>
      <c r="P167" s="13">
        <f t="shared" si="141"/>
        <v>91.615269732888521</v>
      </c>
      <c r="Q167" s="20">
        <f t="shared" si="162"/>
        <v>854.8435614514475</v>
      </c>
      <c r="R167" s="59">
        <f t="shared" si="109"/>
        <v>1142.9794931816282</v>
      </c>
      <c r="S167" s="59">
        <f ca="1">AVERAGE(OFFSET($R$3,0,0,'Données projet'!$E$9+1,1))-AVERAGE(OFFSET($H$3,0,0,'Données projet'!$E$9+1,1))</f>
        <v>512.58510468904342</v>
      </c>
      <c r="T167" s="59">
        <f t="shared" si="142"/>
        <v>443.6106696463529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26.258374220900667</v>
      </c>
      <c r="AA167" s="21">
        <f>EXP(-LN(2)/25)*AA166+(1-EXP(-LN(2)/25))/(LN(2)/25)*Calculateur!V167*Calculateur!X167*VLOOKUP('Données projet'!$B$9,Paramètres!$A$1:$I$89,3,0)*0.475*44/12</f>
        <v>1.1927871217328299</v>
      </c>
      <c r="AB167" s="21">
        <f>EXP(-LN(2)/2)*AB166+(1-EXP(-LN(2)/2))/(LN(2)/2)*V167*Y167*VLOOKUP('Données projet'!$B$9,Paramètres!$A$1:$I$89,3,0)*0.475*44/12</f>
        <v>5.4981651976953576E-21</v>
      </c>
      <c r="AC167" s="22">
        <f t="shared" si="163"/>
        <v>27.451161342633497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311.298</v>
      </c>
      <c r="AK167" s="13">
        <f t="shared" si="164"/>
        <v>73.539838278528748</v>
      </c>
      <c r="AL167" s="20">
        <f t="shared" si="165"/>
        <v>670.25923500177089</v>
      </c>
      <c r="AM167" s="59">
        <f t="shared" si="113"/>
        <v>958.39516673195158</v>
      </c>
      <c r="AN167" s="59">
        <f ca="1">AVERAGE(OFFSET($AM$3,0,0,'Données projet'!$E$10+1,1))-AVERAGE(OFFSET($H$3,0,0,'Données projet'!$E$10+1,1))</f>
        <v>520.95202773768222</v>
      </c>
      <c r="AO167" s="59">
        <f t="shared" si="144"/>
        <v>325.72635759450861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42.507520183022152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42.507520183022152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689</v>
      </c>
      <c r="BE167" s="13">
        <f>BD167*VLOOKUP('Données projet'!$B$11,Paramètres!$A$1:$I$89,3,0)*VLOOKUP('Données projet'!$B$11,Paramètres!$A$1:$I$89,5,0)</f>
        <v>412.02199999999999</v>
      </c>
      <c r="BF167" s="13">
        <f t="shared" si="167"/>
        <v>94.209724877926391</v>
      </c>
      <c r="BG167" s="20">
        <f t="shared" si="168"/>
        <v>881.686920829055</v>
      </c>
      <c r="BH167" s="59">
        <f t="shared" si="116"/>
        <v>1169.8228525592358</v>
      </c>
      <c r="BI167" s="59">
        <f ca="1">AVERAGE(OFFSET($BH$3,0,0,'Données projet'!$E$11+1,1))-AVERAGE(OFFSET($H$3,0,0,'Données projet'!$E$11+1,1))</f>
        <v>528.71639224940395</v>
      </c>
      <c r="BJ167" s="59">
        <f t="shared" si="146"/>
        <v>460.93390058676493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18.543163201712847</v>
      </c>
      <c r="BQ167" s="21">
        <f>EXP(-LN(2)/25)*BQ166+(1-EXP(-LN(2)/25))/(LN(2)/25)*Calculateur!BL167*Calculateur!BN167*VLOOKUP('Données projet'!$B$11,Paramètres!$A$1:$I$89,3,0)*0.475*44/12</f>
        <v>1.4336442229319319</v>
      </c>
      <c r="BR167" s="21">
        <f>EXP(-LN(2)/2)*BR166+(1-EXP(-LN(2)/2))/(LN(2)/2)*BL167*BO167*VLOOKUP('Données projet'!$B$11,Paramètres!$A$1:$I$89,3,0)*0.475*44/12</f>
        <v>3.5483796664130204E-22</v>
      </c>
      <c r="BS167" s="22">
        <f t="shared" si="169"/>
        <v>19.976807424644779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267</v>
      </c>
      <c r="BZ167" s="13">
        <f>BY167*VLOOKUP('Données projet'!$B$12,Paramètres!$A$1:$I$89,3,0)*VLOOKUP('Données projet'!$B$12,Paramètres!$A$1:$I$89,5,0)</f>
        <v>241.58159999999998</v>
      </c>
      <c r="CA167" s="13">
        <f t="shared" si="170"/>
        <v>58.779689232021951</v>
      </c>
      <c r="CB167" s="20">
        <f t="shared" si="171"/>
        <v>523.12924541243819</v>
      </c>
      <c r="CC167" s="59">
        <f t="shared" si="119"/>
        <v>811.26517714261888</v>
      </c>
      <c r="CD167" s="59">
        <f ca="1">AVERAGE(OFFSET($CC$3,0,0,'Données projet'!$E$12+1,1))-AVERAGE(OFFSET($H$3,0,0,'Données projet'!$E$12+1,1))</f>
        <v>398.11190027805549</v>
      </c>
      <c r="CE167" s="59">
        <f t="shared" si="148"/>
        <v>250.47702091764884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28.641909873885812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28.641909873885812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8.8960000000000043</v>
      </c>
      <c r="CS167" s="12">
        <f t="array" ref="CS167">INDEX(CR:CR,MIN(IF(ISNUMBER(CR167:CR363),ROW(CR167:CR363),"")))</f>
        <v>8.8960000000000043</v>
      </c>
      <c r="CT167" s="12">
        <f>IF('Données projet'!$A$140&gt;35,CT166+CS167-DB166,IF(A167&lt;'Données projet'!$A$140,$CQ$205^A167,IF(A167='Données projet'!$A$140,'Données projet'!$B$140,CT166+CS167-DB166)))</f>
        <v>580.31999999999982</v>
      </c>
      <c r="CU167" s="17">
        <f>CT167*VLOOKUP('Données projet'!$B$13,Paramètres!$A$1:$I$89,3,0)*VLOOKUP('Données projet'!$B$13,Paramètres!$A$1:$I$89,5,0)</f>
        <v>552.23251199999982</v>
      </c>
      <c r="CV167" s="13">
        <f t="shared" si="173"/>
        <v>122.03686399854581</v>
      </c>
      <c r="CW167" s="20">
        <f t="shared" si="174"/>
        <v>1174.3524965308004</v>
      </c>
      <c r="CX167" s="59">
        <f t="shared" si="122"/>
        <v>1462.488428260981</v>
      </c>
      <c r="CY167" s="59">
        <f ca="1">AVERAGE(OFFSET($CX$3,0,0,'Données projet'!$E$13+1,1))-AVERAGE(OFFSET($H$3,0,0,'Données projet'!$E$13+1,1))</f>
        <v>697.21496579281836</v>
      </c>
      <c r="CZ167" s="59">
        <f t="shared" si="150"/>
        <v>215.64914236153456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0.43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132.12481392060175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132.12481392060175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319</v>
      </c>
      <c r="DP167" s="17">
        <f>DO167*VLOOKUP('Données projet'!$B$14,Paramètres!$A$1:$I$89,3,0)*VLOOKUP('Données projet'!$B$14,Paramètres!$A$1:$I$89,5,0)</f>
        <v>278.67840000000001</v>
      </c>
      <c r="DQ167" s="13">
        <f t="shared" si="176"/>
        <v>66.687639951856809</v>
      </c>
      <c r="DR167" s="20">
        <f t="shared" si="177"/>
        <v>601.51251958281728</v>
      </c>
      <c r="DS167" s="59">
        <f t="shared" si="125"/>
        <v>889.64845131299796</v>
      </c>
      <c r="DT167" s="59">
        <f ca="1">AVERAGE(OFFSET($DS$3,0,0,'Données projet'!$E$14+1,1))-AVERAGE(OFFSET($H$3,0,0,'Données projet'!$E$14+1,1))</f>
        <v>408.24135864450221</v>
      </c>
      <c r="DU167" s="59">
        <f t="shared" si="152"/>
        <v>394.10236303013903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11.061095103389629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11.061095103389629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853.00000000000011</v>
      </c>
      <c r="O168" s="13">
        <f>N168*VLOOKUP('Données projet'!$B$9,Paramètres!$A$1:$I$89,3,0)*VLOOKUP('Données projet'!$B$9,Paramètres!$A$1:$I$89,5,0)</f>
        <v>399.20400000000006</v>
      </c>
      <c r="P168" s="13">
        <f t="shared" si="141"/>
        <v>91.615269732888521</v>
      </c>
      <c r="Q168" s="20">
        <f t="shared" si="162"/>
        <v>854.8435614514475</v>
      </c>
      <c r="R168" s="59">
        <f t="shared" si="109"/>
        <v>1143.0696564797936</v>
      </c>
      <c r="S168" s="59">
        <f ca="1">AVERAGE(OFFSET($R$3,0,0,'Données projet'!$E$9+1,1))-AVERAGE(OFFSET($H$3,0,0,'Données projet'!$E$9+1,1))</f>
        <v>512.58510468904342</v>
      </c>
      <c r="T168" s="59">
        <f t="shared" si="142"/>
        <v>443.6106696463529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25.743463518455627</v>
      </c>
      <c r="AA168" s="21">
        <f>EXP(-LN(2)/25)*AA167+(1-EXP(-LN(2)/25))/(LN(2)/25)*Calculateur!V168*Calculateur!X168*VLOOKUP('Données projet'!$B$9,Paramètres!$A$1:$I$89,3,0)*0.475*44/12</f>
        <v>1.160170295163097</v>
      </c>
      <c r="AB168" s="21">
        <f>EXP(-LN(2)/2)*AB167+(1-EXP(-LN(2)/2))/(LN(2)/2)*V168*Y168*VLOOKUP('Données projet'!$B$9,Paramètres!$A$1:$I$89,3,0)*0.475*44/12</f>
        <v>3.887789895374262E-21</v>
      </c>
      <c r="AC168" s="22">
        <f t="shared" si="163"/>
        <v>26.903633813618725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311.298</v>
      </c>
      <c r="AK168" s="13">
        <f t="shared" si="164"/>
        <v>73.539838278528748</v>
      </c>
      <c r="AL168" s="20">
        <f t="shared" si="165"/>
        <v>670.25923500177089</v>
      </c>
      <c r="AM168" s="59">
        <f t="shared" si="113"/>
        <v>958.48533003011698</v>
      </c>
      <c r="AN168" s="59">
        <f ca="1">AVERAGE(OFFSET($AM$3,0,0,'Données projet'!$E$10+1,1))-AVERAGE(OFFSET($H$3,0,0,'Données projet'!$E$10+1,1))</f>
        <v>520.95202773768222</v>
      </c>
      <c r="AO168" s="59">
        <f t="shared" si="144"/>
        <v>325.72635759450861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41.673973639260318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41.673973639260318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689</v>
      </c>
      <c r="BE168" s="13">
        <f>BD168*VLOOKUP('Données projet'!$B$11,Paramètres!$A$1:$I$89,3,0)*VLOOKUP('Données projet'!$B$11,Paramètres!$A$1:$I$89,5,0)</f>
        <v>412.02199999999999</v>
      </c>
      <c r="BF168" s="13">
        <f t="shared" si="167"/>
        <v>94.209724877926391</v>
      </c>
      <c r="BG168" s="20">
        <f t="shared" si="168"/>
        <v>881.686920829055</v>
      </c>
      <c r="BH168" s="59">
        <f t="shared" si="116"/>
        <v>1169.9130158574012</v>
      </c>
      <c r="BI168" s="59">
        <f ca="1">AVERAGE(OFFSET($BH$3,0,0,'Données projet'!$E$11+1,1))-AVERAGE(OFFSET($H$3,0,0,'Données projet'!$E$11+1,1))</f>
        <v>528.71639224940395</v>
      </c>
      <c r="BJ168" s="59">
        <f t="shared" si="146"/>
        <v>460.93390058676493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18.179543081540022</v>
      </c>
      <c r="BQ168" s="21">
        <f>EXP(-LN(2)/25)*BQ167+(1-EXP(-LN(2)/25))/(LN(2)/25)*Calculateur!BL168*Calculateur!BN168*VLOOKUP('Données projet'!$B$11,Paramètres!$A$1:$I$89,3,0)*0.475*44/12</f>
        <v>1.3944411462637851</v>
      </c>
      <c r="BR168" s="21">
        <f>EXP(-LN(2)/2)*BR167+(1-EXP(-LN(2)/2))/(LN(2)/2)*BL168*BO168*VLOOKUP('Données projet'!$B$11,Paramètres!$A$1:$I$89,3,0)*0.475*44/12</f>
        <v>2.5090833243451061E-22</v>
      </c>
      <c r="BS168" s="22">
        <f t="shared" si="169"/>
        <v>19.573984227803805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267</v>
      </c>
      <c r="BZ168" s="13">
        <f>BY168*VLOOKUP('Données projet'!$B$12,Paramètres!$A$1:$I$89,3,0)*VLOOKUP('Données projet'!$B$12,Paramètres!$A$1:$I$89,5,0)</f>
        <v>241.58159999999998</v>
      </c>
      <c r="CA168" s="13">
        <f t="shared" si="170"/>
        <v>58.779689232021951</v>
      </c>
      <c r="CB168" s="20">
        <f t="shared" si="171"/>
        <v>523.12924541243819</v>
      </c>
      <c r="CC168" s="59">
        <f t="shared" si="119"/>
        <v>811.3553404407844</v>
      </c>
      <c r="CD168" s="59">
        <f ca="1">AVERAGE(OFFSET($CC$3,0,0,'Données projet'!$E$12+1,1))-AVERAGE(OFFSET($H$3,0,0,'Données projet'!$E$12+1,1))</f>
        <v>398.11190027805549</v>
      </c>
      <c r="CE168" s="59">
        <f t="shared" si="148"/>
        <v>250.47702091764884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28.080259491098932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28.080259491098932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8.977999999999998</v>
      </c>
      <c r="CT168" s="12">
        <f>IF('Données projet'!$A$140&gt;35,CT167+CS168-DB167,IF(A168&lt;'Données projet'!$A$140,$CQ$205^A168,IF(A168='Données projet'!$A$140,'Données projet'!$B$140,CT167+CS168-DB167)))</f>
        <v>529.71799999999973</v>
      </c>
      <c r="CU168" s="17">
        <f>CT168*VLOOKUP('Données projet'!$B$13,Paramètres!$A$1:$I$89,3,0)*VLOOKUP('Données projet'!$B$13,Paramètres!$A$1:$I$89,5,0)</f>
        <v>504.07964879999975</v>
      </c>
      <c r="CV168" s="13">
        <f t="shared" si="173"/>
        <v>112.58494660961439</v>
      </c>
      <c r="CW168" s="20">
        <f t="shared" si="174"/>
        <v>1074.0241703384111</v>
      </c>
      <c r="CX168" s="59">
        <f t="shared" si="122"/>
        <v>1362.2502653667573</v>
      </c>
      <c r="CY168" s="59">
        <f ca="1">AVERAGE(OFFSET($CX$3,0,0,'Données projet'!$E$13+1,1))-AVERAGE(OFFSET($H$3,0,0,'Données projet'!$E$13+1,1))</f>
        <v>697.21496579281836</v>
      </c>
      <c r="CZ168" s="59">
        <f t="shared" si="150"/>
        <v>215.64914236153456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129.53392690779782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129.53392690779782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319</v>
      </c>
      <c r="DP168" s="17">
        <f>DO168*VLOOKUP('Données projet'!$B$14,Paramètres!$A$1:$I$89,3,0)*VLOOKUP('Données projet'!$B$14,Paramètres!$A$1:$I$89,5,0)</f>
        <v>278.67840000000001</v>
      </c>
      <c r="DQ168" s="13">
        <f t="shared" si="176"/>
        <v>66.687639951856809</v>
      </c>
      <c r="DR168" s="20">
        <f t="shared" si="177"/>
        <v>601.51251958281728</v>
      </c>
      <c r="DS168" s="59">
        <f t="shared" si="125"/>
        <v>889.73861461116348</v>
      </c>
      <c r="DT168" s="59">
        <f ca="1">AVERAGE(OFFSET($DS$3,0,0,'Données projet'!$E$14+1,1))-AVERAGE(OFFSET($H$3,0,0,'Données projet'!$E$14+1,1))</f>
        <v>408.24135864450221</v>
      </c>
      <c r="DU168" s="59">
        <f t="shared" si="152"/>
        <v>394.10236303013903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10.844193775014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10.844193775014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853.00000000000011</v>
      </c>
      <c r="O169" s="13">
        <f>N169*VLOOKUP('Données projet'!$B$9,Paramètres!$A$1:$I$89,3,0)*VLOOKUP('Données projet'!$B$9,Paramètres!$A$1:$I$89,5,0)</f>
        <v>399.20400000000006</v>
      </c>
      <c r="P169" s="13">
        <f t="shared" si="141"/>
        <v>91.615269732888521</v>
      </c>
      <c r="Q169" s="20">
        <f t="shared" si="162"/>
        <v>854.8435614514475</v>
      </c>
      <c r="R169" s="59">
        <f t="shared" si="109"/>
        <v>1143.1582556463109</v>
      </c>
      <c r="S169" s="59">
        <f ca="1">AVERAGE(OFFSET($R$3,0,0,'Données projet'!$E$9+1,1))-AVERAGE(OFFSET($H$3,0,0,'Données projet'!$E$9+1,1))</f>
        <v>512.58510468904342</v>
      </c>
      <c r="T169" s="59">
        <f t="shared" si="142"/>
        <v>443.6106696463529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25.23864990082102</v>
      </c>
      <c r="AA169" s="21">
        <f>EXP(-LN(2)/25)*AA168+(1-EXP(-LN(2)/25))/(LN(2)/25)*Calculateur!V169*Calculateur!X169*VLOOKUP('Données projet'!$B$9,Paramètres!$A$1:$I$89,3,0)*0.475*44/12</f>
        <v>1.1284453774311578</v>
      </c>
      <c r="AB169" s="21">
        <f>EXP(-LN(2)/2)*AB168+(1-EXP(-LN(2)/2))/(LN(2)/2)*V169*Y169*VLOOKUP('Données projet'!$B$9,Paramètres!$A$1:$I$89,3,0)*0.475*44/12</f>
        <v>2.7490825988476788E-21</v>
      </c>
      <c r="AC169" s="22">
        <f t="shared" si="163"/>
        <v>26.367095278252179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311.298</v>
      </c>
      <c r="AK169" s="13">
        <f t="shared" si="164"/>
        <v>73.539838278528748</v>
      </c>
      <c r="AL169" s="20">
        <f t="shared" si="165"/>
        <v>670.25923500177089</v>
      </c>
      <c r="AM169" s="59">
        <f t="shared" si="113"/>
        <v>958.57392919663425</v>
      </c>
      <c r="AN169" s="59">
        <f ca="1">AVERAGE(OFFSET($AM$3,0,0,'Données projet'!$E$10+1,1))-AVERAGE(OFFSET($H$3,0,0,'Données projet'!$E$10+1,1))</f>
        <v>520.95202773768222</v>
      </c>
      <c r="AO169" s="59">
        <f t="shared" si="144"/>
        <v>325.72635759450861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40.856772434808462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40.856772434808462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689</v>
      </c>
      <c r="BE169" s="13">
        <f>BD169*VLOOKUP('Données projet'!$B$11,Paramètres!$A$1:$I$89,3,0)*VLOOKUP('Données projet'!$B$11,Paramètres!$A$1:$I$89,5,0)</f>
        <v>412.02199999999999</v>
      </c>
      <c r="BF169" s="13">
        <f t="shared" si="167"/>
        <v>94.209724877926391</v>
      </c>
      <c r="BG169" s="20">
        <f t="shared" si="168"/>
        <v>881.686920829055</v>
      </c>
      <c r="BH169" s="59">
        <f t="shared" si="116"/>
        <v>1170.0016150239185</v>
      </c>
      <c r="BI169" s="59">
        <f ca="1">AVERAGE(OFFSET($BH$3,0,0,'Données projet'!$E$11+1,1))-AVERAGE(OFFSET($H$3,0,0,'Données projet'!$E$11+1,1))</f>
        <v>528.71639224940395</v>
      </c>
      <c r="BJ169" s="59">
        <f t="shared" si="146"/>
        <v>460.93390058676493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17.823053330137409</v>
      </c>
      <c r="BQ169" s="21">
        <f>EXP(-LN(2)/25)*BQ168+(1-EXP(-LN(2)/25))/(LN(2)/25)*Calculateur!BL169*Calculateur!BN169*VLOOKUP('Données projet'!$B$11,Paramètres!$A$1:$I$89,3,0)*0.475*44/12</f>
        <v>1.3563100797887291</v>
      </c>
      <c r="BR169" s="21">
        <f>EXP(-LN(2)/2)*BR168+(1-EXP(-LN(2)/2))/(LN(2)/2)*BL169*BO169*VLOOKUP('Données projet'!$B$11,Paramètres!$A$1:$I$89,3,0)*0.475*44/12</f>
        <v>1.7741898332065102E-22</v>
      </c>
      <c r="BS169" s="22">
        <f t="shared" si="169"/>
        <v>19.17936340992614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267</v>
      </c>
      <c r="BZ169" s="13">
        <f>BY169*VLOOKUP('Données projet'!$B$12,Paramètres!$A$1:$I$89,3,0)*VLOOKUP('Données projet'!$B$12,Paramètres!$A$1:$I$89,5,0)</f>
        <v>241.58159999999998</v>
      </c>
      <c r="CA169" s="13">
        <f t="shared" si="170"/>
        <v>58.779689232021951</v>
      </c>
      <c r="CB169" s="20">
        <f t="shared" si="171"/>
        <v>523.12924541243819</v>
      </c>
      <c r="CC169" s="59">
        <f t="shared" si="119"/>
        <v>811.44393960730167</v>
      </c>
      <c r="CD169" s="59">
        <f ca="1">AVERAGE(OFFSET($CC$3,0,0,'Données projet'!$E$12+1,1))-AVERAGE(OFFSET($H$3,0,0,'Données projet'!$E$12+1,1))</f>
        <v>398.11190027805549</v>
      </c>
      <c r="CE169" s="59">
        <f t="shared" si="148"/>
        <v>250.47702091764884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27.529622729745594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27.529622729745594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8.977999999999998</v>
      </c>
      <c r="CT169" s="12">
        <f>IF('Données projet'!$A$140&gt;35,CT168+CS169-DB168,IF(A169&lt;'Données projet'!$A$140,$CQ$205^A169,IF(A169='Données projet'!$A$140,'Données projet'!$B$140,CT168+CS169-DB168)))</f>
        <v>538.69599999999969</v>
      </c>
      <c r="CU169" s="17">
        <f>CT169*VLOOKUP('Données projet'!$B$13,Paramètres!$A$1:$I$89,3,0)*VLOOKUP('Données projet'!$B$13,Paramètres!$A$1:$I$89,5,0)</f>
        <v>512.62311359999978</v>
      </c>
      <c r="CV169" s="13">
        <f t="shared" si="173"/>
        <v>114.26934563002628</v>
      </c>
      <c r="CW169" s="20">
        <f t="shared" si="174"/>
        <v>1091.8376998256288</v>
      </c>
      <c r="CX169" s="59">
        <f t="shared" si="122"/>
        <v>1380.1523940204922</v>
      </c>
      <c r="CY169" s="59">
        <f ca="1">AVERAGE(OFFSET($CX$3,0,0,'Données projet'!$E$13+1,1))-AVERAGE(OFFSET($H$3,0,0,'Données projet'!$E$13+1,1))</f>
        <v>697.21496579281836</v>
      </c>
      <c r="CZ169" s="59">
        <f t="shared" si="150"/>
        <v>215.64914236153456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126.99384560902993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126.99384560902993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319</v>
      </c>
      <c r="DP169" s="17">
        <f>DO169*VLOOKUP('Données projet'!$B$14,Paramètres!$A$1:$I$89,3,0)*VLOOKUP('Données projet'!$B$14,Paramètres!$A$1:$I$89,5,0)</f>
        <v>278.67840000000001</v>
      </c>
      <c r="DQ169" s="13">
        <f t="shared" si="176"/>
        <v>66.687639951856809</v>
      </c>
      <c r="DR169" s="20">
        <f t="shared" si="177"/>
        <v>601.51251958281728</v>
      </c>
      <c r="DS169" s="59">
        <f t="shared" si="125"/>
        <v>889.82721377768075</v>
      </c>
      <c r="DT169" s="59">
        <f ca="1">AVERAGE(OFFSET($DS$3,0,0,'Données projet'!$E$14+1,1))-AVERAGE(OFFSET($H$3,0,0,'Données projet'!$E$14+1,1))</f>
        <v>408.24135864450221</v>
      </c>
      <c r="DU169" s="59">
        <f t="shared" si="152"/>
        <v>394.10236303013903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10.631545749391071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10.631545749391071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853.00000000000011</v>
      </c>
      <c r="O170" s="13">
        <f>N170*VLOOKUP('Données projet'!$B$9,Paramètres!$A$1:$I$89,3,0)*VLOOKUP('Données projet'!$B$9,Paramètres!$A$1:$I$89,5,0)</f>
        <v>399.20400000000006</v>
      </c>
      <c r="P170" s="13">
        <f t="shared" si="141"/>
        <v>91.615269732888521</v>
      </c>
      <c r="Q170" s="20">
        <f t="shared" si="162"/>
        <v>854.8435614514475</v>
      </c>
      <c r="R170" s="59">
        <f t="shared" si="109"/>
        <v>1143.2453178153671</v>
      </c>
      <c r="S170" s="59">
        <f ca="1">AVERAGE(OFFSET($R$3,0,0,'Données projet'!$E$9+1,1))-AVERAGE(OFFSET($H$3,0,0,'Données projet'!$E$9+1,1))</f>
        <v>512.58510468904342</v>
      </c>
      <c r="T170" s="59">
        <f t="shared" si="142"/>
        <v>443.6106696463529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24.743735370322323</v>
      </c>
      <c r="AA170" s="21">
        <f>EXP(-LN(2)/25)*AA169+(1-EXP(-LN(2)/25))/(LN(2)/25)*Calculateur!V170*Calculateur!X170*VLOOKUP('Données projet'!$B$9,Paramètres!$A$1:$I$89,3,0)*0.475*44/12</f>
        <v>1.0975879792429395</v>
      </c>
      <c r="AB170" s="21">
        <f>EXP(-LN(2)/2)*AB169+(1-EXP(-LN(2)/2))/(LN(2)/2)*V170*Y170*VLOOKUP('Données projet'!$B$9,Paramètres!$A$1:$I$89,3,0)*0.475*44/12</f>
        <v>1.943894947687131E-21</v>
      </c>
      <c r="AC170" s="22">
        <f t="shared" si="163"/>
        <v>25.841323349565261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311.298</v>
      </c>
      <c r="AK170" s="13">
        <f t="shared" si="164"/>
        <v>73.539838278528748</v>
      </c>
      <c r="AL170" s="20">
        <f t="shared" si="165"/>
        <v>670.25923500177089</v>
      </c>
      <c r="AM170" s="59">
        <f t="shared" si="113"/>
        <v>958.66099136569051</v>
      </c>
      <c r="AN170" s="59">
        <f ca="1">AVERAGE(OFFSET($AM$3,0,0,'Données projet'!$E$10+1,1))-AVERAGE(OFFSET($H$3,0,0,'Données projet'!$E$10+1,1))</f>
        <v>520.95202773768222</v>
      </c>
      <c r="AO170" s="59">
        <f t="shared" si="144"/>
        <v>325.72635759450861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40.05559604753239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40.05559604753239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689</v>
      </c>
      <c r="BE170" s="13">
        <f>BD170*VLOOKUP('Données projet'!$B$11,Paramètres!$A$1:$I$89,3,0)*VLOOKUP('Données projet'!$B$11,Paramètres!$A$1:$I$89,5,0)</f>
        <v>412.02199999999999</v>
      </c>
      <c r="BF170" s="13">
        <f t="shared" si="167"/>
        <v>94.209724877926391</v>
      </c>
      <c r="BG170" s="20">
        <f t="shared" si="168"/>
        <v>881.686920829055</v>
      </c>
      <c r="BH170" s="59">
        <f t="shared" si="116"/>
        <v>1170.0886771929745</v>
      </c>
      <c r="BI170" s="59">
        <f ca="1">AVERAGE(OFFSET($BH$3,0,0,'Données projet'!$E$11+1,1))-AVERAGE(OFFSET($H$3,0,0,'Données projet'!$E$11+1,1))</f>
        <v>528.71639224940395</v>
      </c>
      <c r="BJ170" s="59">
        <f t="shared" si="146"/>
        <v>460.93390058676493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17.473554125322526</v>
      </c>
      <c r="BQ170" s="21">
        <f>EXP(-LN(2)/25)*BQ169+(1-EXP(-LN(2)/25))/(LN(2)/25)*Calculateur!BL170*Calculateur!BN170*VLOOKUP('Données projet'!$B$11,Paramètres!$A$1:$I$89,3,0)*0.475*44/12</f>
        <v>1.3192217093316592</v>
      </c>
      <c r="BR170" s="21">
        <f>EXP(-LN(2)/2)*BR169+(1-EXP(-LN(2)/2))/(LN(2)/2)*BL170*BO170*VLOOKUP('Données projet'!$B$11,Paramètres!$A$1:$I$89,3,0)*0.475*44/12</f>
        <v>1.254541662172553E-22</v>
      </c>
      <c r="BS170" s="22">
        <f t="shared" si="169"/>
        <v>18.792775834654186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267</v>
      </c>
      <c r="BZ170" s="13">
        <f>BY170*VLOOKUP('Données projet'!$B$12,Paramètres!$A$1:$I$89,3,0)*VLOOKUP('Données projet'!$B$12,Paramètres!$A$1:$I$89,5,0)</f>
        <v>241.58159999999998</v>
      </c>
      <c r="CA170" s="13">
        <f t="shared" si="170"/>
        <v>58.779689232021951</v>
      </c>
      <c r="CB170" s="20">
        <f t="shared" si="171"/>
        <v>523.12924541243819</v>
      </c>
      <c r="CC170" s="59">
        <f t="shared" si="119"/>
        <v>811.53100177635781</v>
      </c>
      <c r="CD170" s="59">
        <f ca="1">AVERAGE(OFFSET($CC$3,0,0,'Données projet'!$E$12+1,1))-AVERAGE(OFFSET($H$3,0,0,'Données projet'!$E$12+1,1))</f>
        <v>398.11190027805549</v>
      </c>
      <c r="CE170" s="59">
        <f t="shared" si="148"/>
        <v>250.47702091764884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26.989783619427133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26.989783619427133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8.977999999999998</v>
      </c>
      <c r="CT170" s="12">
        <f>IF('Données projet'!$A$140&gt;35,CT169+CS170-DB169,IF(A170&lt;'Données projet'!$A$140,$CQ$205^A170,IF(A170='Données projet'!$A$140,'Données projet'!$B$140,CT169+CS170-DB169)))</f>
        <v>547.67399999999964</v>
      </c>
      <c r="CU170" s="17">
        <f>CT170*VLOOKUP('Données projet'!$B$13,Paramètres!$A$1:$I$89,3,0)*VLOOKUP('Données projet'!$B$13,Paramètres!$A$1:$I$89,5,0)</f>
        <v>521.16657839999971</v>
      </c>
      <c r="CV170" s="13">
        <f t="shared" si="173"/>
        <v>115.95048002107703</v>
      </c>
      <c r="CW170" s="20">
        <f t="shared" si="174"/>
        <v>1109.6455434167087</v>
      </c>
      <c r="CX170" s="59">
        <f t="shared" si="122"/>
        <v>1398.0472997806282</v>
      </c>
      <c r="CY170" s="59">
        <f ca="1">AVERAGE(OFFSET($CX$3,0,0,'Données projet'!$E$13+1,1))-AVERAGE(OFFSET($H$3,0,0,'Données projet'!$E$13+1,1))</f>
        <v>697.21496579281836</v>
      </c>
      <c r="CZ170" s="59">
        <f t="shared" si="150"/>
        <v>215.64914236153456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124.50357375523427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124.50357375523427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319</v>
      </c>
      <c r="DP170" s="17">
        <f>DO170*VLOOKUP('Données projet'!$B$14,Paramètres!$A$1:$I$89,3,0)*VLOOKUP('Données projet'!$B$14,Paramètres!$A$1:$I$89,5,0)</f>
        <v>278.67840000000001</v>
      </c>
      <c r="DQ170" s="13">
        <f t="shared" si="176"/>
        <v>66.687639951856809</v>
      </c>
      <c r="DR170" s="20">
        <f t="shared" si="177"/>
        <v>601.51251958281728</v>
      </c>
      <c r="DS170" s="59">
        <f t="shared" si="125"/>
        <v>889.91427594673689</v>
      </c>
      <c r="DT170" s="59">
        <f ca="1">AVERAGE(OFFSET($DS$3,0,0,'Données projet'!$E$14+1,1))-AVERAGE(OFFSET($H$3,0,0,'Données projet'!$E$14+1,1))</f>
        <v>408.24135864450221</v>
      </c>
      <c r="DU170" s="59">
        <f t="shared" si="152"/>
        <v>394.10236303013903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10.423067621848118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10.423067621848118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853.00000000000011</v>
      </c>
      <c r="O171" s="13">
        <f>N171*VLOOKUP('Données projet'!$B$9,Paramètres!$A$1:$I$89,3,0)*VLOOKUP('Données projet'!$B$9,Paramètres!$A$1:$I$89,5,0)</f>
        <v>399.20400000000006</v>
      </c>
      <c r="P171" s="13">
        <f t="shared" si="141"/>
        <v>91.615269732888521</v>
      </c>
      <c r="Q171" s="20">
        <f t="shared" si="162"/>
        <v>854.8435614514475</v>
      </c>
      <c r="R171" s="59">
        <f t="shared" si="109"/>
        <v>1143.3308696504321</v>
      </c>
      <c r="S171" s="59">
        <f ca="1">AVERAGE(OFFSET($R$3,0,0,'Données projet'!$E$9+1,1))-AVERAGE(OFFSET($H$3,0,0,'Données projet'!$E$9+1,1))</f>
        <v>512.58510468904342</v>
      </c>
      <c r="T171" s="59">
        <f t="shared" si="142"/>
        <v>443.6106696463529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24.258525811898647</v>
      </c>
      <c r="AA171" s="21">
        <f>EXP(-LN(2)/25)*AA170+(1-EXP(-LN(2)/25))/(LN(2)/25)*Calculateur!V171*Calculateur!X171*VLOOKUP('Données projet'!$B$9,Paramètres!$A$1:$I$89,3,0)*0.475*44/12</f>
        <v>1.067574378230898</v>
      </c>
      <c r="AB171" s="21">
        <f>EXP(-LN(2)/2)*AB170+(1-EXP(-LN(2)/2))/(LN(2)/2)*V171*Y171*VLOOKUP('Données projet'!$B$9,Paramètres!$A$1:$I$89,3,0)*0.475*44/12</f>
        <v>1.3745412994238394E-21</v>
      </c>
      <c r="AC171" s="22">
        <f t="shared" si="163"/>
        <v>25.326100190129544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311.298</v>
      </c>
      <c r="AK171" s="13">
        <f t="shared" si="164"/>
        <v>73.539838278528748</v>
      </c>
      <c r="AL171" s="20">
        <f t="shared" si="165"/>
        <v>670.25923500177089</v>
      </c>
      <c r="AM171" s="59">
        <f t="shared" si="113"/>
        <v>958.74654320075547</v>
      </c>
      <c r="AN171" s="59">
        <f ca="1">AVERAGE(OFFSET($AM$3,0,0,'Données projet'!$E$10+1,1))-AVERAGE(OFFSET($H$3,0,0,'Données projet'!$E$10+1,1))</f>
        <v>520.95202773768222</v>
      </c>
      <c r="AO171" s="59">
        <f t="shared" si="144"/>
        <v>325.72635759450861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39.270130240541455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39.270130240541455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689</v>
      </c>
      <c r="BE171" s="13">
        <f>BD171*VLOOKUP('Données projet'!$B$11,Paramètres!$A$1:$I$89,3,0)*VLOOKUP('Données projet'!$B$11,Paramètres!$A$1:$I$89,5,0)</f>
        <v>412.02199999999999</v>
      </c>
      <c r="BF171" s="13">
        <f t="shared" si="167"/>
        <v>94.209724877926391</v>
      </c>
      <c r="BG171" s="20">
        <f t="shared" si="168"/>
        <v>881.686920829055</v>
      </c>
      <c r="BH171" s="59">
        <f t="shared" si="116"/>
        <v>1170.1742290280395</v>
      </c>
      <c r="BI171" s="59">
        <f ca="1">AVERAGE(OFFSET($BH$3,0,0,'Données projet'!$E$11+1,1))-AVERAGE(OFFSET($H$3,0,0,'Données projet'!$E$11+1,1))</f>
        <v>528.71639224940395</v>
      </c>
      <c r="BJ171" s="59">
        <f t="shared" si="146"/>
        <v>460.93390058676493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17.130908386740597</v>
      </c>
      <c r="BQ171" s="21">
        <f>EXP(-LN(2)/25)*BQ170+(1-EXP(-LN(2)/25))/(LN(2)/25)*Calculateur!BL171*Calculateur!BN171*VLOOKUP('Données projet'!$B$11,Paramètres!$A$1:$I$89,3,0)*0.475*44/12</f>
        <v>1.2831475223151303</v>
      </c>
      <c r="BR171" s="21">
        <f>EXP(-LN(2)/2)*BR170+(1-EXP(-LN(2)/2))/(LN(2)/2)*BL171*BO171*VLOOKUP('Données projet'!$B$11,Paramètres!$A$1:$I$89,3,0)*0.475*44/12</f>
        <v>8.8709491660325511E-23</v>
      </c>
      <c r="BS171" s="22">
        <f t="shared" si="169"/>
        <v>18.414055909055726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267</v>
      </c>
      <c r="BZ171" s="13">
        <f>BY171*VLOOKUP('Données projet'!$B$12,Paramètres!$A$1:$I$89,3,0)*VLOOKUP('Données projet'!$B$12,Paramètres!$A$1:$I$89,5,0)</f>
        <v>241.58159999999998</v>
      </c>
      <c r="CA171" s="13">
        <f t="shared" si="170"/>
        <v>58.779689232021951</v>
      </c>
      <c r="CB171" s="20">
        <f t="shared" si="171"/>
        <v>523.12924541243819</v>
      </c>
      <c r="CC171" s="59">
        <f t="shared" si="119"/>
        <v>811.61655361142266</v>
      </c>
      <c r="CD171" s="59">
        <f ca="1">AVERAGE(OFFSET($CC$3,0,0,'Données projet'!$E$12+1,1))-AVERAGE(OFFSET($H$3,0,0,'Données projet'!$E$12+1,1))</f>
        <v>398.11190027805549</v>
      </c>
      <c r="CE171" s="59">
        <f t="shared" si="148"/>
        <v>250.47702091764884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26.460530424792672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26.460530424792672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8.977999999999998</v>
      </c>
      <c r="CT171" s="12">
        <f>IF('Données projet'!$A$140&gt;35,CT170+CS171-DB170,IF(A171&lt;'Données projet'!$A$140,$CQ$205^A171,IF(A171='Données projet'!$A$140,'Données projet'!$B$140,CT170+CS171-DB170)))</f>
        <v>556.65199999999959</v>
      </c>
      <c r="CU171" s="17">
        <f>CT171*VLOOKUP('Données projet'!$B$13,Paramètres!$A$1:$I$89,3,0)*VLOOKUP('Données projet'!$B$13,Paramètres!$A$1:$I$89,5,0)</f>
        <v>529.71004319999963</v>
      </c>
      <c r="CV171" s="13">
        <f t="shared" si="173"/>
        <v>117.6284094775115</v>
      </c>
      <c r="CW171" s="20">
        <f t="shared" si="174"/>
        <v>1127.4478050799985</v>
      </c>
      <c r="CX171" s="59">
        <f t="shared" si="122"/>
        <v>1415.935113278983</v>
      </c>
      <c r="CY171" s="59">
        <f ca="1">AVERAGE(OFFSET($CX$3,0,0,'Données projet'!$E$13+1,1))-AVERAGE(OFFSET($H$3,0,0,'Données projet'!$E$13+1,1))</f>
        <v>697.21496579281836</v>
      </c>
      <c r="CZ171" s="59">
        <f t="shared" si="150"/>
        <v>215.64914236153456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122.06213461357569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122.06213461357569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319</v>
      </c>
      <c r="DP171" s="17">
        <f>DO171*VLOOKUP('Données projet'!$B$14,Paramètres!$A$1:$I$89,3,0)*VLOOKUP('Données projet'!$B$14,Paramètres!$A$1:$I$89,5,0)</f>
        <v>278.67840000000001</v>
      </c>
      <c r="DQ171" s="13">
        <f t="shared" si="176"/>
        <v>66.687639951856809</v>
      </c>
      <c r="DR171" s="20">
        <f t="shared" si="177"/>
        <v>601.51251958281728</v>
      </c>
      <c r="DS171" s="59">
        <f t="shared" si="125"/>
        <v>889.99982778180174</v>
      </c>
      <c r="DT171" s="59">
        <f ca="1">AVERAGE(OFFSET($DS$3,0,0,'Données projet'!$E$14+1,1))-AVERAGE(OFFSET($H$3,0,0,'Données projet'!$E$14+1,1))</f>
        <v>408.24135864450221</v>
      </c>
      <c r="DU171" s="59">
        <f t="shared" si="152"/>
        <v>394.10236303013903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10.21867762322718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10.21867762322718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853.00000000000011</v>
      </c>
      <c r="O172" s="13">
        <f>N172*VLOOKUP('Données projet'!$B$9,Paramètres!$A$1:$I$89,3,0)*VLOOKUP('Données projet'!$B$9,Paramètres!$A$1:$I$89,5,0)</f>
        <v>399.20400000000006</v>
      </c>
      <c r="P172" s="13">
        <f t="shared" si="141"/>
        <v>91.615269732888521</v>
      </c>
      <c r="Q172" s="20">
        <f t="shared" si="162"/>
        <v>854.8435614514475</v>
      </c>
      <c r="R172" s="59">
        <f t="shared" si="109"/>
        <v>1143.414937352424</v>
      </c>
      <c r="S172" s="59">
        <f ca="1">AVERAGE(OFFSET($R$3,0,0,'Données projet'!$E$9+1,1))-AVERAGE(OFFSET($H$3,0,0,'Données projet'!$E$9+1,1))</f>
        <v>512.58510468904342</v>
      </c>
      <c r="T172" s="59">
        <f t="shared" si="142"/>
        <v>443.6106696463529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23.78283091696705</v>
      </c>
      <c r="AA172" s="21">
        <f>EXP(-LN(2)/25)*AA171+(1-EXP(-LN(2)/25))/(LN(2)/25)*Calculateur!V172*Calculateur!X172*VLOOKUP('Données projet'!$B$9,Paramètres!$A$1:$I$89,3,0)*0.475*44/12</f>
        <v>1.0383815007168775</v>
      </c>
      <c r="AB172" s="21">
        <f>EXP(-LN(2)/2)*AB171+(1-EXP(-LN(2)/2))/(LN(2)/2)*V172*Y172*VLOOKUP('Données projet'!$B$9,Paramètres!$A$1:$I$89,3,0)*0.475*44/12</f>
        <v>9.7194747384356549E-22</v>
      </c>
      <c r="AC172" s="22">
        <f t="shared" si="163"/>
        <v>24.821212417683927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311.298</v>
      </c>
      <c r="AK172" s="13">
        <f t="shared" si="164"/>
        <v>73.539838278528748</v>
      </c>
      <c r="AL172" s="20">
        <f t="shared" si="165"/>
        <v>670.25923500177089</v>
      </c>
      <c r="AM172" s="59">
        <f t="shared" si="113"/>
        <v>958.83061090274737</v>
      </c>
      <c r="AN172" s="59">
        <f ca="1">AVERAGE(OFFSET($AM$3,0,0,'Données projet'!$E$10+1,1))-AVERAGE(OFFSET($H$3,0,0,'Données projet'!$E$10+1,1))</f>
        <v>520.95202773768222</v>
      </c>
      <c r="AO172" s="59">
        <f t="shared" si="144"/>
        <v>325.72635759450861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38.50006693893878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38.50006693893878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689</v>
      </c>
      <c r="BE172" s="13">
        <f>BD172*VLOOKUP('Données projet'!$B$11,Paramètres!$A$1:$I$89,3,0)*VLOOKUP('Données projet'!$B$11,Paramètres!$A$1:$I$89,5,0)</f>
        <v>412.02199999999999</v>
      </c>
      <c r="BF172" s="13">
        <f t="shared" si="167"/>
        <v>94.209724877926391</v>
      </c>
      <c r="BG172" s="20">
        <f t="shared" si="168"/>
        <v>881.686920829055</v>
      </c>
      <c r="BH172" s="59">
        <f t="shared" si="116"/>
        <v>1170.2582967300314</v>
      </c>
      <c r="BI172" s="59">
        <f ca="1">AVERAGE(OFFSET($BH$3,0,0,'Données projet'!$E$11+1,1))-AVERAGE(OFFSET($H$3,0,0,'Données projet'!$E$11+1,1))</f>
        <v>528.71639224940395</v>
      </c>
      <c r="BJ172" s="59">
        <f t="shared" si="146"/>
        <v>460.93390058676493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16.794981722098996</v>
      </c>
      <c r="BQ172" s="21">
        <f>EXP(-LN(2)/25)*BQ171+(1-EXP(-LN(2)/25))/(LN(2)/25)*Calculateur!BL172*Calculateur!BN172*VLOOKUP('Données projet'!$B$11,Paramètres!$A$1:$I$89,3,0)*0.475*44/12</f>
        <v>1.2480597858396276</v>
      </c>
      <c r="BR172" s="21">
        <f>EXP(-LN(2)/2)*BR171+(1-EXP(-LN(2)/2))/(LN(2)/2)*BL172*BO172*VLOOKUP('Données projet'!$B$11,Paramètres!$A$1:$I$89,3,0)*0.475*44/12</f>
        <v>6.2727083108627652E-23</v>
      </c>
      <c r="BS172" s="22">
        <f t="shared" si="169"/>
        <v>18.043041507938625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267</v>
      </c>
      <c r="BZ172" s="13">
        <f>BY172*VLOOKUP('Données projet'!$B$12,Paramètres!$A$1:$I$89,3,0)*VLOOKUP('Données projet'!$B$12,Paramètres!$A$1:$I$89,5,0)</f>
        <v>241.58159999999998</v>
      </c>
      <c r="CA172" s="13">
        <f t="shared" si="170"/>
        <v>58.779689232021951</v>
      </c>
      <c r="CB172" s="20">
        <f t="shared" si="171"/>
        <v>523.12924541243819</v>
      </c>
      <c r="CC172" s="59">
        <f t="shared" si="119"/>
        <v>811.70062131341456</v>
      </c>
      <c r="CD172" s="59">
        <f ca="1">AVERAGE(OFFSET($CC$3,0,0,'Données projet'!$E$12+1,1))-AVERAGE(OFFSET($H$3,0,0,'Données projet'!$E$12+1,1))</f>
        <v>398.11190027805549</v>
      </c>
      <c r="CE172" s="59">
        <f t="shared" si="148"/>
        <v>250.47702091764884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25.941655562492421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25.941655562492421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8.977999999999998</v>
      </c>
      <c r="CT172" s="12">
        <f>IF('Données projet'!$A$140&gt;35,CT171+CS172-DB171,IF(A172&lt;'Données projet'!$A$140,$CQ$205^A172,IF(A172='Données projet'!$A$140,'Données projet'!$B$140,CT171+CS172-DB171)))</f>
        <v>565.62999999999954</v>
      </c>
      <c r="CU172" s="17">
        <f>CT172*VLOOKUP('Données projet'!$B$13,Paramètres!$A$1:$I$89,3,0)*VLOOKUP('Données projet'!$B$13,Paramètres!$A$1:$I$89,5,0)</f>
        <v>538.25350799999956</v>
      </c>
      <c r="CV172" s="13">
        <f t="shared" si="173"/>
        <v>119.30319165807148</v>
      </c>
      <c r="CW172" s="20">
        <f t="shared" si="174"/>
        <v>1145.2445852378071</v>
      </c>
      <c r="CX172" s="59">
        <f t="shared" si="122"/>
        <v>1433.8159611387835</v>
      </c>
      <c r="CY172" s="59">
        <f ca="1">AVERAGE(OFFSET($CX$3,0,0,'Données projet'!$E$13+1,1))-AVERAGE(OFFSET($H$3,0,0,'Données projet'!$E$13+1,1))</f>
        <v>697.21496579281836</v>
      </c>
      <c r="CZ172" s="59">
        <f t="shared" si="150"/>
        <v>215.64914236153456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119.6685706043542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119.6685706043542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319</v>
      </c>
      <c r="DP172" s="17">
        <f>DO172*VLOOKUP('Données projet'!$B$14,Paramètres!$A$1:$I$89,3,0)*VLOOKUP('Données projet'!$B$14,Paramètres!$A$1:$I$89,5,0)</f>
        <v>278.67840000000001</v>
      </c>
      <c r="DQ172" s="13">
        <f t="shared" si="176"/>
        <v>66.687639951856809</v>
      </c>
      <c r="DR172" s="20">
        <f t="shared" si="177"/>
        <v>601.51251958281728</v>
      </c>
      <c r="DS172" s="59">
        <f t="shared" si="125"/>
        <v>890.08389548379364</v>
      </c>
      <c r="DT172" s="59">
        <f ca="1">AVERAGE(OFFSET($DS$3,0,0,'Données projet'!$E$14+1,1))-AVERAGE(OFFSET($H$3,0,0,'Données projet'!$E$14+1,1))</f>
        <v>408.24135864450221</v>
      </c>
      <c r="DU172" s="59">
        <f t="shared" si="152"/>
        <v>394.10236303013903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10.01829558781361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10.01829558781361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853.00000000000011</v>
      </c>
      <c r="O173" s="13">
        <f>N173*VLOOKUP('Données projet'!$B$9,Paramètres!$A$1:$I$89,3,0)*VLOOKUP('Données projet'!$B$9,Paramètres!$A$1:$I$89,5,0)</f>
        <v>399.20400000000006</v>
      </c>
      <c r="P173" s="13">
        <f t="shared" si="141"/>
        <v>91.615269732888521</v>
      </c>
      <c r="Q173" s="20">
        <f t="shared" si="162"/>
        <v>854.8435614514475</v>
      </c>
      <c r="R173" s="59">
        <f t="shared" si="109"/>
        <v>1143.4975466677333</v>
      </c>
      <c r="S173" s="59">
        <f ca="1">AVERAGE(OFFSET($R$3,0,0,'Données projet'!$E$9+1,1))-AVERAGE(OFFSET($H$3,0,0,'Données projet'!$E$9+1,1))</f>
        <v>512.58510468904342</v>
      </c>
      <c r="T173" s="59">
        <f t="shared" si="142"/>
        <v>443.6106696463529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23.316464108779829</v>
      </c>
      <c r="AA173" s="21">
        <f>EXP(-LN(2)/25)*AA172+(1-EXP(-LN(2)/25))/(LN(2)/25)*Calculateur!V173*Calculateur!X173*VLOOKUP('Données projet'!$B$9,Paramètres!$A$1:$I$89,3,0)*0.475*44/12</f>
        <v>1.0099869039736646</v>
      </c>
      <c r="AB173" s="21">
        <f>EXP(-LN(2)/2)*AB172+(1-EXP(-LN(2)/2))/(LN(2)/2)*V173*Y173*VLOOKUP('Données projet'!$B$9,Paramètres!$A$1:$I$89,3,0)*0.475*44/12</f>
        <v>6.8727064971191971E-22</v>
      </c>
      <c r="AC173" s="22">
        <f t="shared" si="163"/>
        <v>24.326451012753495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311.298</v>
      </c>
      <c r="AK173" s="13">
        <f t="shared" si="164"/>
        <v>73.539838278528748</v>
      </c>
      <c r="AL173" s="20">
        <f t="shared" si="165"/>
        <v>670.25923500177089</v>
      </c>
      <c r="AM173" s="59">
        <f t="shared" si="113"/>
        <v>958.91322021805672</v>
      </c>
      <c r="AN173" s="59">
        <f ca="1">AVERAGE(OFFSET($AM$3,0,0,'Données projet'!$E$10+1,1))-AVERAGE(OFFSET($H$3,0,0,'Données projet'!$E$10+1,1))</f>
        <v>520.95202773768222</v>
      </c>
      <c r="AO173" s="59">
        <f t="shared" si="144"/>
        <v>325.72635759450861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37.745104108988293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37.745104108988293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689</v>
      </c>
      <c r="BE173" s="13">
        <f>BD173*VLOOKUP('Données projet'!$B$11,Paramètres!$A$1:$I$89,3,0)*VLOOKUP('Données projet'!$B$11,Paramètres!$A$1:$I$89,5,0)</f>
        <v>412.02199999999999</v>
      </c>
      <c r="BF173" s="13">
        <f t="shared" si="167"/>
        <v>94.209724877926391</v>
      </c>
      <c r="BG173" s="20">
        <f t="shared" si="168"/>
        <v>881.686920829055</v>
      </c>
      <c r="BH173" s="59">
        <f t="shared" si="116"/>
        <v>1170.3409060453409</v>
      </c>
      <c r="BI173" s="59">
        <f ca="1">AVERAGE(OFFSET($BH$3,0,0,'Données projet'!$E$11+1,1))-AVERAGE(OFFSET($H$3,0,0,'Données projet'!$E$11+1,1))</f>
        <v>528.71639224940395</v>
      </c>
      <c r="BJ173" s="59">
        <f t="shared" si="146"/>
        <v>460.93390058676493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16.465642374455982</v>
      </c>
      <c r="BQ173" s="21">
        <f>EXP(-LN(2)/25)*BQ172+(1-EXP(-LN(2)/25))/(LN(2)/25)*Calculateur!BL173*Calculateur!BN173*VLOOKUP('Données projet'!$B$11,Paramètres!$A$1:$I$89,3,0)*0.475*44/12</f>
        <v>1.2139315253632315</v>
      </c>
      <c r="BR173" s="21">
        <f>EXP(-LN(2)/2)*BR172+(1-EXP(-LN(2)/2))/(LN(2)/2)*BL173*BO173*VLOOKUP('Données projet'!$B$11,Paramètres!$A$1:$I$89,3,0)*0.475*44/12</f>
        <v>4.4354745830162755E-23</v>
      </c>
      <c r="BS173" s="22">
        <f t="shared" si="169"/>
        <v>17.679573899819214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267</v>
      </c>
      <c r="BZ173" s="13">
        <f>BY173*VLOOKUP('Données projet'!$B$12,Paramètres!$A$1:$I$89,3,0)*VLOOKUP('Données projet'!$B$12,Paramètres!$A$1:$I$89,5,0)</f>
        <v>241.58159999999998</v>
      </c>
      <c r="CA173" s="13">
        <f t="shared" si="170"/>
        <v>58.779689232021951</v>
      </c>
      <c r="CB173" s="20">
        <f t="shared" si="171"/>
        <v>523.12924541243819</v>
      </c>
      <c r="CC173" s="59">
        <f t="shared" si="119"/>
        <v>811.78323062872414</v>
      </c>
      <c r="CD173" s="59">
        <f ca="1">AVERAGE(OFFSET($CC$3,0,0,'Données projet'!$E$12+1,1))-AVERAGE(OFFSET($H$3,0,0,'Données projet'!$E$12+1,1))</f>
        <v>398.11190027805549</v>
      </c>
      <c r="CE173" s="59">
        <f t="shared" si="148"/>
        <v>250.47702091764884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25.43295551975946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25.43295551975946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8.977999999999998</v>
      </c>
      <c r="CT173" s="12">
        <f>IF('Données projet'!$A$140&gt;35,CT172+CS173-DB172,IF(A173&lt;'Données projet'!$A$140,$CQ$205^A173,IF(A173='Données projet'!$A$140,'Données projet'!$B$140,CT172+CS173-DB172)))</f>
        <v>574.60799999999949</v>
      </c>
      <c r="CU173" s="17">
        <f>CT173*VLOOKUP('Données projet'!$B$13,Paramètres!$A$1:$I$89,3,0)*VLOOKUP('Données projet'!$B$13,Paramètres!$A$1:$I$89,5,0)</f>
        <v>546.79697279999959</v>
      </c>
      <c r="CV173" s="13">
        <f t="shared" si="173"/>
        <v>120.97488228613159</v>
      </c>
      <c r="CW173" s="20">
        <f t="shared" si="174"/>
        <v>1163.0359809416784</v>
      </c>
      <c r="CX173" s="59">
        <f t="shared" si="122"/>
        <v>1451.6899661579644</v>
      </c>
      <c r="CY173" s="59">
        <f ca="1">AVERAGE(OFFSET($CX$3,0,0,'Données projet'!$E$13+1,1))-AVERAGE(OFFSET($H$3,0,0,'Données projet'!$E$13+1,1))</f>
        <v>697.21496579281836</v>
      </c>
      <c r="CZ173" s="59">
        <f t="shared" si="150"/>
        <v>215.64914236153456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117.32194292542366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117.32194292542366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319</v>
      </c>
      <c r="DP173" s="17">
        <f>DO173*VLOOKUP('Données projet'!$B$14,Paramètres!$A$1:$I$89,3,0)*VLOOKUP('Données projet'!$B$14,Paramètres!$A$1:$I$89,5,0)</f>
        <v>278.67840000000001</v>
      </c>
      <c r="DQ173" s="13">
        <f t="shared" si="176"/>
        <v>66.687639951856809</v>
      </c>
      <c r="DR173" s="20">
        <f t="shared" si="177"/>
        <v>601.51251958281728</v>
      </c>
      <c r="DS173" s="59">
        <f t="shared" si="125"/>
        <v>890.16650479910322</v>
      </c>
      <c r="DT173" s="59">
        <f ca="1">AVERAGE(OFFSET($DS$3,0,0,'Données projet'!$E$14+1,1))-AVERAGE(OFFSET($H$3,0,0,'Données projet'!$E$14+1,1))</f>
        <v>408.24135864450221</v>
      </c>
      <c r="DU173" s="59">
        <f t="shared" si="152"/>
        <v>394.10236303013903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9.8218429218935253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9.8218429218935253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853.00000000000011</v>
      </c>
      <c r="O174" s="13">
        <f>N174*VLOOKUP('Données projet'!$B$9,Paramètres!$A$1:$I$89,3,0)*VLOOKUP('Données projet'!$B$9,Paramètres!$A$1:$I$89,5,0)</f>
        <v>399.20400000000006</v>
      </c>
      <c r="P174" s="13">
        <f t="shared" si="141"/>
        <v>91.615269732888521</v>
      </c>
      <c r="Q174" s="20">
        <f t="shared" si="162"/>
        <v>854.8435614514475</v>
      </c>
      <c r="R174" s="59">
        <f t="shared" si="109"/>
        <v>1143.578722896109</v>
      </c>
      <c r="S174" s="59">
        <f ca="1">AVERAGE(OFFSET($R$3,0,0,'Données projet'!$E$9+1,1))-AVERAGE(OFFSET($H$3,0,0,'Données projet'!$E$9+1,1))</f>
        <v>512.58510468904342</v>
      </c>
      <c r="T174" s="59">
        <f t="shared" si="142"/>
        <v>443.6106696463529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22.859242469245494</v>
      </c>
      <c r="AA174" s="21">
        <f>EXP(-LN(2)/25)*AA173+(1-EXP(-LN(2)/25))/(LN(2)/25)*Calculateur!V174*Calculateur!X174*VLOOKUP('Données projet'!$B$9,Paramètres!$A$1:$I$89,3,0)*0.475*44/12</f>
        <v>0.98236875897160181</v>
      </c>
      <c r="AB174" s="21">
        <f>EXP(-LN(2)/2)*AB173+(1-EXP(-LN(2)/2))/(LN(2)/2)*V174*Y174*VLOOKUP('Données projet'!$B$9,Paramètres!$A$1:$I$89,3,0)*0.475*44/12</f>
        <v>4.8597373692178275E-22</v>
      </c>
      <c r="AC174" s="22">
        <f t="shared" si="163"/>
        <v>23.841611228217097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311.298</v>
      </c>
      <c r="AK174" s="13">
        <f t="shared" si="164"/>
        <v>73.539838278528748</v>
      </c>
      <c r="AL174" s="20">
        <f t="shared" si="165"/>
        <v>670.25923500177089</v>
      </c>
      <c r="AM174" s="59">
        <f t="shared" si="113"/>
        <v>958.99439644643235</v>
      </c>
      <c r="AN174" s="59">
        <f ca="1">AVERAGE(OFFSET($AM$3,0,0,'Données projet'!$E$10+1,1))-AVERAGE(OFFSET($H$3,0,0,'Données projet'!$E$10+1,1))</f>
        <v>520.95202773768222</v>
      </c>
      <c r="AO174" s="59">
        <f t="shared" si="144"/>
        <v>325.72635759450861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37.004945639651282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37.004945639651282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689</v>
      </c>
      <c r="BE174" s="13">
        <f>BD174*VLOOKUP('Données projet'!$B$11,Paramètres!$A$1:$I$89,3,0)*VLOOKUP('Données projet'!$B$11,Paramètres!$A$1:$I$89,5,0)</f>
        <v>412.02199999999999</v>
      </c>
      <c r="BF174" s="13">
        <f t="shared" si="167"/>
        <v>94.209724877926391</v>
      </c>
      <c r="BG174" s="20">
        <f t="shared" si="168"/>
        <v>881.686920829055</v>
      </c>
      <c r="BH174" s="59">
        <f t="shared" si="116"/>
        <v>1170.4220822737166</v>
      </c>
      <c r="BI174" s="59">
        <f ca="1">AVERAGE(OFFSET($BH$3,0,0,'Données projet'!$E$11+1,1))-AVERAGE(OFFSET($H$3,0,0,'Données projet'!$E$11+1,1))</f>
        <v>528.71639224940395</v>
      </c>
      <c r="BJ174" s="59">
        <f t="shared" si="146"/>
        <v>460.93390058676493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16.142761170543078</v>
      </c>
      <c r="BQ174" s="21">
        <f>EXP(-LN(2)/25)*BQ173+(1-EXP(-LN(2)/25))/(LN(2)/25)*Calculateur!BL174*Calculateur!BN174*VLOOKUP('Données projet'!$B$11,Paramètres!$A$1:$I$89,3,0)*0.475*44/12</f>
        <v>1.1807365039642894</v>
      </c>
      <c r="BR174" s="21">
        <f>EXP(-LN(2)/2)*BR173+(1-EXP(-LN(2)/2))/(LN(2)/2)*BL174*BO174*VLOOKUP('Données projet'!$B$11,Paramètres!$A$1:$I$89,3,0)*0.475*44/12</f>
        <v>3.1363541554313826E-23</v>
      </c>
      <c r="BS174" s="22">
        <f t="shared" si="169"/>
        <v>17.323497674507369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267</v>
      </c>
      <c r="BZ174" s="13">
        <f>BY174*VLOOKUP('Données projet'!$B$12,Paramètres!$A$1:$I$89,3,0)*VLOOKUP('Données projet'!$B$12,Paramètres!$A$1:$I$89,5,0)</f>
        <v>241.58159999999998</v>
      </c>
      <c r="CA174" s="13">
        <f t="shared" si="170"/>
        <v>58.779689232021951</v>
      </c>
      <c r="CB174" s="20">
        <f t="shared" si="171"/>
        <v>523.12924541243819</v>
      </c>
      <c r="CC174" s="59">
        <f t="shared" si="119"/>
        <v>811.86440685709977</v>
      </c>
      <c r="CD174" s="59">
        <f ca="1">AVERAGE(OFFSET($CC$3,0,0,'Données projet'!$E$12+1,1))-AVERAGE(OFFSET($H$3,0,0,'Données projet'!$E$12+1,1))</f>
        <v>398.11190027805549</v>
      </c>
      <c r="CE174" s="59">
        <f t="shared" si="148"/>
        <v>250.47702091764884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24.934230774588105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24.934230774588105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8.977999999999998</v>
      </c>
      <c r="CT174" s="12">
        <f>IF('Données projet'!$A$140&gt;35,CT173+CS174-DB173,IF(A174&lt;'Données projet'!$A$140,$CQ$205^A174,IF(A174='Données projet'!$A$140,'Données projet'!$B$140,CT173+CS174-DB173)))</f>
        <v>583.58599999999944</v>
      </c>
      <c r="CU174" s="17">
        <f>CT174*VLOOKUP('Données projet'!$B$13,Paramètres!$A$1:$I$89,3,0)*VLOOKUP('Données projet'!$B$13,Paramètres!$A$1:$I$89,5,0)</f>
        <v>555.34043759999952</v>
      </c>
      <c r="CV174" s="13">
        <f t="shared" si="173"/>
        <v>122.64353524386648</v>
      </c>
      <c r="CW174" s="20">
        <f t="shared" si="174"/>
        <v>1180.8220860363999</v>
      </c>
      <c r="CX174" s="59">
        <f t="shared" si="122"/>
        <v>1469.5572474810615</v>
      </c>
      <c r="CY174" s="59">
        <f ca="1">AVERAGE(OFFSET($CX$3,0,0,'Données projet'!$E$13+1,1))-AVERAGE(OFFSET($H$3,0,0,'Données projet'!$E$13+1,1))</f>
        <v>697.21496579281836</v>
      </c>
      <c r="CZ174" s="59">
        <f t="shared" si="150"/>
        <v>215.64914236153456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115.02133118397539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115.02133118397539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319</v>
      </c>
      <c r="DP174" s="17">
        <f>DO174*VLOOKUP('Données projet'!$B$14,Paramètres!$A$1:$I$89,3,0)*VLOOKUP('Données projet'!$B$14,Paramètres!$A$1:$I$89,5,0)</f>
        <v>278.67840000000001</v>
      </c>
      <c r="DQ174" s="13">
        <f t="shared" si="176"/>
        <v>66.687639951856809</v>
      </c>
      <c r="DR174" s="20">
        <f t="shared" si="177"/>
        <v>601.51251958281728</v>
      </c>
      <c r="DS174" s="59">
        <f t="shared" si="125"/>
        <v>890.24768102747885</v>
      </c>
      <c r="DT174" s="59">
        <f ca="1">AVERAGE(OFFSET($DS$3,0,0,'Données projet'!$E$14+1,1))-AVERAGE(OFFSET($H$3,0,0,'Données projet'!$E$14+1,1))</f>
        <v>408.24135864450221</v>
      </c>
      <c r="DU174" s="59">
        <f t="shared" si="152"/>
        <v>394.10236303013903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9.6292425729278399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9.6292425729278399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853.00000000000011</v>
      </c>
      <c r="O175" s="13">
        <f>N175*VLOOKUP('Données projet'!$B$9,Paramètres!$A$1:$I$89,3,0)*VLOOKUP('Données projet'!$B$9,Paramètres!$A$1:$I$89,5,0)</f>
        <v>399.20400000000006</v>
      </c>
      <c r="P175" s="13">
        <f t="shared" si="141"/>
        <v>91.615269732888521</v>
      </c>
      <c r="Q175" s="20">
        <f t="shared" si="162"/>
        <v>854.8435614514475</v>
      </c>
      <c r="R175" s="59">
        <f t="shared" si="109"/>
        <v>1143.658490898405</v>
      </c>
      <c r="S175" s="59">
        <f ca="1">AVERAGE(OFFSET($R$3,0,0,'Données projet'!$E$9+1,1))-AVERAGE(OFFSET($H$3,0,0,'Données projet'!$E$9+1,1))</f>
        <v>512.58510468904342</v>
      </c>
      <c r="T175" s="59">
        <f t="shared" si="142"/>
        <v>443.6106696463529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22.410986667184762</v>
      </c>
      <c r="AA175" s="21">
        <f>EXP(-LN(2)/25)*AA174+(1-EXP(-LN(2)/25))/(LN(2)/25)*Calculateur!V175*Calculateur!X175*VLOOKUP('Données projet'!$B$9,Paramètres!$A$1:$I$89,3,0)*0.475*44/12</f>
        <v>0.95550583359699559</v>
      </c>
      <c r="AB175" s="21">
        <f>EXP(-LN(2)/2)*AB174+(1-EXP(-LN(2)/2))/(LN(2)/2)*V175*Y175*VLOOKUP('Données projet'!$B$9,Paramètres!$A$1:$I$89,3,0)*0.475*44/12</f>
        <v>3.4363532485595985E-22</v>
      </c>
      <c r="AC175" s="22">
        <f t="shared" si="163"/>
        <v>23.366492500781757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311.298</v>
      </c>
      <c r="AK175" s="13">
        <f t="shared" si="164"/>
        <v>73.539838278528748</v>
      </c>
      <c r="AL175" s="20">
        <f t="shared" si="165"/>
        <v>670.25923500177089</v>
      </c>
      <c r="AM175" s="59">
        <f t="shared" si="113"/>
        <v>959.07416444872854</v>
      </c>
      <c r="AN175" s="59">
        <f ca="1">AVERAGE(OFFSET($AM$3,0,0,'Données projet'!$E$10+1,1))-AVERAGE(OFFSET($H$3,0,0,'Données projet'!$E$10+1,1))</f>
        <v>520.95202773768222</v>
      </c>
      <c r="AO175" s="59">
        <f t="shared" si="144"/>
        <v>325.72635759450861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36.279301226445881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36.279301226445881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689</v>
      </c>
      <c r="BE175" s="13">
        <f>BD175*VLOOKUP('Données projet'!$B$11,Paramètres!$A$1:$I$89,3,0)*VLOOKUP('Données projet'!$B$11,Paramètres!$A$1:$I$89,5,0)</f>
        <v>412.02199999999999</v>
      </c>
      <c r="BF175" s="13">
        <f t="shared" si="167"/>
        <v>94.209724877926391</v>
      </c>
      <c r="BG175" s="20">
        <f t="shared" si="168"/>
        <v>881.686920829055</v>
      </c>
      <c r="BH175" s="59">
        <f t="shared" si="116"/>
        <v>1170.5018502760126</v>
      </c>
      <c r="BI175" s="59">
        <f ca="1">AVERAGE(OFFSET($BH$3,0,0,'Données projet'!$E$11+1,1))-AVERAGE(OFFSET($H$3,0,0,'Données projet'!$E$11+1,1))</f>
        <v>528.71639224940395</v>
      </c>
      <c r="BJ175" s="59">
        <f t="shared" si="146"/>
        <v>460.93390058676493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15.826211470100819</v>
      </c>
      <c r="BQ175" s="21">
        <f>EXP(-LN(2)/25)*BQ174+(1-EXP(-LN(2)/25))/(LN(2)/25)*Calculateur!BL175*Calculateur!BN175*VLOOKUP('Données projet'!$B$11,Paramètres!$A$1:$I$89,3,0)*0.475*44/12</f>
        <v>1.1484492021711519</v>
      </c>
      <c r="BR175" s="21">
        <f>EXP(-LN(2)/2)*BR174+(1-EXP(-LN(2)/2))/(LN(2)/2)*BL175*BO175*VLOOKUP('Données projet'!$B$11,Paramètres!$A$1:$I$89,3,0)*0.475*44/12</f>
        <v>2.2177372915081378E-23</v>
      </c>
      <c r="BS175" s="22">
        <f t="shared" si="169"/>
        <v>16.97466067227197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267</v>
      </c>
      <c r="BZ175" s="13">
        <f>BY175*VLOOKUP('Données projet'!$B$12,Paramètres!$A$1:$I$89,3,0)*VLOOKUP('Données projet'!$B$12,Paramètres!$A$1:$I$89,5,0)</f>
        <v>241.58159999999998</v>
      </c>
      <c r="CA175" s="13">
        <f t="shared" si="170"/>
        <v>58.779689232021951</v>
      </c>
      <c r="CB175" s="20">
        <f t="shared" si="171"/>
        <v>523.12924541243819</v>
      </c>
      <c r="CC175" s="59">
        <f t="shared" si="119"/>
        <v>811.94417485939584</v>
      </c>
      <c r="CD175" s="59">
        <f ca="1">AVERAGE(OFFSET($CC$3,0,0,'Données projet'!$E$12+1,1))-AVERAGE(OFFSET($H$3,0,0,'Données projet'!$E$12+1,1))</f>
        <v>398.11190027805549</v>
      </c>
      <c r="CE175" s="59">
        <f t="shared" si="148"/>
        <v>250.47702091764884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24.445285717477503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24.445285717477503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8.977999999999998</v>
      </c>
      <c r="CT175" s="12">
        <f>IF('Données projet'!$A$140&gt;35,CT174+CS175-DB174,IF(A175&lt;'Données projet'!$A$140,$CQ$205^A175,IF(A175='Données projet'!$A$140,'Données projet'!$B$140,CT174+CS175-DB174)))</f>
        <v>592.5639999999994</v>
      </c>
      <c r="CU175" s="17">
        <f>CT175*VLOOKUP('Données projet'!$B$13,Paramètres!$A$1:$I$89,3,0)*VLOOKUP('Données projet'!$B$13,Paramètres!$A$1:$I$89,5,0)</f>
        <v>563.88390239999944</v>
      </c>
      <c r="CV175" s="13">
        <f t="shared" si="173"/>
        <v>124.30920266045823</v>
      </c>
      <c r="CW175" s="20">
        <f t="shared" si="174"/>
        <v>1198.6029913136304</v>
      </c>
      <c r="CX175" s="59">
        <f t="shared" si="122"/>
        <v>1487.417920760588</v>
      </c>
      <c r="CY175" s="59">
        <f ca="1">AVERAGE(OFFSET($CX$3,0,0,'Données projet'!$E$13+1,1))-AVERAGE(OFFSET($H$3,0,0,'Données projet'!$E$13+1,1))</f>
        <v>697.21496579281836</v>
      </c>
      <c r="CZ175" s="59">
        <f t="shared" si="150"/>
        <v>215.64914236153456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112.76583303554231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112.76583303554231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319</v>
      </c>
      <c r="DP175" s="17">
        <f>DO175*VLOOKUP('Données projet'!$B$14,Paramètres!$A$1:$I$89,3,0)*VLOOKUP('Données projet'!$B$14,Paramètres!$A$1:$I$89,5,0)</f>
        <v>278.67840000000001</v>
      </c>
      <c r="DQ175" s="13">
        <f t="shared" si="176"/>
        <v>66.687639951856809</v>
      </c>
      <c r="DR175" s="20">
        <f t="shared" si="177"/>
        <v>601.51251958281728</v>
      </c>
      <c r="DS175" s="59">
        <f t="shared" si="125"/>
        <v>890.32744902977493</v>
      </c>
      <c r="DT175" s="59">
        <f ca="1">AVERAGE(OFFSET($DS$3,0,0,'Données projet'!$E$14+1,1))-AVERAGE(OFFSET($H$3,0,0,'Données projet'!$E$14+1,1))</f>
        <v>408.24135864450221</v>
      </c>
      <c r="DU175" s="59">
        <f t="shared" si="152"/>
        <v>394.10236303013903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9.4404189993307579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9.4404189993307579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853.00000000000011</v>
      </c>
      <c r="O176" s="13">
        <f>N176*VLOOKUP('Données projet'!$B$9,Paramètres!$A$1:$I$89,3,0)*VLOOKUP('Données projet'!$B$9,Paramètres!$A$1:$I$89,5,0)</f>
        <v>399.20400000000006</v>
      </c>
      <c r="P176" s="13">
        <f t="shared" si="141"/>
        <v>91.615269732888521</v>
      </c>
      <c r="Q176" s="20">
        <f t="shared" si="162"/>
        <v>854.8435614514475</v>
      </c>
      <c r="R176" s="59">
        <f t="shared" si="109"/>
        <v>1143.7368751041959</v>
      </c>
      <c r="S176" s="59">
        <f ca="1">AVERAGE(OFFSET($R$3,0,0,'Données projet'!$E$9+1,1))-AVERAGE(OFFSET($H$3,0,0,'Données projet'!$E$9+1,1))</f>
        <v>512.58510468904342</v>
      </c>
      <c r="T176" s="59">
        <f t="shared" si="142"/>
        <v>443.6106696463529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21.9715208879934</v>
      </c>
      <c r="AA176" s="21">
        <f>EXP(-LN(2)/25)*AA175+(1-EXP(-LN(2)/25))/(LN(2)/25)*Calculateur!V176*Calculateur!X176*VLOOKUP('Données projet'!$B$9,Paramètres!$A$1:$I$89,3,0)*0.475*44/12</f>
        <v>0.92937747632941781</v>
      </c>
      <c r="AB176" s="21">
        <f>EXP(-LN(2)/2)*AB175+(1-EXP(-LN(2)/2))/(LN(2)/2)*V176*Y176*VLOOKUP('Données projet'!$B$9,Paramètres!$A$1:$I$89,3,0)*0.475*44/12</f>
        <v>2.4298686846089137E-22</v>
      </c>
      <c r="AC176" s="22">
        <f t="shared" si="163"/>
        <v>22.900898364322817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311.298</v>
      </c>
      <c r="AK176" s="13">
        <f t="shared" si="164"/>
        <v>73.539838278528748</v>
      </c>
      <c r="AL176" s="20">
        <f t="shared" si="165"/>
        <v>670.25923500177089</v>
      </c>
      <c r="AM176" s="59">
        <f t="shared" si="113"/>
        <v>959.15254865451936</v>
      </c>
      <c r="AN176" s="59">
        <f ca="1">AVERAGE(OFFSET($AM$3,0,0,'Données projet'!$E$10+1,1))-AVERAGE(OFFSET($H$3,0,0,'Données projet'!$E$10+1,1))</f>
        <v>520.95202773768222</v>
      </c>
      <c r="AO176" s="59">
        <f t="shared" si="144"/>
        <v>325.72635759450861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35.56788625758405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35.56788625758405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689</v>
      </c>
      <c r="BE176" s="13">
        <f>BD176*VLOOKUP('Données projet'!$B$11,Paramètres!$A$1:$I$89,3,0)*VLOOKUP('Données projet'!$B$11,Paramètres!$A$1:$I$89,5,0)</f>
        <v>412.02199999999999</v>
      </c>
      <c r="BF176" s="13">
        <f t="shared" si="167"/>
        <v>94.209724877926391</v>
      </c>
      <c r="BG176" s="20">
        <f t="shared" si="168"/>
        <v>881.686920829055</v>
      </c>
      <c r="BH176" s="59">
        <f t="shared" si="116"/>
        <v>1170.5802344818035</v>
      </c>
      <c r="BI176" s="59">
        <f ca="1">AVERAGE(OFFSET($BH$3,0,0,'Données projet'!$E$11+1,1))-AVERAGE(OFFSET($H$3,0,0,'Données projet'!$E$11+1,1))</f>
        <v>528.71639224940395</v>
      </c>
      <c r="BJ176" s="59">
        <f t="shared" si="146"/>
        <v>460.93390058676493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15.51586911620798</v>
      </c>
      <c r="BQ176" s="21">
        <f>EXP(-LN(2)/25)*BQ175+(1-EXP(-LN(2)/25))/(LN(2)/25)*Calculateur!BL176*Calculateur!BN176*VLOOKUP('Données projet'!$B$11,Paramètres!$A$1:$I$89,3,0)*0.475*44/12</f>
        <v>1.117044798343463</v>
      </c>
      <c r="BR176" s="21">
        <f>EXP(-LN(2)/2)*BR175+(1-EXP(-LN(2)/2))/(LN(2)/2)*BL176*BO176*VLOOKUP('Données projet'!$B$11,Paramètres!$A$1:$I$89,3,0)*0.475*44/12</f>
        <v>1.5681770777156913E-23</v>
      </c>
      <c r="BS176" s="22">
        <f t="shared" si="169"/>
        <v>16.632913914551445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267</v>
      </c>
      <c r="BZ176" s="13">
        <f>BY176*VLOOKUP('Données projet'!$B$12,Paramètres!$A$1:$I$89,3,0)*VLOOKUP('Données projet'!$B$12,Paramètres!$A$1:$I$89,5,0)</f>
        <v>241.58159999999998</v>
      </c>
      <c r="CA176" s="13">
        <f t="shared" si="170"/>
        <v>58.779689232021951</v>
      </c>
      <c r="CB176" s="20">
        <f t="shared" si="171"/>
        <v>523.12924541243819</v>
      </c>
      <c r="CC176" s="59">
        <f t="shared" si="119"/>
        <v>812.02255906518667</v>
      </c>
      <c r="CD176" s="59">
        <f ca="1">AVERAGE(OFFSET($CC$3,0,0,'Données projet'!$E$12+1,1))-AVERAGE(OFFSET($H$3,0,0,'Données projet'!$E$12+1,1))</f>
        <v>398.11190027805549</v>
      </c>
      <c r="CE176" s="59">
        <f t="shared" si="148"/>
        <v>250.47702091764884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23.965928574709803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23.965928574709803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8.977999999999998</v>
      </c>
      <c r="CT176" s="12">
        <f>IF('Données projet'!$A$140&gt;35,CT175+CS176-DB175,IF(A176&lt;'Données projet'!$A$140,$CQ$205^A176,IF(A176='Données projet'!$A$140,'Données projet'!$B$140,CT175+CS176-DB175)))</f>
        <v>601.54199999999935</v>
      </c>
      <c r="CU176" s="17">
        <f>CT176*VLOOKUP('Données projet'!$B$13,Paramètres!$A$1:$I$89,3,0)*VLOOKUP('Données projet'!$B$13,Paramètres!$A$1:$I$89,5,0)</f>
        <v>572.42736719999937</v>
      </c>
      <c r="CV176" s="13">
        <f t="shared" si="173"/>
        <v>125.97193499480747</v>
      </c>
      <c r="CW176" s="20">
        <f t="shared" si="174"/>
        <v>1216.3787846559553</v>
      </c>
      <c r="CX176" s="59">
        <f t="shared" si="122"/>
        <v>1505.2720983087038</v>
      </c>
      <c r="CY176" s="59">
        <f ca="1">AVERAGE(OFFSET($CX$3,0,0,'Données projet'!$E$13+1,1))-AVERAGE(OFFSET($H$3,0,0,'Données projet'!$E$13+1,1))</f>
        <v>697.21496579281836</v>
      </c>
      <c r="CZ176" s="59">
        <f t="shared" si="150"/>
        <v>215.64914236153456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110.55456383008199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110.55456383008199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319</v>
      </c>
      <c r="DP176" s="17">
        <f>DO176*VLOOKUP('Données projet'!$B$14,Paramètres!$A$1:$I$89,3,0)*VLOOKUP('Données projet'!$B$14,Paramètres!$A$1:$I$89,5,0)</f>
        <v>278.67840000000001</v>
      </c>
      <c r="DQ176" s="13">
        <f t="shared" si="176"/>
        <v>66.687639951856809</v>
      </c>
      <c r="DR176" s="20">
        <f t="shared" si="177"/>
        <v>601.51251958281728</v>
      </c>
      <c r="DS176" s="59">
        <f t="shared" si="125"/>
        <v>890.40583323556575</v>
      </c>
      <c r="DT176" s="59">
        <f ca="1">AVERAGE(OFFSET($DS$3,0,0,'Données projet'!$E$14+1,1))-AVERAGE(OFFSET($H$3,0,0,'Données projet'!$E$14+1,1))</f>
        <v>408.24135864450221</v>
      </c>
      <c r="DU176" s="59">
        <f t="shared" si="152"/>
        <v>394.10236303013903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9.2552981408409067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9.2552981408409067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853.00000000000011</v>
      </c>
      <c r="O177" s="13">
        <f>N177*VLOOKUP('Données projet'!$B$9,Paramètres!$A$1:$I$89,3,0)*VLOOKUP('Données projet'!$B$9,Paramètres!$A$1:$I$89,5,0)</f>
        <v>399.20400000000006</v>
      </c>
      <c r="P177" s="13">
        <f t="shared" si="141"/>
        <v>91.615269732888521</v>
      </c>
      <c r="Q177" s="20">
        <f t="shared" si="162"/>
        <v>854.8435614514475</v>
      </c>
      <c r="R177" s="59">
        <f t="shared" si="109"/>
        <v>1143.8138995192571</v>
      </c>
      <c r="S177" s="59">
        <f ca="1">AVERAGE(OFFSET($R$3,0,0,'Données projet'!$E$9+1,1))-AVERAGE(OFFSET($H$3,0,0,'Données projet'!$E$9+1,1))</f>
        <v>512.58510468904342</v>
      </c>
      <c r="T177" s="59">
        <f t="shared" si="142"/>
        <v>443.6106696463529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21.54067276468432</v>
      </c>
      <c r="AA177" s="21">
        <f>EXP(-LN(2)/25)*AA176+(1-EXP(-LN(2)/25))/(LN(2)/25)*Calculateur!V177*Calculateur!X177*VLOOKUP('Données projet'!$B$9,Paramètres!$A$1:$I$89,3,0)*0.475*44/12</f>
        <v>0.9039636003653525</v>
      </c>
      <c r="AB177" s="21">
        <f>EXP(-LN(2)/2)*AB176+(1-EXP(-LN(2)/2))/(LN(2)/2)*V177*Y177*VLOOKUP('Données projet'!$B$9,Paramètres!$A$1:$I$89,3,0)*0.475*44/12</f>
        <v>1.7181766242797993E-22</v>
      </c>
      <c r="AC177" s="22">
        <f t="shared" si="163"/>
        <v>22.444636365049671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311.298</v>
      </c>
      <c r="AK177" s="13">
        <f t="shared" si="164"/>
        <v>73.539838278528748</v>
      </c>
      <c r="AL177" s="20">
        <f t="shared" si="165"/>
        <v>670.25923500177089</v>
      </c>
      <c r="AM177" s="59">
        <f t="shared" si="113"/>
        <v>959.22957306958062</v>
      </c>
      <c r="AN177" s="59">
        <f ca="1">AVERAGE(OFFSET($AM$3,0,0,'Données projet'!$E$10+1,1))-AVERAGE(OFFSET($H$3,0,0,'Données projet'!$E$10+1,1))</f>
        <v>520.95202773768222</v>
      </c>
      <c r="AO177" s="59">
        <f t="shared" si="144"/>
        <v>325.72635759450861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34.870421702341311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34.870421702341311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689</v>
      </c>
      <c r="BE177" s="13">
        <f>BD177*VLOOKUP('Données projet'!$B$11,Paramètres!$A$1:$I$89,3,0)*VLOOKUP('Données projet'!$B$11,Paramètres!$A$1:$I$89,5,0)</f>
        <v>412.02199999999999</v>
      </c>
      <c r="BF177" s="13">
        <f t="shared" si="167"/>
        <v>94.209724877926391</v>
      </c>
      <c r="BG177" s="20">
        <f t="shared" si="168"/>
        <v>881.686920829055</v>
      </c>
      <c r="BH177" s="59">
        <f t="shared" si="116"/>
        <v>1170.6572588968647</v>
      </c>
      <c r="BI177" s="59">
        <f ca="1">AVERAGE(OFFSET($BH$3,0,0,'Données projet'!$E$11+1,1))-AVERAGE(OFFSET($H$3,0,0,'Données projet'!$E$11+1,1))</f>
        <v>528.71639224940395</v>
      </c>
      <c r="BJ177" s="59">
        <f t="shared" si="146"/>
        <v>460.93390058676493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15.211612386584836</v>
      </c>
      <c r="BQ177" s="21">
        <f>EXP(-LN(2)/25)*BQ176+(1-EXP(-LN(2)/25))/(LN(2)/25)*Calculateur!BL177*Calculateur!BN177*VLOOKUP('Données projet'!$B$11,Paramètres!$A$1:$I$89,3,0)*0.475*44/12</f>
        <v>1.0864991495899281</v>
      </c>
      <c r="BR177" s="21">
        <f>EXP(-LN(2)/2)*BR176+(1-EXP(-LN(2)/2))/(LN(2)/2)*BL177*BO177*VLOOKUP('Données projet'!$B$11,Paramètres!$A$1:$I$89,3,0)*0.475*44/12</f>
        <v>1.1088686457540689E-23</v>
      </c>
      <c r="BS177" s="22">
        <f t="shared" si="169"/>
        <v>16.298111536174765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267</v>
      </c>
      <c r="BZ177" s="13">
        <f>BY177*VLOOKUP('Données projet'!$B$12,Paramètres!$A$1:$I$89,3,0)*VLOOKUP('Données projet'!$B$12,Paramètres!$A$1:$I$89,5,0)</f>
        <v>241.58159999999998</v>
      </c>
      <c r="CA177" s="13">
        <f t="shared" si="170"/>
        <v>58.779689232021951</v>
      </c>
      <c r="CB177" s="20">
        <f t="shared" si="171"/>
        <v>523.12924541243819</v>
      </c>
      <c r="CC177" s="59">
        <f t="shared" si="119"/>
        <v>812.09958348024793</v>
      </c>
      <c r="CD177" s="59">
        <f ca="1">AVERAGE(OFFSET($CC$3,0,0,'Données projet'!$E$12+1,1))-AVERAGE(OFFSET($H$3,0,0,'Données projet'!$E$12+1,1))</f>
        <v>398.11190027805549</v>
      </c>
      <c r="CE177" s="59">
        <f t="shared" si="148"/>
        <v>250.47702091764884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23.49597133313279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23.49597133313279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8.977999999999998</v>
      </c>
      <c r="CS177" s="12">
        <f t="array" ref="CS177">INDEX(CR:CR,MIN(IF(ISNUMBER(CR177:CR373),ROW(CR177:CR373),"")))</f>
        <v>8.977999999999998</v>
      </c>
      <c r="CT177" s="12">
        <f>IF('Données projet'!$A$140&gt;35,CT176+CS177-DB176,IF(A177&lt;'Données projet'!$A$140,$CQ$205^A177,IF(A177='Données projet'!$A$140,'Données projet'!$B$140,CT176+CS177-DB176)))</f>
        <v>610.5199999999993</v>
      </c>
      <c r="CU177" s="17">
        <f>CT177*VLOOKUP('Données projet'!$B$13,Paramètres!$A$1:$I$89,3,0)*VLOOKUP('Données projet'!$B$13,Paramètres!$A$1:$I$89,5,0)</f>
        <v>580.9708319999994</v>
      </c>
      <c r="CV177" s="13">
        <f t="shared" si="173"/>
        <v>127.63178111316594</v>
      </c>
      <c r="CW177" s="20">
        <f t="shared" si="174"/>
        <v>1234.1495511720962</v>
      </c>
      <c r="CX177" s="59">
        <f t="shared" si="122"/>
        <v>1523.1198892399059</v>
      </c>
      <c r="CY177" s="59">
        <f ca="1">AVERAGE(OFFSET($CX$3,0,0,'Données projet'!$E$13+1,1))-AVERAGE(OFFSET($H$3,0,0,'Données projet'!$E$13+1,1))</f>
        <v>697.21496579281836</v>
      </c>
      <c r="CZ177" s="59">
        <f t="shared" si="150"/>
        <v>215.64914236153456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0.43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205.53683780282853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205.53683780282853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319</v>
      </c>
      <c r="DP177" s="17">
        <f>DO177*VLOOKUP('Données projet'!$B$14,Paramètres!$A$1:$I$89,3,0)*VLOOKUP('Données projet'!$B$14,Paramètres!$A$1:$I$89,5,0)</f>
        <v>278.67840000000001</v>
      </c>
      <c r="DQ177" s="13">
        <f t="shared" si="176"/>
        <v>66.687639951856809</v>
      </c>
      <c r="DR177" s="20">
        <f t="shared" si="177"/>
        <v>601.51251958281728</v>
      </c>
      <c r="DS177" s="59">
        <f t="shared" si="125"/>
        <v>890.48285765062701</v>
      </c>
      <c r="DT177" s="59">
        <f ca="1">AVERAGE(OFFSET($DS$3,0,0,'Données projet'!$E$14+1,1))-AVERAGE(OFFSET($H$3,0,0,'Données projet'!$E$14+1,1))</f>
        <v>408.24135864450221</v>
      </c>
      <c r="DU177" s="59">
        <f t="shared" si="152"/>
        <v>394.10236303013903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9.0738073894734672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9.0738073894734672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853.00000000000011</v>
      </c>
      <c r="O178" s="13">
        <f>N178*VLOOKUP('Données projet'!$B$9,Paramètres!$A$1:$I$89,3,0)*VLOOKUP('Données projet'!$B$9,Paramètres!$A$1:$I$89,5,0)</f>
        <v>399.20400000000006</v>
      </c>
      <c r="P178" s="13">
        <f t="shared" si="141"/>
        <v>91.615269732888521</v>
      </c>
      <c r="Q178" s="20">
        <f t="shared" si="162"/>
        <v>854.8435614514475</v>
      </c>
      <c r="R178" s="59">
        <f t="shared" si="109"/>
        <v>1143.8895877329178</v>
      </c>
      <c r="S178" s="59">
        <f ca="1">AVERAGE(OFFSET($R$3,0,0,'Données projet'!$E$9+1,1))-AVERAGE(OFFSET($H$3,0,0,'Données projet'!$E$9+1,1))</f>
        <v>512.58510468904342</v>
      </c>
      <c r="T178" s="59">
        <f t="shared" si="142"/>
        <v>443.6106696463529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21.118273310281925</v>
      </c>
      <c r="AA178" s="21">
        <f>EXP(-LN(2)/25)*AA177+(1-EXP(-LN(2)/25))/(LN(2)/25)*Calculateur!V178*Calculateur!X178*VLOOKUP('Données projet'!$B$9,Paramètres!$A$1:$I$89,3,0)*0.475*44/12</f>
        <v>0.87924466817598224</v>
      </c>
      <c r="AB178" s="21">
        <f>EXP(-LN(2)/2)*AB177+(1-EXP(-LN(2)/2))/(LN(2)/2)*V178*Y178*VLOOKUP('Données projet'!$B$9,Paramètres!$A$1:$I$89,3,0)*0.475*44/12</f>
        <v>1.2149343423044569E-22</v>
      </c>
      <c r="AC178" s="22">
        <f t="shared" si="163"/>
        <v>21.997517978457907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311.298</v>
      </c>
      <c r="AK178" s="13">
        <f t="shared" si="164"/>
        <v>73.539838278528748</v>
      </c>
      <c r="AL178" s="20">
        <f t="shared" si="165"/>
        <v>670.25923500177089</v>
      </c>
      <c r="AM178" s="59">
        <f t="shared" si="113"/>
        <v>959.30526128324129</v>
      </c>
      <c r="AN178" s="59">
        <f ca="1">AVERAGE(OFFSET($AM$3,0,0,'Données projet'!$E$10+1,1))-AVERAGE(OFFSET($H$3,0,0,'Données projet'!$E$10+1,1))</f>
        <v>520.95202773768222</v>
      </c>
      <c r="AO178" s="59">
        <f t="shared" si="144"/>
        <v>325.72635759450861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34.186634001615509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34.186634001615509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689</v>
      </c>
      <c r="BE178" s="13">
        <f>BD178*VLOOKUP('Données projet'!$B$11,Paramètres!$A$1:$I$89,3,0)*VLOOKUP('Données projet'!$B$11,Paramètres!$A$1:$I$89,5,0)</f>
        <v>412.02199999999999</v>
      </c>
      <c r="BF178" s="13">
        <f t="shared" si="167"/>
        <v>94.209724877926391</v>
      </c>
      <c r="BG178" s="20">
        <f t="shared" si="168"/>
        <v>881.686920829055</v>
      </c>
      <c r="BH178" s="59">
        <f t="shared" si="116"/>
        <v>1170.7329471105254</v>
      </c>
      <c r="BI178" s="59">
        <f ca="1">AVERAGE(OFFSET($BH$3,0,0,'Données projet'!$E$11+1,1))-AVERAGE(OFFSET($H$3,0,0,'Données projet'!$E$11+1,1))</f>
        <v>528.71639224940395</v>
      </c>
      <c r="BJ178" s="59">
        <f t="shared" si="146"/>
        <v>460.93390058676493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14.913321945851321</v>
      </c>
      <c r="BQ178" s="21">
        <f>EXP(-LN(2)/25)*BQ177+(1-EXP(-LN(2)/25))/(LN(2)/25)*Calculateur!BL178*Calculateur!BN178*VLOOKUP('Données projet'!$B$11,Paramètres!$A$1:$I$89,3,0)*0.475*44/12</f>
        <v>1.0567887732078844</v>
      </c>
      <c r="BR178" s="21">
        <f>EXP(-LN(2)/2)*BR177+(1-EXP(-LN(2)/2))/(LN(2)/2)*BL178*BO178*VLOOKUP('Données projet'!$B$11,Paramètres!$A$1:$I$89,3,0)*0.475*44/12</f>
        <v>7.8408853885784565E-24</v>
      </c>
      <c r="BS178" s="22">
        <f t="shared" si="169"/>
        <v>15.970110719059205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267</v>
      </c>
      <c r="BZ178" s="13">
        <f>BY178*VLOOKUP('Données projet'!$B$12,Paramètres!$A$1:$I$89,3,0)*VLOOKUP('Données projet'!$B$12,Paramètres!$A$1:$I$89,5,0)</f>
        <v>241.58159999999998</v>
      </c>
      <c r="CA178" s="13">
        <f t="shared" si="170"/>
        <v>58.779689232021951</v>
      </c>
      <c r="CB178" s="20">
        <f t="shared" si="171"/>
        <v>523.12924541243819</v>
      </c>
      <c r="CC178" s="59">
        <f t="shared" si="119"/>
        <v>812.1752716939086</v>
      </c>
      <c r="CD178" s="59">
        <f ca="1">AVERAGE(OFFSET($CC$3,0,0,'Données projet'!$E$12+1,1))-AVERAGE(OFFSET($H$3,0,0,'Données projet'!$E$12+1,1))</f>
        <v>398.11190027805549</v>
      </c>
      <c r="CE178" s="59">
        <f t="shared" si="148"/>
        <v>250.47702091764884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23.035229666417489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23.035229666417489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-2.2700000000000009</v>
      </c>
      <c r="CT178" s="12">
        <f>IF('Données projet'!$A$140&gt;35,CT177+CS178-DB177,IF(A178&lt;'Données projet'!$A$140,$CQ$205^A178,IF(A178='Données projet'!$A$140,'Données projet'!$B$140,CT177+CS178-DB177)))</f>
        <v>393.47999999999934</v>
      </c>
      <c r="CU178" s="17">
        <f>CT178*VLOOKUP('Données projet'!$B$13,Paramètres!$A$1:$I$89,3,0)*VLOOKUP('Données projet'!$B$13,Paramètres!$A$1:$I$89,5,0)</f>
        <v>374.43556799999936</v>
      </c>
      <c r="CV178" s="13">
        <f t="shared" si="173"/>
        <v>86.574116251768999</v>
      </c>
      <c r="CW178" s="20">
        <f t="shared" si="174"/>
        <v>802.92520007182975</v>
      </c>
      <c r="CX178" s="59">
        <f t="shared" si="122"/>
        <v>1091.9712263533002</v>
      </c>
      <c r="CY178" s="59">
        <f ca="1">AVERAGE(OFFSET($CX$3,0,0,'Données projet'!$E$13+1,1))-AVERAGE(OFFSET($H$3,0,0,'Données projet'!$E$13+1,1))</f>
        <v>697.21496579281836</v>
      </c>
      <c r="CZ178" s="59">
        <f t="shared" si="150"/>
        <v>215.64914236153456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201.50638577860735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201.50638577860735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319</v>
      </c>
      <c r="DP178" s="17">
        <f>DO178*VLOOKUP('Données projet'!$B$14,Paramètres!$A$1:$I$89,3,0)*VLOOKUP('Données projet'!$B$14,Paramètres!$A$1:$I$89,5,0)</f>
        <v>278.67840000000001</v>
      </c>
      <c r="DQ178" s="13">
        <f t="shared" si="176"/>
        <v>66.687639951856809</v>
      </c>
      <c r="DR178" s="20">
        <f t="shared" si="177"/>
        <v>601.51251958281728</v>
      </c>
      <c r="DS178" s="59">
        <f t="shared" si="125"/>
        <v>890.55854586428768</v>
      </c>
      <c r="DT178" s="59">
        <f ca="1">AVERAGE(OFFSET($DS$3,0,0,'Données projet'!$E$14+1,1))-AVERAGE(OFFSET($H$3,0,0,'Données projet'!$E$14+1,1))</f>
        <v>408.24135864450221</v>
      </c>
      <c r="DU178" s="59">
        <f t="shared" si="152"/>
        <v>394.10236303013903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8.8958755610419153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8.8958755610419153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853.00000000000011</v>
      </c>
      <c r="O179" s="13">
        <f>N179*VLOOKUP('Données projet'!$B$9,Paramètres!$A$1:$I$89,3,0)*VLOOKUP('Données projet'!$B$9,Paramètres!$A$1:$I$89,5,0)</f>
        <v>399.20400000000006</v>
      </c>
      <c r="P179" s="13">
        <f t="shared" si="141"/>
        <v>91.615269732888521</v>
      </c>
      <c r="Q179" s="20">
        <f t="shared" si="162"/>
        <v>854.8435614514475</v>
      </c>
      <c r="R179" s="59">
        <f t="shared" si="109"/>
        <v>1143.9639629252852</v>
      </c>
      <c r="S179" s="59">
        <f ca="1">AVERAGE(OFFSET($R$3,0,0,'Données projet'!$E$9+1,1))-AVERAGE(OFFSET($H$3,0,0,'Données projet'!$E$9+1,1))</f>
        <v>512.58510468904342</v>
      </c>
      <c r="T179" s="59">
        <f t="shared" si="142"/>
        <v>443.6106696463529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20.704156851542134</v>
      </c>
      <c r="AA179" s="21">
        <f>EXP(-LN(2)/25)*AA178+(1-EXP(-LN(2)/25))/(LN(2)/25)*Calculateur!V179*Calculateur!X179*VLOOKUP('Données projet'!$B$9,Paramètres!$A$1:$I$89,3,0)*0.475*44/12</f>
        <v>0.85520167648724243</v>
      </c>
      <c r="AB179" s="21">
        <f>EXP(-LN(2)/2)*AB178+(1-EXP(-LN(2)/2))/(LN(2)/2)*V179*Y179*VLOOKUP('Données projet'!$B$9,Paramètres!$A$1:$I$89,3,0)*0.475*44/12</f>
        <v>8.5908831213989963E-23</v>
      </c>
      <c r="AC179" s="22">
        <f t="shared" si="163"/>
        <v>21.559358528029378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311.298</v>
      </c>
      <c r="AK179" s="13">
        <f t="shared" si="164"/>
        <v>73.539838278528748</v>
      </c>
      <c r="AL179" s="20">
        <f t="shared" si="165"/>
        <v>670.25923500177089</v>
      </c>
      <c r="AM179" s="59">
        <f t="shared" si="113"/>
        <v>959.37963647560855</v>
      </c>
      <c r="AN179" s="59">
        <f ca="1">AVERAGE(OFFSET($AM$3,0,0,'Données projet'!$E$10+1,1))-AVERAGE(OFFSET($H$3,0,0,'Données projet'!$E$10+1,1))</f>
        <v>520.95202773768222</v>
      </c>
      <c r="AO179" s="59">
        <f t="shared" si="144"/>
        <v>325.72635759450861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33.516254960631628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33.516254960631628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689</v>
      </c>
      <c r="BE179" s="13">
        <f>BD179*VLOOKUP('Données projet'!$B$11,Paramètres!$A$1:$I$89,3,0)*VLOOKUP('Données projet'!$B$11,Paramètres!$A$1:$I$89,5,0)</f>
        <v>412.02199999999999</v>
      </c>
      <c r="BF179" s="13">
        <f t="shared" si="167"/>
        <v>94.209724877926391</v>
      </c>
      <c r="BG179" s="20">
        <f t="shared" si="168"/>
        <v>881.686920829055</v>
      </c>
      <c r="BH179" s="59">
        <f t="shared" si="116"/>
        <v>1170.8073223028925</v>
      </c>
      <c r="BI179" s="59">
        <f ca="1">AVERAGE(OFFSET($BH$3,0,0,'Données projet'!$E$11+1,1))-AVERAGE(OFFSET($H$3,0,0,'Données projet'!$E$11+1,1))</f>
        <v>528.71639224940395</v>
      </c>
      <c r="BJ179" s="59">
        <f t="shared" si="146"/>
        <v>460.93390058676493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14.620880798721386</v>
      </c>
      <c r="BQ179" s="21">
        <f>EXP(-LN(2)/25)*BQ178+(1-EXP(-LN(2)/25))/(LN(2)/25)*Calculateur!BL179*Calculateur!BN179*VLOOKUP('Données projet'!$B$11,Paramètres!$A$1:$I$89,3,0)*0.475*44/12</f>
        <v>1.0278908286304085</v>
      </c>
      <c r="BR179" s="21">
        <f>EXP(-LN(2)/2)*BR178+(1-EXP(-LN(2)/2))/(LN(2)/2)*BL179*BO179*VLOOKUP('Données projet'!$B$11,Paramètres!$A$1:$I$89,3,0)*0.475*44/12</f>
        <v>5.5443432287703444E-24</v>
      </c>
      <c r="BS179" s="22">
        <f t="shared" si="169"/>
        <v>15.648771627351794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267</v>
      </c>
      <c r="BZ179" s="13">
        <f>BY179*VLOOKUP('Données projet'!$B$12,Paramètres!$A$1:$I$89,3,0)*VLOOKUP('Données projet'!$B$12,Paramètres!$A$1:$I$89,5,0)</f>
        <v>241.58159999999998</v>
      </c>
      <c r="CA179" s="13">
        <f t="shared" si="170"/>
        <v>58.779689232021951</v>
      </c>
      <c r="CB179" s="20">
        <f t="shared" si="171"/>
        <v>523.12924541243819</v>
      </c>
      <c r="CC179" s="59">
        <f t="shared" si="119"/>
        <v>812.24964688627574</v>
      </c>
      <c r="CD179" s="59">
        <f ca="1">AVERAGE(OFFSET($CC$3,0,0,'Données projet'!$E$12+1,1))-AVERAGE(OFFSET($H$3,0,0,'Données projet'!$E$12+1,1))</f>
        <v>398.11190027805549</v>
      </c>
      <c r="CE179" s="59">
        <f t="shared" si="148"/>
        <v>250.47702091764884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22.583522862761807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22.583522862761807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-2.2700000000000009</v>
      </c>
      <c r="CT179" s="12">
        <f>IF('Données projet'!$A$140&gt;35,CT178+CS179-DB178,IF(A179&lt;'Données projet'!$A$140,$CQ$205^A179,IF(A179='Données projet'!$A$140,'Données projet'!$B$140,CT178+CS179-DB178)))</f>
        <v>391.20999999999935</v>
      </c>
      <c r="CU179" s="17">
        <f>CT179*VLOOKUP('Données projet'!$B$13,Paramètres!$A$1:$I$89,3,0)*VLOOKUP('Données projet'!$B$13,Paramètres!$A$1:$I$89,5,0)</f>
        <v>372.27543599999939</v>
      </c>
      <c r="CV179" s="13">
        <f t="shared" si="173"/>
        <v>86.132654506536269</v>
      </c>
      <c r="CW179" s="20">
        <f t="shared" si="174"/>
        <v>798.39409096554948</v>
      </c>
      <c r="CX179" s="59">
        <f t="shared" si="122"/>
        <v>1087.5144924393871</v>
      </c>
      <c r="CY179" s="59">
        <f ca="1">AVERAGE(OFFSET($CX$3,0,0,'Données projet'!$E$13+1,1))-AVERAGE(OFFSET($H$3,0,0,'Données projet'!$E$13+1,1))</f>
        <v>697.21496579281836</v>
      </c>
      <c r="CZ179" s="59">
        <f t="shared" si="150"/>
        <v>215.64914236153456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197.55496846024815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197.55496846024815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319</v>
      </c>
      <c r="DP179" s="17">
        <f>DO179*VLOOKUP('Données projet'!$B$14,Paramètres!$A$1:$I$89,3,0)*VLOOKUP('Données projet'!$B$14,Paramètres!$A$1:$I$89,5,0)</f>
        <v>278.67840000000001</v>
      </c>
      <c r="DQ179" s="13">
        <f t="shared" si="176"/>
        <v>66.687639951856809</v>
      </c>
      <c r="DR179" s="20">
        <f t="shared" si="177"/>
        <v>601.51251958281728</v>
      </c>
      <c r="DS179" s="59">
        <f t="shared" si="125"/>
        <v>890.63292105665482</v>
      </c>
      <c r="DT179" s="59">
        <f ca="1">AVERAGE(OFFSET($DS$3,0,0,'Données projet'!$E$14+1,1))-AVERAGE(OFFSET($H$3,0,0,'Données projet'!$E$14+1,1))</f>
        <v>408.24135864450221</v>
      </c>
      <c r="DU179" s="59">
        <f t="shared" si="152"/>
        <v>394.10236303013903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8.7214328672382084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8.7214328672382084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853.00000000000011</v>
      </c>
      <c r="O180" s="13">
        <f>N180*VLOOKUP('Données projet'!$B$9,Paramètres!$A$1:$I$89,3,0)*VLOOKUP('Données projet'!$B$9,Paramètres!$A$1:$I$89,5,0)</f>
        <v>399.20400000000006</v>
      </c>
      <c r="P180" s="13">
        <f t="shared" si="141"/>
        <v>91.615269732888521</v>
      </c>
      <c r="Q180" s="20">
        <f t="shared" si="162"/>
        <v>854.8435614514475</v>
      </c>
      <c r="R180" s="59">
        <f t="shared" si="109"/>
        <v>1144.0370478743428</v>
      </c>
      <c r="S180" s="59">
        <f ca="1">AVERAGE(OFFSET($R$3,0,0,'Données projet'!$E$9+1,1))-AVERAGE(OFFSET($H$3,0,0,'Données projet'!$E$9+1,1))</f>
        <v>512.58510468904342</v>
      </c>
      <c r="T180" s="59">
        <f t="shared" si="142"/>
        <v>443.6106696463529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20.298160963972133</v>
      </c>
      <c r="AA180" s="21">
        <f>EXP(-LN(2)/25)*AA179+(1-EXP(-LN(2)/25))/(LN(2)/25)*Calculateur!V180*Calculateur!X180*VLOOKUP('Données projet'!$B$9,Paramètres!$A$1:$I$89,3,0)*0.475*44/12</f>
        <v>0.83181614167059725</v>
      </c>
      <c r="AB180" s="21">
        <f>EXP(-LN(2)/2)*AB179+(1-EXP(-LN(2)/2))/(LN(2)/2)*V180*Y180*VLOOKUP('Données projet'!$B$9,Paramètres!$A$1:$I$89,3,0)*0.475*44/12</f>
        <v>6.0746717115222843E-23</v>
      </c>
      <c r="AC180" s="22">
        <f t="shared" si="163"/>
        <v>21.12997710564273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311.298</v>
      </c>
      <c r="AK180" s="13">
        <f t="shared" si="164"/>
        <v>73.539838278528748</v>
      </c>
      <c r="AL180" s="20">
        <f t="shared" si="165"/>
        <v>670.25923500177089</v>
      </c>
      <c r="AM180" s="59">
        <f t="shared" si="113"/>
        <v>959.45272142466615</v>
      </c>
      <c r="AN180" s="59">
        <f ca="1">AVERAGE(OFFSET($AM$3,0,0,'Données projet'!$E$10+1,1))-AVERAGE(OFFSET($H$3,0,0,'Données projet'!$E$10+1,1))</f>
        <v>520.95202773768222</v>
      </c>
      <c r="AO180" s="59">
        <f t="shared" si="144"/>
        <v>325.72635759450861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32.859021643750602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32.859021643750602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689</v>
      </c>
      <c r="BE180" s="13">
        <f>BD180*VLOOKUP('Données projet'!$B$11,Paramètres!$A$1:$I$89,3,0)*VLOOKUP('Données projet'!$B$11,Paramètres!$A$1:$I$89,5,0)</f>
        <v>412.02199999999999</v>
      </c>
      <c r="BF180" s="13">
        <f t="shared" si="167"/>
        <v>94.209724877926391</v>
      </c>
      <c r="BG180" s="20">
        <f t="shared" si="168"/>
        <v>881.686920829055</v>
      </c>
      <c r="BH180" s="59">
        <f t="shared" si="116"/>
        <v>1170.8804072519501</v>
      </c>
      <c r="BI180" s="59">
        <f ca="1">AVERAGE(OFFSET($BH$3,0,0,'Données projet'!$E$11+1,1))-AVERAGE(OFFSET($H$3,0,0,'Données projet'!$E$11+1,1))</f>
        <v>528.71639224940395</v>
      </c>
      <c r="BJ180" s="59">
        <f t="shared" si="146"/>
        <v>460.93390058676493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14.33417424411518</v>
      </c>
      <c r="BQ180" s="21">
        <f>EXP(-LN(2)/25)*BQ179+(1-EXP(-LN(2)/25))/(LN(2)/25)*Calculateur!BL180*Calculateur!BN180*VLOOKUP('Données projet'!$B$11,Paramètres!$A$1:$I$89,3,0)*0.475*44/12</f>
        <v>0.99978309986708058</v>
      </c>
      <c r="BR180" s="21">
        <f>EXP(-LN(2)/2)*BR179+(1-EXP(-LN(2)/2))/(LN(2)/2)*BL180*BO180*VLOOKUP('Données projet'!$B$11,Paramètres!$A$1:$I$89,3,0)*0.475*44/12</f>
        <v>3.9204426942892283E-24</v>
      </c>
      <c r="BS180" s="22">
        <f t="shared" si="169"/>
        <v>15.333957343982261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267</v>
      </c>
      <c r="BZ180" s="13">
        <f>BY180*VLOOKUP('Données projet'!$B$12,Paramètres!$A$1:$I$89,3,0)*VLOOKUP('Données projet'!$B$12,Paramètres!$A$1:$I$89,5,0)</f>
        <v>241.58159999999998</v>
      </c>
      <c r="CA180" s="13">
        <f t="shared" si="170"/>
        <v>58.779689232021951</v>
      </c>
      <c r="CB180" s="20">
        <f t="shared" si="171"/>
        <v>523.12924541243819</v>
      </c>
      <c r="CC180" s="59">
        <f t="shared" si="119"/>
        <v>812.32273183533346</v>
      </c>
      <c r="CD180" s="59">
        <f ca="1">AVERAGE(OFFSET($CC$3,0,0,'Données projet'!$E$12+1,1))-AVERAGE(OFFSET($H$3,0,0,'Données projet'!$E$12+1,1))</f>
        <v>398.11190027805549</v>
      </c>
      <c r="CE180" s="59">
        <f t="shared" si="148"/>
        <v>250.47702091764884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22.140673754011868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22.140673754011868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-2.2700000000000009</v>
      </c>
      <c r="CS180" s="12">
        <f t="array" ref="CS180">INDEX(CR:CR,MIN(IF(ISNUMBER(CR180:CR376),ROW(CR180:CR376),"")))</f>
        <v>-2.2700000000000009</v>
      </c>
      <c r="CT180" s="12">
        <f>IF('Données projet'!$A$140&gt;35,CT179+CS180-DB179,IF(A180&lt;'Données projet'!$A$140,$CQ$205^A180,IF(A180='Données projet'!$A$140,'Données projet'!$B$140,CT179+CS180-DB179)))</f>
        <v>388.93999999999937</v>
      </c>
      <c r="CU180" s="17">
        <f>CT180*VLOOKUP('Données projet'!$B$13,Paramètres!$A$1:$I$89,3,0)*VLOOKUP('Données projet'!$B$13,Paramètres!$A$1:$I$89,5,0)</f>
        <v>370.11530399999941</v>
      </c>
      <c r="CV180" s="13">
        <f t="shared" si="173"/>
        <v>85.69089449017487</v>
      </c>
      <c r="CW180" s="20">
        <f t="shared" si="174"/>
        <v>793.86246237038677</v>
      </c>
      <c r="CX180" s="59">
        <f t="shared" si="122"/>
        <v>1083.0559487932819</v>
      </c>
      <c r="CY180" s="59">
        <f ca="1">AVERAGE(OFFSET($CX$3,0,0,'Données projet'!$E$13+1,1))-AVERAGE(OFFSET($H$3,0,0,'Données projet'!$E$13+1,1))</f>
        <v>697.21496579281836</v>
      </c>
      <c r="CZ180" s="59">
        <f t="shared" si="150"/>
        <v>215.64914236153456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0.43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245.78668118690868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245.78668118690868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319</v>
      </c>
      <c r="DP180" s="17">
        <f>DO180*VLOOKUP('Données projet'!$B$14,Paramètres!$A$1:$I$89,3,0)*VLOOKUP('Données projet'!$B$14,Paramètres!$A$1:$I$89,5,0)</f>
        <v>278.67840000000001</v>
      </c>
      <c r="DQ180" s="13">
        <f t="shared" si="176"/>
        <v>66.687639951856809</v>
      </c>
      <c r="DR180" s="20">
        <f t="shared" si="177"/>
        <v>601.51251958281728</v>
      </c>
      <c r="DS180" s="59">
        <f t="shared" si="125"/>
        <v>890.70600600571254</v>
      </c>
      <c r="DT180" s="59">
        <f ca="1">AVERAGE(OFFSET($DS$3,0,0,'Données projet'!$E$14+1,1))-AVERAGE(OFFSET($H$3,0,0,'Données projet'!$E$14+1,1))</f>
        <v>408.24135864450221</v>
      </c>
      <c r="DU180" s="59">
        <f t="shared" si="152"/>
        <v>394.10236303013903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8.5504108882604548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8.5504108882604548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853.00000000000011</v>
      </c>
      <c r="O181" s="13">
        <f>N181*VLOOKUP('Données projet'!$B$9,Paramètres!$A$1:$I$89,3,0)*VLOOKUP('Données projet'!$B$9,Paramètres!$A$1:$I$89,5,0)</f>
        <v>399.20400000000006</v>
      </c>
      <c r="P181" s="13">
        <f t="shared" si="141"/>
        <v>91.615269732888521</v>
      </c>
      <c r="Q181" s="20">
        <f t="shared" si="162"/>
        <v>854.8435614514475</v>
      </c>
      <c r="R181" s="59">
        <f t="shared" si="109"/>
        <v>1144.1088649629278</v>
      </c>
      <c r="S181" s="59">
        <f ca="1">AVERAGE(OFFSET($R$3,0,0,'Données projet'!$E$9+1,1))-AVERAGE(OFFSET($H$3,0,0,'Données projet'!$E$9+1,1))</f>
        <v>512.58510468904342</v>
      </c>
      <c r="T181" s="59">
        <f t="shared" si="142"/>
        <v>443.6106696463529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19.90012640812434</v>
      </c>
      <c r="AA181" s="21">
        <f>EXP(-LN(2)/25)*AA180+(1-EXP(-LN(2)/25))/(LN(2)/25)*Calculateur!V181*Calculateur!X181*VLOOKUP('Données projet'!$B$9,Paramètres!$A$1:$I$89,3,0)*0.475*44/12</f>
        <v>0.80907008553330506</v>
      </c>
      <c r="AB181" s="21">
        <f>EXP(-LN(2)/2)*AB180+(1-EXP(-LN(2)/2))/(LN(2)/2)*V181*Y181*VLOOKUP('Données projet'!$B$9,Paramètres!$A$1:$I$89,3,0)*0.475*44/12</f>
        <v>4.2954415606994982E-23</v>
      </c>
      <c r="AC181" s="22">
        <f t="shared" si="163"/>
        <v>20.709196493657643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311.298</v>
      </c>
      <c r="AK181" s="13">
        <f t="shared" si="164"/>
        <v>73.539838278528748</v>
      </c>
      <c r="AL181" s="20">
        <f t="shared" si="165"/>
        <v>670.25923500177089</v>
      </c>
      <c r="AM181" s="59">
        <f t="shared" si="113"/>
        <v>959.52453851325106</v>
      </c>
      <c r="AN181" s="59">
        <f ca="1">AVERAGE(OFFSET($AM$3,0,0,'Données projet'!$E$10+1,1))-AVERAGE(OFFSET($H$3,0,0,'Données projet'!$E$10+1,1))</f>
        <v>520.95202773768222</v>
      </c>
      <c r="AO181" s="59">
        <f t="shared" si="144"/>
        <v>325.72635759450861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32.214676271340871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32.214676271340871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689</v>
      </c>
      <c r="BE181" s="13">
        <f>BD181*VLOOKUP('Données projet'!$B$11,Paramètres!$A$1:$I$89,3,0)*VLOOKUP('Données projet'!$B$11,Paramètres!$A$1:$I$89,5,0)</f>
        <v>412.02199999999999</v>
      </c>
      <c r="BF181" s="13">
        <f t="shared" si="167"/>
        <v>94.209724877926391</v>
      </c>
      <c r="BG181" s="20">
        <f t="shared" si="168"/>
        <v>881.686920829055</v>
      </c>
      <c r="BH181" s="59">
        <f t="shared" si="116"/>
        <v>1170.9522243405352</v>
      </c>
      <c r="BI181" s="59">
        <f ca="1">AVERAGE(OFFSET($BH$3,0,0,'Données projet'!$E$11+1,1))-AVERAGE(OFFSET($H$3,0,0,'Données projet'!$E$11+1,1))</f>
        <v>528.71639224940395</v>
      </c>
      <c r="BJ181" s="59">
        <f t="shared" si="146"/>
        <v>460.93390058676493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14.053089830171073</v>
      </c>
      <c r="BQ181" s="21">
        <f>EXP(-LN(2)/25)*BQ180+(1-EXP(-LN(2)/25))/(LN(2)/25)*Calculateur!BL181*Calculateur!BN181*VLOOKUP('Données projet'!$B$11,Paramètres!$A$1:$I$89,3,0)*0.475*44/12</f>
        <v>0.97244397842490704</v>
      </c>
      <c r="BR181" s="21">
        <f>EXP(-LN(2)/2)*BR180+(1-EXP(-LN(2)/2))/(LN(2)/2)*BL181*BO181*VLOOKUP('Données projet'!$B$11,Paramètres!$A$1:$I$89,3,0)*0.475*44/12</f>
        <v>2.7721716143851722E-24</v>
      </c>
      <c r="BS181" s="22">
        <f t="shared" si="169"/>
        <v>15.025533808595981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267</v>
      </c>
      <c r="BZ181" s="13">
        <f>BY181*VLOOKUP('Données projet'!$B$12,Paramètres!$A$1:$I$89,3,0)*VLOOKUP('Données projet'!$B$12,Paramètres!$A$1:$I$89,5,0)</f>
        <v>241.58159999999998</v>
      </c>
      <c r="CA181" s="13">
        <f t="shared" si="170"/>
        <v>58.779689232021951</v>
      </c>
      <c r="CB181" s="20">
        <f t="shared" si="171"/>
        <v>523.12924541243819</v>
      </c>
      <c r="CC181" s="59">
        <f t="shared" si="119"/>
        <v>812.39454892391836</v>
      </c>
      <c r="CD181" s="59">
        <f ca="1">AVERAGE(OFFSET($CC$3,0,0,'Données projet'!$E$12+1,1))-AVERAGE(OFFSET($H$3,0,0,'Données projet'!$E$12+1,1))</f>
        <v>398.11190027805549</v>
      </c>
      <c r="CE181" s="59">
        <f t="shared" si="148"/>
        <v>250.47702091764884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21.70650864617323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21.70650864617323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-0.72999999999999921</v>
      </c>
      <c r="CT181" s="12">
        <f>IF('Données projet'!$A$140&gt;35,CT180+CS181-DB180,IF(A181&lt;'Données projet'!$A$140,$CQ$205^A181,IF(A181='Données projet'!$A$140,'Données projet'!$B$140,CT180+CS181-DB180)))</f>
        <v>273.01999999999936</v>
      </c>
      <c r="CU181" s="17">
        <f>CT181*VLOOKUP('Données projet'!$B$13,Paramètres!$A$1:$I$89,3,0)*VLOOKUP('Données projet'!$B$13,Paramètres!$A$1:$I$89,5,0)</f>
        <v>259.80583199999938</v>
      </c>
      <c r="CV181" s="13">
        <f t="shared" si="173"/>
        <v>62.680987385657332</v>
      </c>
      <c r="CW181" s="20">
        <f t="shared" si="174"/>
        <v>561.66454376335207</v>
      </c>
      <c r="CX181" s="59">
        <f t="shared" si="122"/>
        <v>850.92984727483224</v>
      </c>
      <c r="CY181" s="59">
        <f ca="1">AVERAGE(OFFSET($CX$3,0,0,'Données projet'!$E$13+1,1))-AVERAGE(OFFSET($H$3,0,0,'Données projet'!$E$13+1,1))</f>
        <v>697.21496579281836</v>
      </c>
      <c r="CZ181" s="59">
        <f t="shared" si="150"/>
        <v>215.64914236153456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240.96695428390603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240.96695428390603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319</v>
      </c>
      <c r="DP181" s="17">
        <f>DO181*VLOOKUP('Données projet'!$B$14,Paramètres!$A$1:$I$89,3,0)*VLOOKUP('Données projet'!$B$14,Paramètres!$A$1:$I$89,5,0)</f>
        <v>278.67840000000001</v>
      </c>
      <c r="DQ181" s="13">
        <f t="shared" si="176"/>
        <v>66.687639951856809</v>
      </c>
      <c r="DR181" s="20">
        <f t="shared" si="177"/>
        <v>601.51251958281728</v>
      </c>
      <c r="DS181" s="59">
        <f t="shared" si="125"/>
        <v>890.77782309429745</v>
      </c>
      <c r="DT181" s="59">
        <f ca="1">AVERAGE(OFFSET($DS$3,0,0,'Données projet'!$E$14+1,1))-AVERAGE(OFFSET($H$3,0,0,'Données projet'!$E$14+1,1))</f>
        <v>408.24135864450221</v>
      </c>
      <c r="DU181" s="59">
        <f t="shared" si="152"/>
        <v>394.10236303013903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8.3827425459773472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8.3827425459773472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853.00000000000011</v>
      </c>
      <c r="O182" s="13">
        <f>N182*VLOOKUP('Données projet'!$B$9,Paramètres!$A$1:$I$89,3,0)*VLOOKUP('Données projet'!$B$9,Paramètres!$A$1:$I$89,5,0)</f>
        <v>399.20400000000006</v>
      </c>
      <c r="P182" s="13">
        <f t="shared" si="141"/>
        <v>91.615269732888521</v>
      </c>
      <c r="Q182" s="20">
        <f t="shared" si="162"/>
        <v>854.8435614514475</v>
      </c>
      <c r="R182" s="59">
        <f t="shared" si="109"/>
        <v>1144.1794361855846</v>
      </c>
      <c r="S182" s="59">
        <f ca="1">AVERAGE(OFFSET($R$3,0,0,'Données projet'!$E$9+1,1))-AVERAGE(OFFSET($H$3,0,0,'Données projet'!$E$9+1,1))</f>
        <v>512.58510468904342</v>
      </c>
      <c r="T182" s="59">
        <f t="shared" si="142"/>
        <v>443.6106696463529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19.509897067139615</v>
      </c>
      <c r="AA182" s="21">
        <f>EXP(-LN(2)/25)*AA181+(1-EXP(-LN(2)/25))/(LN(2)/25)*Calculateur!V182*Calculateur!X182*VLOOKUP('Données projet'!$B$9,Paramètres!$A$1:$I$89,3,0)*0.475*44/12</f>
        <v>0.78694602149725024</v>
      </c>
      <c r="AB182" s="21">
        <f>EXP(-LN(2)/2)*AB181+(1-EXP(-LN(2)/2))/(LN(2)/2)*V182*Y182*VLOOKUP('Données projet'!$B$9,Paramètres!$A$1:$I$89,3,0)*0.475*44/12</f>
        <v>3.0373358557611422E-23</v>
      </c>
      <c r="AC182" s="22">
        <f t="shared" si="163"/>
        <v>20.296843088636866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311.298</v>
      </c>
      <c r="AK182" s="13">
        <f t="shared" si="164"/>
        <v>73.539838278528748</v>
      </c>
      <c r="AL182" s="20">
        <f t="shared" si="165"/>
        <v>670.25923500177089</v>
      </c>
      <c r="AM182" s="59">
        <f t="shared" si="113"/>
        <v>959.59510973590795</v>
      </c>
      <c r="AN182" s="59">
        <f ca="1">AVERAGE(OFFSET($AM$3,0,0,'Données projet'!$E$10+1,1))-AVERAGE(OFFSET($H$3,0,0,'Données projet'!$E$10+1,1))</f>
        <v>520.95202773768222</v>
      </c>
      <c r="AO182" s="59">
        <f t="shared" si="144"/>
        <v>325.72635759450861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31.582966118672221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31.582966118672221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689</v>
      </c>
      <c r="BE182" s="13">
        <f>BD182*VLOOKUP('Données projet'!$B$11,Paramètres!$A$1:$I$89,3,0)*VLOOKUP('Données projet'!$B$11,Paramètres!$A$1:$I$89,5,0)</f>
        <v>412.02199999999999</v>
      </c>
      <c r="BF182" s="13">
        <f t="shared" si="167"/>
        <v>94.209724877926391</v>
      </c>
      <c r="BG182" s="20">
        <f t="shared" si="168"/>
        <v>881.686920829055</v>
      </c>
      <c r="BH182" s="59">
        <f t="shared" si="116"/>
        <v>1171.0227955631922</v>
      </c>
      <c r="BI182" s="59">
        <f ca="1">AVERAGE(OFFSET($BH$3,0,0,'Données projet'!$E$11+1,1))-AVERAGE(OFFSET($H$3,0,0,'Données projet'!$E$11+1,1))</f>
        <v>528.71639224940395</v>
      </c>
      <c r="BJ182" s="59">
        <f t="shared" si="146"/>
        <v>460.93390058676493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13.777517310139846</v>
      </c>
      <c r="BQ182" s="21">
        <f>EXP(-LN(2)/25)*BQ181+(1-EXP(-LN(2)/25))/(LN(2)/25)*Calculateur!BL182*Calculateur!BN182*VLOOKUP('Données projet'!$B$11,Paramètres!$A$1:$I$89,3,0)*0.475*44/12</f>
        <v>0.94585244669627166</v>
      </c>
      <c r="BR182" s="21">
        <f>EXP(-LN(2)/2)*BR181+(1-EXP(-LN(2)/2))/(LN(2)/2)*BL182*BO182*VLOOKUP('Données projet'!$B$11,Paramètres!$A$1:$I$89,3,0)*0.475*44/12</f>
        <v>1.9602213471446141E-24</v>
      </c>
      <c r="BS182" s="22">
        <f t="shared" si="169"/>
        <v>14.723369756836117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267</v>
      </c>
      <c r="BZ182" s="13">
        <f>BY182*VLOOKUP('Données projet'!$B$12,Paramètres!$A$1:$I$89,3,0)*VLOOKUP('Données projet'!$B$12,Paramètres!$A$1:$I$89,5,0)</f>
        <v>241.58159999999998</v>
      </c>
      <c r="CA182" s="13">
        <f t="shared" si="170"/>
        <v>58.779689232021951</v>
      </c>
      <c r="CB182" s="20">
        <f t="shared" si="171"/>
        <v>523.12924541243819</v>
      </c>
      <c r="CC182" s="59">
        <f t="shared" si="119"/>
        <v>812.46512014657537</v>
      </c>
      <c r="CD182" s="59">
        <f ca="1">AVERAGE(OFFSET($CC$3,0,0,'Données projet'!$E$12+1,1))-AVERAGE(OFFSET($H$3,0,0,'Données projet'!$E$12+1,1))</f>
        <v>398.11190027805549</v>
      </c>
      <c r="CE182" s="59">
        <f t="shared" si="148"/>
        <v>250.47702091764884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21.28085725128474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21.28085725128474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-0.72999999999999921</v>
      </c>
      <c r="CT182" s="12">
        <f>IF('Données projet'!$A$140&gt;35,CT181+CS182-DB181,IF(A182&lt;'Données projet'!$A$140,$CQ$205^A182,IF(A182='Données projet'!$A$140,'Données projet'!$B$140,CT181+CS182-DB181)))</f>
        <v>272.28999999999934</v>
      </c>
      <c r="CU182" s="17">
        <f>CT182*VLOOKUP('Données projet'!$B$13,Paramètres!$A$1:$I$89,3,0)*VLOOKUP('Données projet'!$B$13,Paramètres!$A$1:$I$89,5,0)</f>
        <v>259.11116399999935</v>
      </c>
      <c r="CV182" s="13">
        <f t="shared" si="173"/>
        <v>62.532876295377314</v>
      </c>
      <c r="CW182" s="20">
        <f t="shared" si="174"/>
        <v>560.19670351444768</v>
      </c>
      <c r="CX182" s="59">
        <f t="shared" si="122"/>
        <v>849.53257824858474</v>
      </c>
      <c r="CY182" s="59">
        <f ca="1">AVERAGE(OFFSET($CX$3,0,0,'Données projet'!$E$13+1,1))-AVERAGE(OFFSET($H$3,0,0,'Données projet'!$E$13+1,1))</f>
        <v>697.21496579281836</v>
      </c>
      <c r="CZ182" s="59">
        <f t="shared" si="150"/>
        <v>215.64914236153456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236.24173928572813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236.24173928572813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319</v>
      </c>
      <c r="DP182" s="17">
        <f>DO182*VLOOKUP('Données projet'!$B$14,Paramètres!$A$1:$I$89,3,0)*VLOOKUP('Données projet'!$B$14,Paramètres!$A$1:$I$89,5,0)</f>
        <v>278.67840000000001</v>
      </c>
      <c r="DQ182" s="13">
        <f t="shared" si="176"/>
        <v>66.687639951856809</v>
      </c>
      <c r="DR182" s="20">
        <f t="shared" si="177"/>
        <v>601.51251958281728</v>
      </c>
      <c r="DS182" s="59">
        <f t="shared" si="125"/>
        <v>890.84839431695445</v>
      </c>
      <c r="DT182" s="59">
        <f ca="1">AVERAGE(OFFSET($DS$3,0,0,'Données projet'!$E$14+1,1))-AVERAGE(OFFSET($H$3,0,0,'Données projet'!$E$14+1,1))</f>
        <v>408.24135864450221</v>
      </c>
      <c r="DU182" s="59">
        <f t="shared" si="152"/>
        <v>394.10236303013903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8.2183620776188206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8.2183620776188206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853.00000000000011</v>
      </c>
      <c r="O183" s="13">
        <f>N183*VLOOKUP('Données projet'!$B$9,Paramètres!$A$1:$I$89,3,0)*VLOOKUP('Données projet'!$B$9,Paramètres!$A$1:$I$89,5,0)</f>
        <v>399.20400000000006</v>
      </c>
      <c r="P183" s="13">
        <f t="shared" si="141"/>
        <v>91.615269732888521</v>
      </c>
      <c r="Q183" s="20">
        <f t="shared" si="162"/>
        <v>854.8435614514475</v>
      </c>
      <c r="R183" s="59">
        <f t="shared" si="109"/>
        <v>1144.2487831553021</v>
      </c>
      <c r="S183" s="59">
        <f ca="1">AVERAGE(OFFSET($R$3,0,0,'Données projet'!$E$9+1,1))-AVERAGE(OFFSET($H$3,0,0,'Données projet'!$E$9+1,1))</f>
        <v>512.58510468904342</v>
      </c>
      <c r="T183" s="59">
        <f t="shared" si="142"/>
        <v>443.6106696463529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19.127319885515206</v>
      </c>
      <c r="AA183" s="21">
        <f>EXP(-LN(2)/25)*AA182+(1-EXP(-LN(2)/25))/(LN(2)/25)*Calculateur!V183*Calculateur!X183*VLOOKUP('Données projet'!$B$9,Paramètres!$A$1:$I$89,3,0)*0.475*44/12</f>
        <v>0.7654269411557153</v>
      </c>
      <c r="AB183" s="21">
        <f>EXP(-LN(2)/2)*AB182+(1-EXP(-LN(2)/2))/(LN(2)/2)*V183*Y183*VLOOKUP('Données projet'!$B$9,Paramètres!$A$1:$I$89,3,0)*0.475*44/12</f>
        <v>2.1477207803497491E-23</v>
      </c>
      <c r="AC183" s="22">
        <f t="shared" si="163"/>
        <v>19.892746826670923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311.298</v>
      </c>
      <c r="AK183" s="13">
        <f t="shared" si="164"/>
        <v>73.539838278528748</v>
      </c>
      <c r="AL183" s="20">
        <f t="shared" si="165"/>
        <v>670.25923500177089</v>
      </c>
      <c r="AM183" s="59">
        <f t="shared" si="113"/>
        <v>959.66445670562553</v>
      </c>
      <c r="AN183" s="59">
        <f ca="1">AVERAGE(OFFSET($AM$3,0,0,'Données projet'!$E$10+1,1))-AVERAGE(OFFSET($H$3,0,0,'Données projet'!$E$10+1,1))</f>
        <v>520.95202773768222</v>
      </c>
      <c r="AO183" s="59">
        <f t="shared" si="144"/>
        <v>325.72635759450861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30.963643416792259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30.963643416792259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689</v>
      </c>
      <c r="BE183" s="13">
        <f>BD183*VLOOKUP('Données projet'!$B$11,Paramètres!$A$1:$I$89,3,0)*VLOOKUP('Données projet'!$B$11,Paramètres!$A$1:$I$89,5,0)</f>
        <v>412.02199999999999</v>
      </c>
      <c r="BF183" s="13">
        <f t="shared" si="167"/>
        <v>94.209724877926391</v>
      </c>
      <c r="BG183" s="20">
        <f t="shared" si="168"/>
        <v>881.686920829055</v>
      </c>
      <c r="BH183" s="59">
        <f t="shared" si="116"/>
        <v>1171.0921425329097</v>
      </c>
      <c r="BI183" s="59">
        <f ca="1">AVERAGE(OFFSET($BH$3,0,0,'Données projet'!$E$11+1,1))-AVERAGE(OFFSET($H$3,0,0,'Données projet'!$E$11+1,1))</f>
        <v>528.71639224940395</v>
      </c>
      <c r="BJ183" s="59">
        <f t="shared" si="146"/>
        <v>460.93390058676493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13.507348599143791</v>
      </c>
      <c r="BQ183" s="21">
        <f>EXP(-LN(2)/25)*BQ182+(1-EXP(-LN(2)/25))/(LN(2)/25)*Calculateur!BL183*Calculateur!BN183*VLOOKUP('Données projet'!$B$11,Paramètres!$A$1:$I$89,3,0)*0.475*44/12</f>
        <v>0.91998806180114368</v>
      </c>
      <c r="BR183" s="21">
        <f>EXP(-LN(2)/2)*BR182+(1-EXP(-LN(2)/2))/(LN(2)/2)*BL183*BO183*VLOOKUP('Données projet'!$B$11,Paramètres!$A$1:$I$89,3,0)*0.475*44/12</f>
        <v>1.3860858071925861E-24</v>
      </c>
      <c r="BS183" s="22">
        <f t="shared" si="169"/>
        <v>14.427336660944935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267</v>
      </c>
      <c r="BZ183" s="13">
        <f>BY183*VLOOKUP('Données projet'!$B$12,Paramètres!$A$1:$I$89,3,0)*VLOOKUP('Données projet'!$B$12,Paramètres!$A$1:$I$89,5,0)</f>
        <v>241.58159999999998</v>
      </c>
      <c r="CA183" s="13">
        <f t="shared" si="170"/>
        <v>58.779689232021951</v>
      </c>
      <c r="CB183" s="20">
        <f t="shared" si="171"/>
        <v>523.12924541243819</v>
      </c>
      <c r="CC183" s="59">
        <f t="shared" si="119"/>
        <v>812.53446711629283</v>
      </c>
      <c r="CD183" s="59">
        <f ca="1">AVERAGE(OFFSET($CC$3,0,0,'Données projet'!$E$12+1,1))-AVERAGE(OFFSET($H$3,0,0,'Données projet'!$E$12+1,1))</f>
        <v>398.11190027805549</v>
      </c>
      <c r="CE183" s="59">
        <f t="shared" si="148"/>
        <v>250.47702091764884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20.863552620628298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20.863552620628298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-0.72999999999999921</v>
      </c>
      <c r="CS183" s="12">
        <f t="array" ref="CS183">INDEX(CR:CR,MIN(IF(ISNUMBER(CR183:CR379),ROW(CR183:CR379),"")))</f>
        <v>-0.72999999999999921</v>
      </c>
      <c r="CT183" s="12">
        <f>IF('Données projet'!$A$140&gt;35,CT182+CS183-DB182,IF(A183&lt;'Données projet'!$A$140,$CQ$205^A183,IF(A183='Données projet'!$A$140,'Données projet'!$B$140,CT182+CS183-DB182)))</f>
        <v>271.55999999999932</v>
      </c>
      <c r="CU183" s="17">
        <f>CT183*VLOOKUP('Données projet'!$B$13,Paramètres!$A$1:$I$89,3,0)*VLOOKUP('Données projet'!$B$13,Paramètres!$A$1:$I$89,5,0)</f>
        <v>258.41649599999937</v>
      </c>
      <c r="CV183" s="13">
        <f t="shared" si="173"/>
        <v>62.384718977635956</v>
      </c>
      <c r="CW183" s="20">
        <f t="shared" si="174"/>
        <v>558.72878275271478</v>
      </c>
      <c r="CX183" s="59">
        <f t="shared" si="122"/>
        <v>848.13400445656941</v>
      </c>
      <c r="CY183" s="59">
        <f ca="1">AVERAGE(OFFSET($CX$3,0,0,'Données projet'!$E$13+1,1))-AVERAGE(OFFSET($H$3,0,0,'Données projet'!$E$13+1,1))</f>
        <v>697.21496579281836</v>
      </c>
      <c r="CZ183" s="59">
        <f t="shared" si="150"/>
        <v>215.64914236153456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0.43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266.76545287724872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266.76545287724872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319</v>
      </c>
      <c r="DP183" s="17">
        <f>DO183*VLOOKUP('Données projet'!$B$14,Paramètres!$A$1:$I$89,3,0)*VLOOKUP('Données projet'!$B$14,Paramètres!$A$1:$I$89,5,0)</f>
        <v>278.67840000000001</v>
      </c>
      <c r="DQ183" s="13">
        <f t="shared" si="176"/>
        <v>66.687639951856809</v>
      </c>
      <c r="DR183" s="20">
        <f t="shared" si="177"/>
        <v>601.51251958281728</v>
      </c>
      <c r="DS183" s="59">
        <f t="shared" si="125"/>
        <v>890.91774128667191</v>
      </c>
      <c r="DT183" s="59">
        <f ca="1">AVERAGE(OFFSET($DS$3,0,0,'Données projet'!$E$14+1,1))-AVERAGE(OFFSET($H$3,0,0,'Données projet'!$E$14+1,1))</f>
        <v>408.24135864450221</v>
      </c>
      <c r="DU183" s="59">
        <f t="shared" si="152"/>
        <v>394.10236303013903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8.0572050099826189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8.0572050099826189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853.00000000000011</v>
      </c>
      <c r="O184" s="13">
        <f>N184*VLOOKUP('Données projet'!$B$9,Paramètres!$A$1:$I$89,3,0)*VLOOKUP('Données projet'!$B$9,Paramètres!$A$1:$I$89,5,0)</f>
        <v>399.20400000000006</v>
      </c>
      <c r="P184" s="13">
        <f t="shared" si="141"/>
        <v>91.615269732888521</v>
      </c>
      <c r="Q184" s="20">
        <f t="shared" si="162"/>
        <v>854.8435614514475</v>
      </c>
      <c r="R184" s="59">
        <f t="shared" si="109"/>
        <v>1144.3169271101315</v>
      </c>
      <c r="S184" s="59">
        <f ca="1">AVERAGE(OFFSET($R$3,0,0,'Données projet'!$E$9+1,1))-AVERAGE(OFFSET($H$3,0,0,'Données projet'!$E$9+1,1))</f>
        <v>512.58510468904342</v>
      </c>
      <c r="T184" s="59">
        <f t="shared" si="142"/>
        <v>443.6106696463529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18.75224480907341</v>
      </c>
      <c r="AA184" s="21">
        <f>EXP(-LN(2)/25)*AA183+(1-EXP(-LN(2)/25))/(LN(2)/25)*Calculateur!V184*Calculateur!X184*VLOOKUP('Données projet'!$B$9,Paramètres!$A$1:$I$89,3,0)*0.475*44/12</f>
        <v>0.74449630119775889</v>
      </c>
      <c r="AB184" s="21">
        <f>EXP(-LN(2)/2)*AB183+(1-EXP(-LN(2)/2))/(LN(2)/2)*V184*Y184*VLOOKUP('Données projet'!$B$9,Paramètres!$A$1:$I$89,3,0)*0.475*44/12</f>
        <v>1.5186679278805711E-23</v>
      </c>
      <c r="AC184" s="22">
        <f t="shared" si="163"/>
        <v>19.49674111027117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311.298</v>
      </c>
      <c r="AK184" s="13">
        <f t="shared" si="164"/>
        <v>73.539838278528748</v>
      </c>
      <c r="AL184" s="20">
        <f t="shared" si="165"/>
        <v>670.25923500177089</v>
      </c>
      <c r="AM184" s="59">
        <f t="shared" si="113"/>
        <v>959.73260066045498</v>
      </c>
      <c r="AN184" s="59">
        <f ca="1">AVERAGE(OFFSET($AM$3,0,0,'Données projet'!$E$10+1,1))-AVERAGE(OFFSET($H$3,0,0,'Données projet'!$E$10+1,1))</f>
        <v>520.95202773768222</v>
      </c>
      <c r="AO184" s="59">
        <f t="shared" si="144"/>
        <v>325.72635759450861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30.356465255346613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30.356465255346613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689</v>
      </c>
      <c r="BE184" s="13">
        <f>BD184*VLOOKUP('Données projet'!$B$11,Paramètres!$A$1:$I$89,3,0)*VLOOKUP('Données projet'!$B$11,Paramètres!$A$1:$I$89,5,0)</f>
        <v>412.02199999999999</v>
      </c>
      <c r="BF184" s="13">
        <f t="shared" si="167"/>
        <v>94.209724877926391</v>
      </c>
      <c r="BG184" s="20">
        <f t="shared" si="168"/>
        <v>881.686920829055</v>
      </c>
      <c r="BH184" s="59">
        <f t="shared" si="116"/>
        <v>1171.1602864877391</v>
      </c>
      <c r="BI184" s="59">
        <f ca="1">AVERAGE(OFFSET($BH$3,0,0,'Données projet'!$E$11+1,1))-AVERAGE(OFFSET($H$3,0,0,'Données projet'!$E$11+1,1))</f>
        <v>528.71639224940395</v>
      </c>
      <c r="BJ184" s="59">
        <f t="shared" si="146"/>
        <v>460.93390058676493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13.242477731783726</v>
      </c>
      <c r="BQ184" s="21">
        <f>EXP(-LN(2)/25)*BQ183+(1-EXP(-LN(2)/25))/(LN(2)/25)*Calculateur!BL184*Calculateur!BN184*VLOOKUP('Données projet'!$B$11,Paramètres!$A$1:$I$89,3,0)*0.475*44/12</f>
        <v>0.89483093987112194</v>
      </c>
      <c r="BR184" s="21">
        <f>EXP(-LN(2)/2)*BR183+(1-EXP(-LN(2)/2))/(LN(2)/2)*BL184*BO184*VLOOKUP('Données projet'!$B$11,Paramètres!$A$1:$I$89,3,0)*0.475*44/12</f>
        <v>9.8011067357230706E-25</v>
      </c>
      <c r="BS184" s="22">
        <f t="shared" si="169"/>
        <v>14.137308671654848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267</v>
      </c>
      <c r="BZ184" s="13">
        <f>BY184*VLOOKUP('Données projet'!$B$12,Paramètres!$A$1:$I$89,3,0)*VLOOKUP('Données projet'!$B$12,Paramètres!$A$1:$I$89,5,0)</f>
        <v>241.58159999999998</v>
      </c>
      <c r="CA184" s="13">
        <f t="shared" si="170"/>
        <v>58.779689232021951</v>
      </c>
      <c r="CB184" s="20">
        <f t="shared" si="171"/>
        <v>523.12924541243819</v>
      </c>
      <c r="CC184" s="59">
        <f t="shared" si="119"/>
        <v>812.60261107112228</v>
      </c>
      <c r="CD184" s="59">
        <f ca="1">AVERAGE(OFFSET($CC$3,0,0,'Données projet'!$E$12+1,1))-AVERAGE(OFFSET($H$3,0,0,'Données projet'!$E$12+1,1))</f>
        <v>398.11190027805549</v>
      </c>
      <c r="CE184" s="59">
        <f t="shared" si="148"/>
        <v>250.47702091764884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20.454431079248334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20.454431079248334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-0.79000000000000148</v>
      </c>
      <c r="CT184" s="12">
        <f>IF('Données projet'!$A$140&gt;35,CT183+CS184-DB183,IF(A184&lt;'Données projet'!$A$140,$CQ$205^A184,IF(A184='Données projet'!$A$140,'Données projet'!$B$140,CT183+CS184-DB183)))</f>
        <v>193.0499999999993</v>
      </c>
      <c r="CU184" s="17">
        <f>CT184*VLOOKUP('Données projet'!$B$13,Paramètres!$A$1:$I$89,3,0)*VLOOKUP('Données projet'!$B$13,Paramètres!$A$1:$I$89,5,0)</f>
        <v>183.70637999999934</v>
      </c>
      <c r="CV184" s="13">
        <f t="shared" si="173"/>
        <v>46.145806722261682</v>
      </c>
      <c r="CW184" s="20">
        <f t="shared" si="174"/>
        <v>400.32589187460462</v>
      </c>
      <c r="CX184" s="59">
        <f t="shared" si="122"/>
        <v>689.79925753328871</v>
      </c>
      <c r="CY184" s="59">
        <f ca="1">AVERAGE(OFFSET($CX$3,0,0,'Données projet'!$E$13+1,1))-AVERAGE(OFFSET($H$3,0,0,'Données projet'!$E$13+1,1))</f>
        <v>697.21496579281836</v>
      </c>
      <c r="CZ184" s="59">
        <f t="shared" si="150"/>
        <v>215.64914236153456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261.53434505718576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261.53434505718576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319</v>
      </c>
      <c r="DP184" s="17">
        <f>DO184*VLOOKUP('Données projet'!$B$14,Paramètres!$A$1:$I$89,3,0)*VLOOKUP('Données projet'!$B$14,Paramètres!$A$1:$I$89,5,0)</f>
        <v>278.67840000000001</v>
      </c>
      <c r="DQ184" s="13">
        <f t="shared" si="176"/>
        <v>66.687639951856809</v>
      </c>
      <c r="DR184" s="20">
        <f t="shared" si="177"/>
        <v>601.51251958281728</v>
      </c>
      <c r="DS184" s="59">
        <f t="shared" si="125"/>
        <v>890.98588524150136</v>
      </c>
      <c r="DT184" s="59">
        <f ca="1">AVERAGE(OFFSET($DS$3,0,0,'Données projet'!$E$14+1,1))-AVERAGE(OFFSET($H$3,0,0,'Données projet'!$E$14+1,1))</f>
        <v>408.24135864450221</v>
      </c>
      <c r="DU184" s="59">
        <f t="shared" si="152"/>
        <v>394.10236303013903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7.899208134146658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7.899208134146658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853.00000000000011</v>
      </c>
      <c r="O185" s="13">
        <f>N185*VLOOKUP('Données projet'!$B$9,Paramètres!$A$1:$I$89,3,0)*VLOOKUP('Données projet'!$B$9,Paramètres!$A$1:$I$89,5,0)</f>
        <v>399.20400000000006</v>
      </c>
      <c r="P185" s="13">
        <f t="shared" si="141"/>
        <v>91.615269732888521</v>
      </c>
      <c r="Q185" s="20">
        <f t="shared" si="162"/>
        <v>854.8435614514475</v>
      </c>
      <c r="R185" s="59">
        <f t="shared" si="109"/>
        <v>1144.3838889196918</v>
      </c>
      <c r="S185" s="59">
        <f ca="1">AVERAGE(OFFSET($R$3,0,0,'Données projet'!$E$9+1,1))-AVERAGE(OFFSET($H$3,0,0,'Données projet'!$E$9+1,1))</f>
        <v>512.58510468904342</v>
      </c>
      <c r="T185" s="59">
        <f t="shared" si="142"/>
        <v>443.6106696463529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18.384524726107433</v>
      </c>
      <c r="AA185" s="21">
        <f>EXP(-LN(2)/25)*AA184+(1-EXP(-LN(2)/25))/(LN(2)/25)*Calculateur!V185*Calculateur!X185*VLOOKUP('Données projet'!$B$9,Paramètres!$A$1:$I$89,3,0)*0.475*44/12</f>
        <v>0.72413801069014727</v>
      </c>
      <c r="AB185" s="21">
        <f>EXP(-LN(2)/2)*AB184+(1-EXP(-LN(2)/2))/(LN(2)/2)*V185*Y185*VLOOKUP('Données projet'!$B$9,Paramètres!$A$1:$I$89,3,0)*0.475*44/12</f>
        <v>1.0738603901748745E-23</v>
      </c>
      <c r="AC185" s="22">
        <f t="shared" si="163"/>
        <v>19.10866273679758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311.298</v>
      </c>
      <c r="AK185" s="13">
        <f t="shared" si="164"/>
        <v>73.539838278528748</v>
      </c>
      <c r="AL185" s="20">
        <f t="shared" si="165"/>
        <v>670.25923500177089</v>
      </c>
      <c r="AM185" s="59">
        <f t="shared" si="113"/>
        <v>959.7995624700153</v>
      </c>
      <c r="AN185" s="59">
        <f ca="1">AVERAGE(OFFSET($AM$3,0,0,'Données projet'!$E$10+1,1))-AVERAGE(OFFSET($H$3,0,0,'Données projet'!$E$10+1,1))</f>
        <v>520.95202773768222</v>
      </c>
      <c r="AO185" s="59">
        <f t="shared" si="144"/>
        <v>325.72635759450861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29.761193487304805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29.761193487304805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689</v>
      </c>
      <c r="BE185" s="13">
        <f>BD185*VLOOKUP('Données projet'!$B$11,Paramètres!$A$1:$I$89,3,0)*VLOOKUP('Données projet'!$B$11,Paramètres!$A$1:$I$89,5,0)</f>
        <v>412.02199999999999</v>
      </c>
      <c r="BF185" s="13">
        <f t="shared" si="167"/>
        <v>94.209724877926391</v>
      </c>
      <c r="BG185" s="20">
        <f t="shared" si="168"/>
        <v>881.686920829055</v>
      </c>
      <c r="BH185" s="59">
        <f t="shared" si="116"/>
        <v>1171.2272482972994</v>
      </c>
      <c r="BI185" s="59">
        <f ca="1">AVERAGE(OFFSET($BH$3,0,0,'Données projet'!$E$11+1,1))-AVERAGE(OFFSET($H$3,0,0,'Données projet'!$E$11+1,1))</f>
        <v>528.71639224940395</v>
      </c>
      <c r="BJ185" s="59">
        <f t="shared" si="146"/>
        <v>460.93390058676493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12.982800820577316</v>
      </c>
      <c r="BQ185" s="21">
        <f>EXP(-LN(2)/25)*BQ184+(1-EXP(-LN(2)/25))/(LN(2)/25)*Calculateur!BL185*Calculateur!BN185*VLOOKUP('Données projet'!$B$11,Paramètres!$A$1:$I$89,3,0)*0.475*44/12</f>
        <v>0.87036174076323214</v>
      </c>
      <c r="BR185" s="21">
        <f>EXP(-LN(2)/2)*BR184+(1-EXP(-LN(2)/2))/(LN(2)/2)*BL185*BO185*VLOOKUP('Données projet'!$B$11,Paramètres!$A$1:$I$89,3,0)*0.475*44/12</f>
        <v>6.9304290359629305E-25</v>
      </c>
      <c r="BS185" s="22">
        <f t="shared" si="169"/>
        <v>13.853162561340548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267</v>
      </c>
      <c r="BZ185" s="13">
        <f>BY185*VLOOKUP('Données projet'!$B$12,Paramètres!$A$1:$I$89,3,0)*VLOOKUP('Données projet'!$B$12,Paramètres!$A$1:$I$89,5,0)</f>
        <v>241.58159999999998</v>
      </c>
      <c r="CA185" s="13">
        <f t="shared" si="170"/>
        <v>58.779689232021951</v>
      </c>
      <c r="CB185" s="20">
        <f t="shared" si="171"/>
        <v>523.12924541243819</v>
      </c>
      <c r="CC185" s="59">
        <f t="shared" si="119"/>
        <v>812.66957288068261</v>
      </c>
      <c r="CD185" s="59">
        <f ca="1">AVERAGE(OFFSET($CC$3,0,0,'Données projet'!$E$12+1,1))-AVERAGE(OFFSET($H$3,0,0,'Données projet'!$E$12+1,1))</f>
        <v>398.11190027805549</v>
      </c>
      <c r="CE185" s="59">
        <f t="shared" si="148"/>
        <v>250.47702091764884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20.053332161755332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20.053332161755332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-0.79000000000000148</v>
      </c>
      <c r="CT185" s="12">
        <f>IF('Données projet'!$A$140&gt;35,CT184+CS185-DB184,IF(A185&lt;'Données projet'!$A$140,$CQ$205^A185,IF(A185='Données projet'!$A$140,'Données projet'!$B$140,CT184+CS185-DB184)))</f>
        <v>192.25999999999931</v>
      </c>
      <c r="CU185" s="17">
        <f>CT185*VLOOKUP('Données projet'!$B$13,Paramètres!$A$1:$I$89,3,0)*VLOOKUP('Données projet'!$B$13,Paramètres!$A$1:$I$89,5,0)</f>
        <v>182.95461599999933</v>
      </c>
      <c r="CV185" s="13">
        <f t="shared" si="173"/>
        <v>45.978909612801665</v>
      </c>
      <c r="CW185" s="20">
        <f t="shared" si="174"/>
        <v>398.72589044229511</v>
      </c>
      <c r="CX185" s="59">
        <f t="shared" si="122"/>
        <v>688.26621791053958</v>
      </c>
      <c r="CY185" s="59">
        <f ca="1">AVERAGE(OFFSET($CX$3,0,0,'Données projet'!$E$13+1,1))-AVERAGE(OFFSET($H$3,0,0,'Données projet'!$E$13+1,1))</f>
        <v>697.21496579281836</v>
      </c>
      <c r="CZ185" s="59">
        <f t="shared" si="150"/>
        <v>215.64914236153456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256.4058160708135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256.4058160708135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319</v>
      </c>
      <c r="DP185" s="17">
        <f>DO185*VLOOKUP('Données projet'!$B$14,Paramètres!$A$1:$I$89,3,0)*VLOOKUP('Données projet'!$B$14,Paramètres!$A$1:$I$89,5,0)</f>
        <v>278.67840000000001</v>
      </c>
      <c r="DQ185" s="13">
        <f t="shared" si="176"/>
        <v>66.687639951856809</v>
      </c>
      <c r="DR185" s="20">
        <f t="shared" si="177"/>
        <v>601.51251958281728</v>
      </c>
      <c r="DS185" s="59">
        <f t="shared" si="125"/>
        <v>891.05284705106169</v>
      </c>
      <c r="DT185" s="59">
        <f ca="1">AVERAGE(OFFSET($DS$3,0,0,'Données projet'!$E$14+1,1))-AVERAGE(OFFSET($H$3,0,0,'Données projet'!$E$14+1,1))</f>
        <v>408.24135864450221</v>
      </c>
      <c r="DU185" s="59">
        <f t="shared" si="152"/>
        <v>394.10236303013903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7.7443094806772619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7.7443094806772619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853.00000000000011</v>
      </c>
      <c r="O186" s="13">
        <f>N186*VLOOKUP('Données projet'!$B$9,Paramètres!$A$1:$I$89,3,0)*VLOOKUP('Données projet'!$B$9,Paramètres!$A$1:$I$89,5,0)</f>
        <v>399.20400000000006</v>
      </c>
      <c r="P186" s="13">
        <f t="shared" si="141"/>
        <v>91.615269732888521</v>
      </c>
      <c r="Q186" s="20">
        <f t="shared" si="162"/>
        <v>854.8435614514475</v>
      </c>
      <c r="R186" s="59">
        <f t="shared" si="109"/>
        <v>1144.4496890915605</v>
      </c>
      <c r="S186" s="59">
        <f ca="1">AVERAGE(OFFSET($R$3,0,0,'Données projet'!$E$9+1,1))-AVERAGE(OFFSET($H$3,0,0,'Données projet'!$E$9+1,1))</f>
        <v>512.58510468904342</v>
      </c>
      <c r="T186" s="59">
        <f t="shared" si="142"/>
        <v>443.6106696463529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18.024015409681311</v>
      </c>
      <c r="AA186" s="21">
        <f>EXP(-LN(2)/25)*AA185+(1-EXP(-LN(2)/25))/(LN(2)/25)*Calculateur!V186*Calculateur!X186*VLOOKUP('Données projet'!$B$9,Paramètres!$A$1:$I$89,3,0)*0.475*44/12</f>
        <v>0.70433641870706221</v>
      </c>
      <c r="AB186" s="21">
        <f>EXP(-LN(2)/2)*AB185+(1-EXP(-LN(2)/2))/(LN(2)/2)*V186*Y186*VLOOKUP('Données projet'!$B$9,Paramètres!$A$1:$I$89,3,0)*0.475*44/12</f>
        <v>7.5933396394028554E-24</v>
      </c>
      <c r="AC186" s="22">
        <f t="shared" si="163"/>
        <v>18.728351828388373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311.298</v>
      </c>
      <c r="AK186" s="13">
        <f t="shared" si="164"/>
        <v>73.539838278528748</v>
      </c>
      <c r="AL186" s="20">
        <f t="shared" si="165"/>
        <v>670.25923500177089</v>
      </c>
      <c r="AM186" s="59">
        <f t="shared" si="113"/>
        <v>959.86536264188385</v>
      </c>
      <c r="AN186" s="59">
        <f ca="1">AVERAGE(OFFSET($AM$3,0,0,'Données projet'!$E$10+1,1))-AVERAGE(OFFSET($H$3,0,0,'Données projet'!$E$10+1,1))</f>
        <v>520.95202773768222</v>
      </c>
      <c r="AO186" s="59">
        <f t="shared" si="144"/>
        <v>325.72635759450861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29.177594635554371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29.177594635554371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689</v>
      </c>
      <c r="BE186" s="13">
        <f>BD186*VLOOKUP('Données projet'!$B$11,Paramètres!$A$1:$I$89,3,0)*VLOOKUP('Données projet'!$B$11,Paramètres!$A$1:$I$89,5,0)</f>
        <v>412.02199999999999</v>
      </c>
      <c r="BF186" s="13">
        <f t="shared" si="167"/>
        <v>94.209724877926391</v>
      </c>
      <c r="BG186" s="20">
        <f t="shared" si="168"/>
        <v>881.686920829055</v>
      </c>
      <c r="BH186" s="59">
        <f t="shared" si="116"/>
        <v>1171.2930484691678</v>
      </c>
      <c r="BI186" s="59">
        <f ca="1">AVERAGE(OFFSET($BH$3,0,0,'Données projet'!$E$11+1,1))-AVERAGE(OFFSET($H$3,0,0,'Données projet'!$E$11+1,1))</f>
        <v>528.71639224940395</v>
      </c>
      <c r="BJ186" s="59">
        <f t="shared" si="146"/>
        <v>460.93390058676493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12.728216015212386</v>
      </c>
      <c r="BQ186" s="21">
        <f>EXP(-LN(2)/25)*BQ185+(1-EXP(-LN(2)/25))/(LN(2)/25)*Calculateur!BL186*Calculateur!BN186*VLOOKUP('Données projet'!$B$11,Paramètres!$A$1:$I$89,3,0)*0.475*44/12</f>
        <v>0.84656165319172683</v>
      </c>
      <c r="BR186" s="21">
        <f>EXP(-LN(2)/2)*BR185+(1-EXP(-LN(2)/2))/(LN(2)/2)*BL186*BO186*VLOOKUP('Données projet'!$B$11,Paramètres!$A$1:$I$89,3,0)*0.475*44/12</f>
        <v>4.9005533678615353E-25</v>
      </c>
      <c r="BS186" s="22">
        <f t="shared" si="169"/>
        <v>13.574777668404113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267</v>
      </c>
      <c r="BZ186" s="13">
        <f>BY186*VLOOKUP('Données projet'!$B$12,Paramètres!$A$1:$I$89,3,0)*VLOOKUP('Données projet'!$B$12,Paramètres!$A$1:$I$89,5,0)</f>
        <v>241.58159999999998</v>
      </c>
      <c r="CA186" s="13">
        <f t="shared" si="170"/>
        <v>58.779689232021951</v>
      </c>
      <c r="CB186" s="20">
        <f t="shared" si="171"/>
        <v>523.12924541243819</v>
      </c>
      <c r="CC186" s="59">
        <f t="shared" si="119"/>
        <v>812.73537305255115</v>
      </c>
      <c r="CD186" s="59">
        <f ca="1">AVERAGE(OFFSET($CC$3,0,0,'Données projet'!$E$12+1,1))-AVERAGE(OFFSET($H$3,0,0,'Données projet'!$E$12+1,1))</f>
        <v>398.11190027805549</v>
      </c>
      <c r="CE186" s="59">
        <f t="shared" si="148"/>
        <v>250.47702091764884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19.660098549388184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19.660098549388184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-0.79000000000000148</v>
      </c>
      <c r="CS186" s="12">
        <f t="array" ref="CS186">INDEX(CR:CR,MIN(IF(ISNUMBER(CR186:CR382),ROW(CR186:CR382),"")))</f>
        <v>-0.79000000000000148</v>
      </c>
      <c r="CT186" s="12">
        <f>IF('Données projet'!$A$140&gt;35,CT185+CS186-DB185,IF(A186&lt;'Données projet'!$A$140,$CQ$205^A186,IF(A186='Données projet'!$A$140,'Données projet'!$B$140,CT185+CS186-DB185)))</f>
        <v>191.46999999999932</v>
      </c>
      <c r="CU186" s="17">
        <f>CT186*VLOOKUP('Données projet'!$B$13,Paramètres!$A$1:$I$89,3,0)*VLOOKUP('Données projet'!$B$13,Paramètres!$A$1:$I$89,5,0)</f>
        <v>182.20285199999935</v>
      </c>
      <c r="CV186" s="13">
        <f t="shared" si="173"/>
        <v>45.811932658823196</v>
      </c>
      <c r="CW186" s="20">
        <f t="shared" si="174"/>
        <v>397.12574994744926</v>
      </c>
      <c r="CX186" s="59">
        <f t="shared" si="122"/>
        <v>686.73187758756217</v>
      </c>
      <c r="CY186" s="59">
        <f ca="1">AVERAGE(OFFSET($CX$3,0,0,'Données projet'!$E$13+1,1))-AVERAGE(OFFSET($H$3,0,0,'Données projet'!$E$13+1,1))</f>
        <v>697.21496579281836</v>
      </c>
      <c r="CZ186" s="59">
        <f t="shared" si="150"/>
        <v>215.64914236153456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0.43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328.16797788074763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328.16797788074763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319</v>
      </c>
      <c r="DP186" s="17">
        <f>DO186*VLOOKUP('Données projet'!$B$14,Paramètres!$A$1:$I$89,3,0)*VLOOKUP('Données projet'!$B$14,Paramètres!$A$1:$I$89,5,0)</f>
        <v>278.67840000000001</v>
      </c>
      <c r="DQ186" s="13">
        <f t="shared" si="176"/>
        <v>66.687639951856809</v>
      </c>
      <c r="DR186" s="20">
        <f t="shared" si="177"/>
        <v>601.51251958281728</v>
      </c>
      <c r="DS186" s="59">
        <f t="shared" si="125"/>
        <v>891.11864722293024</v>
      </c>
      <c r="DT186" s="59">
        <f ca="1">AVERAGE(OFFSET($DS$3,0,0,'Données projet'!$E$14+1,1))-AVERAGE(OFFSET($H$3,0,0,'Données projet'!$E$14+1,1))</f>
        <v>408.24135864450221</v>
      </c>
      <c r="DU186" s="59">
        <f t="shared" si="152"/>
        <v>394.10236303013903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7.5924482953235506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7.5924482953235506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853.00000000000011</v>
      </c>
      <c r="O187" s="13">
        <f>N187*VLOOKUP('Données projet'!$B$9,Paramètres!$A$1:$I$89,3,0)*VLOOKUP('Données projet'!$B$9,Paramètres!$A$1:$I$89,5,0)</f>
        <v>399.20400000000006</v>
      </c>
      <c r="P187" s="13">
        <f t="shared" si="141"/>
        <v>91.615269732888521</v>
      </c>
      <c r="Q187" s="20">
        <f t="shared" si="162"/>
        <v>854.8435614514475</v>
      </c>
      <c r="R187" s="59">
        <f t="shared" si="109"/>
        <v>1144.5143477775541</v>
      </c>
      <c r="S187" s="59">
        <f ca="1">AVERAGE(OFFSET($R$3,0,0,'Données projet'!$E$9+1,1))-AVERAGE(OFFSET($H$3,0,0,'Données projet'!$E$9+1,1))</f>
        <v>512.58510468904342</v>
      </c>
      <c r="T187" s="59">
        <f t="shared" si="142"/>
        <v>443.6106696463529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17.670575461061336</v>
      </c>
      <c r="AA187" s="21">
        <f>EXP(-LN(2)/25)*AA186+(1-EXP(-LN(2)/25))/(LN(2)/25)*Calculateur!V187*Calculateur!X187*VLOOKUP('Données projet'!$B$9,Paramètres!$A$1:$I$89,3,0)*0.475*44/12</f>
        <v>0.68507630229807515</v>
      </c>
      <c r="AB187" s="21">
        <f>EXP(-LN(2)/2)*AB186+(1-EXP(-LN(2)/2))/(LN(2)/2)*V187*Y187*VLOOKUP('Données projet'!$B$9,Paramètres!$A$1:$I$89,3,0)*0.475*44/12</f>
        <v>5.3693019508743727E-24</v>
      </c>
      <c r="AC187" s="22">
        <f t="shared" si="163"/>
        <v>18.355651763359411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311.298</v>
      </c>
      <c r="AK187" s="13">
        <f t="shared" si="164"/>
        <v>73.539838278528748</v>
      </c>
      <c r="AL187" s="20">
        <f t="shared" si="165"/>
        <v>670.25923500177089</v>
      </c>
      <c r="AM187" s="59">
        <f t="shared" si="113"/>
        <v>959.93002132787763</v>
      </c>
      <c r="AN187" s="59">
        <f ca="1">AVERAGE(OFFSET($AM$3,0,0,'Données projet'!$E$10+1,1))-AVERAGE(OFFSET($H$3,0,0,'Données projet'!$E$10+1,1))</f>
        <v>520.95202773768222</v>
      </c>
      <c r="AO187" s="59">
        <f t="shared" si="144"/>
        <v>325.72635759450861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28.605439801326611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28.605439801326611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689</v>
      </c>
      <c r="BE187" s="13">
        <f>BD187*VLOOKUP('Données projet'!$B$11,Paramètres!$A$1:$I$89,3,0)*VLOOKUP('Données projet'!$B$11,Paramètres!$A$1:$I$89,5,0)</f>
        <v>412.02199999999999</v>
      </c>
      <c r="BF187" s="13">
        <f t="shared" si="167"/>
        <v>94.209724877926391</v>
      </c>
      <c r="BG187" s="20">
        <f t="shared" si="168"/>
        <v>881.686920829055</v>
      </c>
      <c r="BH187" s="59">
        <f t="shared" si="116"/>
        <v>1171.3577071551617</v>
      </c>
      <c r="BI187" s="59">
        <f ca="1">AVERAGE(OFFSET($BH$3,0,0,'Données projet'!$E$11+1,1))-AVERAGE(OFFSET($H$3,0,0,'Données projet'!$E$11+1,1))</f>
        <v>528.71639224940395</v>
      </c>
      <c r="BJ187" s="59">
        <f t="shared" si="146"/>
        <v>460.93390058676493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12.478623462599264</v>
      </c>
      <c r="BQ187" s="21">
        <f>EXP(-LN(2)/25)*BQ186+(1-EXP(-LN(2)/25))/(LN(2)/25)*Calculateur!BL187*Calculateur!BN187*VLOOKUP('Données projet'!$B$11,Paramètres!$A$1:$I$89,3,0)*0.475*44/12</f>
        <v>0.82341238026645658</v>
      </c>
      <c r="BR187" s="21">
        <f>EXP(-LN(2)/2)*BR186+(1-EXP(-LN(2)/2))/(LN(2)/2)*BL187*BO187*VLOOKUP('Données projet'!$B$11,Paramètres!$A$1:$I$89,3,0)*0.475*44/12</f>
        <v>3.4652145179814653E-25</v>
      </c>
      <c r="BS187" s="22">
        <f t="shared" si="169"/>
        <v>13.30203584286572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267</v>
      </c>
      <c r="BZ187" s="13">
        <f>BY187*VLOOKUP('Données projet'!$B$12,Paramètres!$A$1:$I$89,3,0)*VLOOKUP('Données projet'!$B$12,Paramètres!$A$1:$I$89,5,0)</f>
        <v>241.58159999999998</v>
      </c>
      <c r="CA187" s="13">
        <f t="shared" si="170"/>
        <v>58.779689232021951</v>
      </c>
      <c r="CB187" s="20">
        <f t="shared" si="171"/>
        <v>523.12924541243819</v>
      </c>
      <c r="CC187" s="59">
        <f t="shared" si="119"/>
        <v>812.80003173854493</v>
      </c>
      <c r="CD187" s="59">
        <f ca="1">AVERAGE(OFFSET($CC$3,0,0,'Données projet'!$E$12+1,1))-AVERAGE(OFFSET($H$3,0,0,'Données projet'!$E$12+1,1))</f>
        <v>398.11190027805549</v>
      </c>
      <c r="CE187" s="59">
        <f t="shared" si="148"/>
        <v>250.47702091764884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19.274576008310738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19.274576008310738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21.709999999999326</v>
      </c>
      <c r="CU187" s="17">
        <f>CT187*VLOOKUP('Données projet'!$B$13,Paramètres!$A$1:$I$89,3,0)*VLOOKUP('Données projet'!$B$13,Paramètres!$A$1:$I$89,5,0)</f>
        <v>20.659235999999357</v>
      </c>
      <c r="CV187" s="13">
        <f t="shared" si="173"/>
        <v>6.6924790783679047</v>
      </c>
      <c r="CW187" s="20">
        <f t="shared" si="174"/>
        <v>47.637570428156316</v>
      </c>
      <c r="CX187" s="59">
        <f t="shared" si="122"/>
        <v>337.30835675426306</v>
      </c>
      <c r="CY187" s="59">
        <f ca="1">AVERAGE(OFFSET($CX$3,0,0,'Données projet'!$E$13+1,1))-AVERAGE(OFFSET($H$3,0,0,'Données projet'!$E$13+1,1))</f>
        <v>697.21496579281836</v>
      </c>
      <c r="CZ187" s="59">
        <f t="shared" si="150"/>
        <v>215.64914236153456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321.73280399720824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321.73280399720824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319</v>
      </c>
      <c r="DP187" s="17">
        <f>DO187*VLOOKUP('Données projet'!$B$14,Paramètres!$A$1:$I$89,3,0)*VLOOKUP('Données projet'!$B$14,Paramètres!$A$1:$I$89,5,0)</f>
        <v>278.67840000000001</v>
      </c>
      <c r="DQ187" s="13">
        <f t="shared" si="176"/>
        <v>66.687639951856809</v>
      </c>
      <c r="DR187" s="20">
        <f t="shared" si="177"/>
        <v>601.51251958281728</v>
      </c>
      <c r="DS187" s="59">
        <f t="shared" si="125"/>
        <v>891.18330590892401</v>
      </c>
      <c r="DT187" s="59">
        <f ca="1">AVERAGE(OFFSET($DS$3,0,0,'Données projet'!$E$14+1,1))-AVERAGE(OFFSET($H$3,0,0,'Données projet'!$E$14+1,1))</f>
        <v>408.24135864450221</v>
      </c>
      <c r="DU187" s="59">
        <f t="shared" si="152"/>
        <v>394.10236303013903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7.4435650151884492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7.4435650151884492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853.00000000000011</v>
      </c>
      <c r="O188" s="13">
        <f>N188*VLOOKUP('Données projet'!$B$9,Paramètres!$A$1:$I$89,3,0)*VLOOKUP('Données projet'!$B$9,Paramètres!$A$1:$I$89,5,0)</f>
        <v>399.20400000000006</v>
      </c>
      <c r="P188" s="13">
        <f t="shared" si="141"/>
        <v>91.615269732888521</v>
      </c>
      <c r="Q188" s="20">
        <f t="shared" si="162"/>
        <v>854.8435614514475</v>
      </c>
      <c r="R188" s="59">
        <f t="shared" si="109"/>
        <v>1144.5778847799013</v>
      </c>
      <c r="S188" s="59">
        <f ca="1">AVERAGE(OFFSET($R$3,0,0,'Données projet'!$E$9+1,1))-AVERAGE(OFFSET($H$3,0,0,'Données projet'!$E$9+1,1))</f>
        <v>512.58510468904342</v>
      </c>
      <c r="T188" s="59">
        <f t="shared" si="142"/>
        <v>443.6106696463529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17.324066254256717</v>
      </c>
      <c r="AA188" s="21">
        <f>EXP(-LN(2)/25)*AA187+(1-EXP(-LN(2)/25))/(LN(2)/25)*Calculateur!V188*Calculateur!X188*VLOOKUP('Données projet'!$B$9,Paramètres!$A$1:$I$89,3,0)*0.475*44/12</f>
        <v>0.66634285478513733</v>
      </c>
      <c r="AB188" s="21">
        <f>EXP(-LN(2)/2)*AB187+(1-EXP(-LN(2)/2))/(LN(2)/2)*V188*Y188*VLOOKUP('Données projet'!$B$9,Paramètres!$A$1:$I$89,3,0)*0.475*44/12</f>
        <v>3.7966698197014277E-24</v>
      </c>
      <c r="AC188" s="22">
        <f t="shared" si="163"/>
        <v>17.990409109041856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311.298</v>
      </c>
      <c r="AK188" s="13">
        <f t="shared" si="164"/>
        <v>73.539838278528748</v>
      </c>
      <c r="AL188" s="20">
        <f t="shared" si="165"/>
        <v>670.25923500177089</v>
      </c>
      <c r="AM188" s="59">
        <f t="shared" si="113"/>
        <v>959.99355833022469</v>
      </c>
      <c r="AN188" s="59">
        <f ca="1">AVERAGE(OFFSET($AM$3,0,0,'Données projet'!$E$10+1,1))-AVERAGE(OFFSET($H$3,0,0,'Données projet'!$E$10+1,1))</f>
        <v>520.95202773768222</v>
      </c>
      <c r="AO188" s="59">
        <f t="shared" si="144"/>
        <v>325.72635759450861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28.044504574418067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28.044504574418067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689</v>
      </c>
      <c r="BE188" s="13">
        <f>BD188*VLOOKUP('Données projet'!$B$11,Paramètres!$A$1:$I$89,3,0)*VLOOKUP('Données projet'!$B$11,Paramètres!$A$1:$I$89,5,0)</f>
        <v>412.02199999999999</v>
      </c>
      <c r="BF188" s="13">
        <f t="shared" si="167"/>
        <v>94.209724877926391</v>
      </c>
      <c r="BG188" s="20">
        <f t="shared" si="168"/>
        <v>881.686920829055</v>
      </c>
      <c r="BH188" s="59">
        <f t="shared" si="116"/>
        <v>1171.4212441575087</v>
      </c>
      <c r="BI188" s="59">
        <f ca="1">AVERAGE(OFFSET($BH$3,0,0,'Données projet'!$E$11+1,1))-AVERAGE(OFFSET($H$3,0,0,'Données projet'!$E$11+1,1))</f>
        <v>528.71639224940395</v>
      </c>
      <c r="BJ188" s="59">
        <f t="shared" si="146"/>
        <v>460.93390058676493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12.233925267706461</v>
      </c>
      <c r="BQ188" s="21">
        <f>EXP(-LN(2)/25)*BQ187+(1-EXP(-LN(2)/25))/(LN(2)/25)*Calculateur!BL188*Calculateur!BN188*VLOOKUP('Données projet'!$B$11,Paramètres!$A$1:$I$89,3,0)*0.475*44/12</f>
        <v>0.80089612542669519</v>
      </c>
      <c r="BR188" s="21">
        <f>EXP(-LN(2)/2)*BR187+(1-EXP(-LN(2)/2))/(LN(2)/2)*BL188*BO188*VLOOKUP('Données projet'!$B$11,Paramètres!$A$1:$I$89,3,0)*0.475*44/12</f>
        <v>2.4502766839307677E-25</v>
      </c>
      <c r="BS188" s="22">
        <f t="shared" si="169"/>
        <v>13.034821393133155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267</v>
      </c>
      <c r="BZ188" s="13">
        <f>BY188*VLOOKUP('Données projet'!$B$12,Paramètres!$A$1:$I$89,3,0)*VLOOKUP('Données projet'!$B$12,Paramètres!$A$1:$I$89,5,0)</f>
        <v>241.58159999999998</v>
      </c>
      <c r="CA188" s="13">
        <f t="shared" si="170"/>
        <v>58.779689232021951</v>
      </c>
      <c r="CB188" s="20">
        <f t="shared" si="171"/>
        <v>523.12924541243819</v>
      </c>
      <c r="CC188" s="59">
        <f t="shared" si="119"/>
        <v>812.86356874089188</v>
      </c>
      <c r="CD188" s="59">
        <f ca="1">AVERAGE(OFFSET($CC$3,0,0,'Données projet'!$E$12+1,1))-AVERAGE(OFFSET($H$3,0,0,'Données projet'!$E$12+1,1))</f>
        <v>398.11190027805549</v>
      </c>
      <c r="CE188" s="59">
        <f t="shared" si="148"/>
        <v>250.47702091764884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18.896613329118289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18.896613329118289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21.709999999999326</v>
      </c>
      <c r="CU188" s="17">
        <f>CT188*VLOOKUP('Données projet'!$B$13,Paramètres!$A$1:$I$89,3,0)*VLOOKUP('Données projet'!$B$13,Paramètres!$A$1:$I$89,5,0)</f>
        <v>20.659235999999357</v>
      </c>
      <c r="CV188" s="13">
        <f t="shared" si="173"/>
        <v>6.6924790783679047</v>
      </c>
      <c r="CW188" s="20">
        <f t="shared" si="174"/>
        <v>47.637570428156316</v>
      </c>
      <c r="CX188" s="59">
        <f t="shared" si="122"/>
        <v>337.37189375661006</v>
      </c>
      <c r="CY188" s="59">
        <f ca="1">AVERAGE(OFFSET($CX$3,0,0,'Données projet'!$E$13+1,1))-AVERAGE(OFFSET($H$3,0,0,'Données projet'!$E$13+1,1))</f>
        <v>697.21496579281836</v>
      </c>
      <c r="CZ188" s="59">
        <f t="shared" si="150"/>
        <v>215.64914236153456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315.42381994845658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315.42381994845658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319</v>
      </c>
      <c r="DP188" s="17">
        <f>DO188*VLOOKUP('Données projet'!$B$14,Paramètres!$A$1:$I$89,3,0)*VLOOKUP('Données projet'!$B$14,Paramètres!$A$1:$I$89,5,0)</f>
        <v>278.67840000000001</v>
      </c>
      <c r="DQ188" s="13">
        <f t="shared" si="176"/>
        <v>66.687639951856809</v>
      </c>
      <c r="DR188" s="20">
        <f t="shared" si="177"/>
        <v>601.51251958281728</v>
      </c>
      <c r="DS188" s="59">
        <f t="shared" si="125"/>
        <v>891.24684291127096</v>
      </c>
      <c r="DT188" s="59">
        <f ca="1">AVERAGE(OFFSET($DS$3,0,0,'Données projet'!$E$14+1,1))-AVERAGE(OFFSET($H$3,0,0,'Données projet'!$E$14+1,1))</f>
        <v>408.24135864450221</v>
      </c>
      <c r="DU188" s="59">
        <f t="shared" si="152"/>
        <v>394.10236303013903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7.2976012453669625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7.2976012453669625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853.00000000000011</v>
      </c>
      <c r="O189" s="13">
        <f>N189*VLOOKUP('Données projet'!$B$9,Paramètres!$A$1:$I$89,3,0)*VLOOKUP('Données projet'!$B$9,Paramètres!$A$1:$I$89,5,0)</f>
        <v>399.20400000000006</v>
      </c>
      <c r="P189" s="13">
        <f t="shared" si="141"/>
        <v>91.615269732888521</v>
      </c>
      <c r="Q189" s="20">
        <f t="shared" si="162"/>
        <v>854.8435614514475</v>
      </c>
      <c r="R189" s="59">
        <f t="shared" si="109"/>
        <v>1144.6403195573048</v>
      </c>
      <c r="S189" s="59">
        <f ca="1">AVERAGE(OFFSET($R$3,0,0,'Données projet'!$E$9+1,1))-AVERAGE(OFFSET($H$3,0,0,'Données projet'!$E$9+1,1))</f>
        <v>512.58510468904342</v>
      </c>
      <c r="T189" s="59">
        <f t="shared" si="142"/>
        <v>443.6106696463529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16.98435188164779</v>
      </c>
      <c r="AA189" s="21">
        <f>EXP(-LN(2)/25)*AA188+(1-EXP(-LN(2)/25))/(LN(2)/25)*Calculateur!V189*Calculateur!X189*VLOOKUP('Données projet'!$B$9,Paramètres!$A$1:$I$89,3,0)*0.475*44/12</f>
        <v>0.64812167437959001</v>
      </c>
      <c r="AB189" s="21">
        <f>EXP(-LN(2)/2)*AB188+(1-EXP(-LN(2)/2))/(LN(2)/2)*V189*Y189*VLOOKUP('Données projet'!$B$9,Paramètres!$A$1:$I$89,3,0)*0.475*44/12</f>
        <v>2.6846509754371864E-24</v>
      </c>
      <c r="AC189" s="22">
        <f t="shared" si="163"/>
        <v>17.632473556027378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311.298</v>
      </c>
      <c r="AK189" s="13">
        <f t="shared" si="164"/>
        <v>73.539838278528748</v>
      </c>
      <c r="AL189" s="20">
        <f t="shared" si="165"/>
        <v>670.25923500177089</v>
      </c>
      <c r="AM189" s="59">
        <f t="shared" si="113"/>
        <v>960.0559931076283</v>
      </c>
      <c r="AN189" s="59">
        <f ca="1">AVERAGE(OFFSET($AM$3,0,0,'Données projet'!$E$10+1,1))-AVERAGE(OFFSET($H$3,0,0,'Données projet'!$E$10+1,1))</f>
        <v>520.95202773768222</v>
      </c>
      <c r="AO189" s="59">
        <f t="shared" si="144"/>
        <v>325.72635759450861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27.494568945172496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27.494568945172496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689</v>
      </c>
      <c r="BE189" s="13">
        <f>BD189*VLOOKUP('Données projet'!$B$11,Paramètres!$A$1:$I$89,3,0)*VLOOKUP('Données projet'!$B$11,Paramètres!$A$1:$I$89,5,0)</f>
        <v>412.02199999999999</v>
      </c>
      <c r="BF189" s="13">
        <f t="shared" si="167"/>
        <v>94.209724877926391</v>
      </c>
      <c r="BG189" s="20">
        <f t="shared" si="168"/>
        <v>881.686920829055</v>
      </c>
      <c r="BH189" s="59">
        <f t="shared" si="116"/>
        <v>1171.4836789349124</v>
      </c>
      <c r="BI189" s="59">
        <f ca="1">AVERAGE(OFFSET($BH$3,0,0,'Données projet'!$E$11+1,1))-AVERAGE(OFFSET($H$3,0,0,'Données projet'!$E$11+1,1))</f>
        <v>528.71639224940395</v>
      </c>
      <c r="BJ189" s="59">
        <f t="shared" si="146"/>
        <v>460.93390058676493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11.994025455164342</v>
      </c>
      <c r="BQ189" s="21">
        <f>EXP(-LN(2)/25)*BQ188+(1-EXP(-LN(2)/25))/(LN(2)/25)*Calculateur!BL189*Calculateur!BN189*VLOOKUP('Données projet'!$B$11,Paramètres!$A$1:$I$89,3,0)*0.475*44/12</f>
        <v>0.77899557875960546</v>
      </c>
      <c r="BR189" s="21">
        <f>EXP(-LN(2)/2)*BR188+(1-EXP(-LN(2)/2))/(LN(2)/2)*BL189*BO189*VLOOKUP('Données projet'!$B$11,Paramètres!$A$1:$I$89,3,0)*0.475*44/12</f>
        <v>1.7326072589907326E-25</v>
      </c>
      <c r="BS189" s="22">
        <f t="shared" si="169"/>
        <v>12.773021033923948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267</v>
      </c>
      <c r="BZ189" s="13">
        <f>BY189*VLOOKUP('Données projet'!$B$12,Paramètres!$A$1:$I$89,3,0)*VLOOKUP('Données projet'!$B$12,Paramètres!$A$1:$I$89,5,0)</f>
        <v>241.58159999999998</v>
      </c>
      <c r="CA189" s="13">
        <f t="shared" si="170"/>
        <v>58.779689232021951</v>
      </c>
      <c r="CB189" s="20">
        <f t="shared" si="171"/>
        <v>523.12924541243819</v>
      </c>
      <c r="CC189" s="59">
        <f t="shared" si="119"/>
        <v>812.9260035182956</v>
      </c>
      <c r="CD189" s="59">
        <f ca="1">AVERAGE(OFFSET($CC$3,0,0,'Données projet'!$E$12+1,1))-AVERAGE(OFFSET($H$3,0,0,'Données projet'!$E$12+1,1))</f>
        <v>398.11190027805549</v>
      </c>
      <c r="CE189" s="59">
        <f t="shared" si="148"/>
        <v>250.47702091764884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18.526062267530332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18.526062267530332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21.709999999999326</v>
      </c>
      <c r="CU189" s="17">
        <f>CT189*VLOOKUP('Données projet'!$B$13,Paramètres!$A$1:$I$89,3,0)*VLOOKUP('Données projet'!$B$13,Paramètres!$A$1:$I$89,5,0)</f>
        <v>20.659235999999357</v>
      </c>
      <c r="CV189" s="13">
        <f t="shared" si="173"/>
        <v>6.6924790783679047</v>
      </c>
      <c r="CW189" s="20">
        <f t="shared" si="174"/>
        <v>47.637570428156316</v>
      </c>
      <c r="CX189" s="59">
        <f t="shared" si="122"/>
        <v>337.43432853401373</v>
      </c>
      <c r="CY189" s="59">
        <f ca="1">AVERAGE(OFFSET($CX$3,0,0,'Données projet'!$E$13+1,1))-AVERAGE(OFFSET($H$3,0,0,'Données projet'!$E$13+1,1))</f>
        <v>697.21496579281836</v>
      </c>
      <c r="CZ189" s="59">
        <f t="shared" si="150"/>
        <v>215.64914236153456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309.23855122880065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309.23855122880065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319</v>
      </c>
      <c r="DP189" s="17">
        <f>DO189*VLOOKUP('Données projet'!$B$14,Paramètres!$A$1:$I$89,3,0)*VLOOKUP('Données projet'!$B$14,Paramètres!$A$1:$I$89,5,0)</f>
        <v>278.67840000000001</v>
      </c>
      <c r="DQ189" s="13">
        <f t="shared" si="176"/>
        <v>66.687639951856809</v>
      </c>
      <c r="DR189" s="20">
        <f t="shared" si="177"/>
        <v>601.51251958281728</v>
      </c>
      <c r="DS189" s="59">
        <f t="shared" si="125"/>
        <v>891.30927768867468</v>
      </c>
      <c r="DT189" s="59">
        <f ca="1">AVERAGE(OFFSET($DS$3,0,0,'Données projet'!$E$14+1,1))-AVERAGE(OFFSET($H$3,0,0,'Données projet'!$E$14+1,1))</f>
        <v>408.24135864450221</v>
      </c>
      <c r="DU189" s="59">
        <f t="shared" si="152"/>
        <v>394.10236303013903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7.1544997360425668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7.1544997360425668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853.00000000000011</v>
      </c>
      <c r="O190" s="13">
        <f>N190*VLOOKUP('Données projet'!$B$9,Paramètres!$A$1:$I$89,3,0)*VLOOKUP('Données projet'!$B$9,Paramètres!$A$1:$I$89,5,0)</f>
        <v>399.20400000000006</v>
      </c>
      <c r="P190" s="13">
        <f t="shared" si="141"/>
        <v>91.615269732888521</v>
      </c>
      <c r="Q190" s="20">
        <f t="shared" si="162"/>
        <v>854.8435614514475</v>
      </c>
      <c r="R190" s="59">
        <f t="shared" si="109"/>
        <v>1144.7016712309039</v>
      </c>
      <c r="S190" s="59">
        <f ca="1">AVERAGE(OFFSET($R$3,0,0,'Données projet'!$E$9+1,1))-AVERAGE(OFFSET($H$3,0,0,'Données projet'!$E$9+1,1))</f>
        <v>512.58510468904342</v>
      </c>
      <c r="T190" s="59">
        <f t="shared" si="142"/>
        <v>443.6106696463529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16.651299100680415</v>
      </c>
      <c r="AA190" s="21">
        <f>EXP(-LN(2)/25)*AA189+(1-EXP(-LN(2)/25))/(LN(2)/25)*Calculateur!V190*Calculateur!X190*VLOOKUP('Données projet'!$B$9,Paramètres!$A$1:$I$89,3,0)*0.475*44/12</f>
        <v>0.63039875311044258</v>
      </c>
      <c r="AB190" s="21">
        <f>EXP(-LN(2)/2)*AB189+(1-EXP(-LN(2)/2))/(LN(2)/2)*V190*Y190*VLOOKUP('Données projet'!$B$9,Paramètres!$A$1:$I$89,3,0)*0.475*44/12</f>
        <v>1.8983349098507138E-24</v>
      </c>
      <c r="AC190" s="22">
        <f t="shared" si="163"/>
        <v>17.281697853790856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311.298</v>
      </c>
      <c r="AK190" s="13">
        <f t="shared" si="164"/>
        <v>73.539838278528748</v>
      </c>
      <c r="AL190" s="20">
        <f t="shared" si="165"/>
        <v>670.25923500177089</v>
      </c>
      <c r="AM190" s="59">
        <f t="shared" si="113"/>
        <v>960.1173447812273</v>
      </c>
      <c r="AN190" s="59">
        <f ca="1">AVERAGE(OFFSET($AM$3,0,0,'Données projet'!$E$10+1,1))-AVERAGE(OFFSET($H$3,0,0,'Données projet'!$E$10+1,1))</f>
        <v>520.95202773768222</v>
      </c>
      <c r="AO190" s="59">
        <f t="shared" si="144"/>
        <v>325.72635759450861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26.955417218188817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26.955417218188817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689</v>
      </c>
      <c r="BE190" s="13">
        <f>BD190*VLOOKUP('Données projet'!$B$11,Paramètres!$A$1:$I$89,3,0)*VLOOKUP('Données projet'!$B$11,Paramètres!$A$1:$I$89,5,0)</f>
        <v>412.02199999999999</v>
      </c>
      <c r="BF190" s="13">
        <f t="shared" si="167"/>
        <v>94.209724877926391</v>
      </c>
      <c r="BG190" s="20">
        <f t="shared" si="168"/>
        <v>881.686920829055</v>
      </c>
      <c r="BH190" s="59">
        <f t="shared" si="116"/>
        <v>1171.5450306085113</v>
      </c>
      <c r="BI190" s="59">
        <f ca="1">AVERAGE(OFFSET($BH$3,0,0,'Données projet'!$E$11+1,1))-AVERAGE(OFFSET($H$3,0,0,'Données projet'!$E$11+1,1))</f>
        <v>528.71639224940395</v>
      </c>
      <c r="BJ190" s="59">
        <f t="shared" si="146"/>
        <v>460.93390058676493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11.758829931621738</v>
      </c>
      <c r="BQ190" s="21">
        <f>EXP(-LN(2)/25)*BQ189+(1-EXP(-LN(2)/25))/(LN(2)/25)*Calculateur!BL190*Calculateur!BN190*VLOOKUP('Données projet'!$B$11,Paramètres!$A$1:$I$89,3,0)*0.475*44/12</f>
        <v>0.75769390369282696</v>
      </c>
      <c r="BR190" s="21">
        <f>EXP(-LN(2)/2)*BR189+(1-EXP(-LN(2)/2))/(LN(2)/2)*BL190*BO190*VLOOKUP('Données projet'!$B$11,Paramètres!$A$1:$I$89,3,0)*0.475*44/12</f>
        <v>1.2251383419653838E-25</v>
      </c>
      <c r="BS190" s="22">
        <f t="shared" si="169"/>
        <v>12.516523835314565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267</v>
      </c>
      <c r="BZ190" s="13">
        <f>BY190*VLOOKUP('Données projet'!$B$12,Paramètres!$A$1:$I$89,3,0)*VLOOKUP('Données projet'!$B$12,Paramètres!$A$1:$I$89,5,0)</f>
        <v>241.58159999999998</v>
      </c>
      <c r="CA190" s="13">
        <f t="shared" si="170"/>
        <v>58.779689232021951</v>
      </c>
      <c r="CB190" s="20">
        <f t="shared" si="171"/>
        <v>523.12924541243819</v>
      </c>
      <c r="CC190" s="59">
        <f t="shared" si="119"/>
        <v>812.98735519189461</v>
      </c>
      <c r="CD190" s="59">
        <f ca="1">AVERAGE(OFFSET($CC$3,0,0,'Données projet'!$E$12+1,1))-AVERAGE(OFFSET($H$3,0,0,'Données projet'!$E$12+1,1))</f>
        <v>398.11190027805549</v>
      </c>
      <c r="CE190" s="59">
        <f t="shared" si="148"/>
        <v>250.47702091764884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18.162777486246284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18.162777486246284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21.709999999999326</v>
      </c>
      <c r="CU190" s="17">
        <f>CT190*VLOOKUP('Données projet'!$B$13,Paramètres!$A$1:$I$89,3,0)*VLOOKUP('Données projet'!$B$13,Paramètres!$A$1:$I$89,5,0)</f>
        <v>20.659235999999357</v>
      </c>
      <c r="CV190" s="13">
        <f t="shared" si="173"/>
        <v>6.6924790783679047</v>
      </c>
      <c r="CW190" s="20">
        <f t="shared" si="174"/>
        <v>47.637570428156316</v>
      </c>
      <c r="CX190" s="59">
        <f t="shared" si="122"/>
        <v>337.49568020761274</v>
      </c>
      <c r="CY190" s="59">
        <f ca="1">AVERAGE(OFFSET($CX$3,0,0,'Données projet'!$E$13+1,1))-AVERAGE(OFFSET($H$3,0,0,'Données projet'!$E$13+1,1))</f>
        <v>697.21496579281836</v>
      </c>
      <c r="CZ190" s="59">
        <f t="shared" si="150"/>
        <v>215.64914236153456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303.17457185609572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303.17457185609572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319</v>
      </c>
      <c r="DP190" s="17">
        <f>DO190*VLOOKUP('Données projet'!$B$14,Paramètres!$A$1:$I$89,3,0)*VLOOKUP('Données projet'!$B$14,Paramètres!$A$1:$I$89,5,0)</f>
        <v>278.67840000000001</v>
      </c>
      <c r="DQ190" s="13">
        <f t="shared" si="176"/>
        <v>66.687639951856809</v>
      </c>
      <c r="DR190" s="20">
        <f t="shared" si="177"/>
        <v>601.51251958281728</v>
      </c>
      <c r="DS190" s="59">
        <f t="shared" si="125"/>
        <v>891.37062936227369</v>
      </c>
      <c r="DT190" s="59">
        <f ca="1">AVERAGE(OFFSET($DS$3,0,0,'Données projet'!$E$14+1,1))-AVERAGE(OFFSET($H$3,0,0,'Données projet'!$E$14+1,1))</f>
        <v>408.24135864450221</v>
      </c>
      <c r="DU190" s="59">
        <f t="shared" si="152"/>
        <v>394.10236303013903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7.0142043600327204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7.0142043600327204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853.00000000000011</v>
      </c>
      <c r="O191" s="13">
        <f>N191*VLOOKUP('Données projet'!$B$9,Paramètres!$A$1:$I$89,3,0)*VLOOKUP('Données projet'!$B$9,Paramètres!$A$1:$I$89,5,0)</f>
        <v>399.20400000000006</v>
      </c>
      <c r="P191" s="13">
        <f t="shared" si="141"/>
        <v>91.615269732888521</v>
      </c>
      <c r="Q191" s="20">
        <f t="shared" si="162"/>
        <v>854.8435614514475</v>
      </c>
      <c r="R191" s="59">
        <f t="shared" si="109"/>
        <v>1144.7619585901277</v>
      </c>
      <c r="S191" s="59">
        <f ca="1">AVERAGE(OFFSET($R$3,0,0,'Données projet'!$E$9+1,1))-AVERAGE(OFFSET($H$3,0,0,'Données projet'!$E$9+1,1))</f>
        <v>512.58510468904342</v>
      </c>
      <c r="T191" s="59">
        <f t="shared" si="142"/>
        <v>443.6106696463529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16.324777281605673</v>
      </c>
      <c r="AA191" s="21">
        <f>EXP(-LN(2)/25)*AA190+(1-EXP(-LN(2)/25))/(LN(2)/25)*Calculateur!V191*Calculateur!X191*VLOOKUP('Données projet'!$B$9,Paramètres!$A$1:$I$89,3,0)*0.475*44/12</f>
        <v>0.61316046605540786</v>
      </c>
      <c r="AB191" s="21">
        <f>EXP(-LN(2)/2)*AB190+(1-EXP(-LN(2)/2))/(LN(2)/2)*V191*Y191*VLOOKUP('Données projet'!$B$9,Paramètres!$A$1:$I$89,3,0)*0.475*44/12</f>
        <v>1.3423254877185932E-24</v>
      </c>
      <c r="AC191" s="22">
        <f t="shared" si="163"/>
        <v>16.937937747661081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311.298</v>
      </c>
      <c r="AK191" s="13">
        <f t="shared" si="164"/>
        <v>73.539838278528748</v>
      </c>
      <c r="AL191" s="20">
        <f t="shared" si="165"/>
        <v>670.25923500177089</v>
      </c>
      <c r="AM191" s="59">
        <f t="shared" si="113"/>
        <v>960.17763214045112</v>
      </c>
      <c r="AN191" s="59">
        <f ca="1">AVERAGE(OFFSET($AM$3,0,0,'Données projet'!$E$10+1,1))-AVERAGE(OFFSET($H$3,0,0,'Données projet'!$E$10+1,1))</f>
        <v>520.95202773768222</v>
      </c>
      <c r="AO191" s="59">
        <f t="shared" si="144"/>
        <v>325.72635759450861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26.426837927721206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26.426837927721206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689</v>
      </c>
      <c r="BE191" s="13">
        <f>BD191*VLOOKUP('Données projet'!$B$11,Paramètres!$A$1:$I$89,3,0)*VLOOKUP('Données projet'!$B$11,Paramètres!$A$1:$I$89,5,0)</f>
        <v>412.02199999999999</v>
      </c>
      <c r="BF191" s="13">
        <f t="shared" si="167"/>
        <v>94.209724877926391</v>
      </c>
      <c r="BG191" s="20">
        <f t="shared" si="168"/>
        <v>881.686920829055</v>
      </c>
      <c r="BH191" s="59">
        <f t="shared" si="116"/>
        <v>1171.6053179677351</v>
      </c>
      <c r="BI191" s="59">
        <f ca="1">AVERAGE(OFFSET($BH$3,0,0,'Données projet'!$E$11+1,1))-AVERAGE(OFFSET($H$3,0,0,'Données projet'!$E$11+1,1))</f>
        <v>528.71639224940395</v>
      </c>
      <c r="BJ191" s="59">
        <f t="shared" si="146"/>
        <v>460.93390058676493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11.528246448840701</v>
      </c>
      <c r="BQ191" s="21">
        <f>EXP(-LN(2)/25)*BQ190+(1-EXP(-LN(2)/25))/(LN(2)/25)*Calculateur!BL191*Calculateur!BN191*VLOOKUP('Données projet'!$B$11,Paramètres!$A$1:$I$89,3,0)*0.475*44/12</f>
        <v>0.73697472405095599</v>
      </c>
      <c r="BR191" s="21">
        <f>EXP(-LN(2)/2)*BR190+(1-EXP(-LN(2)/2))/(LN(2)/2)*BL191*BO191*VLOOKUP('Données projet'!$B$11,Paramètres!$A$1:$I$89,3,0)*0.475*44/12</f>
        <v>8.6630362949536631E-26</v>
      </c>
      <c r="BS191" s="22">
        <f t="shared" si="169"/>
        <v>12.265221172891657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267</v>
      </c>
      <c r="BZ191" s="13">
        <f>BY191*VLOOKUP('Données projet'!$B$12,Paramètres!$A$1:$I$89,3,0)*VLOOKUP('Données projet'!$B$12,Paramètres!$A$1:$I$89,5,0)</f>
        <v>241.58159999999998</v>
      </c>
      <c r="CA191" s="13">
        <f t="shared" si="170"/>
        <v>58.779689232021951</v>
      </c>
      <c r="CB191" s="20">
        <f t="shared" si="171"/>
        <v>523.12924541243819</v>
      </c>
      <c r="CC191" s="59">
        <f t="shared" si="119"/>
        <v>813.04764255111843</v>
      </c>
      <c r="CD191" s="59">
        <f ca="1">AVERAGE(OFFSET($CC$3,0,0,'Données projet'!$E$12+1,1))-AVERAGE(OFFSET($H$3,0,0,'Données projet'!$E$12+1,1))</f>
        <v>398.11190027805549</v>
      </c>
      <c r="CE191" s="59">
        <f t="shared" si="148"/>
        <v>250.47702091764884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17.806616497941381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17.806616497941381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21.709999999999326</v>
      </c>
      <c r="CU191" s="17">
        <f>CT191*VLOOKUP('Données projet'!$B$13,Paramètres!$A$1:$I$89,3,0)*VLOOKUP('Données projet'!$B$13,Paramètres!$A$1:$I$89,5,0)</f>
        <v>20.659235999999357</v>
      </c>
      <c r="CV191" s="13">
        <f t="shared" si="173"/>
        <v>6.6924790783679047</v>
      </c>
      <c r="CW191" s="20">
        <f t="shared" si="174"/>
        <v>47.637570428156316</v>
      </c>
      <c r="CX191" s="59">
        <f t="shared" si="122"/>
        <v>337.55596756683656</v>
      </c>
      <c r="CY191" s="59">
        <f ca="1">AVERAGE(OFFSET($CX$3,0,0,'Données projet'!$E$13+1,1))-AVERAGE(OFFSET($H$3,0,0,'Données projet'!$E$13+1,1))</f>
        <v>697.21496579281836</v>
      </c>
      <c r="CZ191" s="59">
        <f t="shared" si="150"/>
        <v>215.64914236153456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297.22950342022739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297.22950342022739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319</v>
      </c>
      <c r="DP191" s="17">
        <f>DO191*VLOOKUP('Données projet'!$B$14,Paramètres!$A$1:$I$89,3,0)*VLOOKUP('Données projet'!$B$14,Paramètres!$A$1:$I$89,5,0)</f>
        <v>278.67840000000001</v>
      </c>
      <c r="DQ191" s="13">
        <f t="shared" si="176"/>
        <v>66.687639951856809</v>
      </c>
      <c r="DR191" s="20">
        <f t="shared" si="177"/>
        <v>601.51251958281728</v>
      </c>
      <c r="DS191" s="59">
        <f t="shared" si="125"/>
        <v>891.43091672149751</v>
      </c>
      <c r="DT191" s="59">
        <f ca="1">AVERAGE(OFFSET($DS$3,0,0,'Données projet'!$E$14+1,1))-AVERAGE(OFFSET($H$3,0,0,'Données projet'!$E$14+1,1))</f>
        <v>408.24135864450221</v>
      </c>
      <c r="DU191" s="59">
        <f t="shared" si="152"/>
        <v>394.10236303013903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6.8766600907746973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6.8766600907746973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853.00000000000011</v>
      </c>
      <c r="O192" s="13">
        <f>N192*VLOOKUP('Données projet'!$B$9,Paramètres!$A$1:$I$89,3,0)*VLOOKUP('Données projet'!$B$9,Paramètres!$A$1:$I$89,5,0)</f>
        <v>399.20400000000006</v>
      </c>
      <c r="P192" s="13">
        <f t="shared" si="141"/>
        <v>91.615269732888521</v>
      </c>
      <c r="Q192" s="20">
        <f t="shared" si="162"/>
        <v>854.8435614514475</v>
      </c>
      <c r="R192" s="59">
        <f t="shared" si="109"/>
        <v>1144.8212000984513</v>
      </c>
      <c r="S192" s="59">
        <f ca="1">AVERAGE(OFFSET($R$3,0,0,'Données projet'!$E$9+1,1))-AVERAGE(OFFSET($H$3,0,0,'Données projet'!$E$9+1,1))</f>
        <v>512.58510468904342</v>
      </c>
      <c r="T192" s="59">
        <f t="shared" si="142"/>
        <v>443.6106696463529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16.004658356244342</v>
      </c>
      <c r="AA192" s="21">
        <f>EXP(-LN(2)/25)*AA191+(1-EXP(-LN(2)/25))/(LN(2)/25)*Calculateur!V192*Calculateur!X192*VLOOKUP('Données projet'!$B$9,Paramètres!$A$1:$I$89,3,0)*0.475*44/12</f>
        <v>0.59639356086641526</v>
      </c>
      <c r="AB192" s="21">
        <f>EXP(-LN(2)/2)*AB191+(1-EXP(-LN(2)/2))/(LN(2)/2)*V192*Y192*VLOOKUP('Données projet'!$B$9,Paramètres!$A$1:$I$89,3,0)*0.475*44/12</f>
        <v>9.4916745492535692E-25</v>
      </c>
      <c r="AC192" s="22">
        <f t="shared" si="163"/>
        <v>16.601051917110755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311.298</v>
      </c>
      <c r="AK192" s="13">
        <f t="shared" si="164"/>
        <v>73.539838278528748</v>
      </c>
      <c r="AL192" s="20">
        <f t="shared" si="165"/>
        <v>670.25923500177089</v>
      </c>
      <c r="AM192" s="59">
        <f t="shared" si="113"/>
        <v>960.23687364877469</v>
      </c>
      <c r="AN192" s="59">
        <f ca="1">AVERAGE(OFFSET($AM$3,0,0,'Données projet'!$E$10+1,1))-AVERAGE(OFFSET($H$3,0,0,'Données projet'!$E$10+1,1))</f>
        <v>520.95202773768222</v>
      </c>
      <c r="AO192" s="59">
        <f t="shared" si="144"/>
        <v>325.72635759450861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25.90862375473813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25.90862375473813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689</v>
      </c>
      <c r="BE192" s="13">
        <f>BD192*VLOOKUP('Données projet'!$B$11,Paramètres!$A$1:$I$89,3,0)*VLOOKUP('Données projet'!$B$11,Paramètres!$A$1:$I$89,5,0)</f>
        <v>412.02199999999999</v>
      </c>
      <c r="BF192" s="13">
        <f t="shared" si="167"/>
        <v>94.209724877926391</v>
      </c>
      <c r="BG192" s="20">
        <f t="shared" si="168"/>
        <v>881.686920829055</v>
      </c>
      <c r="BH192" s="59">
        <f t="shared" si="116"/>
        <v>1171.6645594760589</v>
      </c>
      <c r="BI192" s="59">
        <f ca="1">AVERAGE(OFFSET($BH$3,0,0,'Données projet'!$E$11+1,1))-AVERAGE(OFFSET($H$3,0,0,'Données projet'!$E$11+1,1))</f>
        <v>528.71639224940395</v>
      </c>
      <c r="BJ192" s="59">
        <f t="shared" si="146"/>
        <v>460.93390058676493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11.302184567514962</v>
      </c>
      <c r="BQ192" s="21">
        <f>EXP(-LN(2)/25)*BQ191+(1-EXP(-LN(2)/25))/(LN(2)/25)*Calculateur!BL192*Calculateur!BN192*VLOOKUP('Données projet'!$B$11,Paramètres!$A$1:$I$89,3,0)*0.475*44/12</f>
        <v>0.71682211146596619</v>
      </c>
      <c r="BR192" s="21">
        <f>EXP(-LN(2)/2)*BR191+(1-EXP(-LN(2)/2))/(LN(2)/2)*BL192*BO192*VLOOKUP('Données projet'!$B$11,Paramètres!$A$1:$I$89,3,0)*0.475*44/12</f>
        <v>6.1256917098269191E-26</v>
      </c>
      <c r="BS192" s="22">
        <f t="shared" si="169"/>
        <v>12.019006678980928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267</v>
      </c>
      <c r="BZ192" s="13">
        <f>BY192*VLOOKUP('Données projet'!$B$12,Paramètres!$A$1:$I$89,3,0)*VLOOKUP('Données projet'!$B$12,Paramètres!$A$1:$I$89,5,0)</f>
        <v>241.58159999999998</v>
      </c>
      <c r="CA192" s="13">
        <f t="shared" si="170"/>
        <v>58.779689232021951</v>
      </c>
      <c r="CB192" s="20">
        <f t="shared" si="171"/>
        <v>523.12924541243819</v>
      </c>
      <c r="CC192" s="59">
        <f t="shared" si="119"/>
        <v>813.10688405944211</v>
      </c>
      <c r="CD192" s="59">
        <f ca="1">AVERAGE(OFFSET($CC$3,0,0,'Données projet'!$E$12+1,1))-AVERAGE(OFFSET($H$3,0,0,'Données projet'!$E$12+1,1))</f>
        <v>398.11190027805549</v>
      </c>
      <c r="CE192" s="59">
        <f t="shared" si="148"/>
        <v>250.47702091764884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17.457439609380383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17.457439609380383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21.709999999999326</v>
      </c>
      <c r="CU192" s="17">
        <f>CT192*VLOOKUP('Données projet'!$B$13,Paramètres!$A$1:$I$89,3,0)*VLOOKUP('Données projet'!$B$13,Paramètres!$A$1:$I$89,5,0)</f>
        <v>20.659235999999357</v>
      </c>
      <c r="CV192" s="13">
        <f t="shared" si="173"/>
        <v>6.6924790783679047</v>
      </c>
      <c r="CW192" s="20">
        <f t="shared" si="174"/>
        <v>47.637570428156316</v>
      </c>
      <c r="CX192" s="59">
        <f t="shared" si="122"/>
        <v>337.61520907516018</v>
      </c>
      <c r="CY192" s="59">
        <f ca="1">AVERAGE(OFFSET($CX$3,0,0,'Données projet'!$E$13+1,1))-AVERAGE(OFFSET($H$3,0,0,'Données projet'!$E$13+1,1))</f>
        <v>697.21496579281836</v>
      </c>
      <c r="CZ192" s="59">
        <f t="shared" si="150"/>
        <v>215.64914236153456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291.40101415025271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291.40101415025271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319</v>
      </c>
      <c r="DP192" s="17">
        <f>DO192*VLOOKUP('Données projet'!$B$14,Paramètres!$A$1:$I$89,3,0)*VLOOKUP('Données projet'!$B$14,Paramètres!$A$1:$I$89,5,0)</f>
        <v>278.67840000000001</v>
      </c>
      <c r="DQ192" s="13">
        <f t="shared" si="176"/>
        <v>66.687639951856809</v>
      </c>
      <c r="DR192" s="20">
        <f t="shared" si="177"/>
        <v>601.51251958281728</v>
      </c>
      <c r="DS192" s="59">
        <f t="shared" si="125"/>
        <v>891.49015822982119</v>
      </c>
      <c r="DT192" s="59">
        <f ca="1">AVERAGE(OFFSET($DS$3,0,0,'Données projet'!$E$14+1,1))-AVERAGE(OFFSET($H$3,0,0,'Données projet'!$E$14+1,1))</f>
        <v>408.24135864450221</v>
      </c>
      <c r="DU192" s="59">
        <f t="shared" si="152"/>
        <v>394.10236303013903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6.7418129807431031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6.7418129807431031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853.00000000000011</v>
      </c>
      <c r="O193" s="13">
        <f>N193*VLOOKUP('Données projet'!$B$9,Paramètres!$A$1:$I$89,3,0)*VLOOKUP('Données projet'!$B$9,Paramètres!$A$1:$I$89,5,0)</f>
        <v>399.20400000000006</v>
      </c>
      <c r="P193" s="13">
        <f t="shared" si="141"/>
        <v>91.615269732888521</v>
      </c>
      <c r="Q193" s="20">
        <f t="shared" si="162"/>
        <v>854.8435614514475</v>
      </c>
      <c r="R193" s="59">
        <f t="shared" si="109"/>
        <v>1144.8794138990497</v>
      </c>
      <c r="S193" s="59">
        <f ca="1">AVERAGE(OFFSET($R$3,0,0,'Données projet'!$E$9+1,1))-AVERAGE(OFFSET($H$3,0,0,'Données projet'!$E$9+1,1))</f>
        <v>512.58510468904342</v>
      </c>
      <c r="T193" s="59">
        <f t="shared" si="142"/>
        <v>443.6106696463529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15.690816767756083</v>
      </c>
      <c r="AA193" s="21">
        <f>EXP(-LN(2)/25)*AA192+(1-EXP(-LN(2)/25))/(LN(2)/25)*Calculateur!V193*Calculateur!X193*VLOOKUP('Données projet'!$B$9,Paramètres!$A$1:$I$89,3,0)*0.475*44/12</f>
        <v>0.58008514758154883</v>
      </c>
      <c r="AB193" s="21">
        <f>EXP(-LN(2)/2)*AB192+(1-EXP(-LN(2)/2))/(LN(2)/2)*V193*Y193*VLOOKUP('Données projet'!$B$9,Paramètres!$A$1:$I$89,3,0)*0.475*44/12</f>
        <v>6.7116274385929659E-25</v>
      </c>
      <c r="AC193" s="22">
        <f t="shared" si="163"/>
        <v>16.270901915337632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311.298</v>
      </c>
      <c r="AK193" s="13">
        <f t="shared" si="164"/>
        <v>73.539838278528748</v>
      </c>
      <c r="AL193" s="20">
        <f t="shared" si="165"/>
        <v>670.25923500177089</v>
      </c>
      <c r="AM193" s="59">
        <f t="shared" si="113"/>
        <v>960.29508744937311</v>
      </c>
      <c r="AN193" s="59">
        <f ca="1">AVERAGE(OFFSET($AM$3,0,0,'Données projet'!$E$10+1,1))-AVERAGE(OFFSET($H$3,0,0,'Données projet'!$E$10+1,1))</f>
        <v>520.95202773768222</v>
      </c>
      <c r="AO193" s="59">
        <f t="shared" si="144"/>
        <v>325.72635759450861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25.40057144560782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25.40057144560782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689</v>
      </c>
      <c r="BE193" s="13">
        <f>BD193*VLOOKUP('Données projet'!$B$11,Paramètres!$A$1:$I$89,3,0)*VLOOKUP('Données projet'!$B$11,Paramètres!$A$1:$I$89,5,0)</f>
        <v>412.02199999999999</v>
      </c>
      <c r="BF193" s="13">
        <f t="shared" si="167"/>
        <v>94.209724877926391</v>
      </c>
      <c r="BG193" s="20">
        <f t="shared" si="168"/>
        <v>881.686920829055</v>
      </c>
      <c r="BH193" s="59">
        <f t="shared" si="116"/>
        <v>1171.7227732766573</v>
      </c>
      <c r="BI193" s="59">
        <f ca="1">AVERAGE(OFFSET($BH$3,0,0,'Données projet'!$E$11+1,1))-AVERAGE(OFFSET($H$3,0,0,'Données projet'!$E$11+1,1))</f>
        <v>528.71639224940395</v>
      </c>
      <c r="BJ193" s="59">
        <f t="shared" si="146"/>
        <v>460.93390058676493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11.080555621797888</v>
      </c>
      <c r="BQ193" s="21">
        <f>EXP(-LN(2)/25)*BQ192+(1-EXP(-LN(2)/25))/(LN(2)/25)*Calculateur!BL193*Calculateur!BN193*VLOOKUP('Données projet'!$B$11,Paramètres!$A$1:$I$89,3,0)*0.475*44/12</f>
        <v>0.69722057313189278</v>
      </c>
      <c r="BR193" s="21">
        <f>EXP(-LN(2)/2)*BR192+(1-EXP(-LN(2)/2))/(LN(2)/2)*BL193*BO193*VLOOKUP('Données projet'!$B$11,Paramètres!$A$1:$I$89,3,0)*0.475*44/12</f>
        <v>4.3315181474768316E-26</v>
      </c>
      <c r="BS193" s="22">
        <f t="shared" si="169"/>
        <v>11.777776194929782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267</v>
      </c>
      <c r="BZ193" s="13">
        <f>BY193*VLOOKUP('Données projet'!$B$12,Paramètres!$A$1:$I$89,3,0)*VLOOKUP('Données projet'!$B$12,Paramètres!$A$1:$I$89,5,0)</f>
        <v>241.58159999999998</v>
      </c>
      <c r="CA193" s="13">
        <f t="shared" si="170"/>
        <v>58.779689232021951</v>
      </c>
      <c r="CB193" s="20">
        <f t="shared" si="171"/>
        <v>523.12924541243819</v>
      </c>
      <c r="CC193" s="59">
        <f t="shared" si="119"/>
        <v>813.16509786004053</v>
      </c>
      <c r="CD193" s="59">
        <f ca="1">AVERAGE(OFFSET($CC$3,0,0,'Données projet'!$E$12+1,1))-AVERAGE(OFFSET($H$3,0,0,'Données projet'!$E$12+1,1))</f>
        <v>398.11190027805549</v>
      </c>
      <c r="CE193" s="59">
        <f t="shared" si="148"/>
        <v>250.47702091764884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17.115109866627193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17.115109866627193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21.709999999999326</v>
      </c>
      <c r="CU193" s="17">
        <f>CT193*VLOOKUP('Données projet'!$B$13,Paramètres!$A$1:$I$89,3,0)*VLOOKUP('Données projet'!$B$13,Paramètres!$A$1:$I$89,5,0)</f>
        <v>20.659235999999357</v>
      </c>
      <c r="CV193" s="13">
        <f t="shared" si="173"/>
        <v>6.6924790783679047</v>
      </c>
      <c r="CW193" s="20">
        <f t="shared" si="174"/>
        <v>47.637570428156316</v>
      </c>
      <c r="CX193" s="59">
        <f t="shared" si="122"/>
        <v>337.6734228757586</v>
      </c>
      <c r="CY193" s="59">
        <f ca="1">AVERAGE(OFFSET($CX$3,0,0,'Données projet'!$E$13+1,1))-AVERAGE(OFFSET($H$3,0,0,'Données projet'!$E$13+1,1))</f>
        <v>697.21496579281836</v>
      </c>
      <c r="CZ193" s="59">
        <f t="shared" si="150"/>
        <v>215.64914236153456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285.68681799983483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285.68681799983483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319</v>
      </c>
      <c r="DP193" s="17">
        <f>DO193*VLOOKUP('Données projet'!$B$14,Paramètres!$A$1:$I$89,3,0)*VLOOKUP('Données projet'!$B$14,Paramètres!$A$1:$I$89,5,0)</f>
        <v>278.67840000000001</v>
      </c>
      <c r="DQ193" s="13">
        <f t="shared" si="176"/>
        <v>66.687639951856809</v>
      </c>
      <c r="DR193" s="20">
        <f t="shared" si="177"/>
        <v>601.51251958281728</v>
      </c>
      <c r="DS193" s="59">
        <f t="shared" si="125"/>
        <v>891.54837203041961</v>
      </c>
      <c r="DT193" s="59">
        <f ca="1">AVERAGE(OFFSET($DS$3,0,0,'Données projet'!$E$14+1,1))-AVERAGE(OFFSET($H$3,0,0,'Données projet'!$E$14+1,1))</f>
        <v>408.24135864450221</v>
      </c>
      <c r="DU193" s="59">
        <f t="shared" si="152"/>
        <v>394.10236303013903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6.6096101402906129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6.6096101402906129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853.00000000000011</v>
      </c>
      <c r="O194" s="13">
        <f>N194*VLOOKUP('Données projet'!$B$9,Paramètres!$A$1:$I$89,3,0)*VLOOKUP('Données projet'!$B$9,Paramètres!$A$1:$I$89,5,0)</f>
        <v>399.20400000000006</v>
      </c>
      <c r="P194" s="13">
        <f t="shared" si="141"/>
        <v>91.615269732888521</v>
      </c>
      <c r="Q194" s="20">
        <f t="shared" si="162"/>
        <v>854.8435614514475</v>
      </c>
      <c r="R194" s="59">
        <f t="shared" si="109"/>
        <v>1144.9366178203543</v>
      </c>
      <c r="S194" s="59">
        <f ca="1">AVERAGE(OFFSET($R$3,0,0,'Données projet'!$E$9+1,1))-AVERAGE(OFFSET($H$3,0,0,'Données projet'!$E$9+1,1))</f>
        <v>512.58510468904342</v>
      </c>
      <c r="T194" s="59">
        <f t="shared" si="142"/>
        <v>443.6106696463529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15.38312942139361</v>
      </c>
      <c r="AA194" s="21">
        <f>EXP(-LN(2)/25)*AA193+(1-EXP(-LN(2)/25))/(LN(2)/25)*Calculateur!V194*Calculateur!X194*VLOOKUP('Données projet'!$B$9,Paramètres!$A$1:$I$89,3,0)*0.475*44/12</f>
        <v>0.56422268871557923</v>
      </c>
      <c r="AB194" s="21">
        <f>EXP(-LN(2)/2)*AB193+(1-EXP(-LN(2)/2))/(LN(2)/2)*V194*Y194*VLOOKUP('Données projet'!$B$9,Paramètres!$A$1:$I$89,3,0)*0.475*44/12</f>
        <v>4.7458372746267846E-25</v>
      </c>
      <c r="AC194" s="22">
        <f t="shared" si="163"/>
        <v>15.94735211010919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311.298</v>
      </c>
      <c r="AK194" s="13">
        <f t="shared" si="164"/>
        <v>73.539838278528748</v>
      </c>
      <c r="AL194" s="20">
        <f t="shared" si="165"/>
        <v>670.25923500177089</v>
      </c>
      <c r="AM194" s="59">
        <f t="shared" si="113"/>
        <v>960.35229137067768</v>
      </c>
      <c r="AN194" s="59">
        <f ca="1">AVERAGE(OFFSET($AM$3,0,0,'Données projet'!$E$10+1,1))-AVERAGE(OFFSET($H$3,0,0,'Données projet'!$E$10+1,1))</f>
        <v>520.95202773768222</v>
      </c>
      <c r="AO194" s="59">
        <f t="shared" si="144"/>
        <v>325.72635759450861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24.902481732378245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24.902481732378245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689</v>
      </c>
      <c r="BE194" s="13">
        <f>BD194*VLOOKUP('Données projet'!$B$11,Paramètres!$A$1:$I$89,3,0)*VLOOKUP('Données projet'!$B$11,Paramètres!$A$1:$I$89,5,0)</f>
        <v>412.02199999999999</v>
      </c>
      <c r="BF194" s="13">
        <f t="shared" si="167"/>
        <v>94.209724877926391</v>
      </c>
      <c r="BG194" s="20">
        <f t="shared" si="168"/>
        <v>881.686920829055</v>
      </c>
      <c r="BH194" s="59">
        <f t="shared" si="116"/>
        <v>1171.7799771979619</v>
      </c>
      <c r="BI194" s="59">
        <f ca="1">AVERAGE(OFFSET($BH$3,0,0,'Données projet'!$E$11+1,1))-AVERAGE(OFFSET($H$3,0,0,'Données projet'!$E$11+1,1))</f>
        <v>528.71639224940395</v>
      </c>
      <c r="BJ194" s="59">
        <f t="shared" si="146"/>
        <v>460.93390058676493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10.863272684526017</v>
      </c>
      <c r="BQ194" s="21">
        <f>EXP(-LN(2)/25)*BQ193+(1-EXP(-LN(2)/25))/(LN(2)/25)*Calculateur!BL194*Calculateur!BN194*VLOOKUP('Données projet'!$B$11,Paramètres!$A$1:$I$89,3,0)*0.475*44/12</f>
        <v>0.67815503989436476</v>
      </c>
      <c r="BR194" s="21">
        <f>EXP(-LN(2)/2)*BR193+(1-EXP(-LN(2)/2))/(LN(2)/2)*BL194*BO194*VLOOKUP('Données projet'!$B$11,Paramètres!$A$1:$I$89,3,0)*0.475*44/12</f>
        <v>3.0628458549134596E-26</v>
      </c>
      <c r="BS194" s="22">
        <f t="shared" si="169"/>
        <v>11.541427724420382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267</v>
      </c>
      <c r="BZ194" s="13">
        <f>BY194*VLOOKUP('Données projet'!$B$12,Paramètres!$A$1:$I$89,3,0)*VLOOKUP('Données projet'!$B$12,Paramètres!$A$1:$I$89,5,0)</f>
        <v>241.58159999999998</v>
      </c>
      <c r="CA194" s="13">
        <f t="shared" si="170"/>
        <v>58.779689232021951</v>
      </c>
      <c r="CB194" s="20">
        <f t="shared" si="171"/>
        <v>523.12924541243819</v>
      </c>
      <c r="CC194" s="59">
        <f t="shared" si="119"/>
        <v>813.2223017813451</v>
      </c>
      <c r="CD194" s="59">
        <f ca="1">AVERAGE(OFFSET($CC$3,0,0,'Données projet'!$E$12+1,1))-AVERAGE(OFFSET($H$3,0,0,'Données projet'!$E$12+1,1))</f>
        <v>398.11190027805549</v>
      </c>
      <c r="CE194" s="59">
        <f t="shared" si="148"/>
        <v>250.47702091764884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16.77949300132887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16.77949300132887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21.709999999999326</v>
      </c>
      <c r="CU194" s="17">
        <f>CT194*VLOOKUP('Données projet'!$B$13,Paramètres!$A$1:$I$89,3,0)*VLOOKUP('Données projet'!$B$13,Paramètres!$A$1:$I$89,5,0)</f>
        <v>20.659235999999357</v>
      </c>
      <c r="CV194" s="13">
        <f t="shared" si="173"/>
        <v>6.6924790783679047</v>
      </c>
      <c r="CW194" s="20">
        <f t="shared" si="174"/>
        <v>47.637570428156316</v>
      </c>
      <c r="CX194" s="59">
        <f t="shared" si="122"/>
        <v>337.73062679706317</v>
      </c>
      <c r="CY194" s="59">
        <f ca="1">AVERAGE(OFFSET($CX$3,0,0,'Données projet'!$E$13+1,1))-AVERAGE(OFFSET($H$3,0,0,'Données projet'!$E$13+1,1))</f>
        <v>697.21496579281836</v>
      </c>
      <c r="CZ194" s="59">
        <f t="shared" si="150"/>
        <v>215.64914236153456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280.0846737506111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280.0846737506111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319</v>
      </c>
      <c r="DP194" s="17">
        <f>DO194*VLOOKUP('Données projet'!$B$14,Paramètres!$A$1:$I$89,3,0)*VLOOKUP('Données projet'!$B$14,Paramètres!$A$1:$I$89,5,0)</f>
        <v>278.67840000000001</v>
      </c>
      <c r="DQ194" s="13">
        <f t="shared" si="176"/>
        <v>66.687639951856809</v>
      </c>
      <c r="DR194" s="20">
        <f t="shared" si="177"/>
        <v>601.51251958281728</v>
      </c>
      <c r="DS194" s="59">
        <f t="shared" si="125"/>
        <v>891.60557595172418</v>
      </c>
      <c r="DT194" s="59">
        <f ca="1">AVERAGE(OFFSET($DS$3,0,0,'Données projet'!$E$14+1,1))-AVERAGE(OFFSET($H$3,0,0,'Données projet'!$E$14+1,1))</f>
        <v>408.24135864450221</v>
      </c>
      <c r="DU194" s="59">
        <f t="shared" si="152"/>
        <v>394.10236303013903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6.4799997169036256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6.4799997169036256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853.00000000000011</v>
      </c>
      <c r="O195" s="13">
        <f>N195*VLOOKUP('Données projet'!$B$9,Paramètres!$A$1:$I$89,3,0)*VLOOKUP('Données projet'!$B$9,Paramètres!$A$1:$I$89,5,0)</f>
        <v>399.20400000000006</v>
      </c>
      <c r="P195" s="13">
        <f t="shared" si="141"/>
        <v>91.615269732888521</v>
      </c>
      <c r="Q195" s="20">
        <f t="shared" si="162"/>
        <v>854.8435614514475</v>
      </c>
      <c r="R195" s="59">
        <f t="shared" ref="R195:R203" si="191">Q195+(I195+J195)*44/12</f>
        <v>1144.9928293815133</v>
      </c>
      <c r="S195" s="59">
        <f ca="1">AVERAGE(OFFSET($R$3,0,0,'Données projet'!$E$9+1,1))-AVERAGE(OFFSET($H$3,0,0,'Données projet'!$E$9+1,1))</f>
        <v>512.58510468904342</v>
      </c>
      <c r="T195" s="59">
        <f t="shared" si="142"/>
        <v>443.6106696463529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15.081475636222555</v>
      </c>
      <c r="AA195" s="21">
        <f>EXP(-LN(2)/25)*AA194+(1-EXP(-LN(2)/25))/(LN(2)/25)*Calculateur!V195*Calculateur!X195*VLOOKUP('Données projet'!$B$9,Paramètres!$A$1:$I$89,3,0)*0.475*44/12</f>
        <v>0.54879398962147008</v>
      </c>
      <c r="AB195" s="21">
        <f>EXP(-LN(2)/2)*AB194+(1-EXP(-LN(2)/2))/(LN(2)/2)*V195*Y195*VLOOKUP('Données projet'!$B$9,Paramètres!$A$1:$I$89,3,0)*0.475*44/12</f>
        <v>3.3558137192964829E-25</v>
      </c>
      <c r="AC195" s="22">
        <f t="shared" si="163"/>
        <v>15.630269625844026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311.298</v>
      </c>
      <c r="AK195" s="13">
        <f t="shared" si="164"/>
        <v>73.539838278528748</v>
      </c>
      <c r="AL195" s="20">
        <f t="shared" si="165"/>
        <v>670.25923500177089</v>
      </c>
      <c r="AM195" s="59">
        <f t="shared" si="113"/>
        <v>960.40850293183655</v>
      </c>
      <c r="AN195" s="59">
        <f ca="1">AVERAGE(OFFSET($AM$3,0,0,'Données projet'!$E$10+1,1))-AVERAGE(OFFSET($H$3,0,0,'Données projet'!$E$10+1,1))</f>
        <v>520.95202773768222</v>
      </c>
      <c r="AO195" s="59">
        <f t="shared" si="144"/>
        <v>325.72635759450861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24.414159254620373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24.414159254620373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689</v>
      </c>
      <c r="BE195" s="13">
        <f>BD195*VLOOKUP('Données projet'!$B$11,Paramètres!$A$1:$I$89,3,0)*VLOOKUP('Données projet'!$B$11,Paramètres!$A$1:$I$89,5,0)</f>
        <v>412.02199999999999</v>
      </c>
      <c r="BF195" s="13">
        <f t="shared" si="167"/>
        <v>94.209724877926391</v>
      </c>
      <c r="BG195" s="20">
        <f t="shared" si="168"/>
        <v>881.686920829055</v>
      </c>
      <c r="BH195" s="59">
        <f t="shared" si="116"/>
        <v>1171.8361887591207</v>
      </c>
      <c r="BI195" s="59">
        <f ca="1">AVERAGE(OFFSET($BH$3,0,0,'Données projet'!$E$11+1,1))-AVERAGE(OFFSET($H$3,0,0,'Données projet'!$E$11+1,1))</f>
        <v>528.71639224940395</v>
      </c>
      <c r="BJ195" s="59">
        <f t="shared" si="146"/>
        <v>460.93390058676493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10.650250533124542</v>
      </c>
      <c r="BQ195" s="21">
        <f>EXP(-LN(2)/25)*BQ194+(1-EXP(-LN(2)/25))/(LN(2)/25)*Calculateur!BL195*Calculateur!BN195*VLOOKUP('Données projet'!$B$11,Paramètres!$A$1:$I$89,3,0)*0.475*44/12</f>
        <v>0.6596108546658298</v>
      </c>
      <c r="BR195" s="21">
        <f>EXP(-LN(2)/2)*BR194+(1-EXP(-LN(2)/2))/(LN(2)/2)*BL195*BO195*VLOOKUP('Données projet'!$B$11,Paramètres!$A$1:$I$89,3,0)*0.475*44/12</f>
        <v>2.1657590737384158E-26</v>
      </c>
      <c r="BS195" s="22">
        <f t="shared" si="169"/>
        <v>11.309861387790372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267</v>
      </c>
      <c r="BZ195" s="13">
        <f>BY195*VLOOKUP('Données projet'!$B$12,Paramètres!$A$1:$I$89,3,0)*VLOOKUP('Données projet'!$B$12,Paramètres!$A$1:$I$89,5,0)</f>
        <v>241.58159999999998</v>
      </c>
      <c r="CA195" s="13">
        <f t="shared" si="170"/>
        <v>58.779689232021951</v>
      </c>
      <c r="CB195" s="20">
        <f t="shared" si="171"/>
        <v>523.12924541243819</v>
      </c>
      <c r="CC195" s="59">
        <f t="shared" si="119"/>
        <v>813.27851334250386</v>
      </c>
      <c r="CD195" s="59">
        <f ca="1">AVERAGE(OFFSET($CC$3,0,0,'Données projet'!$E$12+1,1))-AVERAGE(OFFSET($H$3,0,0,'Données projet'!$E$12+1,1))</f>
        <v>398.11190027805549</v>
      </c>
      <c r="CE195" s="59">
        <f t="shared" si="148"/>
        <v>250.47702091764884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16.45045737805297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16.45045737805297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21.709999999999326</v>
      </c>
      <c r="CU195" s="17">
        <f>CT195*VLOOKUP('Données projet'!$B$13,Paramètres!$A$1:$I$89,3,0)*VLOOKUP('Données projet'!$B$13,Paramètres!$A$1:$I$89,5,0)</f>
        <v>20.659235999999357</v>
      </c>
      <c r="CV195" s="13">
        <f t="shared" si="173"/>
        <v>6.6924790783679047</v>
      </c>
      <c r="CW195" s="20">
        <f t="shared" si="174"/>
        <v>47.637570428156316</v>
      </c>
      <c r="CX195" s="59">
        <f t="shared" si="122"/>
        <v>337.78683835822198</v>
      </c>
      <c r="CY195" s="59">
        <f ca="1">AVERAGE(OFFSET($CX$3,0,0,'Données projet'!$E$13+1,1))-AVERAGE(OFFSET($H$3,0,0,'Données projet'!$E$13+1,1))</f>
        <v>697.21496579281836</v>
      </c>
      <c r="CZ195" s="59">
        <f t="shared" si="150"/>
        <v>215.64914236153456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274.59238413314409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274.59238413314409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319</v>
      </c>
      <c r="DP195" s="17">
        <f>DO195*VLOOKUP('Données projet'!$B$14,Paramètres!$A$1:$I$89,3,0)*VLOOKUP('Données projet'!$B$14,Paramètres!$A$1:$I$89,5,0)</f>
        <v>278.67840000000001</v>
      </c>
      <c r="DQ195" s="13">
        <f t="shared" si="176"/>
        <v>66.687639951856809</v>
      </c>
      <c r="DR195" s="20">
        <f t="shared" si="177"/>
        <v>601.51251958281728</v>
      </c>
      <c r="DS195" s="59">
        <f t="shared" si="125"/>
        <v>891.66178751288294</v>
      </c>
      <c r="DT195" s="59">
        <f ca="1">AVERAGE(OFFSET($DS$3,0,0,'Données projet'!$E$14+1,1))-AVERAGE(OFFSET($H$3,0,0,'Données projet'!$E$14+1,1))</f>
        <v>408.24135864450221</v>
      </c>
      <c r="DU195" s="59">
        <f t="shared" si="152"/>
        <v>394.10236303013903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6.3529308748647049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6.3529308748647049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853.00000000000011</v>
      </c>
      <c r="O196" s="13">
        <f>N196*VLOOKUP('Données projet'!$B$9,Paramètres!$A$1:$I$89,3,0)*VLOOKUP('Données projet'!$B$9,Paramètres!$A$1:$I$89,5,0)</f>
        <v>399.20400000000006</v>
      </c>
      <c r="P196" s="13">
        <f t="shared" si="141"/>
        <v>91.615269732888521</v>
      </c>
      <c r="Q196" s="20">
        <f t="shared" si="162"/>
        <v>854.8435614514475</v>
      </c>
      <c r="R196" s="59">
        <f t="shared" si="191"/>
        <v>1145.048065797756</v>
      </c>
      <c r="S196" s="59">
        <f ca="1">AVERAGE(OFFSET($R$3,0,0,'Données projet'!$E$9+1,1))-AVERAGE(OFFSET($H$3,0,0,'Données projet'!$E$9+1,1))</f>
        <v>512.58510468904342</v>
      </c>
      <c r="T196" s="59">
        <f t="shared" si="142"/>
        <v>443.6106696463529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14.785737097788063</v>
      </c>
      <c r="AA196" s="21">
        <f>EXP(-LN(2)/25)*AA195+(1-EXP(-LN(2)/25))/(LN(2)/25)*Calculateur!V196*Calculateur!X196*VLOOKUP('Données projet'!$B$9,Paramètres!$A$1:$I$89,3,0)*0.475*44/12</f>
        <v>0.53378718911544931</v>
      </c>
      <c r="AB196" s="21">
        <f>EXP(-LN(2)/2)*AB195+(1-EXP(-LN(2)/2))/(LN(2)/2)*V196*Y196*VLOOKUP('Données projet'!$B$9,Paramètres!$A$1:$I$89,3,0)*0.475*44/12</f>
        <v>2.3729186373133923E-25</v>
      </c>
      <c r="AC196" s="22">
        <f t="shared" si="163"/>
        <v>15.319524286903512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311.298</v>
      </c>
      <c r="AK196" s="13">
        <f t="shared" si="164"/>
        <v>73.539838278528748</v>
      </c>
      <c r="AL196" s="20">
        <f t="shared" si="165"/>
        <v>670.25923500177089</v>
      </c>
      <c r="AM196" s="59">
        <f t="shared" ref="AM196:AM203" si="193">AL196+(AD196+AE196)*44/12</f>
        <v>960.46373934807934</v>
      </c>
      <c r="AN196" s="59">
        <f ca="1">AVERAGE(OFFSET($AM$3,0,0,'Données projet'!$E$10+1,1))-AVERAGE(OFFSET($H$3,0,0,'Données projet'!$E$10+1,1))</f>
        <v>520.95202773768222</v>
      </c>
      <c r="AO196" s="59">
        <f t="shared" si="144"/>
        <v>325.72635759450861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23.935412482804033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23.935412482804033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689</v>
      </c>
      <c r="BE196" s="13">
        <f>BD196*VLOOKUP('Données projet'!$B$11,Paramètres!$A$1:$I$89,3,0)*VLOOKUP('Données projet'!$B$11,Paramètres!$A$1:$I$89,5,0)</f>
        <v>412.02199999999999</v>
      </c>
      <c r="BF196" s="13">
        <f t="shared" si="167"/>
        <v>94.209724877926391</v>
      </c>
      <c r="BG196" s="20">
        <f t="shared" si="168"/>
        <v>881.686920829055</v>
      </c>
      <c r="BH196" s="59">
        <f t="shared" ref="BH196:BH203" si="194">BG196+(AY196+AZ196)*44/12</f>
        <v>1171.8914251753636</v>
      </c>
      <c r="BI196" s="59">
        <f ca="1">AVERAGE(OFFSET($BH$3,0,0,'Données projet'!$E$11+1,1))-AVERAGE(OFFSET($H$3,0,0,'Données projet'!$E$11+1,1))</f>
        <v>528.71639224940395</v>
      </c>
      <c r="BJ196" s="59">
        <f t="shared" si="146"/>
        <v>460.93390058676493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10.441405616181367</v>
      </c>
      <c r="BQ196" s="21">
        <f>EXP(-LN(2)/25)*BQ195+(1-EXP(-LN(2)/25))/(LN(2)/25)*Calculateur!BL196*Calculateur!BN196*VLOOKUP('Données projet'!$B$11,Paramètres!$A$1:$I$89,3,0)*0.475*44/12</f>
        <v>0.64157376115756537</v>
      </c>
      <c r="BR196" s="21">
        <f>EXP(-LN(2)/2)*BR195+(1-EXP(-LN(2)/2))/(LN(2)/2)*BL196*BO196*VLOOKUP('Données projet'!$B$11,Paramètres!$A$1:$I$89,3,0)*0.475*44/12</f>
        <v>1.5314229274567298E-26</v>
      </c>
      <c r="BS196" s="22">
        <f t="shared" si="169"/>
        <v>11.082979377338932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267</v>
      </c>
      <c r="BZ196" s="13">
        <f>BY196*VLOOKUP('Données projet'!$B$12,Paramètres!$A$1:$I$89,3,0)*VLOOKUP('Données projet'!$B$12,Paramètres!$A$1:$I$89,5,0)</f>
        <v>241.58159999999998</v>
      </c>
      <c r="CA196" s="13">
        <f t="shared" si="170"/>
        <v>58.779689232021951</v>
      </c>
      <c r="CB196" s="20">
        <f t="shared" si="171"/>
        <v>523.12924541243819</v>
      </c>
      <c r="CC196" s="59">
        <f t="shared" ref="CC196:CC203" si="195">CB196+(BT196+BU196)*44/12</f>
        <v>813.33374975874676</v>
      </c>
      <c r="CD196" s="59">
        <f ca="1">AVERAGE(OFFSET($CC$3,0,0,'Données projet'!$E$12+1,1))-AVERAGE(OFFSET($H$3,0,0,'Données projet'!$E$12+1,1))</f>
        <v>398.11190027805549</v>
      </c>
      <c r="CE196" s="59">
        <f t="shared" si="148"/>
        <v>250.47702091764884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16.127873942657597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16.127873942657597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21.709999999999326</v>
      </c>
      <c r="CU196" s="17">
        <f>CT196*VLOOKUP('Données projet'!$B$13,Paramètres!$A$1:$I$89,3,0)*VLOOKUP('Données projet'!$B$13,Paramètres!$A$1:$I$89,5,0)</f>
        <v>20.659235999999357</v>
      </c>
      <c r="CV196" s="13">
        <f t="shared" si="173"/>
        <v>6.6924790783679047</v>
      </c>
      <c r="CW196" s="20">
        <f t="shared" si="174"/>
        <v>47.637570428156316</v>
      </c>
      <c r="CX196" s="59">
        <f t="shared" ref="CX196:CX203" si="196">CW196+(CO196+CP196)*44/12</f>
        <v>337.84207477446483</v>
      </c>
      <c r="CY196" s="59">
        <f ca="1">AVERAGE(OFFSET($CX$3,0,0,'Données projet'!$E$13+1,1))-AVERAGE(OFFSET($H$3,0,0,'Données projet'!$E$13+1,1))</f>
        <v>697.21496579281836</v>
      </c>
      <c r="CZ196" s="59">
        <f t="shared" si="150"/>
        <v>215.64914236153456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269.20779496510971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269.20779496510971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319</v>
      </c>
      <c r="DP196" s="17">
        <f>DO196*VLOOKUP('Données projet'!$B$14,Paramètres!$A$1:$I$89,3,0)*VLOOKUP('Données projet'!$B$14,Paramètres!$A$1:$I$89,5,0)</f>
        <v>278.67840000000001</v>
      </c>
      <c r="DQ196" s="13">
        <f t="shared" si="176"/>
        <v>66.687639951856809</v>
      </c>
      <c r="DR196" s="20">
        <f t="shared" si="177"/>
        <v>601.51251958281728</v>
      </c>
      <c r="DS196" s="59">
        <f t="shared" ref="DS196:DS203" si="197">DR196+(DJ196+DK196)*44/12</f>
        <v>891.71702392912584</v>
      </c>
      <c r="DT196" s="59">
        <f ca="1">AVERAGE(OFFSET($DS$3,0,0,'Données projet'!$E$14+1,1))-AVERAGE(OFFSET($H$3,0,0,'Données projet'!$E$14+1,1))</f>
        <v>408.24135864450221</v>
      </c>
      <c r="DU196" s="59">
        <f t="shared" si="152"/>
        <v>394.10236303013903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6.2283537753138267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6.2283537753138267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853.00000000000011</v>
      </c>
      <c r="O197" s="13">
        <f>N197*VLOOKUP('Données projet'!$B$9,Paramètres!$A$1:$I$89,3,0)*VLOOKUP('Données projet'!$B$9,Paramètres!$A$1:$I$89,5,0)</f>
        <v>399.20400000000006</v>
      </c>
      <c r="P197" s="13">
        <f t="shared" ref="P197:P203" si="203">EXP(-1.0587+0.8836*LN(O197)+0.284)</f>
        <v>91.615269732888521</v>
      </c>
      <c r="Q197" s="20">
        <f t="shared" si="162"/>
        <v>854.8435614514475</v>
      </c>
      <c r="R197" s="59">
        <f t="shared" si="191"/>
        <v>1145.1023439856672</v>
      </c>
      <c r="S197" s="59">
        <f ca="1">AVERAGE(OFFSET($R$3,0,0,'Données projet'!$E$9+1,1))-AVERAGE(OFFSET($H$3,0,0,'Données projet'!$E$9+1,1))</f>
        <v>512.58510468904342</v>
      </c>
      <c r="T197" s="59">
        <f t="shared" ref="T197:T203" si="204">$T$3</f>
        <v>443.6106696463529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14.495797811709576</v>
      </c>
      <c r="AA197" s="21">
        <f>EXP(-LN(2)/25)*AA196+(1-EXP(-LN(2)/25))/(LN(2)/25)*Calculateur!V197*Calculateur!X197*VLOOKUP('Données projet'!$B$9,Paramètres!$A$1:$I$89,3,0)*0.475*44/12</f>
        <v>0.51919075035843909</v>
      </c>
      <c r="AB197" s="21">
        <f>EXP(-LN(2)/2)*AB196+(1-EXP(-LN(2)/2))/(LN(2)/2)*V197*Y197*VLOOKUP('Données projet'!$B$9,Paramètres!$A$1:$I$89,3,0)*0.475*44/12</f>
        <v>1.6779068596482415E-25</v>
      </c>
      <c r="AC197" s="22">
        <f t="shared" si="163"/>
        <v>15.014988562068014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311.298</v>
      </c>
      <c r="AK197" s="13">
        <f t="shared" si="164"/>
        <v>73.539838278528748</v>
      </c>
      <c r="AL197" s="20">
        <f t="shared" si="165"/>
        <v>670.25923500177089</v>
      </c>
      <c r="AM197" s="59">
        <f t="shared" si="193"/>
        <v>960.51801753599057</v>
      </c>
      <c r="AN197" s="59">
        <f ca="1">AVERAGE(OFFSET($AM$3,0,0,'Données projet'!$E$10+1,1))-AVERAGE(OFFSET($H$3,0,0,'Données projet'!$E$10+1,1))</f>
        <v>520.95202773768222</v>
      </c>
      <c r="AO197" s="59">
        <f t="shared" ref="AO197:AO203" si="205">$AO$3</f>
        <v>325.72635759450861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23.466053643176313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23.466053643176313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689</v>
      </c>
      <c r="BE197" s="13">
        <f>BD197*VLOOKUP('Données projet'!$B$11,Paramètres!$A$1:$I$89,3,0)*VLOOKUP('Données projet'!$B$11,Paramètres!$A$1:$I$89,5,0)</f>
        <v>412.02199999999999</v>
      </c>
      <c r="BF197" s="13">
        <f t="shared" si="167"/>
        <v>94.209724877926391</v>
      </c>
      <c r="BG197" s="20">
        <f t="shared" si="168"/>
        <v>881.686920829055</v>
      </c>
      <c r="BH197" s="59">
        <f t="shared" si="194"/>
        <v>1171.9457033632748</v>
      </c>
      <c r="BI197" s="59">
        <f ca="1">AVERAGE(OFFSET($BH$3,0,0,'Données projet'!$E$11+1,1))-AVERAGE(OFFSET($H$3,0,0,'Données projet'!$E$11+1,1))</f>
        <v>528.71639224940395</v>
      </c>
      <c r="BJ197" s="59">
        <f t="shared" ref="BJ197:BJ203" si="206">$BJ$3</f>
        <v>460.93390058676493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10.236656020676627</v>
      </c>
      <c r="BQ197" s="21">
        <f>EXP(-LN(2)/25)*BQ196+(1-EXP(-LN(2)/25))/(LN(2)/25)*Calculateur!BL197*Calculateur!BN197*VLOOKUP('Données projet'!$B$11,Paramètres!$A$1:$I$89,3,0)*0.475*44/12</f>
        <v>0.62402989291981403</v>
      </c>
      <c r="BR197" s="21">
        <f>EXP(-LN(2)/2)*BR196+(1-EXP(-LN(2)/2))/(LN(2)/2)*BL197*BO197*VLOOKUP('Données projet'!$B$11,Paramètres!$A$1:$I$89,3,0)*0.475*44/12</f>
        <v>1.0828795368692079E-26</v>
      </c>
      <c r="BS197" s="22">
        <f t="shared" si="169"/>
        <v>10.860685913596441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267</v>
      </c>
      <c r="BZ197" s="13">
        <f>BY197*VLOOKUP('Données projet'!$B$12,Paramètres!$A$1:$I$89,3,0)*VLOOKUP('Données projet'!$B$12,Paramètres!$A$1:$I$89,5,0)</f>
        <v>241.58159999999998</v>
      </c>
      <c r="CA197" s="13">
        <f t="shared" si="170"/>
        <v>58.779689232021951</v>
      </c>
      <c r="CB197" s="20">
        <f t="shared" si="171"/>
        <v>523.12924541243819</v>
      </c>
      <c r="CC197" s="59">
        <f t="shared" si="195"/>
        <v>813.38802794665799</v>
      </c>
      <c r="CD197" s="59">
        <f ca="1">AVERAGE(OFFSET($CC$3,0,0,'Données projet'!$E$12+1,1))-AVERAGE(OFFSET($H$3,0,0,'Données projet'!$E$12+1,1))</f>
        <v>398.11190027805549</v>
      </c>
      <c r="CE197" s="59">
        <f t="shared" ref="CE197:CE203" si="207">$CE$3</f>
        <v>250.47702091764884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15.81161617167386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15.81161617167386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21.709999999999326</v>
      </c>
      <c r="CU197" s="17">
        <f>CT197*VLOOKUP('Données projet'!$B$13,Paramètres!$A$1:$I$89,3,0)*VLOOKUP('Données projet'!$B$13,Paramètres!$A$1:$I$89,5,0)</f>
        <v>20.659235999999357</v>
      </c>
      <c r="CV197" s="13">
        <f t="shared" si="173"/>
        <v>6.6924790783679047</v>
      </c>
      <c r="CW197" s="20">
        <f t="shared" si="174"/>
        <v>47.637570428156316</v>
      </c>
      <c r="CX197" s="59">
        <f t="shared" si="196"/>
        <v>337.89635296237606</v>
      </c>
      <c r="CY197" s="59">
        <f ca="1">AVERAGE(OFFSET($CX$3,0,0,'Données projet'!$E$13+1,1))-AVERAGE(OFFSET($H$3,0,0,'Données projet'!$E$13+1,1))</f>
        <v>697.21496579281836</v>
      </c>
      <c r="CZ197" s="59">
        <f t="shared" ref="CZ197:CZ203" si="208">$CZ$3</f>
        <v>215.64914236153456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263.92879430638538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263.92879430638538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319</v>
      </c>
      <c r="DP197" s="17">
        <f>DO197*VLOOKUP('Données projet'!$B$14,Paramètres!$A$1:$I$89,3,0)*VLOOKUP('Données projet'!$B$14,Paramètres!$A$1:$I$89,5,0)</f>
        <v>278.67840000000001</v>
      </c>
      <c r="DQ197" s="13">
        <f t="shared" si="176"/>
        <v>66.687639951856809</v>
      </c>
      <c r="DR197" s="20">
        <f t="shared" si="177"/>
        <v>601.51251958281728</v>
      </c>
      <c r="DS197" s="59">
        <f t="shared" si="197"/>
        <v>891.77130211703707</v>
      </c>
      <c r="DT197" s="59">
        <f ca="1">AVERAGE(OFFSET($DS$3,0,0,'Données projet'!$E$14+1,1))-AVERAGE(OFFSET($H$3,0,0,'Données projet'!$E$14+1,1))</f>
        <v>408.24135864450221</v>
      </c>
      <c r="DU197" s="59">
        <f t="shared" ref="DU197:DU203" si="209">$DU$3</f>
        <v>394.10236303013903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6.106219556700613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6.106219556700613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853.00000000000011</v>
      </c>
      <c r="O198" s="13">
        <f>N198*VLOOKUP('Données projet'!$B$9,Paramètres!$A$1:$I$89,3,0)*VLOOKUP('Données projet'!$B$9,Paramètres!$A$1:$I$89,5,0)</f>
        <v>399.20400000000006</v>
      </c>
      <c r="P198" s="13">
        <f t="shared" si="203"/>
        <v>91.615269732888521</v>
      </c>
      <c r="Q198" s="20">
        <f t="shared" si="162"/>
        <v>854.8435614514475</v>
      </c>
      <c r="R198" s="59">
        <f t="shared" si="191"/>
        <v>1145.1556805683661</v>
      </c>
      <c r="S198" s="59">
        <f ca="1">AVERAGE(OFFSET($R$3,0,0,'Données projet'!$E$9+1,1))-AVERAGE(OFFSET($H$3,0,0,'Données projet'!$E$9+1,1))</f>
        <v>512.58510468904342</v>
      </c>
      <c r="T198" s="59">
        <f t="shared" si="204"/>
        <v>443.6106696463529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14.211544058185584</v>
      </c>
      <c r="AA198" s="21">
        <f>EXP(-LN(2)/25)*AA197+(1-EXP(-LN(2)/25))/(LN(2)/25)*Calculateur!V198*Calculateur!X198*VLOOKUP('Données projet'!$B$9,Paramètres!$A$1:$I$89,3,0)*0.475*44/12</f>
        <v>0.50499345198683265</v>
      </c>
      <c r="AB198" s="21">
        <f>EXP(-LN(2)/2)*AB197+(1-EXP(-LN(2)/2))/(LN(2)/2)*V198*Y198*VLOOKUP('Données projet'!$B$9,Paramètres!$A$1:$I$89,3,0)*0.475*44/12</f>
        <v>1.1864593186566962E-25</v>
      </c>
      <c r="AC198" s="22">
        <f t="shared" si="163"/>
        <v>14.716537510172417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311.298</v>
      </c>
      <c r="AK198" s="13">
        <f t="shared" si="164"/>
        <v>73.539838278528748</v>
      </c>
      <c r="AL198" s="20">
        <f t="shared" si="165"/>
        <v>670.25923500177089</v>
      </c>
      <c r="AM198" s="59">
        <f t="shared" si="193"/>
        <v>960.57135411868944</v>
      </c>
      <c r="AN198" s="59">
        <f ca="1">AVERAGE(OFFSET($AM$3,0,0,'Données projet'!$E$10+1,1))-AVERAGE(OFFSET($H$3,0,0,'Données projet'!$E$10+1,1))</f>
        <v>520.95202773768222</v>
      </c>
      <c r="AO198" s="59">
        <f t="shared" si="205"/>
        <v>325.72635759450861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23.005898644113067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23.005898644113067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689</v>
      </c>
      <c r="BE198" s="13">
        <f>BD198*VLOOKUP('Données projet'!$B$11,Paramètres!$A$1:$I$89,3,0)*VLOOKUP('Données projet'!$B$11,Paramètres!$A$1:$I$89,5,0)</f>
        <v>412.02199999999999</v>
      </c>
      <c r="BF198" s="13">
        <f t="shared" si="167"/>
        <v>94.209724877926391</v>
      </c>
      <c r="BG198" s="20">
        <f t="shared" si="168"/>
        <v>881.686920829055</v>
      </c>
      <c r="BH198" s="59">
        <f t="shared" si="194"/>
        <v>1171.9990399459734</v>
      </c>
      <c r="BI198" s="59">
        <f ca="1">AVERAGE(OFFSET($BH$3,0,0,'Données projet'!$E$11+1,1))-AVERAGE(OFFSET($H$3,0,0,'Données projet'!$E$11+1,1))</f>
        <v>528.71639224940395</v>
      </c>
      <c r="BJ198" s="59">
        <f t="shared" si="206"/>
        <v>460.93390058676493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10.035921439854812</v>
      </c>
      <c r="BQ198" s="21">
        <f>EXP(-LN(2)/25)*BQ197+(1-EXP(-LN(2)/25))/(LN(2)/25)*Calculateur!BL198*Calculateur!BN198*VLOOKUP('Données projet'!$B$11,Paramètres!$A$1:$I$89,3,0)*0.475*44/12</f>
        <v>0.60696576268161584</v>
      </c>
      <c r="BR198" s="21">
        <f>EXP(-LN(2)/2)*BR197+(1-EXP(-LN(2)/2))/(LN(2)/2)*BL198*BO198*VLOOKUP('Données projet'!$B$11,Paramètres!$A$1:$I$89,3,0)*0.475*44/12</f>
        <v>7.6571146372836489E-27</v>
      </c>
      <c r="BS198" s="22">
        <f t="shared" si="169"/>
        <v>10.642887202536429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267</v>
      </c>
      <c r="BZ198" s="13">
        <f>BY198*VLOOKUP('Données projet'!$B$12,Paramètres!$A$1:$I$89,3,0)*VLOOKUP('Données projet'!$B$12,Paramètres!$A$1:$I$89,5,0)</f>
        <v>241.58159999999998</v>
      </c>
      <c r="CA198" s="13">
        <f t="shared" si="170"/>
        <v>58.779689232021951</v>
      </c>
      <c r="CB198" s="20">
        <f t="shared" si="171"/>
        <v>523.12924541243819</v>
      </c>
      <c r="CC198" s="59">
        <f t="shared" si="195"/>
        <v>813.44136452935663</v>
      </c>
      <c r="CD198" s="59">
        <f ca="1">AVERAGE(OFFSET($CC$3,0,0,'Données projet'!$E$12+1,1))-AVERAGE(OFFSET($H$3,0,0,'Données projet'!$E$12+1,1))</f>
        <v>398.11190027805549</v>
      </c>
      <c r="CE198" s="59">
        <f t="shared" si="207"/>
        <v>250.47702091764884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15.501560022680922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15.501560022680922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21.709999999999326</v>
      </c>
      <c r="CU198" s="17">
        <f>CT198*VLOOKUP('Données projet'!$B$13,Paramètres!$A$1:$I$89,3,0)*VLOOKUP('Données projet'!$B$13,Paramètres!$A$1:$I$89,5,0)</f>
        <v>20.659235999999357</v>
      </c>
      <c r="CV198" s="13">
        <f t="shared" si="173"/>
        <v>6.6924790783679047</v>
      </c>
      <c r="CW198" s="20">
        <f t="shared" si="174"/>
        <v>47.637570428156316</v>
      </c>
      <c r="CX198" s="59">
        <f t="shared" si="196"/>
        <v>337.94968954507482</v>
      </c>
      <c r="CY198" s="59">
        <f ca="1">AVERAGE(OFFSET($CX$3,0,0,'Données projet'!$E$13+1,1))-AVERAGE(OFFSET($H$3,0,0,'Données projet'!$E$13+1,1))</f>
        <v>697.21496579281836</v>
      </c>
      <c r="CZ198" s="59">
        <f t="shared" si="208"/>
        <v>215.64914236153456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258.75331163070615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258.75331163070615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319</v>
      </c>
      <c r="DP198" s="17">
        <f>DO198*VLOOKUP('Données projet'!$B$14,Paramètres!$A$1:$I$89,3,0)*VLOOKUP('Données projet'!$B$14,Paramètres!$A$1:$I$89,5,0)</f>
        <v>278.67840000000001</v>
      </c>
      <c r="DQ198" s="13">
        <f t="shared" si="176"/>
        <v>66.687639951856809</v>
      </c>
      <c r="DR198" s="20">
        <f t="shared" si="177"/>
        <v>601.51251958281728</v>
      </c>
      <c r="DS198" s="59">
        <f t="shared" si="197"/>
        <v>891.82463869973571</v>
      </c>
      <c r="DT198" s="59">
        <f ca="1">AVERAGE(OFFSET($DS$3,0,0,'Données projet'!$E$14+1,1))-AVERAGE(OFFSET($H$3,0,0,'Données projet'!$E$14+1,1))</f>
        <v>408.24135864450221</v>
      </c>
      <c r="DU198" s="59">
        <f t="shared" si="209"/>
        <v>394.10236303013903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5.9864803156198869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5.9864803156198869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853.00000000000011</v>
      </c>
      <c r="O199" s="13">
        <f>N199*VLOOKUP('Données projet'!$B$9,Paramètres!$A$1:$I$89,3,0)*VLOOKUP('Données projet'!$B$9,Paramètres!$A$1:$I$89,5,0)</f>
        <v>399.20400000000006</v>
      </c>
      <c r="P199" s="13">
        <f t="shared" si="203"/>
        <v>91.615269732888521</v>
      </c>
      <c r="Q199" s="20">
        <f t="shared" si="162"/>
        <v>854.8435614514475</v>
      </c>
      <c r="R199" s="59">
        <f t="shared" si="191"/>
        <v>1145.2080918805977</v>
      </c>
      <c r="S199" s="59">
        <f ca="1">AVERAGE(OFFSET($R$3,0,0,'Données projet'!$E$9+1,1))-AVERAGE(OFFSET($H$3,0,0,'Données projet'!$E$9+1,1))</f>
        <v>512.58510468904342</v>
      </c>
      <c r="T199" s="59">
        <f t="shared" si="204"/>
        <v>443.6106696463529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13.932864347390527</v>
      </c>
      <c r="AA199" s="21">
        <f>EXP(-LN(2)/25)*AA198+(1-EXP(-LN(2)/25))/(LN(2)/25)*Calculateur!V199*Calculateur!X199*VLOOKUP('Données projet'!$B$9,Paramètres!$A$1:$I$89,3,0)*0.475*44/12</f>
        <v>0.49118437948580124</v>
      </c>
      <c r="AB199" s="21">
        <f>EXP(-LN(2)/2)*AB198+(1-EXP(-LN(2)/2))/(LN(2)/2)*V199*Y199*VLOOKUP('Données projet'!$B$9,Paramètres!$A$1:$I$89,3,0)*0.475*44/12</f>
        <v>8.3895342982412073E-26</v>
      </c>
      <c r="AC199" s="22">
        <f t="shared" si="163"/>
        <v>14.424048726876329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311.298</v>
      </c>
      <c r="AK199" s="13">
        <f t="shared" si="164"/>
        <v>73.539838278528748</v>
      </c>
      <c r="AL199" s="20">
        <f t="shared" si="165"/>
        <v>670.25923500177089</v>
      </c>
      <c r="AM199" s="59">
        <f t="shared" si="193"/>
        <v>960.62376543092114</v>
      </c>
      <c r="AN199" s="59">
        <f ca="1">AVERAGE(OFFSET($AM$3,0,0,'Données projet'!$E$10+1,1))-AVERAGE(OFFSET($H$3,0,0,'Données projet'!$E$10+1,1))</f>
        <v>520.95202773768222</v>
      </c>
      <c r="AO199" s="59">
        <f t="shared" si="205"/>
        <v>325.72635759450861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22.554767003914616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22.554767003914616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689</v>
      </c>
      <c r="BE199" s="13">
        <f>BD199*VLOOKUP('Données projet'!$B$11,Paramètres!$A$1:$I$89,3,0)*VLOOKUP('Données projet'!$B$11,Paramètres!$A$1:$I$89,5,0)</f>
        <v>412.02199999999999</v>
      </c>
      <c r="BF199" s="13">
        <f t="shared" si="167"/>
        <v>94.209724877926391</v>
      </c>
      <c r="BG199" s="20">
        <f t="shared" si="168"/>
        <v>881.686920829055</v>
      </c>
      <c r="BH199" s="59">
        <f t="shared" si="194"/>
        <v>1172.0514512582051</v>
      </c>
      <c r="BI199" s="59">
        <f ca="1">AVERAGE(OFFSET($BH$3,0,0,'Données projet'!$E$11+1,1))-AVERAGE(OFFSET($H$3,0,0,'Données projet'!$E$11+1,1))</f>
        <v>528.71639224940395</v>
      </c>
      <c r="BJ199" s="59">
        <f t="shared" si="206"/>
        <v>460.93390058676493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9.8391231417269083</v>
      </c>
      <c r="BQ199" s="21">
        <f>EXP(-LN(2)/25)*BQ198+(1-EXP(-LN(2)/25))/(LN(2)/25)*Calculateur!BL199*Calculateur!BN199*VLOOKUP('Données projet'!$B$11,Paramètres!$A$1:$I$89,3,0)*0.475*44/12</f>
        <v>0.59036825198214482</v>
      </c>
      <c r="BR199" s="21">
        <f>EXP(-LN(2)/2)*BR198+(1-EXP(-LN(2)/2))/(LN(2)/2)*BL199*BO199*VLOOKUP('Données projet'!$B$11,Paramètres!$A$1:$I$89,3,0)*0.475*44/12</f>
        <v>5.4143976843460395E-27</v>
      </c>
      <c r="BS199" s="22">
        <f t="shared" si="169"/>
        <v>10.429491393709053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267</v>
      </c>
      <c r="BZ199" s="13">
        <f>BY199*VLOOKUP('Données projet'!$B$12,Paramètres!$A$1:$I$89,3,0)*VLOOKUP('Données projet'!$B$12,Paramètres!$A$1:$I$89,5,0)</f>
        <v>241.58159999999998</v>
      </c>
      <c r="CA199" s="13">
        <f t="shared" si="170"/>
        <v>58.779689232021951</v>
      </c>
      <c r="CB199" s="20">
        <f t="shared" si="171"/>
        <v>523.12924541243819</v>
      </c>
      <c r="CC199" s="59">
        <f t="shared" si="195"/>
        <v>813.49377584158833</v>
      </c>
      <c r="CD199" s="59">
        <f ca="1">AVERAGE(OFFSET($CC$3,0,0,'Données projet'!$E$12+1,1))-AVERAGE(OFFSET($H$3,0,0,'Données projet'!$E$12+1,1))</f>
        <v>398.11190027805549</v>
      </c>
      <c r="CE199" s="59">
        <f t="shared" si="207"/>
        <v>250.47702091764884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15.197583885654158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15.197583885654158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21.709999999999326</v>
      </c>
      <c r="CU199" s="17">
        <f>CT199*VLOOKUP('Données projet'!$B$13,Paramètres!$A$1:$I$89,3,0)*VLOOKUP('Données projet'!$B$13,Paramètres!$A$1:$I$89,5,0)</f>
        <v>20.659235999999357</v>
      </c>
      <c r="CV199" s="13">
        <f t="shared" si="173"/>
        <v>6.6924790783679047</v>
      </c>
      <c r="CW199" s="20">
        <f t="shared" si="174"/>
        <v>47.637570428156316</v>
      </c>
      <c r="CX199" s="59">
        <f t="shared" si="196"/>
        <v>338.00210085730652</v>
      </c>
      <c r="CY199" s="59">
        <f ca="1">AVERAGE(OFFSET($CX$3,0,0,'Données projet'!$E$13+1,1))-AVERAGE(OFFSET($H$3,0,0,'Données projet'!$E$13+1,1))</f>
        <v>697.21496579281836</v>
      </c>
      <c r="CZ199" s="59">
        <f t="shared" si="208"/>
        <v>215.64914236153456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253.67931701356429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253.67931701356429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319</v>
      </c>
      <c r="DP199" s="17">
        <f>DO199*VLOOKUP('Données projet'!$B$14,Paramètres!$A$1:$I$89,3,0)*VLOOKUP('Données projet'!$B$14,Paramètres!$A$1:$I$89,5,0)</f>
        <v>278.67840000000001</v>
      </c>
      <c r="DQ199" s="13">
        <f t="shared" si="176"/>
        <v>66.687639951856809</v>
      </c>
      <c r="DR199" s="20">
        <f t="shared" si="177"/>
        <v>601.51251958281728</v>
      </c>
      <c r="DS199" s="59">
        <f t="shared" si="197"/>
        <v>891.87705001196741</v>
      </c>
      <c r="DT199" s="59">
        <f ca="1">AVERAGE(OFFSET($DS$3,0,0,'Données projet'!$E$14+1,1))-AVERAGE(OFFSET($H$3,0,0,'Données projet'!$E$14+1,1))</f>
        <v>408.24135864450221</v>
      </c>
      <c r="DU199" s="59">
        <f t="shared" si="209"/>
        <v>394.10236303013903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5.8690890880230286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5.8690890880230286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853.00000000000011</v>
      </c>
      <c r="O200" s="13">
        <f>N200*VLOOKUP('Données projet'!$B$9,Paramètres!$A$1:$I$89,3,0)*VLOOKUP('Données projet'!$B$9,Paramètres!$A$1:$I$89,5,0)</f>
        <v>399.20400000000006</v>
      </c>
      <c r="P200" s="13">
        <f t="shared" si="203"/>
        <v>91.615269732888521</v>
      </c>
      <c r="Q200" s="20">
        <f t="shared" si="162"/>
        <v>854.8435614514475</v>
      </c>
      <c r="R200" s="59">
        <f t="shared" si="191"/>
        <v>1145.2595939737362</v>
      </c>
      <c r="S200" s="59">
        <f ca="1">AVERAGE(OFFSET($R$3,0,0,'Données projet'!$E$9+1,1))-AVERAGE(OFFSET($H$3,0,0,'Données projet'!$E$9+1,1))</f>
        <v>512.58510468904342</v>
      </c>
      <c r="T200" s="59">
        <f t="shared" si="204"/>
        <v>443.6106696463529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13.659649375746323</v>
      </c>
      <c r="AA200" s="21">
        <f>EXP(-LN(2)/25)*AA199+(1-EXP(-LN(2)/25))/(LN(2)/25)*Calculateur!V200*Calculateur!X200*VLOOKUP('Données projet'!$B$9,Paramètres!$A$1:$I$89,3,0)*0.475*44/12</f>
        <v>0.47775291679849813</v>
      </c>
      <c r="AB200" s="21">
        <f>EXP(-LN(2)/2)*AB199+(1-EXP(-LN(2)/2))/(LN(2)/2)*V200*Y200*VLOOKUP('Données projet'!$B$9,Paramètres!$A$1:$I$89,3,0)*0.475*44/12</f>
        <v>5.9322965932834808E-26</v>
      </c>
      <c r="AC200" s="22">
        <f t="shared" si="163"/>
        <v>14.13740229254482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311.298</v>
      </c>
      <c r="AK200" s="13">
        <f t="shared" si="164"/>
        <v>73.539838278528748</v>
      </c>
      <c r="AL200" s="20">
        <f t="shared" si="165"/>
        <v>670.25923500177089</v>
      </c>
      <c r="AM200" s="59">
        <f t="shared" si="193"/>
        <v>960.67526752405968</v>
      </c>
      <c r="AN200" s="59">
        <f ca="1">AVERAGE(OFFSET($AM$3,0,0,'Données projet'!$E$10+1,1))-AVERAGE(OFFSET($H$3,0,0,'Données projet'!$E$10+1,1))</f>
        <v>520.95202773768222</v>
      </c>
      <c r="AO200" s="59">
        <f t="shared" si="205"/>
        <v>325.72635759450861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22.112481780017326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22.112481780017326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689</v>
      </c>
      <c r="BE200" s="13">
        <f>BD200*VLOOKUP('Données projet'!$B$11,Paramètres!$A$1:$I$89,3,0)*VLOOKUP('Données projet'!$B$11,Paramètres!$A$1:$I$89,5,0)</f>
        <v>412.02199999999999</v>
      </c>
      <c r="BF200" s="13">
        <f t="shared" si="167"/>
        <v>94.209724877926391</v>
      </c>
      <c r="BG200" s="20">
        <f t="shared" si="168"/>
        <v>881.686920829055</v>
      </c>
      <c r="BH200" s="59">
        <f t="shared" si="194"/>
        <v>1172.1029533513438</v>
      </c>
      <c r="BI200" s="59">
        <f ca="1">AVERAGE(OFFSET($BH$3,0,0,'Données projet'!$E$11+1,1))-AVERAGE(OFFSET($H$3,0,0,'Données projet'!$E$11+1,1))</f>
        <v>528.71639224940395</v>
      </c>
      <c r="BJ200" s="59">
        <f t="shared" si="206"/>
        <v>460.93390058676493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9.6461839381901839</v>
      </c>
      <c r="BQ200" s="21">
        <f>EXP(-LN(2)/25)*BQ199+(1-EXP(-LN(2)/25))/(LN(2)/25)*Calculateur!BL200*Calculateur!BN200*VLOOKUP('Données projet'!$B$11,Paramètres!$A$1:$I$89,3,0)*0.475*44/12</f>
        <v>0.57422460108557605</v>
      </c>
      <c r="BR200" s="21">
        <f>EXP(-LN(2)/2)*BR199+(1-EXP(-LN(2)/2))/(LN(2)/2)*BL200*BO200*VLOOKUP('Données projet'!$B$11,Paramètres!$A$1:$I$89,3,0)*0.475*44/12</f>
        <v>3.8285573186418245E-27</v>
      </c>
      <c r="BS200" s="22">
        <f t="shared" si="169"/>
        <v>10.220408539275759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267</v>
      </c>
      <c r="BZ200" s="13">
        <f>BY200*VLOOKUP('Données projet'!$B$12,Paramètres!$A$1:$I$89,3,0)*VLOOKUP('Données projet'!$B$12,Paramètres!$A$1:$I$89,5,0)</f>
        <v>241.58159999999998</v>
      </c>
      <c r="CA200" s="13">
        <f t="shared" si="170"/>
        <v>58.779689232021951</v>
      </c>
      <c r="CB200" s="20">
        <f t="shared" si="171"/>
        <v>523.12924541243819</v>
      </c>
      <c r="CC200" s="59">
        <f t="shared" si="195"/>
        <v>813.54527793472698</v>
      </c>
      <c r="CD200" s="59">
        <f ca="1">AVERAGE(OFFSET($CC$3,0,0,'Données projet'!$E$12+1,1))-AVERAGE(OFFSET($H$3,0,0,'Données projet'!$E$12+1,1))</f>
        <v>398.11190027805549</v>
      </c>
      <c r="CE200" s="59">
        <f t="shared" si="207"/>
        <v>250.47702091764884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14.899568535267353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14.899568535267353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21.709999999999326</v>
      </c>
      <c r="CU200" s="17">
        <f>CT200*VLOOKUP('Données projet'!$B$13,Paramètres!$A$1:$I$89,3,0)*VLOOKUP('Données projet'!$B$13,Paramètres!$A$1:$I$89,5,0)</f>
        <v>20.659235999999357</v>
      </c>
      <c r="CV200" s="13">
        <f t="shared" si="173"/>
        <v>6.6924790783679047</v>
      </c>
      <c r="CW200" s="20">
        <f t="shared" si="174"/>
        <v>47.637570428156316</v>
      </c>
      <c r="CX200" s="59">
        <f t="shared" si="196"/>
        <v>338.05360295044511</v>
      </c>
      <c r="CY200" s="59">
        <f ca="1">AVERAGE(OFFSET($CX$3,0,0,'Données projet'!$E$13+1,1))-AVERAGE(OFFSET($H$3,0,0,'Données projet'!$E$13+1,1))</f>
        <v>697.21496579281836</v>
      </c>
      <c r="CZ200" s="59">
        <f t="shared" si="208"/>
        <v>215.64914236153456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248.70482033603344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248.70482033603344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319</v>
      </c>
      <c r="DP200" s="17">
        <f>DO200*VLOOKUP('Données projet'!$B$14,Paramètres!$A$1:$I$89,3,0)*VLOOKUP('Données projet'!$B$14,Paramètres!$A$1:$I$89,5,0)</f>
        <v>278.67840000000001</v>
      </c>
      <c r="DQ200" s="13">
        <f t="shared" si="176"/>
        <v>66.687639951856809</v>
      </c>
      <c r="DR200" s="20">
        <f t="shared" si="177"/>
        <v>601.51251958281728</v>
      </c>
      <c r="DS200" s="59">
        <f t="shared" si="197"/>
        <v>891.92855210510606</v>
      </c>
      <c r="DT200" s="59">
        <f ca="1">AVERAGE(OFFSET($DS$3,0,0,'Données projet'!$E$14+1,1))-AVERAGE(OFFSET($H$3,0,0,'Données projet'!$E$14+1,1))</f>
        <v>408.24135864450221</v>
      </c>
      <c r="DU200" s="59">
        <f t="shared" si="209"/>
        <v>394.10236303013903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5.753999830797766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5.753999830797766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853.00000000000011</v>
      </c>
      <c r="O201" s="13">
        <f>N201*VLOOKUP('Données projet'!$B$9,Paramètres!$A$1:$I$89,3,0)*VLOOKUP('Données projet'!$B$9,Paramètres!$A$1:$I$89,5,0)</f>
        <v>399.20400000000006</v>
      </c>
      <c r="P201" s="13">
        <f t="shared" si="203"/>
        <v>91.615269732888521</v>
      </c>
      <c r="Q201" s="20">
        <f t="shared" si="162"/>
        <v>854.8435614514475</v>
      </c>
      <c r="R201" s="59">
        <f t="shared" si="191"/>
        <v>1145.3102026207005</v>
      </c>
      <c r="S201" s="59">
        <f ca="1">AVERAGE(OFFSET($R$3,0,0,'Données projet'!$E$9+1,1))-AVERAGE(OFFSET($H$3,0,0,'Données projet'!$E$9+1,1))</f>
        <v>512.58510468904342</v>
      </c>
      <c r="T201" s="59">
        <f t="shared" si="204"/>
        <v>443.6106696463529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13.391791983051384</v>
      </c>
      <c r="AA201" s="21">
        <f>EXP(-LN(2)/25)*AA200+(1-EXP(-LN(2)/25))/(LN(2)/25)*Calculateur!V201*Calculateur!X201*VLOOKUP('Données projet'!$B$9,Paramètres!$A$1:$I$89,3,0)*0.475*44/12</f>
        <v>0.46468873816470924</v>
      </c>
      <c r="AB201" s="21">
        <f>EXP(-LN(2)/2)*AB200+(1-EXP(-LN(2)/2))/(LN(2)/2)*V201*Y201*VLOOKUP('Données projet'!$B$9,Paramètres!$A$1:$I$89,3,0)*0.475*44/12</f>
        <v>4.1947671491206037E-26</v>
      </c>
      <c r="AC201" s="22">
        <f t="shared" si="163"/>
        <v>13.856480721216093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311.298</v>
      </c>
      <c r="AK201" s="13">
        <f t="shared" si="164"/>
        <v>73.539838278528748</v>
      </c>
      <c r="AL201" s="20">
        <f t="shared" si="165"/>
        <v>670.25923500177089</v>
      </c>
      <c r="AM201" s="59">
        <f t="shared" si="193"/>
        <v>960.72587617102386</v>
      </c>
      <c r="AN201" s="59">
        <f ca="1">AVERAGE(OFFSET($AM$3,0,0,'Données projet'!$E$10+1,1))-AVERAGE(OFFSET($H$3,0,0,'Données projet'!$E$10+1,1))</f>
        <v>520.95202773768222</v>
      </c>
      <c r="AO201" s="59">
        <f t="shared" si="205"/>
        <v>325.72635759450861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21.678869499593315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21.678869499593315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689</v>
      </c>
      <c r="BE201" s="13">
        <f>BD201*VLOOKUP('Données projet'!$B$11,Paramètres!$A$1:$I$89,3,0)*VLOOKUP('Données projet'!$B$11,Paramètres!$A$1:$I$89,5,0)</f>
        <v>412.02199999999999</v>
      </c>
      <c r="BF201" s="13">
        <f t="shared" si="167"/>
        <v>94.209724877926391</v>
      </c>
      <c r="BG201" s="20">
        <f t="shared" si="168"/>
        <v>881.686920829055</v>
      </c>
      <c r="BH201" s="59">
        <f t="shared" si="194"/>
        <v>1172.1535619983079</v>
      </c>
      <c r="BI201" s="59">
        <f ca="1">AVERAGE(OFFSET($BH$3,0,0,'Données projet'!$E$11+1,1))-AVERAGE(OFFSET($H$3,0,0,'Données projet'!$E$11+1,1))</f>
        <v>528.71639224940395</v>
      </c>
      <c r="BJ201" s="59">
        <f t="shared" si="206"/>
        <v>460.93390058676493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9.4570281547535195</v>
      </c>
      <c r="BQ201" s="21">
        <f>EXP(-LN(2)/25)*BQ200+(1-EXP(-LN(2)/25))/(LN(2)/25)*Calculateur!BL201*Calculateur!BN201*VLOOKUP('Données projet'!$B$11,Paramètres!$A$1:$I$89,3,0)*0.475*44/12</f>
        <v>0.55852239917173163</v>
      </c>
      <c r="BR201" s="21">
        <f>EXP(-LN(2)/2)*BR200+(1-EXP(-LN(2)/2))/(LN(2)/2)*BL201*BO201*VLOOKUP('Données projet'!$B$11,Paramètres!$A$1:$I$89,3,0)*0.475*44/12</f>
        <v>2.7071988421730197E-27</v>
      </c>
      <c r="BS201" s="22">
        <f t="shared" si="169"/>
        <v>10.015550553925252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267</v>
      </c>
      <c r="BZ201" s="13">
        <f>BY201*VLOOKUP('Données projet'!$B$12,Paramètres!$A$1:$I$89,3,0)*VLOOKUP('Données projet'!$B$12,Paramètres!$A$1:$I$89,5,0)</f>
        <v>241.58159999999998</v>
      </c>
      <c r="CA201" s="13">
        <f t="shared" si="170"/>
        <v>58.779689232021951</v>
      </c>
      <c r="CB201" s="20">
        <f t="shared" si="171"/>
        <v>523.12924541243819</v>
      </c>
      <c r="CC201" s="59">
        <f t="shared" si="195"/>
        <v>813.59588658169105</v>
      </c>
      <c r="CD201" s="59">
        <f ca="1">AVERAGE(OFFSET($CC$3,0,0,'Données projet'!$E$12+1,1))-AVERAGE(OFFSET($H$3,0,0,'Données projet'!$E$12+1,1))</f>
        <v>398.11190027805549</v>
      </c>
      <c r="CE201" s="59">
        <f t="shared" si="207"/>
        <v>250.47702091764884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14.607397084130216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14.607397084130216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21.709999999999326</v>
      </c>
      <c r="CU201" s="17">
        <f>CT201*VLOOKUP('Données projet'!$B$13,Paramètres!$A$1:$I$89,3,0)*VLOOKUP('Données projet'!$B$13,Paramètres!$A$1:$I$89,5,0)</f>
        <v>20.659235999999357</v>
      </c>
      <c r="CV201" s="13">
        <f t="shared" si="173"/>
        <v>6.6924790783679047</v>
      </c>
      <c r="CW201" s="20">
        <f t="shared" si="174"/>
        <v>47.637570428156316</v>
      </c>
      <c r="CX201" s="59">
        <f t="shared" si="196"/>
        <v>338.10421159740923</v>
      </c>
      <c r="CY201" s="59">
        <f ca="1">AVERAGE(OFFSET($CX$3,0,0,'Données projet'!$E$13+1,1))-AVERAGE(OFFSET($H$3,0,0,'Données projet'!$E$13+1,1))</f>
        <v>697.21496579281836</v>
      </c>
      <c r="CZ201" s="59">
        <f t="shared" si="208"/>
        <v>215.64914236153456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243.82787050420558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243.82787050420558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319</v>
      </c>
      <c r="DP201" s="17">
        <f>DO201*VLOOKUP('Données projet'!$B$14,Paramètres!$A$1:$I$89,3,0)*VLOOKUP('Données projet'!$B$14,Paramètres!$A$1:$I$89,5,0)</f>
        <v>278.67840000000001</v>
      </c>
      <c r="DQ201" s="13">
        <f t="shared" si="176"/>
        <v>66.687639951856809</v>
      </c>
      <c r="DR201" s="20">
        <f t="shared" si="177"/>
        <v>601.51251958281728</v>
      </c>
      <c r="DS201" s="59">
        <f t="shared" si="197"/>
        <v>891.97916075207013</v>
      </c>
      <c r="DT201" s="59">
        <f ca="1">AVERAGE(OFFSET($DS$3,0,0,'Données projet'!$E$14+1,1))-AVERAGE(OFFSET($H$3,0,0,'Données projet'!$E$14+1,1))</f>
        <v>408.24135864450221</v>
      </c>
      <c r="DU201" s="59">
        <f t="shared" si="209"/>
        <v>394.10236303013903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5.6411674037091748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5.6411674037091748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853.00000000000011</v>
      </c>
      <c r="O202" s="13">
        <f>N202*VLOOKUP('Données projet'!$B$9,Paramètres!$A$1:$I$89,3,0)*VLOOKUP('Données projet'!$B$9,Paramètres!$A$1:$I$89,5,0)</f>
        <v>399.20400000000006</v>
      </c>
      <c r="P202" s="13">
        <f t="shared" si="203"/>
        <v>91.615269732888521</v>
      </c>
      <c r="Q202" s="20">
        <f t="shared" si="162"/>
        <v>854.8435614514475</v>
      </c>
      <c r="R202" s="59">
        <f t="shared" si="191"/>
        <v>1145.3599333207835</v>
      </c>
      <c r="S202" s="59">
        <f ca="1">AVERAGE(OFFSET($R$3,0,0,'Données projet'!$E$9+1,1))-AVERAGE(OFFSET($H$3,0,0,'Données projet'!$E$9+1,1))</f>
        <v>512.58510468904342</v>
      </c>
      <c r="T202" s="59">
        <f t="shared" si="204"/>
        <v>443.6106696463529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13.129187110450314</v>
      </c>
      <c r="AA202" s="21">
        <f>EXP(-LN(2)/25)*AA201+(1-EXP(-LN(2)/25))/(LN(2)/25)*Calculateur!V202*Calculateur!X202*VLOOKUP('Données projet'!$B$9,Paramètres!$A$1:$I$89,3,0)*0.475*44/12</f>
        <v>0.45198180018267659</v>
      </c>
      <c r="AB202" s="21">
        <f>EXP(-LN(2)/2)*AB201+(1-EXP(-LN(2)/2))/(LN(2)/2)*V202*Y202*VLOOKUP('Données projet'!$B$9,Paramètres!$A$1:$I$89,3,0)*0.475*44/12</f>
        <v>2.9661482966417404E-26</v>
      </c>
      <c r="AC202" s="22">
        <f t="shared" si="163"/>
        <v>13.581168910632991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311.298</v>
      </c>
      <c r="AK202" s="13">
        <f t="shared" si="164"/>
        <v>73.539838278528748</v>
      </c>
      <c r="AL202" s="20">
        <f t="shared" si="165"/>
        <v>670.25923500177089</v>
      </c>
      <c r="AM202" s="59">
        <f t="shared" si="193"/>
        <v>960.77560687110702</v>
      </c>
      <c r="AN202" s="59">
        <f ca="1">AVERAGE(OFFSET($AM$3,0,0,'Données projet'!$E$10+1,1))-AVERAGE(OFFSET($H$3,0,0,'Données projet'!$E$10+1,1))</f>
        <v>520.95202773768222</v>
      </c>
      <c r="AO202" s="59">
        <f t="shared" si="205"/>
        <v>325.72635759450861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21.25376009151104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21.25376009151104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689</v>
      </c>
      <c r="BE202" s="13">
        <f>BD202*VLOOKUP('Données projet'!$B$11,Paramètres!$A$1:$I$89,3,0)*VLOOKUP('Données projet'!$B$11,Paramètres!$A$1:$I$89,5,0)</f>
        <v>412.02199999999999</v>
      </c>
      <c r="BF202" s="13">
        <f t="shared" si="167"/>
        <v>94.209724877926391</v>
      </c>
      <c r="BG202" s="20">
        <f t="shared" si="168"/>
        <v>881.686920829055</v>
      </c>
      <c r="BH202" s="59">
        <f t="shared" si="194"/>
        <v>1172.2032926983911</v>
      </c>
      <c r="BI202" s="59">
        <f ca="1">AVERAGE(OFFSET($BH$3,0,0,'Données projet'!$E$11+1,1))-AVERAGE(OFFSET($H$3,0,0,'Données projet'!$E$11+1,1))</f>
        <v>528.71639224940395</v>
      </c>
      <c r="BJ202" s="59">
        <f t="shared" si="206"/>
        <v>460.93390058676493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9.2715816008564129</v>
      </c>
      <c r="BQ202" s="21">
        <f>EXP(-LN(2)/25)*BQ201+(1-EXP(-LN(2)/25))/(LN(2)/25)*Calculateur!BL202*Calculateur!BN202*VLOOKUP('Données projet'!$B$11,Paramètres!$A$1:$I$89,3,0)*0.475*44/12</f>
        <v>0.54324957479496416</v>
      </c>
      <c r="BR202" s="21">
        <f>EXP(-LN(2)/2)*BR201+(1-EXP(-LN(2)/2))/(LN(2)/2)*BL202*BO202*VLOOKUP('Données projet'!$B$11,Paramètres!$A$1:$I$89,3,0)*0.475*44/12</f>
        <v>1.9142786593209122E-27</v>
      </c>
      <c r="BS202" s="22">
        <f t="shared" si="169"/>
        <v>9.8148311756513777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267</v>
      </c>
      <c r="BZ202" s="13">
        <f>BY202*VLOOKUP('Données projet'!$B$12,Paramètres!$A$1:$I$89,3,0)*VLOOKUP('Données projet'!$B$12,Paramètres!$A$1:$I$89,5,0)</f>
        <v>241.58159999999998</v>
      </c>
      <c r="CA202" s="13">
        <f t="shared" si="170"/>
        <v>58.779689232021951</v>
      </c>
      <c r="CB202" s="20">
        <f t="shared" si="171"/>
        <v>523.12924541243819</v>
      </c>
      <c r="CC202" s="59">
        <f t="shared" si="195"/>
        <v>813.64561728177432</v>
      </c>
      <c r="CD202" s="59">
        <f ca="1">AVERAGE(OFFSET($CC$3,0,0,'Données projet'!$E$12+1,1))-AVERAGE(OFFSET($H$3,0,0,'Données projet'!$E$12+1,1))</f>
        <v>398.11190027805549</v>
      </c>
      <c r="CE202" s="59">
        <f t="shared" si="207"/>
        <v>250.47702091764884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14.320954936942892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14.320954936942892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21.709999999999326</v>
      </c>
      <c r="CU202" s="17">
        <f>CT202*VLOOKUP('Données projet'!$B$13,Paramètres!$A$1:$I$89,3,0)*VLOOKUP('Données projet'!$B$13,Paramètres!$A$1:$I$89,5,0)</f>
        <v>20.659235999999357</v>
      </c>
      <c r="CV202" s="13">
        <f t="shared" si="173"/>
        <v>6.6924790783679047</v>
      </c>
      <c r="CW202" s="20">
        <f t="shared" si="174"/>
        <v>47.637570428156316</v>
      </c>
      <c r="CX202" s="59">
        <f t="shared" si="196"/>
        <v>338.15394229749245</v>
      </c>
      <c r="CY202" s="59">
        <f ca="1">AVERAGE(OFFSET($CX$3,0,0,'Données projet'!$E$13+1,1))-AVERAGE(OFFSET($H$3,0,0,'Données projet'!$E$13+1,1))</f>
        <v>697.21496579281836</v>
      </c>
      <c r="CZ202" s="59">
        <f t="shared" si="208"/>
        <v>215.64914236153456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239.0465546839342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239.0465546839342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319</v>
      </c>
      <c r="DP202" s="17">
        <f>DO202*VLOOKUP('Données projet'!$B$14,Paramètres!$A$1:$I$89,3,0)*VLOOKUP('Données projet'!$B$14,Paramètres!$A$1:$I$89,5,0)</f>
        <v>278.67840000000001</v>
      </c>
      <c r="DQ202" s="13">
        <f t="shared" si="176"/>
        <v>66.687639951856809</v>
      </c>
      <c r="DR202" s="20">
        <f t="shared" si="177"/>
        <v>601.51251958281728</v>
      </c>
      <c r="DS202" s="59">
        <f t="shared" si="197"/>
        <v>892.0288914521534</v>
      </c>
      <c r="DT202" s="59">
        <f ca="1">AVERAGE(OFFSET($DS$3,0,0,'Données projet'!$E$14+1,1))-AVERAGE(OFFSET($H$3,0,0,'Données projet'!$E$14+1,1))</f>
        <v>408.24135864450221</v>
      </c>
      <c r="DU202" s="59">
        <f t="shared" si="209"/>
        <v>394.10236303013903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5.5305475516948057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5.5305475516948057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853.00000000000011</v>
      </c>
      <c r="O203" s="13">
        <f>N203*VLOOKUP('Données projet'!$B$9,Paramètres!$A$1:$I$89,3,0)*VLOOKUP('Données projet'!$B$9,Paramètres!$A$1:$I$89,5,0)</f>
        <v>399.20400000000006</v>
      </c>
      <c r="P203" s="13">
        <f t="shared" si="203"/>
        <v>91.615269732888521</v>
      </c>
      <c r="Q203" s="20">
        <f t="shared" si="162"/>
        <v>854.8435614514475</v>
      </c>
      <c r="R203" s="59">
        <f t="shared" si="191"/>
        <v>1145.4088013044015</v>
      </c>
      <c r="S203" s="59">
        <f ca="1">AVERAGE(OFFSET($R$3,0,0,'Données projet'!$E$9+1,1))-AVERAGE(OFFSET($H$3,0,0,'Données projet'!$E$9+1,1))</f>
        <v>512.58510468904342</v>
      </c>
      <c r="T203" s="59">
        <f t="shared" si="204"/>
        <v>443.6106696463529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12.871731759227794</v>
      </c>
      <c r="AA203" s="21">
        <f>EXP(-LN(2)/25)*AA202+(1-EXP(-LN(2)/25))/(LN(2)/25)*Calculateur!V203*Calculateur!X203*VLOOKUP('Données projet'!$B$9,Paramètres!$A$1:$I$89,3,0)*0.475*44/12</f>
        <v>0.43962233408799145</v>
      </c>
      <c r="AB203" s="21">
        <f>EXP(-LN(2)/2)*AB202+(1-EXP(-LN(2)/2))/(LN(2)/2)*V203*Y203*VLOOKUP('Données projet'!$B$9,Paramètres!$A$1:$I$89,3,0)*0.475*44/12</f>
        <v>2.0973835745603018E-26</v>
      </c>
      <c r="AC203" s="22">
        <f t="shared" si="163"/>
        <v>13.311354093315785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311.298</v>
      </c>
      <c r="AK203" s="13">
        <f t="shared" si="164"/>
        <v>73.539838278528748</v>
      </c>
      <c r="AL203" s="20">
        <f t="shared" si="165"/>
        <v>670.25923500177089</v>
      </c>
      <c r="AM203" s="59">
        <f t="shared" si="193"/>
        <v>960.82447485472494</v>
      </c>
      <c r="AN203" s="59">
        <f ca="1">AVERAGE(OFFSET($AM$3,0,0,'Données projet'!$E$10+1,1))-AVERAGE(OFFSET($H$3,0,0,'Données projet'!$E$10+1,1))</f>
        <v>520.95202773768222</v>
      </c>
      <c r="AO203" s="59">
        <f t="shared" si="205"/>
        <v>325.72635759450861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20.836986819630123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20.836986819630123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689</v>
      </c>
      <c r="BE203" s="13">
        <f>BD203*VLOOKUP('Données projet'!$B$11,Paramètres!$A$1:$I$89,3,0)*VLOOKUP('Données projet'!$B$11,Paramètres!$A$1:$I$89,5,0)</f>
        <v>412.02199999999999</v>
      </c>
      <c r="BF203" s="13">
        <f t="shared" si="167"/>
        <v>94.209724877926391</v>
      </c>
      <c r="BG203" s="20">
        <f t="shared" si="168"/>
        <v>881.686920829055</v>
      </c>
      <c r="BH203" s="59">
        <f t="shared" si="194"/>
        <v>1172.2521606820092</v>
      </c>
      <c r="BI203" s="59">
        <f ca="1">AVERAGE(OFFSET($BH$3,0,0,'Données projet'!$E$11+1,1))-AVERAGE(OFFSET($H$3,0,0,'Données projet'!$E$11+1,1))</f>
        <v>528.71639224940395</v>
      </c>
      <c r="BJ203" s="59">
        <f t="shared" si="206"/>
        <v>460.93390058676493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9.0897715407700002</v>
      </c>
      <c r="BQ203" s="21">
        <f>EXP(-LN(2)/25)*BQ202+(1-EXP(-LN(2)/25))/(LN(2)/25)*Calculateur!BL203*Calculateur!BN203*VLOOKUP('Données projet'!$B$11,Paramètres!$A$1:$I$89,3,0)*0.475*44/12</f>
        <v>0.52839438660394233</v>
      </c>
      <c r="BR203" s="21">
        <f>EXP(-LN(2)/2)*BR202+(1-EXP(-LN(2)/2))/(LN(2)/2)*BL203*BO203*VLOOKUP('Données projet'!$B$11,Paramètres!$A$1:$I$89,3,0)*0.475*44/12</f>
        <v>1.3535994210865099E-27</v>
      </c>
      <c r="BS203" s="22">
        <f t="shared" si="169"/>
        <v>9.6181659273739424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267</v>
      </c>
      <c r="BZ203" s="13">
        <f>BY203*VLOOKUP('Données projet'!$B$12,Paramètres!$A$1:$I$89,3,0)*VLOOKUP('Données projet'!$B$12,Paramètres!$A$1:$I$89,5,0)</f>
        <v>241.58159999999998</v>
      </c>
      <c r="CA203" s="13">
        <f t="shared" si="170"/>
        <v>58.779689232021951</v>
      </c>
      <c r="CB203" s="20">
        <f t="shared" si="171"/>
        <v>523.12924541243819</v>
      </c>
      <c r="CC203" s="59">
        <f t="shared" si="195"/>
        <v>813.69448526539236</v>
      </c>
      <c r="CD203" s="59">
        <f ca="1">AVERAGE(OFFSET($CC$3,0,0,'Données projet'!$E$12+1,1))-AVERAGE(OFFSET($H$3,0,0,'Données projet'!$E$12+1,1))</f>
        <v>398.11190027805549</v>
      </c>
      <c r="CE203" s="59">
        <f t="shared" si="207"/>
        <v>250.47702091764884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14.040129745549452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14.040129745549452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21.709999999999326</v>
      </c>
      <c r="CU203" s="17">
        <f>CT203*VLOOKUP('Données projet'!$B$13,Paramètres!$A$1:$I$89,3,0)*VLOOKUP('Données projet'!$B$13,Paramètres!$A$1:$I$89,5,0)</f>
        <v>20.659235999999357</v>
      </c>
      <c r="CV203" s="13">
        <f t="shared" si="173"/>
        <v>6.6924790783679047</v>
      </c>
      <c r="CW203" s="20">
        <f t="shared" si="174"/>
        <v>47.637570428156316</v>
      </c>
      <c r="CX203" s="59">
        <f t="shared" si="196"/>
        <v>338.20281028111043</v>
      </c>
      <c r="CY203" s="59">
        <f ca="1">AVERAGE(OFFSET($CX$3,0,0,'Données projet'!$E$13+1,1))-AVERAGE(OFFSET($H$3,0,0,'Données projet'!$E$13+1,1))</f>
        <v>697.21496579281836</v>
      </c>
      <c r="CZ203" s="59">
        <f t="shared" si="208"/>
        <v>215.64914236153456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234.35899755058367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234.35899755058367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319</v>
      </c>
      <c r="DP203" s="17">
        <f>DO203*VLOOKUP('Données projet'!$B$14,Paramètres!$A$1:$I$89,3,0)*VLOOKUP('Données projet'!$B$14,Paramètres!$A$1:$I$89,5,0)</f>
        <v>278.67840000000001</v>
      </c>
      <c r="DQ203" s="13">
        <f t="shared" si="176"/>
        <v>66.687639951856809</v>
      </c>
      <c r="DR203" s="20">
        <f t="shared" si="177"/>
        <v>601.51251958281728</v>
      </c>
      <c r="DS203" s="59">
        <f t="shared" si="197"/>
        <v>892.07775943577144</v>
      </c>
      <c r="DT203" s="59">
        <f ca="1">AVERAGE(OFFSET($DS$3,0,0,'Données projet'!$E$14+1,1))-AVERAGE(OFFSET($H$3,0,0,'Données projet'!$E$14+1,1))</f>
        <v>408.24135864450221</v>
      </c>
      <c r="DU203" s="59">
        <f t="shared" si="209"/>
        <v>394.10236303013903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5.4220968875069913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5.4220968875069913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1.3370253457396568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1.2392705892426346</v>
      </c>
      <c r="BA205" s="81">
        <f>EXP(LN('Données projet'!B88)/'Données projet'!A88)</f>
        <v>1.3680212568593273</v>
      </c>
      <c r="BV205" s="81">
        <f>EXP(LN('Données projet'!B114)/'Données projet'!A114)</f>
        <v>1.2054868146447177</v>
      </c>
      <c r="CQ205" s="81">
        <f>EXP(LN('Données projet'!B140)/'Données projet'!A140)</f>
        <v>1.1549646791274306</v>
      </c>
      <c r="DL205" s="81">
        <f>EXP(LN('Données projet'!B166)/'Données projet'!A166)</f>
        <v>1.2709816152101407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Cèdre de l'Atlas</v>
      </c>
      <c r="B6" s="144">
        <f>'Données projet'!D9</f>
        <v>1.8386100000000001</v>
      </c>
      <c r="C6" s="145">
        <f ca="1">IF(OR('Données projet'!B9="",'Données projet'!C9="",'Données projet'!C9=0%),0,Calculateur!S3)</f>
        <v>512.58510468904342</v>
      </c>
      <c r="D6" s="145">
        <f>IF(OR('Données projet'!B9="",'Données projet'!C9="",'Données projet'!C9=0%),0,Calculateur!T3)</f>
        <v>443.6106696463529</v>
      </c>
      <c r="E6" s="145">
        <f ca="1">MIN(C6,D6)</f>
        <v>443.6106696463529</v>
      </c>
      <c r="F6" s="145">
        <f ca="1">E6*B6</f>
        <v>815.62701331848098</v>
      </c>
      <c r="G6" s="145">
        <f ca="1">F6*(100%-'Données projet'!$C$24)*(100%-'Données projet'!$C$25)*(100%-'Données projet'!$C$26)*(100%-'Données projet'!$C$27)</f>
        <v>623.95466518863793</v>
      </c>
      <c r="H6" s="146">
        <f>IF(OR('Données projet'!B9="",'Données projet'!C9="",'Données projet'!C9=0%),0,AVERAGE(Calculateur!$AC$3:$AC$33)*B6)</f>
        <v>15.399945143589671</v>
      </c>
      <c r="I6" s="147">
        <f>H6*(100%-'Données projet'!$C$24)*(100%-'Données projet'!$C$25)*(100%-'Données projet'!$C$26)*(100%-'Données projet'!$C$27)</f>
        <v>11.780958034846098</v>
      </c>
      <c r="J6" s="148">
        <f>IF(OR('Données projet'!B9="",'Données projet'!C9="",'Données projet'!C9=0%),0,SUM(Calculateur!$V$3:$V$33)*VLOOKUP('Données projet'!$B$9,Paramètres!$A$1:$I$89,9,0)*B6)</f>
        <v>160.4922669</v>
      </c>
      <c r="K6" s="149">
        <f>J6*(100%-'Données projet'!$C$24)*(100%-'Données projet'!$C$25)*(100%-'Données projet'!$C$26)*(100%-'Données projet'!$C$27)</f>
        <v>122.77658417850002</v>
      </c>
      <c r="L6" s="150">
        <f ca="1">G6+I6+K6</f>
        <v>758.51220740198403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1.90185</v>
      </c>
      <c r="C7" s="145">
        <f ca="1">IF(OR('Données projet'!B10="",'Données projet'!C10="",'Données projet'!C10=0%),0,Calculateur!AN3)</f>
        <v>520.95202773768222</v>
      </c>
      <c r="D7" s="145">
        <f>IF(OR('Données projet'!B10="",'Données projet'!C10="",'Données projet'!C10=0%),0,Calculateur!AO3)</f>
        <v>325.72635759450861</v>
      </c>
      <c r="E7" s="145">
        <f t="shared" ref="E7:E15" ca="1" si="0">MIN(C7,D7)</f>
        <v>325.72635759450861</v>
      </c>
      <c r="F7" s="145">
        <f t="shared" ref="F7:F15" ca="1" si="1">E7*B7</f>
        <v>619.48267319111619</v>
      </c>
      <c r="G7" s="145">
        <f ca="1">F7*(100%-'Données projet'!$C$24)*(100%-'Données projet'!$C$25)*(100%-'Données projet'!$C$26)*(100%-'Données projet'!$C$27)</f>
        <v>473.90424499120394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29.478674999999999</v>
      </c>
      <c r="K7" s="149">
        <f>J7*(100%-'Données projet'!$C$24)*(100%-'Données projet'!$C$25)*(100%-'Données projet'!$C$26)*(100%-'Données projet'!$C$27)</f>
        <v>22.551186374999997</v>
      </c>
      <c r="L7" s="150">
        <f t="shared" ref="L7:L15" ca="1" si="2">G7+I7+K7</f>
        <v>496.45543136620392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Pin laricio</v>
      </c>
      <c r="B8" s="152">
        <f>'Données projet'!D11</f>
        <v>2.7965100000000005</v>
      </c>
      <c r="C8" s="145">
        <f ca="1">IF(OR('Données projet'!B11="",'Données projet'!C11="",'Données projet'!C11=0%),0,Calculateur!BI3)</f>
        <v>528.71639224940395</v>
      </c>
      <c r="D8" s="145">
        <f>IF(OR('Données projet'!B11="",'Données projet'!C11="",'Données projet'!C11=0%),0,Calculateur!BJ3)</f>
        <v>460.93390058676493</v>
      </c>
      <c r="E8" s="145">
        <f t="shared" ca="1" si="0"/>
        <v>460.93390058676493</v>
      </c>
      <c r="F8" s="145">
        <f t="shared" ca="1" si="1"/>
        <v>1289.0062623298943</v>
      </c>
      <c r="G8" s="145">
        <f ca="1">F8*(100%-'Données projet'!$C$24)*(100%-'Données projet'!$C$25)*(100%-'Données projet'!$C$26)*(100%-'Données projet'!$C$27)</f>
        <v>986.08979068236908</v>
      </c>
      <c r="H8" s="153">
        <f>IF(OR('Données projet'!B11="",'Données projet'!C11="",'Données projet'!C11=0%),0,AVERAGE(Calculateur!$BS$3:$BS$33)*B8)</f>
        <v>35.68023480566476</v>
      </c>
      <c r="I8" s="147">
        <f>H8*(100%-'Données projet'!$C$24)*(100%-'Données projet'!$C$25)*(100%-'Données projet'!$C$26)*(100%-'Données projet'!$C$27)</f>
        <v>27.295379626333542</v>
      </c>
      <c r="J8" s="148">
        <f>IF(OR('Données projet'!B11="",'Données projet'!C11="",'Données projet'!C11=0%),0,SUM(Calculateur!$BL$3:$BL$33)*VLOOKUP('Données projet'!$B$11,Paramètres!$A$1:$I$89,9,0)*B8)</f>
        <v>244.10735790000001</v>
      </c>
      <c r="K8" s="149">
        <f>J8*(100%-'Données projet'!$C$24)*(100%-'Données projet'!$C$25)*(100%-'Données projet'!$C$26)*(100%-'Données projet'!$C$27)</f>
        <v>186.7421287935</v>
      </c>
      <c r="L8" s="150">
        <f t="shared" ca="1" si="2"/>
        <v>1200.1272991022026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sessile</v>
      </c>
      <c r="B9" s="152">
        <f>'Données projet'!D12</f>
        <v>1.9223100000000002</v>
      </c>
      <c r="C9" s="145">
        <f ca="1">IF(OR('Données projet'!B12="",'Données projet'!C12="",'Données projet'!C12=0%),0,Calculateur!CD3)</f>
        <v>398.11190027805549</v>
      </c>
      <c r="D9" s="145">
        <f>IF(OR('Données projet'!B12="",'Données projet'!C12="",'Données projet'!C12=0%),0,Calculateur!CE3)</f>
        <v>250.47702091764884</v>
      </c>
      <c r="E9" s="145">
        <f t="shared" ca="1" si="0"/>
        <v>250.47702091764884</v>
      </c>
      <c r="F9" s="145">
        <f t="shared" ca="1" si="1"/>
        <v>481.49448208020561</v>
      </c>
      <c r="G9" s="145">
        <f ca="1">F9*(100%-'Données projet'!$C$24)*(100%-'Données projet'!$C$25)*(100%-'Données projet'!$C$26)*(100%-'Données projet'!$C$27)</f>
        <v>368.34327879135731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13.936747500000001</v>
      </c>
      <c r="K9" s="149">
        <f>J9*(100%-'Données projet'!$C$24)*(100%-'Données projet'!$C$25)*(100%-'Données projet'!$C$26)*(100%-'Données projet'!$C$27)</f>
        <v>10.661611837500001</v>
      </c>
      <c r="L9" s="150">
        <f t="shared" ca="1" si="2"/>
        <v>379.00489062885731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Charme</v>
      </c>
      <c r="B10" s="152">
        <f>'Données projet'!D13</f>
        <v>0.47523000000000004</v>
      </c>
      <c r="C10" s="145">
        <f ca="1">IF(OR('Données projet'!B13="",'Données projet'!C13="",'Données projet'!C13=0%),0,Calculateur!CY3)</f>
        <v>697.21496579281836</v>
      </c>
      <c r="D10" s="145">
        <f>IF(OR('Données projet'!B13="",'Données projet'!C13="",'Données projet'!C13=0%),0,Calculateur!CZ3)</f>
        <v>215.64914236153456</v>
      </c>
      <c r="E10" s="145">
        <f t="shared" ca="1" si="0"/>
        <v>215.64914236153456</v>
      </c>
      <c r="F10" s="145">
        <f t="shared" ca="1" si="1"/>
        <v>102.48294192447207</v>
      </c>
      <c r="G10" s="145">
        <f ca="1">F10*(100%-'Données projet'!$C$24)*(100%-'Données projet'!$C$25)*(100%-'Données projet'!$C$26)*(100%-'Données projet'!$C$27)</f>
        <v>78.399450572221141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78.399450572221141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Erable champêtre</v>
      </c>
      <c r="B11" s="152">
        <f>'Données projet'!D14</f>
        <v>0.36270000000000002</v>
      </c>
      <c r="C11" s="145">
        <f ca="1">IF(OR('Données projet'!B14="",'Données projet'!C14="",'Données projet'!C14=0%),0,Calculateur!DT3)</f>
        <v>408.24135864450221</v>
      </c>
      <c r="D11" s="145">
        <f>IF(OR('Données projet'!B14="",'Données projet'!C14="",'Données projet'!C14=0%),0,Calculateur!DU3)</f>
        <v>394.10236303013903</v>
      </c>
      <c r="E11" s="145">
        <f t="shared" ca="1" si="0"/>
        <v>394.10236303013903</v>
      </c>
      <c r="F11" s="145">
        <f t="shared" ca="1" si="1"/>
        <v>142.94092707103144</v>
      </c>
      <c r="G11" s="145">
        <f ca="1">F11*(100%-'Données projet'!$C$24)*(100%-'Données projet'!$C$25)*(100%-'Données projet'!$C$26)*(100%-'Données projet'!$C$27)</f>
        <v>109.34980920933904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12.422475</v>
      </c>
      <c r="K11" s="149">
        <f>J11*(100%-'Données projet'!$C$24)*(100%-'Données projet'!$C$25)*(100%-'Données projet'!$C$26)*(100%-'Données projet'!$C$27)</f>
        <v>9.5031933750000004</v>
      </c>
      <c r="L11" s="150">
        <f t="shared" ca="1" si="2"/>
        <v>118.85300258433904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3451.0342999152008</v>
      </c>
      <c r="G16" s="164">
        <f t="shared" ca="1" si="3"/>
        <v>2640.0412394351283</v>
      </c>
      <c r="H16" s="165">
        <f t="shared" si="3"/>
        <v>51.080179949254429</v>
      </c>
      <c r="I16" s="165">
        <f t="shared" si="3"/>
        <v>39.076337661179636</v>
      </c>
      <c r="J16" s="166">
        <f t="shared" si="3"/>
        <v>460.43752230000007</v>
      </c>
      <c r="K16" s="166">
        <f t="shared" si="3"/>
        <v>352.23470455950007</v>
      </c>
      <c r="L16" s="167">
        <f t="shared" ca="1" si="3"/>
        <v>3031.3522816558088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Erable champêtre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-2129.518641058231</v>
      </c>
      <c r="U10" s="176">
        <f>'Données projet'!D9</f>
        <v>1.8386100000000001</v>
      </c>
      <c r="V10" s="175">
        <f>U10*T10</f>
        <v>-3915.3542686360743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-3014.9799934870584</v>
      </c>
      <c r="U11" s="176">
        <f>'Données projet'!D10</f>
        <v>1.90185</v>
      </c>
      <c r="V11" s="175">
        <f t="shared" ref="V11" si="0">U11*T11</f>
        <v>-5734.0397006133626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laricio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-626.19577619699339</v>
      </c>
      <c r="U12" s="176">
        <f>'Données projet'!D11</f>
        <v>2.7965100000000005</v>
      </c>
      <c r="V12" s="175">
        <f t="shared" ref="V12:V19" si="1">U12*T12</f>
        <v>-1751.1627500926543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sessile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-3003.1373235139422</v>
      </c>
      <c r="U13" s="176">
        <f>'Données projet'!D12</f>
        <v>1.9223100000000002</v>
      </c>
      <c r="V13" s="175">
        <f t="shared" si="1"/>
        <v>-5772.9609083640871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Charme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-2344.6797736237577</v>
      </c>
      <c r="U14" s="176">
        <f>'Données projet'!D13</f>
        <v>0.47523000000000004</v>
      </c>
      <c r="V14" s="175">
        <f t="shared" si="1"/>
        <v>-1114.2621688192185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Erable champêtre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-1882.1281149569336</v>
      </c>
      <c r="U15" s="176">
        <f>'Données projet'!D14</f>
        <v>0.36270000000000002</v>
      </c>
      <c r="V15" s="175">
        <f t="shared" si="1"/>
        <v>-682.6478672948798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3126.97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3157.55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-48335.642663820283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49</v>
      </c>
      <c r="C24" s="191">
        <v>15</v>
      </c>
      <c r="D24" s="180">
        <f t="shared" ref="D24:D42" si="2">B24*C24</f>
        <v>735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251829.24939211493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77</v>
      </c>
      <c r="C25" s="191">
        <v>15</v>
      </c>
      <c r="D25" s="180">
        <f t="shared" si="2"/>
        <v>1155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1200</v>
      </c>
      <c r="Q25" s="232"/>
      <c r="R25" s="23"/>
      <c r="S25" s="184" t="s">
        <v>266</v>
      </c>
      <c r="T25" s="312">
        <f ca="1">T23-T24</f>
        <v>-300164.89205593523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77</v>
      </c>
      <c r="C26" s="191">
        <v>15</v>
      </c>
      <c r="D26" s="180">
        <f t="shared" si="2"/>
        <v>1155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77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77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77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76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27078.413913130637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66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60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56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1200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53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1148.3253588516748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50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1098.8759414848564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48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1051.5559248658913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1006.2736123118578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962.94125580082095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921.47488593380012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881.7941492189475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843.82215236262937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807.48531326567411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772.71321843605199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739.43848654167653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707.59663783892506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677.12596922385171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647.96743466397299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3127.12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620.06453077892149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593.36318734825045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567.811662534211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543.36044261646998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519.96214604446891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497.57143162150146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6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476.14491064258505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28</v>
      </c>
      <c r="C55" s="189">
        <v>15</v>
      </c>
      <c r="D55" s="177">
        <f t="shared" ref="D55:D73" si="4">B55*C55</f>
        <v>420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455.64106281587107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28</v>
      </c>
      <c r="C56" s="189">
        <v>15</v>
      </c>
      <c r="D56" s="177">
        <f t="shared" si="4"/>
        <v>420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436.02015580466127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28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417.24416823412571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399.27671601351744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28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382.08298183111725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28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365.62964768527968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28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349.8848303208419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334.81801944578166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28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320.40001860840363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28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306.60288862048185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28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293.39989341672918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280.76544824567395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28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268.67507009155401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28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257.10533023115215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28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246.03380883363849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27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235.43905151544354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26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225.30052776597472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25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215.59859116361218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24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206.31444130489209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197.43008737310251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188.92831327569621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Pin laricio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180.79264428296287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173.00731510331377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165.55723933331461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1693.29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158.42798022326761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151.60572270169149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145.07724660448952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138.82990105692775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132.85157995878259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127.13069852515079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14</v>
      </c>
      <c r="C85" s="189">
        <v>15</v>
      </c>
      <c r="D85" s="177">
        <f>B85*C85</f>
        <v>210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121.6561708374649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63</v>
      </c>
      <c r="C86" s="189">
        <v>15</v>
      </c>
      <c r="D86" s="177">
        <f t="shared" ref="D86:D104" si="6">B86*C86</f>
        <v>945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116.41738836121043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63</v>
      </c>
      <c r="C87" s="189">
        <v>15</v>
      </c>
      <c r="D87" s="177">
        <f t="shared" si="6"/>
        <v>945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111.40419938871815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63</v>
      </c>
      <c r="C88" s="189">
        <v>15</v>
      </c>
      <c r="D88" s="177">
        <f t="shared" si="6"/>
        <v>945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106.6068893671944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63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102.01616207387026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63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97.623121601789734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60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93.419255121329911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53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89.396416384047768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45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85.546809936887826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39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81.862976016160587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34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78.337776092019723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31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74.964379035425566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30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71.73624788079006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29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68.647127158650761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65.691030773828501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62.862230405577513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60.155244407251217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57.564827183972461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55.085959027724854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52.71383639016733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50.443862574322814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48.271638827103175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sessile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46.192955815409739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44.203785469291617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42.300273176355624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3127.17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40.478730312302034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38.735627093112008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37.067585735035408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35.471373909124807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20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25</v>
      </c>
      <c r="B117" s="179">
        <f>'Données projet'!D115</f>
        <v>8</v>
      </c>
      <c r="C117" s="189">
        <v>15</v>
      </c>
      <c r="D117" s="177">
        <f t="shared" ref="D117:D135" si="8">B117*C117</f>
        <v>120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30</v>
      </c>
      <c r="B118" s="179">
        <f>'Données projet'!D116</f>
        <v>21</v>
      </c>
      <c r="C118" s="189">
        <v>15</v>
      </c>
      <c r="D118" s="177">
        <f t="shared" si="8"/>
        <v>315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35</v>
      </c>
      <c r="B119" s="179">
        <f>'Données projet'!D117</f>
        <v>21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40</v>
      </c>
      <c r="B120" s="179">
        <f>'Données projet'!D118</f>
        <v>21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45</v>
      </c>
      <c r="B121" s="179">
        <f>'Données projet'!D119</f>
        <v>21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50</v>
      </c>
      <c r="B122" s="179">
        <f>'Données projet'!D120</f>
        <v>21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55</v>
      </c>
      <c r="B123" s="179">
        <f>'Données projet'!D121</f>
        <v>21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60</v>
      </c>
      <c r="B124" s="179">
        <f>'Données projet'!D122</f>
        <v>21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65</v>
      </c>
      <c r="B125" s="179">
        <f>'Données projet'!D123</f>
        <v>21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70</v>
      </c>
      <c r="B126" s="179">
        <f>'Données projet'!D124</f>
        <v>21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75</v>
      </c>
      <c r="B127" s="179">
        <f>'Données projet'!D125</f>
        <v>21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80</v>
      </c>
      <c r="B128" s="179">
        <f>'Données projet'!D126</f>
        <v>21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85</v>
      </c>
      <c r="B129" s="179">
        <f>'Données projet'!D127</f>
        <v>21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90</v>
      </c>
      <c r="B130" s="179">
        <f>'Données projet'!D128</f>
        <v>21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95</v>
      </c>
      <c r="B131" s="179">
        <f>'Données projet'!D129</f>
        <v>21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100</v>
      </c>
      <c r="B132" s="179">
        <f>'Données projet'!D130</f>
        <v>21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105</v>
      </c>
      <c r="B133" s="179">
        <f>'Données projet'!D131</f>
        <v>20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110</v>
      </c>
      <c r="B134" s="179">
        <f>'Données projet'!D132</f>
        <v>19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115</v>
      </c>
      <c r="B135" s="179">
        <f>'Données projet'!D133</f>
        <v>18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Charme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2599.2600000000002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>
        <v>15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42</v>
      </c>
      <c r="B148" s="173">
        <f>'Données projet'!D141</f>
        <v>43.21</v>
      </c>
      <c r="C148" s="189">
        <v>15</v>
      </c>
      <c r="D148" s="180">
        <f t="shared" ref="D148:D166" si="10">B148*C148</f>
        <v>648.15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50</v>
      </c>
      <c r="B149" s="173">
        <f>'Données projet'!D142</f>
        <v>35.58</v>
      </c>
      <c r="C149" s="189">
        <v>15</v>
      </c>
      <c r="D149" s="180">
        <f t="shared" si="10"/>
        <v>533.69999999999993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58</v>
      </c>
      <c r="B150" s="173">
        <f>'Données projet'!D143</f>
        <v>44.93</v>
      </c>
      <c r="C150" s="189">
        <v>15</v>
      </c>
      <c r="D150" s="180">
        <f t="shared" si="10"/>
        <v>673.95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66</v>
      </c>
      <c r="B151" s="173">
        <f>'Données projet'!D144</f>
        <v>49.91</v>
      </c>
      <c r="C151" s="189">
        <v>15</v>
      </c>
      <c r="D151" s="180">
        <f t="shared" si="10"/>
        <v>748.65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74</v>
      </c>
      <c r="B152" s="173">
        <f>'Données projet'!D145</f>
        <v>47.4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84</v>
      </c>
      <c r="B153" s="173">
        <f>'Données projet'!D146</f>
        <v>61.47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94</v>
      </c>
      <c r="B154" s="173">
        <f>'Données projet'!D147</f>
        <v>61.85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104</v>
      </c>
      <c r="B155" s="173">
        <f>'Données projet'!D148</f>
        <v>60.19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114</v>
      </c>
      <c r="B156" s="173">
        <f>'Données projet'!D149</f>
        <v>56.07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124</v>
      </c>
      <c r="B157" s="173">
        <f>'Données projet'!D150</f>
        <v>52.53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134</v>
      </c>
      <c r="B158" s="173">
        <f>'Données projet'!D151</f>
        <v>54.95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144</v>
      </c>
      <c r="B159" s="173">
        <f>'Données projet'!D152</f>
        <v>56.01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154</v>
      </c>
      <c r="B160" s="173">
        <f>'Données projet'!D153</f>
        <v>55.13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164</v>
      </c>
      <c r="B161" s="173">
        <f>'Données projet'!D154</f>
        <v>59.58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174</v>
      </c>
      <c r="B162" s="173">
        <f>'Données projet'!D155</f>
        <v>214.77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177</v>
      </c>
      <c r="B163" s="173">
        <f>'Données projet'!D156</f>
        <v>115.19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180</v>
      </c>
      <c r="B164" s="173">
        <f>'Données projet'!D157</f>
        <v>77.72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183</v>
      </c>
      <c r="B165" s="173">
        <f>'Données projet'!D158</f>
        <v>169.76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Erable champêtre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2662.7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32</v>
      </c>
      <c r="C179" s="191">
        <v>15</v>
      </c>
      <c r="D179" s="177">
        <f t="shared" ref="D179:D197" si="11">B179*C179</f>
        <v>480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20</v>
      </c>
      <c r="B180" s="179">
        <f>'Données projet'!D168</f>
        <v>35</v>
      </c>
      <c r="C180" s="191">
        <v>15</v>
      </c>
      <c r="D180" s="177">
        <f t="shared" si="11"/>
        <v>525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25</v>
      </c>
      <c r="B181" s="179">
        <f>'Données projet'!D169</f>
        <v>35</v>
      </c>
      <c r="C181" s="191">
        <v>15</v>
      </c>
      <c r="D181" s="177">
        <f t="shared" si="11"/>
        <v>525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30</v>
      </c>
      <c r="B182" s="179">
        <f>'Données projet'!D170</f>
        <v>35</v>
      </c>
      <c r="C182" s="191">
        <v>15</v>
      </c>
      <c r="D182" s="177">
        <f t="shared" si="11"/>
        <v>525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35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35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24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19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55</v>
      </c>
      <c r="B187" s="179">
        <f>'Données projet'!D175</f>
        <v>16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60</v>
      </c>
      <c r="B188" s="179">
        <f>'Données projet'!D176</f>
        <v>14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65</v>
      </c>
      <c r="B189" s="179">
        <f>'Données projet'!D177</f>
        <v>13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70</v>
      </c>
      <c r="B190" s="179">
        <f>'Données projet'!D178</f>
        <v>13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75</v>
      </c>
      <c r="B191" s="179">
        <f>'Données projet'!D179</f>
        <v>12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80</v>
      </c>
      <c r="B192" s="179">
        <f>'Données projet'!D180</f>
        <v>11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2024-02-01T13:07:20Z</dcterms:modified>
</cp:coreProperties>
</file>