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gane.pichelin\Downloads\"/>
    </mc:Choice>
  </mc:AlternateContent>
  <xr:revisionPtr revIDLastSave="0" documentId="13_ncr:1_{A50E5632-E14B-4D35-8F2D-A1D2D5F2A167}" xr6:coauthVersionLast="47" xr6:coauthVersionMax="47" xr10:uidLastSave="{00000000-0000-0000-0000-000000000000}"/>
  <bookViews>
    <workbookView xWindow="-30828" yWindow="-12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" i="1" l="1"/>
  <c r="D101" i="1" s="1"/>
  <c r="B100" i="1"/>
  <c r="B99" i="1"/>
  <c r="B98" i="1"/>
  <c r="B97" i="1"/>
  <c r="B96" i="1"/>
  <c r="B95" i="1"/>
  <c r="B94" i="1"/>
  <c r="B93" i="1"/>
  <c r="B92" i="1"/>
  <c r="B91" i="1"/>
  <c r="B90" i="1"/>
  <c r="B89" i="1"/>
  <c r="D73" i="1"/>
  <c r="D45" i="1"/>
  <c r="B45" i="1"/>
  <c r="B44" i="1"/>
  <c r="B43" i="1"/>
  <c r="B42" i="1"/>
  <c r="B41" i="1"/>
  <c r="B40" i="1"/>
  <c r="B39" i="1"/>
  <c r="B38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FQ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X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82" i="2" a="1"/>
  <c r="BC82" i="2" s="1"/>
  <c r="BC164" i="2" a="1"/>
  <c r="BC16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7" i="2" a="1"/>
  <c r="BC7" i="2" s="1"/>
  <c r="BD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<sst xmlns="http://schemas.openxmlformats.org/spreadsheetml/2006/main" count="1172" uniqueCount="324">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</sst>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505.11221386423563</c:v>
                </c:pt>
                <c:pt idx="56">
                  <c:v>510.24046194756301</c:v>
                </c:pt>
                <c:pt idx="57">
                  <c:v>515.3676211703862</c:v>
                </c:pt>
                <c:pt idx="58">
                  <c:v>520.49370390030799</c:v>
                </c:pt>
                <c:pt idx="59">
                  <c:v>525.61872224130559</c:v>
                </c:pt>
                <c:pt idx="60">
                  <c:v>530.74268804192297</c:v>
                </c:pt>
                <c:pt idx="61">
                  <c:v>5.2667878847729083E-12</c:v>
                </c:pt>
                <c:pt idx="62">
                  <c:v>5.2667878847729083E-12</c:v>
                </c:pt>
                <c:pt idx="63">
                  <c:v>5.2667878847729083E-12</c:v>
                </c:pt>
                <c:pt idx="64">
                  <c:v>5.2667878847729083E-12</c:v>
                </c:pt>
                <c:pt idx="65">
                  <c:v>5.2667878847729083E-12</c:v>
                </c:pt>
                <c:pt idx="66">
                  <c:v>5.2667878847729083E-12</c:v>
                </c:pt>
                <c:pt idx="67">
                  <c:v>5.2667878847729083E-12</c:v>
                </c:pt>
                <c:pt idx="68">
                  <c:v>5.2667878847729083E-12</c:v>
                </c:pt>
                <c:pt idx="69">
                  <c:v>5.2667878847729083E-12</c:v>
                </c:pt>
                <c:pt idx="70">
                  <c:v>5.2667878847729083E-12</c:v>
                </c:pt>
                <c:pt idx="71">
                  <c:v>5.2667878847729083E-12</c:v>
                </c:pt>
                <c:pt idx="72">
                  <c:v>5.2667878847729083E-12</c:v>
                </c:pt>
                <c:pt idx="73">
                  <c:v>5.2667878847729083E-12</c:v>
                </c:pt>
                <c:pt idx="74">
                  <c:v>5.2667878847729083E-12</c:v>
                </c:pt>
                <c:pt idx="75">
                  <c:v>5.2667878847729083E-12</c:v>
                </c:pt>
                <c:pt idx="76">
                  <c:v>5.2667878847729083E-12</c:v>
                </c:pt>
                <c:pt idx="77">
                  <c:v>5.2667878847729083E-12</c:v>
                </c:pt>
                <c:pt idx="78">
                  <c:v>5.2667878847729083E-12</c:v>
                </c:pt>
                <c:pt idx="79">
                  <c:v>5.2667878847729083E-12</c:v>
                </c:pt>
                <c:pt idx="80">
                  <c:v>5.2667878847729083E-12</c:v>
                </c:pt>
                <c:pt idx="81">
                  <c:v>5.2667878847729083E-12</c:v>
                </c:pt>
                <c:pt idx="82">
                  <c:v>5.2667878847729083E-12</c:v>
                </c:pt>
                <c:pt idx="83">
                  <c:v>5.2667878847729083E-12</c:v>
                </c:pt>
                <c:pt idx="84">
                  <c:v>5.2667878847729083E-12</c:v>
                </c:pt>
                <c:pt idx="85">
                  <c:v>5.2667878847729083E-12</c:v>
                </c:pt>
                <c:pt idx="86">
                  <c:v>5.2667878847729083E-12</c:v>
                </c:pt>
                <c:pt idx="87">
                  <c:v>5.2667878847729083E-12</c:v>
                </c:pt>
                <c:pt idx="88">
                  <c:v>5.2667878847729083E-12</c:v>
                </c:pt>
                <c:pt idx="89">
                  <c:v>5.2667878847729083E-12</c:v>
                </c:pt>
                <c:pt idx="90">
                  <c:v>5.2667878847729083E-12</c:v>
                </c:pt>
                <c:pt idx="91">
                  <c:v>5.2667878847729083E-12</c:v>
                </c:pt>
                <c:pt idx="92">
                  <c:v>5.2667878847729083E-12</c:v>
                </c:pt>
                <c:pt idx="93">
                  <c:v>5.2667878847729083E-12</c:v>
                </c:pt>
                <c:pt idx="94">
                  <c:v>5.2667878847729083E-12</c:v>
                </c:pt>
                <c:pt idx="95">
                  <c:v>5.2667878847729083E-12</c:v>
                </c:pt>
                <c:pt idx="96">
                  <c:v>5.2667878847729083E-12</c:v>
                </c:pt>
                <c:pt idx="97">
                  <c:v>5.2667878847729083E-12</c:v>
                </c:pt>
                <c:pt idx="98">
                  <c:v>5.2667878847729083E-12</c:v>
                </c:pt>
                <c:pt idx="99">
                  <c:v>5.2667878847729083E-12</c:v>
                </c:pt>
                <c:pt idx="100">
                  <c:v>5.2667878847729083E-12</c:v>
                </c:pt>
                <c:pt idx="101">
                  <c:v>5.2667878847729083E-12</c:v>
                </c:pt>
                <c:pt idx="102">
                  <c:v>5.2667878847729083E-12</c:v>
                </c:pt>
                <c:pt idx="103">
                  <c:v>5.2667878847729083E-12</c:v>
                </c:pt>
                <c:pt idx="104">
                  <c:v>5.2667878847729083E-12</c:v>
                </c:pt>
                <c:pt idx="105">
                  <c:v>5.2667878847729083E-12</c:v>
                </c:pt>
                <c:pt idx="106">
                  <c:v>5.2667878847729083E-12</c:v>
                </c:pt>
                <c:pt idx="107">
                  <c:v>5.2667878847729083E-12</c:v>
                </c:pt>
                <c:pt idx="108">
                  <c:v>5.2667878847729083E-12</c:v>
                </c:pt>
                <c:pt idx="109">
                  <c:v>5.2667878847729083E-12</c:v>
                </c:pt>
                <c:pt idx="110">
                  <c:v>5.2667878847729083E-12</c:v>
                </c:pt>
                <c:pt idx="111">
                  <c:v>5.2667878847729083E-12</c:v>
                </c:pt>
                <c:pt idx="112">
                  <c:v>5.2667878847729083E-12</c:v>
                </c:pt>
                <c:pt idx="113">
                  <c:v>5.2667878847729083E-12</c:v>
                </c:pt>
                <c:pt idx="114">
                  <c:v>5.2667878847729083E-12</c:v>
                </c:pt>
                <c:pt idx="115">
                  <c:v>5.2667878847729083E-12</c:v>
                </c:pt>
                <c:pt idx="116">
                  <c:v>5.2667878847729083E-12</c:v>
                </c:pt>
                <c:pt idx="117">
                  <c:v>5.2667878847729083E-12</c:v>
                </c:pt>
                <c:pt idx="118">
                  <c:v>5.2667878847729083E-12</c:v>
                </c:pt>
                <c:pt idx="119">
                  <c:v>5.2667878847729083E-12</c:v>
                </c:pt>
                <c:pt idx="120">
                  <c:v>5.2667878847729083E-12</c:v>
                </c:pt>
                <c:pt idx="121">
                  <c:v>5.2667878847729083E-12</c:v>
                </c:pt>
                <c:pt idx="122">
                  <c:v>5.2667878847729083E-12</c:v>
                </c:pt>
                <c:pt idx="123">
                  <c:v>5.2667878847729083E-12</c:v>
                </c:pt>
                <c:pt idx="124">
                  <c:v>5.2667878847729083E-12</c:v>
                </c:pt>
                <c:pt idx="125">
                  <c:v>5.2667878847729083E-12</c:v>
                </c:pt>
                <c:pt idx="126">
                  <c:v>5.2667878847729083E-12</c:v>
                </c:pt>
                <c:pt idx="127">
                  <c:v>5.2667878847729083E-12</c:v>
                </c:pt>
                <c:pt idx="128">
                  <c:v>5.2667878847729083E-12</c:v>
                </c:pt>
                <c:pt idx="129">
                  <c:v>5.2667878847729083E-12</c:v>
                </c:pt>
                <c:pt idx="130">
                  <c:v>5.2667878847729083E-12</c:v>
                </c:pt>
                <c:pt idx="131">
                  <c:v>5.2667878847729083E-12</c:v>
                </c:pt>
                <c:pt idx="132">
                  <c:v>5.2667878847729083E-12</c:v>
                </c:pt>
                <c:pt idx="133">
                  <c:v>5.2667878847729083E-12</c:v>
                </c:pt>
                <c:pt idx="134">
                  <c:v>5.2667878847729083E-12</c:v>
                </c:pt>
                <c:pt idx="135">
                  <c:v>5.2667878847729083E-12</c:v>
                </c:pt>
                <c:pt idx="136">
                  <c:v>5.2667878847729083E-12</c:v>
                </c:pt>
                <c:pt idx="137">
                  <c:v>5.2667878847729083E-12</c:v>
                </c:pt>
                <c:pt idx="138">
                  <c:v>5.2667878847729083E-12</c:v>
                </c:pt>
                <c:pt idx="139">
                  <c:v>5.2667878847729083E-12</c:v>
                </c:pt>
                <c:pt idx="140">
                  <c:v>5.2667878847729083E-12</c:v>
                </c:pt>
                <c:pt idx="141">
                  <c:v>5.2667878847729083E-12</c:v>
                </c:pt>
                <c:pt idx="142">
                  <c:v>5.2667878847729083E-12</c:v>
                </c:pt>
                <c:pt idx="143">
                  <c:v>5.2667878847729083E-12</c:v>
                </c:pt>
                <c:pt idx="144">
                  <c:v>5.2667878847729083E-12</c:v>
                </c:pt>
                <c:pt idx="145">
                  <c:v>5.2667878847729083E-12</c:v>
                </c:pt>
                <c:pt idx="146">
                  <c:v>5.2667878847729083E-12</c:v>
                </c:pt>
                <c:pt idx="147">
                  <c:v>5.2667878847729083E-12</c:v>
                </c:pt>
                <c:pt idx="148">
                  <c:v>5.2667878847729083E-12</c:v>
                </c:pt>
                <c:pt idx="149">
                  <c:v>5.2667878847729083E-12</c:v>
                </c:pt>
                <c:pt idx="150">
                  <c:v>5.2667878847729083E-12</c:v>
                </c:pt>
                <c:pt idx="151">
                  <c:v>5.2667878847729083E-12</c:v>
                </c:pt>
                <c:pt idx="152">
                  <c:v>5.2667878847729083E-12</c:v>
                </c:pt>
                <c:pt idx="153">
                  <c:v>5.2667878847729083E-12</c:v>
                </c:pt>
                <c:pt idx="154">
                  <c:v>5.2667878847729083E-12</c:v>
                </c:pt>
                <c:pt idx="155">
                  <c:v>5.2667878847729083E-12</c:v>
                </c:pt>
                <c:pt idx="156">
                  <c:v>5.2667878847729083E-12</c:v>
                </c:pt>
                <c:pt idx="157">
                  <c:v>5.2667878847729083E-12</c:v>
                </c:pt>
                <c:pt idx="158">
                  <c:v>5.2667878847729083E-12</c:v>
                </c:pt>
                <c:pt idx="159">
                  <c:v>5.2667878847729083E-12</c:v>
                </c:pt>
                <c:pt idx="160">
                  <c:v>5.2667878847729083E-12</c:v>
                </c:pt>
                <c:pt idx="161">
                  <c:v>5.2667878847729083E-12</c:v>
                </c:pt>
                <c:pt idx="162">
                  <c:v>5.2667878847729083E-12</c:v>
                </c:pt>
                <c:pt idx="163">
                  <c:v>5.2667878847729083E-12</c:v>
                </c:pt>
                <c:pt idx="164">
                  <c:v>5.2667878847729083E-12</c:v>
                </c:pt>
                <c:pt idx="165">
                  <c:v>5.2667878847729083E-12</c:v>
                </c:pt>
                <c:pt idx="166">
                  <c:v>5.2667878847729083E-12</c:v>
                </c:pt>
                <c:pt idx="167">
                  <c:v>5.2667878847729083E-12</c:v>
                </c:pt>
                <c:pt idx="168">
                  <c:v>5.2667878847729083E-12</c:v>
                </c:pt>
                <c:pt idx="169">
                  <c:v>5.2667878847729083E-12</c:v>
                </c:pt>
                <c:pt idx="170">
                  <c:v>5.2667878847729083E-12</c:v>
                </c:pt>
                <c:pt idx="171">
                  <c:v>5.2667878847729083E-12</c:v>
                </c:pt>
                <c:pt idx="172">
                  <c:v>5.2667878847729083E-12</c:v>
                </c:pt>
                <c:pt idx="173">
                  <c:v>5.2667878847729083E-12</c:v>
                </c:pt>
                <c:pt idx="174">
                  <c:v>5.2667878847729083E-12</c:v>
                </c:pt>
                <c:pt idx="175">
                  <c:v>5.2667878847729083E-12</c:v>
                </c:pt>
                <c:pt idx="176">
                  <c:v>5.2667878847729083E-12</c:v>
                </c:pt>
                <c:pt idx="177">
                  <c:v>5.2667878847729083E-12</c:v>
                </c:pt>
                <c:pt idx="178">
                  <c:v>5.2667878847729083E-12</c:v>
                </c:pt>
                <c:pt idx="179">
                  <c:v>5.2667878847729083E-12</c:v>
                </c:pt>
                <c:pt idx="180">
                  <c:v>5.2667878847729083E-12</c:v>
                </c:pt>
                <c:pt idx="181">
                  <c:v>5.2667878847729083E-12</c:v>
                </c:pt>
                <c:pt idx="182">
                  <c:v>5.2667878847729083E-12</c:v>
                </c:pt>
                <c:pt idx="183">
                  <c:v>5.2667878847729083E-12</c:v>
                </c:pt>
                <c:pt idx="184">
                  <c:v>5.2667878847729083E-12</c:v>
                </c:pt>
                <c:pt idx="185">
                  <c:v>5.2667878847729083E-12</c:v>
                </c:pt>
                <c:pt idx="186">
                  <c:v>5.2667878847729083E-12</c:v>
                </c:pt>
                <c:pt idx="187">
                  <c:v>5.2667878847729083E-12</c:v>
                </c:pt>
                <c:pt idx="188">
                  <c:v>5.2667878847729083E-12</c:v>
                </c:pt>
                <c:pt idx="189">
                  <c:v>5.2667878847729083E-12</c:v>
                </c:pt>
                <c:pt idx="190">
                  <c:v>5.2667878847729083E-12</c:v>
                </c:pt>
                <c:pt idx="191">
                  <c:v>5.2667878847729083E-12</c:v>
                </c:pt>
                <c:pt idx="192">
                  <c:v>5.2667878847729083E-12</c:v>
                </c:pt>
                <c:pt idx="193">
                  <c:v>5.2667878847729083E-12</c:v>
                </c:pt>
                <c:pt idx="194">
                  <c:v>5.2667878847729083E-12</c:v>
                </c:pt>
                <c:pt idx="195">
                  <c:v>5.2667878847729083E-12</c:v>
                </c:pt>
                <c:pt idx="196">
                  <c:v>5.2667878847729083E-12</c:v>
                </c:pt>
                <c:pt idx="197">
                  <c:v>5.2667878847729083E-12</c:v>
                </c:pt>
                <c:pt idx="198">
                  <c:v>5.2667878847729083E-12</c:v>
                </c:pt>
                <c:pt idx="199">
                  <c:v>5.2667878847729083E-12</c:v>
                </c:pt>
                <c:pt idx="200">
                  <c:v>5.2667878847729083E-12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1.9300090450555736</c:v>
                </c:pt>
                <c:pt idx="2">
                  <c:v>2.8075444952768236</c:v>
                </c:pt>
                <c:pt idx="3">
                  <c:v>4.0858794910637313</c:v>
                </c:pt>
                <c:pt idx="4">
                  <c:v>5.9488464394507057</c:v>
                </c:pt>
                <c:pt idx="5">
                  <c:v>8.6649259771943683</c:v>
                </c:pt>
                <c:pt idx="6">
                  <c:v>19.055002728582917</c:v>
                </c:pt>
                <c:pt idx="7">
                  <c:v>29.27217716112202</c:v>
                </c:pt>
                <c:pt idx="8">
                  <c:v>39.388237618846667</c:v>
                </c:pt>
                <c:pt idx="9">
                  <c:v>49.433310690552084</c:v>
                </c:pt>
                <c:pt idx="10">
                  <c:v>59.423997506342801</c:v>
                </c:pt>
                <c:pt idx="11">
                  <c:v>76.581439733635648</c:v>
                </c:pt>
                <c:pt idx="12">
                  <c:v>93.640544371139015</c:v>
                </c:pt>
                <c:pt idx="13">
                  <c:v>110.62185747046222</c:v>
                </c:pt>
                <c:pt idx="14">
                  <c:v>127.53904324751034</c:v>
                </c:pt>
                <c:pt idx="15">
                  <c:v>144.4018230214341</c:v>
                </c:pt>
                <c:pt idx="16">
                  <c:v>165.41467915791932</c:v>
                </c:pt>
                <c:pt idx="17">
                  <c:v>186.36444976459833</c:v>
                </c:pt>
                <c:pt idx="18">
                  <c:v>207.25922872395259</c:v>
                </c:pt>
                <c:pt idx="19">
                  <c:v>228.10534126940169</c:v>
                </c:pt>
                <c:pt idx="20">
                  <c:v>248.9078605248163</c:v>
                </c:pt>
                <c:pt idx="21">
                  <c:v>270.54436521267581</c:v>
                </c:pt>
                <c:pt idx="22">
                  <c:v>292.14194171383377</c:v>
                </c:pt>
                <c:pt idx="23">
                  <c:v>313.70387144717353</c:v>
                </c:pt>
                <c:pt idx="24">
                  <c:v>335.23294789811229</c:v>
                </c:pt>
                <c:pt idx="25">
                  <c:v>356.73157650803984</c:v>
                </c:pt>
                <c:pt idx="26">
                  <c:v>376.68464064481844</c:v>
                </c:pt>
                <c:pt idx="27">
                  <c:v>396.6146982963387</c:v>
                </c:pt>
                <c:pt idx="28">
                  <c:v>416.52306754009527</c:v>
                </c:pt>
                <c:pt idx="29">
                  <c:v>436.41093023453499</c:v>
                </c:pt>
                <c:pt idx="30">
                  <c:v>456.27935179021898</c:v>
                </c:pt>
                <c:pt idx="31">
                  <c:v>472.89411611576929</c:v>
                </c:pt>
                <c:pt idx="32">
                  <c:v>489.49645805565063</c:v>
                </c:pt>
                <c:pt idx="33">
                  <c:v>506.08685807143121</c:v>
                </c:pt>
                <c:pt idx="34">
                  <c:v>522.6657625700999</c:v>
                </c:pt>
                <c:pt idx="35">
                  <c:v>539.23358734370515</c:v>
                </c:pt>
                <c:pt idx="36">
                  <c:v>552.78111125929661</c:v>
                </c:pt>
                <c:pt idx="37">
                  <c:v>566.32167853021576</c:v>
                </c:pt>
                <c:pt idx="38">
                  <c:v>579.85547886369784</c:v>
                </c:pt>
                <c:pt idx="39">
                  <c:v>593.38269239274985</c:v>
                </c:pt>
                <c:pt idx="40">
                  <c:v>606.90349037114447</c:v>
                </c:pt>
                <c:pt idx="41">
                  <c:v>617.4153357585169</c:v>
                </c:pt>
                <c:pt idx="42">
                  <c:v>627.9234723533898</c:v>
                </c:pt>
                <c:pt idx="43">
                  <c:v>638.42797095642356</c:v>
                </c:pt>
                <c:pt idx="44">
                  <c:v>648.92889984900182</c:v>
                </c:pt>
                <c:pt idx="45">
                  <c:v>659.42632492305449</c:v>
                </c:pt>
                <c:pt idx="46">
                  <c:v>667.77895661523587</c:v>
                </c:pt>
                <c:pt idx="47">
                  <c:v>676.1294401321112</c:v>
                </c:pt>
                <c:pt idx="48">
                  <c:v>684.47780574148339</c:v>
                </c:pt>
                <c:pt idx="49">
                  <c:v>692.8240829127318</c:v>
                </c:pt>
                <c:pt idx="50">
                  <c:v>701.1683003474426</c:v>
                </c:pt>
                <c:pt idx="51">
                  <c:v>707.37165621516294</c:v>
                </c:pt>
                <c:pt idx="52">
                  <c:v>713.57389991850266</c:v>
                </c:pt>
                <c:pt idx="53">
                  <c:v>719.77504248698142</c:v>
                </c:pt>
                <c:pt idx="54">
                  <c:v>725.97509474458309</c:v>
                </c:pt>
                <c:pt idx="55">
                  <c:v>732.17406731534754</c:v>
                </c:pt>
                <c:pt idx="56">
                  <c:v>736.87602234738335</c:v>
                </c:pt>
                <c:pt idx="57">
                  <c:v>741.57736650043273</c:v>
                </c:pt>
                <c:pt idx="58">
                  <c:v>746.27810419353807</c:v>
                </c:pt>
                <c:pt idx="59">
                  <c:v>750.97823978552935</c:v>
                </c:pt>
                <c:pt idx="60">
                  <c:v>755.67777757622719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194.36550298334649</c:v>
                </c:pt>
                <c:pt idx="32">
                  <c:v>214.38589248354251</c:v>
                </c:pt>
                <c:pt idx="33">
                  <c:v>234.36323716840602</c:v>
                </c:pt>
                <c:pt idx="34">
                  <c:v>254.30172220416441</c:v>
                </c:pt>
                <c:pt idx="35">
                  <c:v>274.20482243650338</c:v>
                </c:pt>
                <c:pt idx="36">
                  <c:v>294.07546687495898</c:v>
                </c:pt>
                <c:pt idx="37">
                  <c:v>313.91615631143912</c:v>
                </c:pt>
                <c:pt idx="38">
                  <c:v>333.72904960580678</c:v>
                </c:pt>
                <c:pt idx="39">
                  <c:v>353.51602838820548</c:v>
                </c:pt>
                <c:pt idx="40">
                  <c:v>373.27874650728057</c:v>
                </c:pt>
                <c:pt idx="41">
                  <c:v>292.63136713800856</c:v>
                </c:pt>
                <c:pt idx="42">
                  <c:v>312.83467185841931</c:v>
                </c:pt>
                <c:pt idx="43">
                  <c:v>333.00904545770453</c:v>
                </c:pt>
                <c:pt idx="44">
                  <c:v>353.15648638435545</c:v>
                </c:pt>
                <c:pt idx="45">
                  <c:v>373.27874650728046</c:v>
                </c:pt>
                <c:pt idx="46">
                  <c:v>393.37737346788646</c:v>
                </c:pt>
                <c:pt idx="47">
                  <c:v>413.45374392164439</c:v>
                </c:pt>
                <c:pt idx="48">
                  <c:v>433.50908998495447</c:v>
                </c:pt>
                <c:pt idx="49">
                  <c:v>453.54452053248133</c:v>
                </c:pt>
                <c:pt idx="50">
                  <c:v>473.56103853531016</c:v>
                </c:pt>
                <c:pt idx="51">
                  <c:v>390.86628899650503</c:v>
                </c:pt>
                <c:pt idx="52">
                  <c:v>408.43666822000955</c:v>
                </c:pt>
                <c:pt idx="53">
                  <c:v>425.99072614453195</c:v>
                </c:pt>
                <c:pt idx="54">
                  <c:v>443.52922971069125</c:v>
                </c:pt>
                <c:pt idx="55">
                  <c:v>461.05288028198476</c:v>
                </c:pt>
                <c:pt idx="56">
                  <c:v>478.56232158259263</c:v>
                </c:pt>
                <c:pt idx="57">
                  <c:v>496.0581464132178</c:v>
                </c:pt>
                <c:pt idx="58">
                  <c:v>513.54090237038565</c:v>
                </c:pt>
                <c:pt idx="59">
                  <c:v>531.01109674664531</c:v>
                </c:pt>
                <c:pt idx="60">
                  <c:v>548.46920075259288</c:v>
                </c:pt>
                <c:pt idx="61">
                  <c:v>463.73380248274316</c:v>
                </c:pt>
                <c:pt idx="62">
                  <c:v>478.91951340591186</c:v>
                </c:pt>
                <c:pt idx="63">
                  <c:v>494.09499021774013</c:v>
                </c:pt>
                <c:pt idx="64">
                  <c:v>509.26059140461649</c:v>
                </c:pt>
                <c:pt idx="65">
                  <c:v>524.41665236850611</c:v>
                </c:pt>
                <c:pt idx="66">
                  <c:v>539.56348755148167</c:v>
                </c:pt>
                <c:pt idx="67">
                  <c:v>554.70139230936422</c:v>
                </c:pt>
                <c:pt idx="68">
                  <c:v>569.83064457027274</c:v>
                </c:pt>
                <c:pt idx="69">
                  <c:v>584.95150630794706</c:v>
                </c:pt>
                <c:pt idx="70">
                  <c:v>600.06422485487678</c:v>
                </c:pt>
                <c:pt idx="71">
                  <c:v>513.54090237038565</c:v>
                </c:pt>
                <c:pt idx="72">
                  <c:v>526.73381719865961</c:v>
                </c:pt>
                <c:pt idx="73">
                  <c:v>539.91977501567953</c:v>
                </c:pt>
                <c:pt idx="74">
                  <c:v>553.09896961944332</c:v>
                </c:pt>
                <c:pt idx="75">
                  <c:v>566.27158482196944</c:v>
                </c:pt>
                <c:pt idx="76">
                  <c:v>579.43779518903796</c:v>
                </c:pt>
                <c:pt idx="77">
                  <c:v>592.59776670922179</c:v>
                </c:pt>
                <c:pt idx="78">
                  <c:v>605.75165740042166</c:v>
                </c:pt>
                <c:pt idx="79">
                  <c:v>618.89961786100014</c:v>
                </c:pt>
                <c:pt idx="80">
                  <c:v>632.0417917716685</c:v>
                </c:pt>
                <c:pt idx="81">
                  <c:v>544.19484035365758</c:v>
                </c:pt>
                <c:pt idx="82">
                  <c:v>555.94765399766129</c:v>
                </c:pt>
                <c:pt idx="83">
                  <c:v>567.69526466939328</c:v>
                </c:pt>
                <c:pt idx="84">
                  <c:v>579.43779518903796</c:v>
                </c:pt>
                <c:pt idx="85">
                  <c:v>591.17536299398307</c:v>
                </c:pt>
                <c:pt idx="86">
                  <c:v>602.90808047917312</c:v>
                </c:pt>
                <c:pt idx="87">
                  <c:v>614.63605530959683</c:v>
                </c:pt>
                <c:pt idx="88">
                  <c:v>626.35939070769689</c:v>
                </c:pt>
                <c:pt idx="89">
                  <c:v>638.07818571814698</c:v>
                </c:pt>
                <c:pt idx="90">
                  <c:v>649.79253545217807</c:v>
                </c:pt>
                <c:pt idx="91">
                  <c:v>560.7541165002707</c:v>
                </c:pt>
                <c:pt idx="92">
                  <c:v>571.25413823451788</c:v>
                </c:pt>
                <c:pt idx="93">
                  <c:v>581.75012922929784</c:v>
                </c:pt>
                <c:pt idx="94">
                  <c:v>592.24217245006037</c:v>
                </c:pt>
                <c:pt idx="95">
                  <c:v>602.73034768336277</c:v>
                </c:pt>
                <c:pt idx="96">
                  <c:v>613.2147317130424</c:v>
                </c:pt>
                <c:pt idx="97">
                  <c:v>623.69539848371835</c:v>
                </c:pt>
                <c:pt idx="98">
                  <c:v>634.17241925273436</c:v>
                </c:pt>
                <c:pt idx="99">
                  <c:v>644.64586273154202</c:v>
                </c:pt>
                <c:pt idx="100">
                  <c:v>655.11579521742192</c:v>
                </c:pt>
                <c:pt idx="101">
                  <c:v>566.62751179237432</c:v>
                </c:pt>
                <c:pt idx="102">
                  <c:v>575.87998196277465</c:v>
                </c:pt>
                <c:pt idx="103">
                  <c:v>585.12934986312894</c:v>
                </c:pt>
                <c:pt idx="104">
                  <c:v>594.37567144551679</c:v>
                </c:pt>
                <c:pt idx="105">
                  <c:v>603.61900077928829</c:v>
                </c:pt>
                <c:pt idx="106">
                  <c:v>612.85939014289318</c:v>
                </c:pt>
                <c:pt idx="107">
                  <c:v>622.09689010988507</c:v>
                </c:pt>
                <c:pt idx="108">
                  <c:v>631.33154962955348</c:v>
                </c:pt>
                <c:pt idx="109">
                  <c:v>640.56341610259108</c:v>
                </c:pt>
                <c:pt idx="110">
                  <c:v>649.79253545217739</c:v>
                </c:pt>
                <c:pt idx="111">
                  <c:v>567.16139348415504</c:v>
                </c:pt>
                <c:pt idx="112">
                  <c:v>575.16836435383277</c:v>
                </c:pt>
                <c:pt idx="113">
                  <c:v>583.17300871029261</c:v>
                </c:pt>
                <c:pt idx="114">
                  <c:v>591.17536299398284</c:v>
                </c:pt>
                <c:pt idx="115">
                  <c:v>599.17546257825927</c:v>
                </c:pt>
                <c:pt idx="116">
                  <c:v>607.17334181477145</c:v>
                </c:pt>
                <c:pt idx="117">
                  <c:v>615.1690340763322</c:v>
                </c:pt>
                <c:pt idx="118">
                  <c:v>623.16257179744446</c:v>
                </c:pt>
                <c:pt idx="119">
                  <c:v>631.15398651263843</c:v>
                </c:pt>
                <c:pt idx="120">
                  <c:v>639.1433088927696</c:v>
                </c:pt>
                <c:pt idx="121">
                  <c:v>562.89004481391976</c:v>
                </c:pt>
                <c:pt idx="122">
                  <c:v>570.18652494495871</c:v>
                </c:pt>
                <c:pt idx="123">
                  <c:v>577.48105450943058</c:v>
                </c:pt>
                <c:pt idx="124">
                  <c:v>584.77366162583417</c:v>
                </c:pt>
                <c:pt idx="125">
                  <c:v>592.06437365402064</c:v>
                </c:pt>
                <c:pt idx="126">
                  <c:v>599.35321722495371</c:v>
                </c:pt>
                <c:pt idx="127">
                  <c:v>606.64021826894884</c:v>
                </c:pt>
                <c:pt idx="128">
                  <c:v>613.9254020424836</c:v>
                </c:pt>
                <c:pt idx="129">
                  <c:v>621.2087931536704</c:v>
                </c:pt>
                <c:pt idx="130">
                  <c:v>628.49041558647207</c:v>
                </c:pt>
                <c:pt idx="131">
                  <c:v>557.01583171739901</c:v>
                </c:pt>
                <c:pt idx="132">
                  <c:v>563.77996485783626</c:v>
                </c:pt>
                <c:pt idx="133">
                  <c:v>570.5424006783586</c:v>
                </c:pt>
                <c:pt idx="134">
                  <c:v>577.30316213955939</c:v>
                </c:pt>
                <c:pt idx="135">
                  <c:v>584.06227162025073</c:v>
                </c:pt>
                <c:pt idx="136">
                  <c:v>590.81975093891413</c:v>
                </c:pt>
                <c:pt idx="137">
                  <c:v>597.57562137411867</c:v>
                </c:pt>
                <c:pt idx="138">
                  <c:v>604.32990368396679</c:v>
                </c:pt>
                <c:pt idx="139">
                  <c:v>611.08261812462547</c:v>
                </c:pt>
                <c:pt idx="140">
                  <c:v>617.8337844679985</c:v>
                </c:pt>
                <c:pt idx="141">
                  <c:v>550.96225460584606</c:v>
                </c:pt>
                <c:pt idx="142">
                  <c:v>557.01583171739912</c:v>
                </c:pt>
                <c:pt idx="143">
                  <c:v>563.06803117603829</c:v>
                </c:pt>
                <c:pt idx="144">
                  <c:v>569.11886988378967</c:v>
                </c:pt>
                <c:pt idx="145">
                  <c:v>575.16836435383323</c:v>
                </c:pt>
                <c:pt idx="146">
                  <c:v>581.2165307235349</c:v>
                </c:pt>
                <c:pt idx="147">
                  <c:v>587.26338476690717</c:v>
                </c:pt>
                <c:pt idx="148">
                  <c:v>593.3089419065285</c:v>
                </c:pt>
                <c:pt idx="149">
                  <c:v>599.35321722495371</c:v>
                </c:pt>
                <c:pt idx="150">
                  <c:v>605.39622547563852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80" zoomScaleNormal="80" workbookViewId="0">
      <selection activeCell="K87" sqref="K8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8.3000000000000007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0.27</v>
      </c>
      <c r="D9" s="33">
        <f t="shared" ref="D9:D18" si="0">C9*$C$5</f>
        <v>2.2410000000000005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112</v>
      </c>
      <c r="C10" s="32">
        <v>0.26</v>
      </c>
      <c r="D10" s="33">
        <f t="shared" si="0"/>
        <v>2.1580000000000004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11</v>
      </c>
      <c r="C11" s="32">
        <v>0.47</v>
      </c>
      <c r="D11" s="33">
        <f t="shared" si="0"/>
        <v>3.9010000000000002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8.3000000000000007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4.0500000000000114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Koster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5</v>
      </c>
      <c r="B62" s="60">
        <v>7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1.4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10</v>
      </c>
      <c r="B63" s="60">
        <v>51</v>
      </c>
      <c r="C63" s="60">
        <v>2</v>
      </c>
      <c r="D63" s="60">
        <v>0</v>
      </c>
      <c r="E63" s="51"/>
      <c r="F63" s="51"/>
      <c r="G63" s="51"/>
      <c r="H63" s="51"/>
      <c r="I63" s="49">
        <f>IF(A63&lt;&gt;0,(B63-(B62-D62))/(A63-A62),"")</f>
        <v>8.8000000000000007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15</v>
      </c>
      <c r="B64" s="60">
        <v>127</v>
      </c>
      <c r="C64" s="60">
        <v>3</v>
      </c>
      <c r="D64" s="60">
        <v>0</v>
      </c>
      <c r="E64" s="51"/>
      <c r="F64" s="51"/>
      <c r="G64" s="51"/>
      <c r="H64" s="51"/>
      <c r="I64" s="49">
        <f>IF(A64&lt;&gt;0,(B64-(B63-D63))/(A64-A63),"")</f>
        <v>15.2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20</v>
      </c>
      <c r="B65" s="60">
        <v>222</v>
      </c>
      <c r="C65" s="60">
        <v>4</v>
      </c>
      <c r="D65" s="60">
        <v>0</v>
      </c>
      <c r="E65" s="51"/>
      <c r="F65" s="51"/>
      <c r="G65" s="51"/>
      <c r="H65" s="51"/>
      <c r="I65" s="49">
        <f>IF(A65&lt;&gt;0,(B65-(B64-D64))/(A65-A64),"")</f>
        <v>19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25</v>
      </c>
      <c r="B66" s="60">
        <v>321</v>
      </c>
      <c r="C66" s="60">
        <v>5</v>
      </c>
      <c r="D66" s="60">
        <v>0</v>
      </c>
      <c r="E66" s="51"/>
      <c r="F66" s="51"/>
      <c r="G66" s="51"/>
      <c r="H66" s="51"/>
      <c r="I66" s="49">
        <f t="shared" ref="I66:I81" si="2">IF(A66&lt;&gt;0,(B66-(B65-D65))/(A66-A65),"")</f>
        <v>19.8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30</v>
      </c>
      <c r="B67" s="60">
        <v>413</v>
      </c>
      <c r="C67" s="60">
        <v>6</v>
      </c>
      <c r="D67" s="60">
        <v>0</v>
      </c>
      <c r="E67" s="51"/>
      <c r="F67" s="51"/>
      <c r="G67" s="51"/>
      <c r="H67" s="51"/>
      <c r="I67" s="49">
        <f t="shared" si="2"/>
        <v>18.399999999999999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35</v>
      </c>
      <c r="B68" s="60">
        <v>490</v>
      </c>
      <c r="C68" s="60">
        <v>7</v>
      </c>
      <c r="D68" s="60">
        <v>0</v>
      </c>
      <c r="E68" s="51"/>
      <c r="F68" s="51"/>
      <c r="G68" s="51"/>
      <c r="H68" s="51"/>
      <c r="I68" s="49">
        <f t="shared" si="2"/>
        <v>15.4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40</v>
      </c>
      <c r="B69" s="50">
        <v>553</v>
      </c>
      <c r="C69" s="50">
        <v>8</v>
      </c>
      <c r="D69" s="50">
        <v>0</v>
      </c>
      <c r="E69" s="51"/>
      <c r="F69" s="51"/>
      <c r="G69" s="51"/>
      <c r="H69" s="51"/>
      <c r="I69" s="49">
        <f t="shared" si="2"/>
        <v>12.6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45</v>
      </c>
      <c r="B70" s="50">
        <v>602</v>
      </c>
      <c r="C70" s="50">
        <v>9</v>
      </c>
      <c r="D70" s="50">
        <v>0</v>
      </c>
      <c r="E70" s="51"/>
      <c r="F70" s="51"/>
      <c r="G70" s="51"/>
      <c r="H70" s="51"/>
      <c r="I70" s="49">
        <f t="shared" si="2"/>
        <v>9.8000000000000007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50</v>
      </c>
      <c r="B71" s="50">
        <v>641</v>
      </c>
      <c r="C71" s="50">
        <v>10</v>
      </c>
      <c r="D71" s="50">
        <v>0</v>
      </c>
      <c r="E71" s="51"/>
      <c r="F71" s="51"/>
      <c r="G71" s="51"/>
      <c r="H71" s="51"/>
      <c r="I71" s="49">
        <f t="shared" si="2"/>
        <v>7.8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55</v>
      </c>
      <c r="B72" s="50">
        <v>670</v>
      </c>
      <c r="C72" s="50">
        <v>11</v>
      </c>
      <c r="D72" s="50">
        <v>0</v>
      </c>
      <c r="E72" s="51"/>
      <c r="F72" s="51"/>
      <c r="G72" s="51"/>
      <c r="H72" s="51"/>
      <c r="I72" s="49">
        <f t="shared" si="2"/>
        <v>5.8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60</v>
      </c>
      <c r="B73" s="50">
        <v>692</v>
      </c>
      <c r="C73" s="50">
        <v>12</v>
      </c>
      <c r="D73" s="50">
        <f>B73</f>
        <v>692</v>
      </c>
      <c r="E73" s="51">
        <v>0.8</v>
      </c>
      <c r="F73" s="51"/>
      <c r="G73" s="51">
        <v>0.2</v>
      </c>
      <c r="H73" s="51"/>
      <c r="I73" s="49">
        <f t="shared" si="2"/>
        <v>4.4000000000000004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pédonculé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/>
      <c r="F88" s="51"/>
      <c r="G88" s="51"/>
      <c r="H88" s="87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f>155-SUM(D88)</f>
        <v>149</v>
      </c>
      <c r="C89" s="60">
        <v>2</v>
      </c>
      <c r="D89" s="60">
        <v>56</v>
      </c>
      <c r="E89" s="51"/>
      <c r="F89" s="51"/>
      <c r="G89" s="51"/>
      <c r="H89" s="87">
        <v>1</v>
      </c>
      <c r="I89" s="53">
        <f t="shared" ref="I89:I107" si="3">IF(A89&lt;&gt;0,(B89-(B88-D88))/(A89-A88),"")</f>
        <v>8.1999999999999993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265-SUM(D88:D89)</f>
        <v>203</v>
      </c>
      <c r="C90" s="60">
        <v>3</v>
      </c>
      <c r="D90" s="60">
        <v>56</v>
      </c>
      <c r="E90" s="87"/>
      <c r="F90" s="87"/>
      <c r="G90" s="87"/>
      <c r="H90" s="87">
        <v>1</v>
      </c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377-SUM(D88:D90)</f>
        <v>259</v>
      </c>
      <c r="C91" s="60">
        <v>4</v>
      </c>
      <c r="D91" s="60">
        <v>56</v>
      </c>
      <c r="E91" s="87">
        <v>0.85</v>
      </c>
      <c r="F91" s="87"/>
      <c r="G91" s="87"/>
      <c r="H91" s="87">
        <v>0.15</v>
      </c>
      <c r="I91" s="53">
        <f t="shared" si="3"/>
        <v>11.2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475-SUM(D88:D91)</f>
        <v>301</v>
      </c>
      <c r="C92" s="60">
        <v>5</v>
      </c>
      <c r="D92" s="60">
        <v>56</v>
      </c>
      <c r="E92" s="87">
        <v>0.85</v>
      </c>
      <c r="F92" s="87"/>
      <c r="G92" s="87"/>
      <c r="H92" s="87">
        <v>0.15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560-SUM(D88:D92)</f>
        <v>330</v>
      </c>
      <c r="C93" s="60">
        <v>6</v>
      </c>
      <c r="D93" s="60">
        <v>56</v>
      </c>
      <c r="E93" s="87">
        <v>0.85</v>
      </c>
      <c r="F93" s="87"/>
      <c r="G93" s="87"/>
      <c r="H93" s="87">
        <v>0.15</v>
      </c>
      <c r="I93" s="53">
        <f t="shared" si="3"/>
        <v>8.5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634-SUM(D88:D93)</f>
        <v>348</v>
      </c>
      <c r="C94" s="60">
        <v>7</v>
      </c>
      <c r="D94" s="60">
        <v>56</v>
      </c>
      <c r="E94" s="87">
        <v>0.85</v>
      </c>
      <c r="F94" s="87"/>
      <c r="G94" s="87"/>
      <c r="H94" s="87">
        <v>0.15</v>
      </c>
      <c r="I94" s="53">
        <f t="shared" si="3"/>
        <v>7.4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700-SUM(D88:D94)</f>
        <v>358</v>
      </c>
      <c r="C95" s="60">
        <v>8</v>
      </c>
      <c r="D95" s="60">
        <v>56</v>
      </c>
      <c r="E95" s="87">
        <v>0.85</v>
      </c>
      <c r="F95" s="87"/>
      <c r="G95" s="87"/>
      <c r="H95" s="87">
        <v>0.15</v>
      </c>
      <c r="I95" s="53">
        <f t="shared" si="3"/>
        <v>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f>759-SUM(D88:D95)</f>
        <v>361</v>
      </c>
      <c r="C96" s="60">
        <v>9</v>
      </c>
      <c r="D96" s="60">
        <v>55</v>
      </c>
      <c r="E96" s="87">
        <v>0.85</v>
      </c>
      <c r="F96" s="87"/>
      <c r="G96" s="87"/>
      <c r="H96" s="87">
        <v>0.15</v>
      </c>
      <c r="I96" s="53">
        <f t="shared" si="3"/>
        <v>5.9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f>811-SUM(D88:D96)</f>
        <v>358</v>
      </c>
      <c r="C97" s="60">
        <v>10</v>
      </c>
      <c r="D97" s="60">
        <v>51</v>
      </c>
      <c r="E97" s="87">
        <v>0.85</v>
      </c>
      <c r="F97" s="87"/>
      <c r="G97" s="87"/>
      <c r="H97" s="87">
        <v>0.15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f>856-SUM(D88:D97)</f>
        <v>352</v>
      </c>
      <c r="C98" s="60">
        <v>11</v>
      </c>
      <c r="D98" s="60">
        <v>47</v>
      </c>
      <c r="E98" s="87">
        <v>0.85</v>
      </c>
      <c r="F98" s="87"/>
      <c r="G98" s="87"/>
      <c r="H98" s="87">
        <v>0.15</v>
      </c>
      <c r="I98" s="53">
        <f t="shared" si="3"/>
        <v>4.5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130</v>
      </c>
      <c r="B99" s="60">
        <f>897-SUM(D88:D98)</f>
        <v>346</v>
      </c>
      <c r="C99" s="60">
        <v>12</v>
      </c>
      <c r="D99" s="60">
        <v>44</v>
      </c>
      <c r="E99" s="87">
        <v>0.85</v>
      </c>
      <c r="F99" s="87"/>
      <c r="G99" s="87"/>
      <c r="H99" s="87">
        <v>0.15</v>
      </c>
      <c r="I99" s="53">
        <f t="shared" si="3"/>
        <v>4.0999999999999996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140</v>
      </c>
      <c r="B100" s="60">
        <f>935-SUM(D88:D99)</f>
        <v>340</v>
      </c>
      <c r="C100" s="60">
        <v>13</v>
      </c>
      <c r="D100" s="60">
        <v>41</v>
      </c>
      <c r="E100" s="65">
        <v>0.85</v>
      </c>
      <c r="F100" s="65"/>
      <c r="G100" s="65"/>
      <c r="H100" s="65">
        <v>0.15</v>
      </c>
      <c r="I100" s="53">
        <f t="shared" si="3"/>
        <v>3.8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150</v>
      </c>
      <c r="B101" s="60">
        <f>969-SUM(D88:D100)</f>
        <v>333</v>
      </c>
      <c r="C101" s="60">
        <v>14</v>
      </c>
      <c r="D101" s="60">
        <f>B101</f>
        <v>333</v>
      </c>
      <c r="E101" s="65">
        <v>0.85</v>
      </c>
      <c r="F101" s="65"/>
      <c r="G101" s="65"/>
      <c r="H101" s="65">
        <v>0.15</v>
      </c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rintOptions horizontalCentered="1" verticalCentered="1"/>
  <pageMargins left="0.11811023622047245" right="0.11811023622047245" top="0.15748031496062992" bottom="0.15748031496062992" header="0" footer="0"/>
  <pageSetup paperSize="8" scale="25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5" sqref="C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pédonculé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250.57528780096658</v>
      </c>
      <c r="T3" s="59">
        <f>IF('Données projet'!E9&gt;30,$R$33-$H$33,LOOKUP('Données projet'!$E$9,$A$3:$A$203,R3:R203)-LOOKUP('Données projet'!$E$9,$A$3:$A$203,$H$3:$H$203))</f>
        <v>277.12386407996132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373.70967725072484</v>
      </c>
      <c r="AO3" s="59">
        <f>IF('Données projet'!E10&gt;30,$AM$33-$H$33,LOOKUP('Données projet'!$E$10,$A$3:$A$203,AM3:AM203)-LOOKUP('Données projet'!$E$10,$A$3:$A$203,$H$3:$H$203))</f>
        <v>431.87575082696571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328.34986205643321</v>
      </c>
      <c r="BJ3" s="59">
        <f>IF('Données projet'!E11&gt;30,$BH$33-$H$33,LOOKUP('Données projet'!$E$11,$A$3:$A$203,BH3:BH203)-LOOKUP('Données projet'!$E$11,$A$3:$A$203,$H$3:$H$203))</f>
        <v>251.60894449147008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259.99809744566926</v>
      </c>
      <c r="S4" s="59">
        <f ca="1">AVERAGE(OFFSET($R$3,0,0,'Données projet'!$E$9+1,1))-AVERAGE(OFFSET($H$3,0,0,'Données projet'!$E$9+1,1))</f>
        <v>250.57528780096658</v>
      </c>
      <c r="T4" s="59">
        <f>$T$3</f>
        <v>277.12386407996132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1.4</v>
      </c>
      <c r="AI4" s="13">
        <f>IF('Données projet'!$A$62&gt;35,AI3+AH4-AQ3,IF(A4&lt;'Données projet'!$A$62,$AF$205^A4,IF(A4='Données projet'!$A$62,'Données projet'!$B$62,AI3+AH4-AQ3)))</f>
        <v>1.475773161594552</v>
      </c>
      <c r="AJ4" s="13">
        <f>AI4*VLOOKUP('Données projet'!$B$10,Paramètres!$A$1:$I$89,3,0)*VLOOKUP('Données projet'!$B$10,Paramètres!$A$1:$I$89,5,0)</f>
        <v>0.75051919906052544</v>
      </c>
      <c r="AK4" s="13">
        <f>EXP(-1.0587+0.8836*LN(AJ4)+0.284)</f>
        <v>0.35761996556468434</v>
      </c>
      <c r="AL4" s="20">
        <f t="shared" ref="AL4:AL67" si="4">(AJ4+AK4)*0.475*44/12</f>
        <v>1.9300090450555736</v>
      </c>
      <c r="AM4" s="59">
        <f t="shared" ref="AM4:AM67" si="5">AL4+(AD4+AE4)*44/12</f>
        <v>259.81889793394441</v>
      </c>
      <c r="AN4" s="59">
        <f ca="1">AVERAGE(OFFSET($AM$3,0,0,'Données projet'!$E$10+1,1))-AVERAGE(OFFSET($H$3,0,0,'Données projet'!$E$10+1,1))</f>
        <v>373.70967725072484</v>
      </c>
      <c r="AO4" s="59">
        <f>$AO$3</f>
        <v>431.87575082696571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1.0439615443779955</v>
      </c>
      <c r="BF4" s="13">
        <f>EXP(-1.0587+0.8836*LN(BE4)+0.284)</f>
        <v>0.478698084995758</v>
      </c>
      <c r="BG4" s="20">
        <f t="shared" ref="BG4:BG67" si="7">(BE4+BF4)*0.475*44/12</f>
        <v>2.6519655211592874</v>
      </c>
      <c r="BH4" s="59">
        <f t="shared" ref="BH4:BH67" si="8">BG4+(AY4+AZ4)*44/12</f>
        <v>260.54085441004815</v>
      </c>
      <c r="BI4" s="59">
        <f ca="1">AVERAGE(OFFSET($BH$3,0,0,'Données projet'!$E$11+1,1))-AVERAGE(OFFSET($H$3,0,0,'Données projet'!$E$11+1,1))</f>
        <v>328.34986205643321</v>
      </c>
      <c r="BJ4" s="59">
        <f>$BJ$3</f>
        <v>251.60894449147008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261.98011797848278</v>
      </c>
      <c r="S5" s="59">
        <f ca="1">AVERAGE(OFFSET($R$3,0,0,'Données projet'!$E$9+1,1))-AVERAGE(OFFSET($H$3,0,0,'Données projet'!$E$9+1,1))</f>
        <v>250.57528780096658</v>
      </c>
      <c r="T5" s="59">
        <f t="shared" ref="T5:T68" si="34">$T$3</f>
        <v>277.12386407996132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1.4</v>
      </c>
      <c r="AI5" s="13">
        <f>IF('Données projet'!$A$62&gt;35,AI4+AH5-AQ4,IF(A5&lt;'Données projet'!$A$62,$AF$205^A5,IF(A5='Données projet'!$A$62,'Données projet'!$B$62,AI4+AH5-AQ4)))</f>
        <v>2.1779064244827797</v>
      </c>
      <c r="AJ5" s="13">
        <f>AI5*VLOOKUP('Données projet'!$B$10,Paramètres!$A$1:$I$89,3,0)*VLOOKUP('Données projet'!$B$10,Paramètres!$A$1:$I$89,5,0)</f>
        <v>1.1075960912349625</v>
      </c>
      <c r="AK5" s="13">
        <f t="shared" ref="AK5:AK68" si="35">EXP(-1.0587+0.8836*LN(AJ5)+0.284)</f>
        <v>0.5043911787804386</v>
      </c>
      <c r="AL5" s="20">
        <f t="shared" si="4"/>
        <v>2.8075444952768236</v>
      </c>
      <c r="AM5" s="59">
        <f t="shared" si="5"/>
        <v>261.91865560638797</v>
      </c>
      <c r="AN5" s="59">
        <f ca="1">AVERAGE(OFFSET($AM$3,0,0,'Données projet'!$E$10+1,1))-AVERAGE(OFFSET($H$3,0,0,'Données projet'!$E$10+1,1))</f>
        <v>373.70967725072484</v>
      </c>
      <c r="AO5" s="59">
        <f t="shared" ref="AO5:AO68" si="36">$AO$3</f>
        <v>431.87575082696571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1.2937508382479692</v>
      </c>
      <c r="BF5" s="13">
        <f t="shared" ref="BF5:BF68" si="37">EXP(-1.0587+0.8836*LN(BE5)+0.284)</f>
        <v>0.57860648124254321</v>
      </c>
      <c r="BG5" s="20">
        <f t="shared" si="7"/>
        <v>3.2610223314459752</v>
      </c>
      <c r="BH5" s="59">
        <f t="shared" si="8"/>
        <v>262.37213344255713</v>
      </c>
      <c r="BI5" s="59">
        <f ca="1">AVERAGE(OFFSET($BH$3,0,0,'Données projet'!$E$11+1,1))-AVERAGE(OFFSET($H$3,0,0,'Données projet'!$E$11+1,1))</f>
        <v>328.34986205643321</v>
      </c>
      <c r="BJ5" s="59">
        <f t="shared" ref="BJ5:BJ68" si="38">$BJ$3</f>
        <v>251.60894449147008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264.23699878106424</v>
      </c>
      <c r="S6" s="59">
        <f ca="1">AVERAGE(OFFSET($R$3,0,0,'Données projet'!$E$9+1,1))-AVERAGE(OFFSET($H$3,0,0,'Données projet'!$E$9+1,1))</f>
        <v>250.57528780096658</v>
      </c>
      <c r="T6" s="59">
        <f t="shared" si="34"/>
        <v>277.12386407996132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1.4</v>
      </c>
      <c r="AI6" s="13">
        <f>IF('Données projet'!$A$62&gt;35,AI5+AH6-AQ5,IF(A6&lt;'Données projet'!$A$62,$AF$205^A6,IF(A6='Données projet'!$A$62,'Données projet'!$B$62,AI5+AH6-AQ5)))</f>
        <v>3.2140958497160383</v>
      </c>
      <c r="AJ6" s="13">
        <f>AI6*VLOOKUP('Données projet'!$B$10,Paramètres!$A$1:$I$89,3,0)*VLOOKUP('Données projet'!$B$10,Paramètres!$A$1:$I$89,5,0)</f>
        <v>1.6345605853315885</v>
      </c>
      <c r="AK6" s="13">
        <f t="shared" si="35"/>
        <v>0.71139893106864016</v>
      </c>
      <c r="AL6" s="20">
        <f t="shared" si="4"/>
        <v>4.0858794910637313</v>
      </c>
      <c r="AM6" s="59">
        <f t="shared" si="5"/>
        <v>264.41921282439705</v>
      </c>
      <c r="AN6" s="59">
        <f ca="1">AVERAGE(OFFSET($AM$3,0,0,'Données projet'!$E$10+1,1))-AVERAGE(OFFSET($H$3,0,0,'Données projet'!$E$10+1,1))</f>
        <v>373.70967725072484</v>
      </c>
      <c r="AO6" s="59">
        <f t="shared" si="36"/>
        <v>431.87575082696571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1.6033073636487132</v>
      </c>
      <c r="BF6" s="13">
        <f t="shared" si="37"/>
        <v>0.69936661672428513</v>
      </c>
      <c r="BG6" s="20">
        <f t="shared" si="7"/>
        <v>4.0104905158163051</v>
      </c>
      <c r="BH6" s="59">
        <f t="shared" si="8"/>
        <v>264.3438238491496</v>
      </c>
      <c r="BI6" s="59">
        <f ca="1">AVERAGE(OFFSET($BH$3,0,0,'Données projet'!$E$11+1,1))-AVERAGE(OFFSET($H$3,0,0,'Données projet'!$E$11+1,1))</f>
        <v>328.34986205643321</v>
      </c>
      <c r="BJ6" s="59">
        <f t="shared" si="38"/>
        <v>251.60894449147008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266.86856648139224</v>
      </c>
      <c r="S7" s="59">
        <f ca="1">AVERAGE(OFFSET($R$3,0,0,'Données projet'!$E$9+1,1))-AVERAGE(OFFSET($H$3,0,0,'Données projet'!$E$9+1,1))</f>
        <v>250.57528780096658</v>
      </c>
      <c r="T7" s="59">
        <f t="shared" si="34"/>
        <v>277.12386407996132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1.4</v>
      </c>
      <c r="AI7" s="13">
        <f>IF('Données projet'!$A$62&gt;35,AI6+AH7-AQ6,IF(A7&lt;'Données projet'!$A$62,$AF$205^A7,IF(A7='Données projet'!$A$62,'Données projet'!$B$62,AI6+AH7-AQ6)))</f>
        <v>4.7432763938033657</v>
      </c>
      <c r="AJ7" s="13">
        <f>AI7*VLOOKUP('Données projet'!$B$10,Paramètres!$A$1:$I$89,3,0)*VLOOKUP('Données projet'!$B$10,Paramètres!$A$1:$I$89,5,0)</f>
        <v>2.4122406428326397</v>
      </c>
      <c r="AK7" s="13">
        <f t="shared" si="35"/>
        <v>1.0033649683352295</v>
      </c>
      <c r="AL7" s="20">
        <f t="shared" si="4"/>
        <v>5.9488464394507057</v>
      </c>
      <c r="AM7" s="59">
        <f t="shared" si="5"/>
        <v>267.50440199500628</v>
      </c>
      <c r="AN7" s="59">
        <f ca="1">AVERAGE(OFFSET($AM$3,0,0,'Données projet'!$E$10+1,1))-AVERAGE(OFFSET($H$3,0,0,'Données projet'!$E$10+1,1))</f>
        <v>373.70967725072484</v>
      </c>
      <c r="AO7" s="59">
        <f t="shared" si="36"/>
        <v>431.87575082696571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1.9869316612859962</v>
      </c>
      <c r="BF7" s="13">
        <f t="shared" si="37"/>
        <v>0.84533042826968274</v>
      </c>
      <c r="BG7" s="20">
        <f t="shared" si="7"/>
        <v>4.9328564726428068</v>
      </c>
      <c r="BH7" s="59">
        <f t="shared" si="8"/>
        <v>266.48841202819835</v>
      </c>
      <c r="BI7" s="59">
        <f ca="1">AVERAGE(OFFSET($BH$3,0,0,'Données projet'!$E$11+1,1))-AVERAGE(OFFSET($H$3,0,0,'Données projet'!$E$11+1,1))</f>
        <v>328.34986205643321</v>
      </c>
      <c r="BJ7" s="59">
        <f t="shared" si="38"/>
        <v>251.60894449147008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270.01103769668663</v>
      </c>
      <c r="S8" s="59">
        <f ca="1">AVERAGE(OFFSET($R$3,0,0,'Données projet'!$E$9+1,1))-AVERAGE(OFFSET($H$3,0,0,'Données projet'!$E$9+1,1))</f>
        <v>250.57528780096658</v>
      </c>
      <c r="T8" s="59">
        <f t="shared" si="34"/>
        <v>277.12386407996132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7</v>
      </c>
      <c r="AG8" s="12">
        <f>VLOOKUP(A8,'Données projet'!$A$61:$I$81,9,0)</f>
        <v>1.4</v>
      </c>
      <c r="AH8" s="12">
        <f t="array" ref="AH8">INDEX(AG:AG,MIN(IF(ISNUMBER(AG8:AG204),ROW(AG8:AG204),"")))</f>
        <v>1.4</v>
      </c>
      <c r="AI8" s="13">
        <f>IF('Données projet'!$A$62&gt;35,AI7+AH8-AQ7,IF(A8&lt;'Données projet'!$A$62,$AF$205^A8,IF(A8='Données projet'!$A$62,'Données projet'!$B$62,AI7+AH8-AQ7)))</f>
        <v>7</v>
      </c>
      <c r="AJ8" s="13">
        <f>AI8*VLOOKUP('Données projet'!$B$10,Paramètres!$A$1:$I$89,3,0)*VLOOKUP('Données projet'!$B$10,Paramètres!$A$1:$I$89,5,0)</f>
        <v>3.55992</v>
      </c>
      <c r="AK8" s="13">
        <f t="shared" si="35"/>
        <v>1.4151571160924612</v>
      </c>
      <c r="AL8" s="20">
        <f t="shared" si="4"/>
        <v>8.6649259771943683</v>
      </c>
      <c r="AM8" s="59">
        <f t="shared" si="5"/>
        <v>271.44270375497211</v>
      </c>
      <c r="AN8" s="59">
        <f ca="1">AVERAGE(OFFSET($AM$3,0,0,'Données projet'!$E$10+1,1))-AVERAGE(OFFSET($H$3,0,0,'Données projet'!$E$10+1,1))</f>
        <v>373.70967725072484</v>
      </c>
      <c r="AO8" s="59">
        <f t="shared" si="36"/>
        <v>431.87575082696571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2.462345970666743</v>
      </c>
      <c r="BF8" s="13">
        <f t="shared" si="37"/>
        <v>1.021758139251189</v>
      </c>
      <c r="BG8" s="20">
        <f t="shared" si="7"/>
        <v>6.068147991440398</v>
      </c>
      <c r="BH8" s="59">
        <f t="shared" si="8"/>
        <v>268.84592576921818</v>
      </c>
      <c r="BI8" s="59">
        <f ca="1">AVERAGE(OFFSET($BH$3,0,0,'Données projet'!$E$11+1,1))-AVERAGE(OFFSET($H$3,0,0,'Données projet'!$E$11+1,1))</f>
        <v>328.34986205643321</v>
      </c>
      <c r="BJ8" s="59">
        <f t="shared" si="38"/>
        <v>251.60894449147008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273.85032959063091</v>
      </c>
      <c r="S9" s="59">
        <f ca="1">AVERAGE(OFFSET($R$3,0,0,'Données projet'!$E$9+1,1))-AVERAGE(OFFSET($H$3,0,0,'Données projet'!$E$9+1,1))</f>
        <v>250.57528780096658</v>
      </c>
      <c r="T9" s="59">
        <f t="shared" si="34"/>
        <v>277.12386407996132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8.8000000000000007</v>
      </c>
      <c r="AI9" s="13">
        <f>IF('Données projet'!$A$62&gt;35,AI8+AH9-AQ8,IF(A9&lt;'Données projet'!$A$62,$AF$205^A9,IF(A9='Données projet'!$A$62,'Données projet'!$B$62,AI8+AH9-AQ8)))</f>
        <v>15.8</v>
      </c>
      <c r="AJ9" s="13">
        <f>AI9*VLOOKUP('Données projet'!$B$10,Paramètres!$A$1:$I$89,3,0)*VLOOKUP('Données projet'!$B$10,Paramètres!$A$1:$I$89,5,0)</f>
        <v>8.0352480000000011</v>
      </c>
      <c r="AK9" s="13">
        <f t="shared" si="35"/>
        <v>2.9054234231098071</v>
      </c>
      <c r="AL9" s="20">
        <f t="shared" si="4"/>
        <v>19.055002728582917</v>
      </c>
      <c r="AM9" s="59">
        <f t="shared" si="5"/>
        <v>283.05500272858291</v>
      </c>
      <c r="AN9" s="59">
        <f ca="1">AVERAGE(OFFSET($AM$3,0,0,'Données projet'!$E$10+1,1))-AVERAGE(OFFSET($H$3,0,0,'Données projet'!$E$10+1,1))</f>
        <v>373.70967725072484</v>
      </c>
      <c r="AO9" s="59">
        <f t="shared" si="36"/>
        <v>431.87575082696571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3.0515129419874016</v>
      </c>
      <c r="BF9" s="13">
        <f t="shared" si="37"/>
        <v>1.2350078267772846</v>
      </c>
      <c r="BG9" s="20">
        <f t="shared" si="7"/>
        <v>7.4656903389318279</v>
      </c>
      <c r="BH9" s="59">
        <f t="shared" si="8"/>
        <v>271.46569033893184</v>
      </c>
      <c r="BI9" s="59">
        <f ca="1">AVERAGE(OFFSET($BH$3,0,0,'Données projet'!$E$11+1,1))-AVERAGE(OFFSET($H$3,0,0,'Données projet'!$E$11+1,1))</f>
        <v>328.34986205643321</v>
      </c>
      <c r="BJ9" s="59">
        <f t="shared" si="38"/>
        <v>251.60894449147008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278.64025433432425</v>
      </c>
      <c r="S10" s="59">
        <f ca="1">AVERAGE(OFFSET($R$3,0,0,'Données projet'!$E$9+1,1))-AVERAGE(OFFSET($H$3,0,0,'Données projet'!$E$9+1,1))</f>
        <v>250.57528780096658</v>
      </c>
      <c r="T10" s="59">
        <f t="shared" si="34"/>
        <v>277.12386407996132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8.8000000000000007</v>
      </c>
      <c r="AI10" s="13">
        <f>IF('Données projet'!$A$62&gt;35,AI9+AH10-AQ9,IF(A10&lt;'Données projet'!$A$62,$AF$205^A10,IF(A10='Données projet'!$A$62,'Données projet'!$B$62,AI9+AH10-AQ9)))</f>
        <v>24.6</v>
      </c>
      <c r="AJ10" s="13">
        <f>AI10*VLOOKUP('Données projet'!$B$10,Paramètres!$A$1:$I$89,3,0)*VLOOKUP('Données projet'!$B$10,Paramètres!$A$1:$I$89,5,0)</f>
        <v>12.510576</v>
      </c>
      <c r="AK10" s="13">
        <f t="shared" si="35"/>
        <v>4.2964156714576189</v>
      </c>
      <c r="AL10" s="20">
        <f t="shared" si="4"/>
        <v>29.27217716112202</v>
      </c>
      <c r="AM10" s="59">
        <f t="shared" si="5"/>
        <v>294.49439938334427</v>
      </c>
      <c r="AN10" s="59">
        <f ca="1">AVERAGE(OFFSET($AM$3,0,0,'Données projet'!$E$10+1,1))-AVERAGE(OFFSET($H$3,0,0,'Données projet'!$E$10+1,1))</f>
        <v>373.70967725072484</v>
      </c>
      <c r="AO10" s="59">
        <f t="shared" si="36"/>
        <v>431.87575082696571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3.7816502416982529</v>
      </c>
      <c r="BF10" s="13">
        <f t="shared" si="37"/>
        <v>1.492764553183741</v>
      </c>
      <c r="BG10" s="20">
        <f t="shared" si="7"/>
        <v>9.1862724344194735</v>
      </c>
      <c r="BH10" s="59">
        <f t="shared" si="8"/>
        <v>274.40849465664172</v>
      </c>
      <c r="BI10" s="59">
        <f ca="1">AVERAGE(OFFSET($BH$3,0,0,'Données projet'!$E$11+1,1))-AVERAGE(OFFSET($H$3,0,0,'Données projet'!$E$11+1,1))</f>
        <v>328.34986205643321</v>
      </c>
      <c r="BJ10" s="59">
        <f t="shared" si="38"/>
        <v>251.60894449147008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284.72739458078087</v>
      </c>
      <c r="S11" s="59">
        <f ca="1">AVERAGE(OFFSET($R$3,0,0,'Données projet'!$E$9+1,1))-AVERAGE(OFFSET($H$3,0,0,'Données projet'!$E$9+1,1))</f>
        <v>250.57528780096658</v>
      </c>
      <c r="T11" s="59">
        <f t="shared" si="34"/>
        <v>277.12386407996132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8.8000000000000007</v>
      </c>
      <c r="AI11" s="13">
        <f>IF('Données projet'!$A$62&gt;35,AI10+AH11-AQ10,IF(A11&lt;'Données projet'!$A$62,$AF$205^A11,IF(A11='Données projet'!$A$62,'Données projet'!$B$62,AI10+AH11-AQ10)))</f>
        <v>33.400000000000006</v>
      </c>
      <c r="AJ11" s="13">
        <f>AI11*VLOOKUP('Données projet'!$B$10,Paramètres!$A$1:$I$89,3,0)*VLOOKUP('Données projet'!$B$10,Paramètres!$A$1:$I$89,5,0)</f>
        <v>16.985904000000005</v>
      </c>
      <c r="AK11" s="13">
        <f t="shared" si="35"/>
        <v>5.6293520490985554</v>
      </c>
      <c r="AL11" s="20">
        <f t="shared" si="4"/>
        <v>39.388237618846667</v>
      </c>
      <c r="AM11" s="59">
        <f t="shared" si="5"/>
        <v>305.83268206329114</v>
      </c>
      <c r="AN11" s="59">
        <f ca="1">AVERAGE(OFFSET($AM$3,0,0,'Données projet'!$E$10+1,1))-AVERAGE(OFFSET($H$3,0,0,'Données projet'!$E$10+1,1))</f>
        <v>373.70967725072484</v>
      </c>
      <c r="AO11" s="59">
        <f t="shared" si="36"/>
        <v>431.87575082696571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4.6864879233389463</v>
      </c>
      <c r="BF11" s="13">
        <f t="shared" si="37"/>
        <v>1.8043173192324258</v>
      </c>
      <c r="BG11" s="20">
        <f t="shared" si="7"/>
        <v>11.304819130811806</v>
      </c>
      <c r="BH11" s="59">
        <f t="shared" si="8"/>
        <v>277.74926357525624</v>
      </c>
      <c r="BI11" s="59">
        <f ca="1">AVERAGE(OFFSET($BH$3,0,0,'Données projet'!$E$11+1,1))-AVERAGE(OFFSET($H$3,0,0,'Données projet'!$E$11+1,1))</f>
        <v>328.34986205643321</v>
      </c>
      <c r="BJ11" s="59">
        <f t="shared" si="38"/>
        <v>251.60894449147008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292.58512004687776</v>
      </c>
      <c r="S12" s="59">
        <f ca="1">AVERAGE(OFFSET($R$3,0,0,'Données projet'!$E$9+1,1))-AVERAGE(OFFSET($H$3,0,0,'Données projet'!$E$9+1,1))</f>
        <v>250.57528780096658</v>
      </c>
      <c r="T12" s="59">
        <f t="shared" si="34"/>
        <v>277.12386407996132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8.8000000000000007</v>
      </c>
      <c r="AI12" s="13">
        <f>IF('Données projet'!$A$62&gt;35,AI11+AH12-AQ11,IF(A12&lt;'Données projet'!$A$62,$AF$205^A12,IF(A12='Données projet'!$A$62,'Données projet'!$B$62,AI11+AH12-AQ11)))</f>
        <v>42.2</v>
      </c>
      <c r="AJ12" s="13">
        <f>AI12*VLOOKUP('Données projet'!$B$10,Paramètres!$A$1:$I$89,3,0)*VLOOKUP('Données projet'!$B$10,Paramètres!$A$1:$I$89,5,0)</f>
        <v>21.461232000000003</v>
      </c>
      <c r="AK12" s="13">
        <f t="shared" si="35"/>
        <v>6.9215301189772713</v>
      </c>
      <c r="AL12" s="20">
        <f t="shared" si="4"/>
        <v>49.433310690552084</v>
      </c>
      <c r="AM12" s="59">
        <f t="shared" si="5"/>
        <v>317.09997735721879</v>
      </c>
      <c r="AN12" s="59">
        <f ca="1">AVERAGE(OFFSET($AM$3,0,0,'Données projet'!$E$10+1,1))-AVERAGE(OFFSET($H$3,0,0,'Données projet'!$E$10+1,1))</f>
        <v>373.70967725072484</v>
      </c>
      <c r="AO12" s="59">
        <f t="shared" si="36"/>
        <v>431.87575082696571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5.8078266502347455</v>
      </c>
      <c r="BF12" s="13">
        <f t="shared" si="37"/>
        <v>2.1808938198181922</v>
      </c>
      <c r="BG12" s="20">
        <f t="shared" si="7"/>
        <v>13.913688152008866</v>
      </c>
      <c r="BH12" s="59">
        <f t="shared" si="8"/>
        <v>281.58035481867557</v>
      </c>
      <c r="BI12" s="59">
        <f ca="1">AVERAGE(OFFSET($BH$3,0,0,'Données projet'!$E$11+1,1))-AVERAGE(OFFSET($H$3,0,0,'Données projet'!$E$11+1,1))</f>
        <v>328.34986205643321</v>
      </c>
      <c r="BJ12" s="59">
        <f t="shared" si="38"/>
        <v>251.60894449147008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302.8601134366956</v>
      </c>
      <c r="S13" s="59">
        <f ca="1">AVERAGE(OFFSET($R$3,0,0,'Données projet'!$E$9+1,1))-AVERAGE(OFFSET($H$3,0,0,'Données projet'!$E$9+1,1))</f>
        <v>250.57528780096658</v>
      </c>
      <c r="T13" s="59">
        <f t="shared" si="34"/>
        <v>277.12386407996132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51</v>
      </c>
      <c r="AG13" s="12">
        <f>VLOOKUP(A13,'Données projet'!$A$61:$I$81,9,0)</f>
        <v>8.8000000000000007</v>
      </c>
      <c r="AH13" s="12">
        <f t="array" ref="AH13">INDEX(AG:AG,MIN(IF(ISNUMBER(AG13:AG209),ROW(AG13:AG209),"")))</f>
        <v>8.8000000000000007</v>
      </c>
      <c r="AI13" s="13">
        <f>IF('Données projet'!$A$62&gt;35,AI12+AH13-AQ12,IF(A13&lt;'Données projet'!$A$62,$AF$205^A13,IF(A13='Données projet'!$A$62,'Données projet'!$B$62,AI12+AH13-AQ12)))</f>
        <v>51</v>
      </c>
      <c r="AJ13" s="13">
        <f>AI13*VLOOKUP('Données projet'!$B$10,Paramètres!$A$1:$I$89,3,0)*VLOOKUP('Données projet'!$B$10,Paramètres!$A$1:$I$89,5,0)</f>
        <v>25.936560000000004</v>
      </c>
      <c r="AK13" s="13">
        <f t="shared" si="35"/>
        <v>8.1824816304360635</v>
      </c>
      <c r="AL13" s="20">
        <f t="shared" si="4"/>
        <v>59.423997506342801</v>
      </c>
      <c r="AM13" s="59">
        <f t="shared" si="5"/>
        <v>328.31288639523166</v>
      </c>
      <c r="AN13" s="59">
        <f ca="1">AVERAGE(OFFSET($AM$3,0,0,'Données projet'!$E$10+1,1))-AVERAGE(OFFSET($H$3,0,0,'Données projet'!$E$10+1,1))</f>
        <v>373.70967725072484</v>
      </c>
      <c r="AO13" s="59">
        <f t="shared" si="36"/>
        <v>431.87575082696571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7.1974687550554899</v>
      </c>
      <c r="BF13" s="13">
        <f t="shared" si="37"/>
        <v>2.6360650660630816</v>
      </c>
      <c r="BG13" s="20">
        <f t="shared" si="7"/>
        <v>17.126738071781514</v>
      </c>
      <c r="BH13" s="59">
        <f t="shared" si="8"/>
        <v>286.01562696067037</v>
      </c>
      <c r="BI13" s="59">
        <f ca="1">AVERAGE(OFFSET($BH$3,0,0,'Données projet'!$E$11+1,1))-AVERAGE(OFFSET($H$3,0,0,'Données projet'!$E$11+1,1))</f>
        <v>328.34986205643321</v>
      </c>
      <c r="BJ13" s="59">
        <f t="shared" si="38"/>
        <v>251.60894449147008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316.43601807869635</v>
      </c>
      <c r="S14" s="59">
        <f ca="1">AVERAGE(OFFSET($R$3,0,0,'Données projet'!$E$9+1,1))-AVERAGE(OFFSET($H$3,0,0,'Données projet'!$E$9+1,1))</f>
        <v>250.57528780096658</v>
      </c>
      <c r="T14" s="59">
        <f t="shared" si="34"/>
        <v>277.12386407996132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15.2</v>
      </c>
      <c r="AI14" s="13">
        <f>IF('Données projet'!$A$62&gt;35,AI13+AH14-AQ13,IF(A14&lt;'Données projet'!$A$62,$AF$205^A14,IF(A14='Données projet'!$A$62,'Données projet'!$B$62,AI13+AH14-AQ13)))</f>
        <v>66.2</v>
      </c>
      <c r="AJ14" s="13">
        <f>AI14*VLOOKUP('Données projet'!$B$10,Paramètres!$A$1:$I$89,3,0)*VLOOKUP('Données projet'!$B$10,Paramètres!$A$1:$I$89,5,0)</f>
        <v>33.666672000000005</v>
      </c>
      <c r="AK14" s="13">
        <f t="shared" si="35"/>
        <v>10.303532631752514</v>
      </c>
      <c r="AL14" s="20">
        <f t="shared" si="4"/>
        <v>76.581439733635648</v>
      </c>
      <c r="AM14" s="59">
        <f t="shared" si="5"/>
        <v>346.69255084474679</v>
      </c>
      <c r="AN14" s="59">
        <f ca="1">AVERAGE(OFFSET($AM$3,0,0,'Données projet'!$E$10+1,1))-AVERAGE(OFFSET($H$3,0,0,'Données projet'!$E$10+1,1))</f>
        <v>373.70967725072484</v>
      </c>
      <c r="AO14" s="59">
        <f t="shared" si="36"/>
        <v>431.87575082696571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8.9196113451330703</v>
      </c>
      <c r="BF14" s="13">
        <f t="shared" si="37"/>
        <v>3.186234455512118</v>
      </c>
      <c r="BG14" s="20">
        <f t="shared" si="7"/>
        <v>21.084348102790369</v>
      </c>
      <c r="BH14" s="59">
        <f t="shared" si="8"/>
        <v>291.19545921390153</v>
      </c>
      <c r="BI14" s="59">
        <f ca="1">AVERAGE(OFFSET($BH$3,0,0,'Données projet'!$E$11+1,1))-AVERAGE(OFFSET($H$3,0,0,'Données projet'!$E$11+1,1))</f>
        <v>328.34986205643321</v>
      </c>
      <c r="BJ14" s="59">
        <f t="shared" si="38"/>
        <v>251.60894449147008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334.52052435324754</v>
      </c>
      <c r="S15" s="59">
        <f ca="1">AVERAGE(OFFSET($R$3,0,0,'Données projet'!$E$9+1,1))-AVERAGE(OFFSET($H$3,0,0,'Données projet'!$E$9+1,1))</f>
        <v>250.57528780096658</v>
      </c>
      <c r="T15" s="59">
        <f t="shared" si="34"/>
        <v>277.12386407996132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15.2</v>
      </c>
      <c r="AI15" s="13">
        <f>IF('Données projet'!$A$62&gt;35,AI14+AH15-AQ14,IF(A15&lt;'Données projet'!$A$62,$AF$205^A15,IF(A15='Données projet'!$A$62,'Données projet'!$B$62,AI14+AH15-AQ14)))</f>
        <v>81.400000000000006</v>
      </c>
      <c r="AJ15" s="13">
        <f>AI15*VLOOKUP('Données projet'!$B$10,Paramètres!$A$1:$I$89,3,0)*VLOOKUP('Données projet'!$B$10,Paramètres!$A$1:$I$89,5,0)</f>
        <v>41.396784000000011</v>
      </c>
      <c r="AK15" s="13">
        <f t="shared" si="35"/>
        <v>12.36812185902718</v>
      </c>
      <c r="AL15" s="20">
        <f t="shared" si="4"/>
        <v>93.640544371139015</v>
      </c>
      <c r="AM15" s="59">
        <f t="shared" si="5"/>
        <v>364.97387770447233</v>
      </c>
      <c r="AN15" s="59">
        <f ca="1">AVERAGE(OFFSET($AM$3,0,0,'Données projet'!$E$10+1,1))-AVERAGE(OFFSET($H$3,0,0,'Données projet'!$E$10+1,1))</f>
        <v>373.70967725072484</v>
      </c>
      <c r="AO15" s="59">
        <f t="shared" si="36"/>
        <v>431.87575082696571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11.053812007498347</v>
      </c>
      <c r="BF15" s="13">
        <f t="shared" si="37"/>
        <v>3.8512289154738402</v>
      </c>
      <c r="BG15" s="20">
        <f t="shared" si="7"/>
        <v>25.959612940843225</v>
      </c>
      <c r="BH15" s="59">
        <f t="shared" si="8"/>
        <v>297.29294627417653</v>
      </c>
      <c r="BI15" s="59">
        <f ca="1">AVERAGE(OFFSET($BH$3,0,0,'Données projet'!$E$11+1,1))-AVERAGE(OFFSET($H$3,0,0,'Données projet'!$E$11+1,1))</f>
        <v>328.34986205643321</v>
      </c>
      <c r="BJ15" s="59">
        <f t="shared" si="38"/>
        <v>251.60894449147008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356.04445503109582</v>
      </c>
      <c r="S16" s="59">
        <f ca="1">AVERAGE(OFFSET($R$3,0,0,'Données projet'!$E$9+1,1))-AVERAGE(OFFSET($H$3,0,0,'Données projet'!$E$9+1,1))</f>
        <v>250.57528780096658</v>
      </c>
      <c r="T16" s="59">
        <f t="shared" si="34"/>
        <v>277.12386407996132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15.2</v>
      </c>
      <c r="AI16" s="13">
        <f>IF('Données projet'!$A$62&gt;35,AI15+AH16-AQ15,IF(A16&lt;'Données projet'!$A$62,$AF$205^A16,IF(A16='Données projet'!$A$62,'Données projet'!$B$62,AI15+AH16-AQ15)))</f>
        <v>96.600000000000009</v>
      </c>
      <c r="AJ16" s="13">
        <f>AI16*VLOOKUP('Données projet'!$B$10,Paramètres!$A$1:$I$89,3,0)*VLOOKUP('Données projet'!$B$10,Paramètres!$A$1:$I$89,5,0)</f>
        <v>49.126896000000009</v>
      </c>
      <c r="AK16" s="13">
        <f t="shared" si="35"/>
        <v>14.388046088303666</v>
      </c>
      <c r="AL16" s="20">
        <f t="shared" si="4"/>
        <v>110.62185747046222</v>
      </c>
      <c r="AM16" s="59">
        <f t="shared" si="5"/>
        <v>383.17741302601775</v>
      </c>
      <c r="AN16" s="59">
        <f ca="1">AVERAGE(OFFSET($AM$3,0,0,'Données projet'!$E$10+1,1))-AVERAGE(OFFSET($H$3,0,0,'Données projet'!$E$10+1,1))</f>
        <v>373.70967725072484</v>
      </c>
      <c r="AO16" s="59">
        <f t="shared" si="36"/>
        <v>431.87575082696571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13.698664119909786</v>
      </c>
      <c r="BF16" s="13">
        <f t="shared" si="37"/>
        <v>4.6550134230463893</v>
      </c>
      <c r="BG16" s="20">
        <f t="shared" si="7"/>
        <v>31.965988387315338</v>
      </c>
      <c r="BH16" s="59">
        <f t="shared" si="8"/>
        <v>304.52154394287089</v>
      </c>
      <c r="BI16" s="59">
        <f ca="1">AVERAGE(OFFSET($BH$3,0,0,'Données projet'!$E$11+1,1))-AVERAGE(OFFSET($H$3,0,0,'Données projet'!$E$11+1,1))</f>
        <v>328.34986205643321</v>
      </c>
      <c r="BJ16" s="59">
        <f t="shared" si="38"/>
        <v>251.60894449147008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377.44297344514467</v>
      </c>
      <c r="S17" s="59">
        <f ca="1">AVERAGE(OFFSET($R$3,0,0,'Données projet'!$E$9+1,1))-AVERAGE(OFFSET($H$3,0,0,'Données projet'!$E$9+1,1))</f>
        <v>250.57528780096658</v>
      </c>
      <c r="T17" s="59">
        <f t="shared" si="34"/>
        <v>277.12386407996132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15.2</v>
      </c>
      <c r="AI17" s="13">
        <f>IF('Données projet'!$A$62&gt;35,AI16+AH17-AQ16,IF(A17&lt;'Données projet'!$A$62,$AF$205^A17,IF(A17='Données projet'!$A$62,'Données projet'!$B$62,AI16+AH17-AQ16)))</f>
        <v>111.80000000000001</v>
      </c>
      <c r="AJ17" s="13">
        <f>AI17*VLOOKUP('Données projet'!$B$10,Paramètres!$A$1:$I$89,3,0)*VLOOKUP('Données projet'!$B$10,Paramètres!$A$1:$I$89,5,0)</f>
        <v>56.857008000000008</v>
      </c>
      <c r="AK17" s="13">
        <f t="shared" si="35"/>
        <v>16.371150802398272</v>
      </c>
      <c r="AL17" s="20">
        <f t="shared" si="4"/>
        <v>127.53904324751034</v>
      </c>
      <c r="AM17" s="59">
        <f t="shared" si="5"/>
        <v>401.31682102528811</v>
      </c>
      <c r="AN17" s="59">
        <f ca="1">AVERAGE(OFFSET($AM$3,0,0,'Données projet'!$E$10+1,1))-AVERAGE(OFFSET($H$3,0,0,'Données projet'!$E$10+1,1))</f>
        <v>373.70967725072484</v>
      </c>
      <c r="AO17" s="59">
        <f t="shared" si="36"/>
        <v>431.87575082696571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16.976351555717539</v>
      </c>
      <c r="BF17" s="13">
        <f t="shared" si="37"/>
        <v>5.6265546516016363</v>
      </c>
      <c r="BG17" s="20">
        <f t="shared" si="7"/>
        <v>39.366728311080898</v>
      </c>
      <c r="BH17" s="59">
        <f t="shared" si="8"/>
        <v>313.14450608885869</v>
      </c>
      <c r="BI17" s="59">
        <f ca="1">AVERAGE(OFFSET($BH$3,0,0,'Données projet'!$E$11+1,1))-AVERAGE(OFFSET($H$3,0,0,'Données projet'!$E$11+1,1))</f>
        <v>328.34986205643321</v>
      </c>
      <c r="BJ17" s="59">
        <f t="shared" si="38"/>
        <v>251.60894449147008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398.74409768687553</v>
      </c>
      <c r="S18" s="59">
        <f ca="1">AVERAGE(OFFSET($R$3,0,0,'Données projet'!$E$9+1,1))-AVERAGE(OFFSET($H$3,0,0,'Données projet'!$E$9+1,1))</f>
        <v>250.57528780096658</v>
      </c>
      <c r="T18" s="59">
        <f t="shared" si="34"/>
        <v>277.12386407996132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127</v>
      </c>
      <c r="AG18" s="12">
        <f>VLOOKUP(A18,'Données projet'!$A$61:$I$81,9,0)</f>
        <v>15.2</v>
      </c>
      <c r="AH18" s="12">
        <f t="array" ref="AH18">INDEX(AG:AG,MIN(IF(ISNUMBER(AG18:AG214),ROW(AG18:AG214),"")))</f>
        <v>15.2</v>
      </c>
      <c r="AI18" s="13">
        <f>IF('Données projet'!$A$62&gt;35,AI17+AH18-AQ17,IF(A18&lt;'Données projet'!$A$62,$AF$205^A18,IF(A18='Données projet'!$A$62,'Données projet'!$B$62,AI17+AH18-AQ17)))</f>
        <v>127.00000000000001</v>
      </c>
      <c r="AJ18" s="13">
        <f>AI18*VLOOKUP('Données projet'!$B$10,Paramètres!$A$1:$I$89,3,0)*VLOOKUP('Données projet'!$B$10,Paramètres!$A$1:$I$89,5,0)</f>
        <v>64.587120000000013</v>
      </c>
      <c r="AK18" s="13">
        <f t="shared" si="35"/>
        <v>18.323017619962165</v>
      </c>
      <c r="AL18" s="20">
        <f t="shared" si="4"/>
        <v>144.4018230214341</v>
      </c>
      <c r="AM18" s="59">
        <f t="shared" si="5"/>
        <v>419.4018230214341</v>
      </c>
      <c r="AN18" s="59">
        <f ca="1">AVERAGE(OFFSET($AM$3,0,0,'Données projet'!$E$10+1,1))-AVERAGE(OFFSET($H$3,0,0,'Données projet'!$E$10+1,1))</f>
        <v>373.70967725072484</v>
      </c>
      <c r="AO18" s="59">
        <f t="shared" si="36"/>
        <v>431.87575082696571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21.03829319564419</v>
      </c>
      <c r="BF18" s="13">
        <f t="shared" si="37"/>
        <v>6.8008648676982615</v>
      </c>
      <c r="BG18" s="20">
        <f t="shared" si="7"/>
        <v>48.486533626988098</v>
      </c>
      <c r="BH18" s="59">
        <f t="shared" si="8"/>
        <v>323.48653362698809</v>
      </c>
      <c r="BI18" s="59">
        <f ca="1">AVERAGE(OFFSET($BH$3,0,0,'Données projet'!$E$11+1,1))-AVERAGE(OFFSET($H$3,0,0,'Données projet'!$E$11+1,1))</f>
        <v>328.34986205643321</v>
      </c>
      <c r="BJ18" s="59">
        <f t="shared" si="38"/>
        <v>251.60894449147008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419.96591496184146</v>
      </c>
      <c r="S19" s="59">
        <f ca="1">AVERAGE(OFFSET($R$3,0,0,'Données projet'!$E$9+1,1))-AVERAGE(OFFSET($H$3,0,0,'Données projet'!$E$9+1,1))</f>
        <v>250.57528780096658</v>
      </c>
      <c r="T19" s="59">
        <f t="shared" si="34"/>
        <v>277.12386407996132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19</v>
      </c>
      <c r="AI19" s="13">
        <f>IF('Données projet'!$A$62&gt;35,AI18+AH19-AQ18,IF(A19&lt;'Données projet'!$A$62,$AF$205^A19,IF(A19='Données projet'!$A$62,'Données projet'!$B$62,AI18+AH19-AQ18)))</f>
        <v>146</v>
      </c>
      <c r="AJ19" s="13">
        <f>AI19*VLOOKUP('Données projet'!$B$10,Paramètres!$A$1:$I$89,3,0)*VLOOKUP('Données projet'!$B$10,Paramètres!$A$1:$I$89,5,0)</f>
        <v>74.249760000000009</v>
      </c>
      <c r="AK19" s="13">
        <f t="shared" si="35"/>
        <v>20.725175401676147</v>
      </c>
      <c r="AL19" s="20">
        <f t="shared" si="4"/>
        <v>165.41467915791932</v>
      </c>
      <c r="AM19" s="59">
        <f t="shared" si="5"/>
        <v>441.63690138014158</v>
      </c>
      <c r="AN19" s="59">
        <f ca="1">AVERAGE(OFFSET($AM$3,0,0,'Données projet'!$E$10+1,1))-AVERAGE(OFFSET($H$3,0,0,'Données projet'!$E$10+1,1))</f>
        <v>373.70967725072484</v>
      </c>
      <c r="AO19" s="59">
        <f t="shared" si="36"/>
        <v>431.87575082696571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26.072138005225284</v>
      </c>
      <c r="BF19" s="13">
        <f t="shared" si="37"/>
        <v>8.2202636982343371</v>
      </c>
      <c r="BG19" s="20">
        <f t="shared" si="7"/>
        <v>59.725932966858835</v>
      </c>
      <c r="BH19" s="59">
        <f t="shared" si="8"/>
        <v>335.94815518908104</v>
      </c>
      <c r="BI19" s="59">
        <f ca="1">AVERAGE(OFFSET($BH$3,0,0,'Données projet'!$E$11+1,1))-AVERAGE(OFFSET($H$3,0,0,'Données projet'!$E$11+1,1))</f>
        <v>328.34986205643321</v>
      </c>
      <c r="BJ19" s="59">
        <f t="shared" si="38"/>
        <v>251.60894449147008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411.01792832244439</v>
      </c>
      <c r="S20" s="59">
        <f ca="1">AVERAGE(OFFSET($R$3,0,0,'Données projet'!$E$9+1,1))-AVERAGE(OFFSET($H$3,0,0,'Données projet'!$E$9+1,1))</f>
        <v>250.57528780096658</v>
      </c>
      <c r="T20" s="59">
        <f t="shared" si="34"/>
        <v>277.12386407996132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19</v>
      </c>
      <c r="AI20" s="13">
        <f>IF('Données projet'!$A$62&gt;35,AI19+AH20-AQ19,IF(A20&lt;'Données projet'!$A$62,$AF$205^A20,IF(A20='Données projet'!$A$62,'Données projet'!$B$62,AI19+AH20-AQ19)))</f>
        <v>165</v>
      </c>
      <c r="AJ20" s="13">
        <f>AI20*VLOOKUP('Données projet'!$B$10,Paramètres!$A$1:$I$89,3,0)*VLOOKUP('Données projet'!$B$10,Paramètres!$A$1:$I$89,5,0)</f>
        <v>83.912400000000005</v>
      </c>
      <c r="AK20" s="13">
        <f t="shared" si="35"/>
        <v>23.091111826563623</v>
      </c>
      <c r="AL20" s="20">
        <f t="shared" si="4"/>
        <v>186.36444976459833</v>
      </c>
      <c r="AM20" s="59">
        <f t="shared" si="5"/>
        <v>463.80889420904282</v>
      </c>
      <c r="AN20" s="59">
        <f ca="1">AVERAGE(OFFSET($AM$3,0,0,'Données projet'!$E$10+1,1))-AVERAGE(OFFSET($H$3,0,0,'Données projet'!$E$10+1,1))</f>
        <v>373.70967725072484</v>
      </c>
      <c r="AO20" s="59">
        <f t="shared" si="36"/>
        <v>431.87575082696571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32.310433828550828</v>
      </c>
      <c r="BF20" s="13">
        <f t="shared" si="37"/>
        <v>9.9359032392271498</v>
      </c>
      <c r="BG20" s="20">
        <f t="shared" si="7"/>
        <v>73.579037059713301</v>
      </c>
      <c r="BH20" s="59">
        <f t="shared" si="8"/>
        <v>351.02348150415776</v>
      </c>
      <c r="BI20" s="59">
        <f ca="1">AVERAGE(OFFSET($BH$3,0,0,'Données projet'!$E$11+1,1))-AVERAGE(OFFSET($H$3,0,0,'Données projet'!$E$11+1,1))</f>
        <v>328.34986205643321</v>
      </c>
      <c r="BJ20" s="59">
        <f t="shared" si="38"/>
        <v>251.60894449147008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434.64399698960051</v>
      </c>
      <c r="S21" s="59">
        <f ca="1">AVERAGE(OFFSET($R$3,0,0,'Données projet'!$E$9+1,1))-AVERAGE(OFFSET($H$3,0,0,'Données projet'!$E$9+1,1))</f>
        <v>250.57528780096658</v>
      </c>
      <c r="T21" s="59">
        <f t="shared" si="34"/>
        <v>277.12386407996132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19</v>
      </c>
      <c r="AI21" s="13">
        <f>IF('Données projet'!$A$62&gt;35,AI20+AH21-AQ20,IF(A21&lt;'Données projet'!$A$62,$AF$205^A21,IF(A21='Données projet'!$A$62,'Données projet'!$B$62,AI20+AH21-AQ20)))</f>
        <v>184</v>
      </c>
      <c r="AJ21" s="13">
        <f>AI21*VLOOKUP('Données projet'!$B$10,Paramètres!$A$1:$I$89,3,0)*VLOOKUP('Données projet'!$B$10,Paramètres!$A$1:$I$89,5,0)</f>
        <v>93.575040000000001</v>
      </c>
      <c r="AK21" s="13">
        <f t="shared" si="35"/>
        <v>25.425474099877103</v>
      </c>
      <c r="AL21" s="20">
        <f t="shared" si="4"/>
        <v>207.25922872395259</v>
      </c>
      <c r="AM21" s="59">
        <f t="shared" si="5"/>
        <v>485.9258953906193</v>
      </c>
      <c r="AN21" s="59">
        <f ca="1">AVERAGE(OFFSET($AM$3,0,0,'Données projet'!$E$10+1,1))-AVERAGE(OFFSET($H$3,0,0,'Données projet'!$E$10+1,1))</f>
        <v>373.70967725072484</v>
      </c>
      <c r="AO21" s="59">
        <f t="shared" si="36"/>
        <v>431.87575082696571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40.041370369393334</v>
      </c>
      <c r="BF21" s="13">
        <f t="shared" si="37"/>
        <v>12.009611467876571</v>
      </c>
      <c r="BG21" s="20">
        <f t="shared" si="7"/>
        <v>90.655460033245092</v>
      </c>
      <c r="BH21" s="59">
        <f t="shared" si="8"/>
        <v>369.32212669991179</v>
      </c>
      <c r="BI21" s="59">
        <f ca="1">AVERAGE(OFFSET($BH$3,0,0,'Données projet'!$E$11+1,1))-AVERAGE(OFFSET($H$3,0,0,'Données projet'!$E$11+1,1))</f>
        <v>328.34986205643321</v>
      </c>
      <c r="BJ21" s="59">
        <f t="shared" si="38"/>
        <v>251.60894449147008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458.19353556211985</v>
      </c>
      <c r="S22" s="59">
        <f ca="1">AVERAGE(OFFSET($R$3,0,0,'Données projet'!$E$9+1,1))-AVERAGE(OFFSET($H$3,0,0,'Données projet'!$E$9+1,1))</f>
        <v>250.57528780096658</v>
      </c>
      <c r="T22" s="59">
        <f t="shared" si="34"/>
        <v>277.12386407996132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</v>
      </c>
      <c r="AI22" s="13">
        <f>IF('Données projet'!$A$62&gt;35,AI21+AH22-AQ21,IF(A22&lt;'Données projet'!$A$62,$AF$205^A22,IF(A22='Données projet'!$A$62,'Données projet'!$B$62,AI21+AH22-AQ21)))</f>
        <v>203</v>
      </c>
      <c r="AJ22" s="13">
        <f>AI22*VLOOKUP('Données projet'!$B$10,Paramètres!$A$1:$I$89,3,0)*VLOOKUP('Données projet'!$B$10,Paramètres!$A$1:$I$89,5,0)</f>
        <v>103.23768</v>
      </c>
      <c r="AK22" s="13">
        <f t="shared" si="35"/>
        <v>27.731893934584708</v>
      </c>
      <c r="AL22" s="20">
        <f t="shared" si="4"/>
        <v>228.10534126940169</v>
      </c>
      <c r="AM22" s="59">
        <f t="shared" si="5"/>
        <v>507.99423015829052</v>
      </c>
      <c r="AN22" s="59">
        <f ca="1">AVERAGE(OFFSET($AM$3,0,0,'Données projet'!$E$10+1,1))-AVERAGE(OFFSET($H$3,0,0,'Données projet'!$E$10+1,1))</f>
        <v>373.70967725072484</v>
      </c>
      <c r="AO22" s="59">
        <f t="shared" si="36"/>
        <v>431.87575082696571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49.622092651760646</v>
      </c>
      <c r="BF22" s="13">
        <f t="shared" si="37"/>
        <v>14.516120390537463</v>
      </c>
      <c r="BG22" s="20">
        <f t="shared" si="7"/>
        <v>111.70738771533587</v>
      </c>
      <c r="BH22" s="59">
        <f t="shared" si="8"/>
        <v>391.59627660422473</v>
      </c>
      <c r="BI22" s="59">
        <f ca="1">AVERAGE(OFFSET($BH$3,0,0,'Données projet'!$E$11+1,1))-AVERAGE(OFFSET($H$3,0,0,'Données projet'!$E$11+1,1))</f>
        <v>328.34986205643321</v>
      </c>
      <c r="BJ22" s="59">
        <f t="shared" si="38"/>
        <v>251.60894449147008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481.67748546725744</v>
      </c>
      <c r="S23" s="59">
        <f ca="1">AVERAGE(OFFSET($R$3,0,0,'Données projet'!$E$9+1,1))-AVERAGE(OFFSET($H$3,0,0,'Données projet'!$E$9+1,1))</f>
        <v>250.57528780096658</v>
      </c>
      <c r="T23" s="59">
        <f t="shared" si="34"/>
        <v>277.12386407996132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222</v>
      </c>
      <c r="AG23" s="12">
        <f>VLOOKUP(A23,'Données projet'!$A$61:$I$81,9,0)</f>
        <v>19</v>
      </c>
      <c r="AH23" s="12">
        <f t="array" ref="AH23">INDEX(AG:AG,MIN(IF(ISNUMBER(AG23:AG219),ROW(AG23:AG219),"")))</f>
        <v>19</v>
      </c>
      <c r="AI23" s="13">
        <f>IF('Données projet'!$A$62&gt;35,AI22+AH23-AQ22,IF(A23&lt;'Données projet'!$A$62,$AF$205^A23,IF(A23='Données projet'!$A$62,'Données projet'!$B$62,AI22+AH23-AQ22)))</f>
        <v>222</v>
      </c>
      <c r="AJ23" s="13">
        <f>AI23*VLOOKUP('Données projet'!$B$10,Paramètres!$A$1:$I$89,3,0)*VLOOKUP('Données projet'!$B$10,Paramètres!$A$1:$I$89,5,0)</f>
        <v>112.90032000000001</v>
      </c>
      <c r="AK23" s="13">
        <f t="shared" si="35"/>
        <v>30.013284129081121</v>
      </c>
      <c r="AL23" s="20">
        <f t="shared" si="4"/>
        <v>248.9078605248163</v>
      </c>
      <c r="AM23" s="59">
        <f t="shared" si="5"/>
        <v>530.01897163592741</v>
      </c>
      <c r="AN23" s="59">
        <f ca="1">AVERAGE(OFFSET($AM$3,0,0,'Données projet'!$E$10+1,1))-AVERAGE(OFFSET($H$3,0,0,'Données projet'!$E$10+1,1))</f>
        <v>373.70967725072484</v>
      </c>
      <c r="AO23" s="59">
        <f t="shared" si="36"/>
        <v>431.87575082696571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61.495200000000004</v>
      </c>
      <c r="BF23" s="13">
        <f t="shared" si="37"/>
        <v>17.545759224285259</v>
      </c>
      <c r="BG23" s="20">
        <f t="shared" si="7"/>
        <v>137.66300398229683</v>
      </c>
      <c r="BH23" s="59">
        <f t="shared" si="8"/>
        <v>418.774115093408</v>
      </c>
      <c r="BI23" s="59">
        <f ca="1">AVERAGE(OFFSET($BH$3,0,0,'Données projet'!$E$11+1,1))-AVERAGE(OFFSET($H$3,0,0,'Données projet'!$E$11+1,1))</f>
        <v>328.34986205643321</v>
      </c>
      <c r="BJ23" s="59">
        <f t="shared" si="38"/>
        <v>251.60894449147008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465.04346119832155</v>
      </c>
      <c r="S24" s="59">
        <f ca="1">AVERAGE(OFFSET($R$3,0,0,'Données projet'!$E$9+1,1))-AVERAGE(OFFSET($H$3,0,0,'Données projet'!$E$9+1,1))</f>
        <v>250.57528780096658</v>
      </c>
      <c r="T24" s="59">
        <f t="shared" si="34"/>
        <v>277.12386407996132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</v>
      </c>
      <c r="AI24" s="13">
        <f>IF('Données projet'!$A$62&gt;35,AI23+AH24-AQ23,IF(A24&lt;'Données projet'!$A$62,$AF$205^A24,IF(A24='Données projet'!$A$62,'Données projet'!$B$62,AI23+AH24-AQ23)))</f>
        <v>241.8</v>
      </c>
      <c r="AJ24" s="13">
        <f>AI24*VLOOKUP('Données projet'!$B$10,Paramètres!$A$1:$I$89,3,0)*VLOOKUP('Données projet'!$B$10,Paramètres!$A$1:$I$89,5,0)</f>
        <v>122.96980800000001</v>
      </c>
      <c r="AK24" s="13">
        <f t="shared" si="35"/>
        <v>32.366669634072245</v>
      </c>
      <c r="AL24" s="20">
        <f t="shared" si="4"/>
        <v>270.54436521267581</v>
      </c>
      <c r="AM24" s="59">
        <f t="shared" si="5"/>
        <v>552.87769854600913</v>
      </c>
      <c r="AN24" s="59">
        <f ca="1">AVERAGE(OFFSET($AM$3,0,0,'Données projet'!$E$10+1,1))-AVERAGE(OFFSET($H$3,0,0,'Données projet'!$E$10+1,1))</f>
        <v>373.70967725072484</v>
      </c>
      <c r="AO24" s="59">
        <f t="shared" si="36"/>
        <v>431.87575082696571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8.1999999999999993</v>
      </c>
      <c r="BD24" s="12">
        <f>IF('Données projet'!$A$88&gt;35,BD23+BC24-BL23,IF(A24&lt;'Données projet'!$A$88,$BA$205^A24,IF(A24='Données projet'!$A$88,'Données projet'!$B$88,BD23+BC24-BL23)))</f>
        <v>75.2</v>
      </c>
      <c r="BE24" s="13">
        <f>BD24*VLOOKUP('Données projet'!$B$11,Paramètres!$A$1:$I$89,3,0)*VLOOKUP('Données projet'!$B$11,Paramètres!$A$1:$I$89,5,0)</f>
        <v>63.348480000000009</v>
      </c>
      <c r="BF24" s="13">
        <f t="shared" si="37"/>
        <v>18.012175511673341</v>
      </c>
      <c r="BG24" s="20">
        <f t="shared" si="7"/>
        <v>141.70314168283105</v>
      </c>
      <c r="BH24" s="59">
        <f t="shared" si="8"/>
        <v>424.03647501616433</v>
      </c>
      <c r="BI24" s="59">
        <f ca="1">AVERAGE(OFFSET($BH$3,0,0,'Données projet'!$E$11+1,1))-AVERAGE(OFFSET($H$3,0,0,'Données projet'!$E$11+1,1))</f>
        <v>328.34986205643321</v>
      </c>
      <c r="BJ24" s="59">
        <f t="shared" si="38"/>
        <v>251.60894449147008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492.0029492446007</v>
      </c>
      <c r="S25" s="59">
        <f ca="1">AVERAGE(OFFSET($R$3,0,0,'Données projet'!$E$9+1,1))-AVERAGE(OFFSET($H$3,0,0,'Données projet'!$E$9+1,1))</f>
        <v>250.57528780096658</v>
      </c>
      <c r="T25" s="59">
        <f t="shared" si="34"/>
        <v>277.12386407996132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19.8</v>
      </c>
      <c r="AI25" s="13">
        <f>IF('Données projet'!$A$62&gt;35,AI24+AH25-AQ24,IF(A25&lt;'Données projet'!$A$62,$AF$205^A25,IF(A25='Données projet'!$A$62,'Données projet'!$B$62,AI24+AH25-AQ24)))</f>
        <v>261.60000000000002</v>
      </c>
      <c r="AJ25" s="13">
        <f>AI25*VLOOKUP('Données projet'!$B$10,Paramètres!$A$1:$I$89,3,0)*VLOOKUP('Données projet'!$B$10,Paramètres!$A$1:$I$89,5,0)</f>
        <v>133.03929600000004</v>
      </c>
      <c r="AK25" s="13">
        <f t="shared" si="35"/>
        <v>34.697704027081564</v>
      </c>
      <c r="AL25" s="20">
        <f t="shared" si="4"/>
        <v>292.14194171383377</v>
      </c>
      <c r="AM25" s="59">
        <f t="shared" si="5"/>
        <v>575.69749726938926</v>
      </c>
      <c r="AN25" s="59">
        <f ca="1">AVERAGE(OFFSET($AM$3,0,0,'Données projet'!$E$10+1,1))-AVERAGE(OFFSET($H$3,0,0,'Données projet'!$E$10+1,1))</f>
        <v>373.70967725072484</v>
      </c>
      <c r="AO25" s="59">
        <f t="shared" si="36"/>
        <v>431.87575082696571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8.1999999999999993</v>
      </c>
      <c r="BD25" s="12">
        <f>IF('Données projet'!$A$88&gt;35,BD24+BC25-BL24,IF(A25&lt;'Données projet'!$A$88,$BA$205^A25,IF(A25='Données projet'!$A$88,'Données projet'!$B$88,BD24+BC25-BL24)))</f>
        <v>83.4</v>
      </c>
      <c r="BE25" s="13">
        <f>BD25*VLOOKUP('Données projet'!$B$11,Paramètres!$A$1:$I$89,3,0)*VLOOKUP('Données projet'!$B$11,Paramètres!$A$1:$I$89,5,0)</f>
        <v>70.256160000000023</v>
      </c>
      <c r="BF25" s="13">
        <f t="shared" si="37"/>
        <v>19.737057597671299</v>
      </c>
      <c r="BG25" s="20">
        <f t="shared" si="7"/>
        <v>156.7381873159442</v>
      </c>
      <c r="BH25" s="59">
        <f t="shared" si="8"/>
        <v>440.29374287149972</v>
      </c>
      <c r="BI25" s="59">
        <f ca="1">AVERAGE(OFFSET($BH$3,0,0,'Données projet'!$E$11+1,1))-AVERAGE(OFFSET($H$3,0,0,'Données projet'!$E$11+1,1))</f>
        <v>328.34986205643321</v>
      </c>
      <c r="BJ25" s="59">
        <f t="shared" si="38"/>
        <v>251.60894449147008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518.88902595572984</v>
      </c>
      <c r="S26" s="59">
        <f ca="1">AVERAGE(OFFSET($R$3,0,0,'Données projet'!$E$9+1,1))-AVERAGE(OFFSET($H$3,0,0,'Données projet'!$E$9+1,1))</f>
        <v>250.57528780096658</v>
      </c>
      <c r="T26" s="59">
        <f t="shared" si="34"/>
        <v>277.12386407996132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19.8</v>
      </c>
      <c r="AI26" s="13">
        <f>IF('Données projet'!$A$62&gt;35,AI25+AH26-AQ25,IF(A26&lt;'Données projet'!$A$62,$AF$205^A26,IF(A26='Données projet'!$A$62,'Données projet'!$B$62,AI25+AH26-AQ25)))</f>
        <v>281.40000000000003</v>
      </c>
      <c r="AJ26" s="13">
        <f>AI26*VLOOKUP('Données projet'!$B$10,Paramètres!$A$1:$I$89,3,0)*VLOOKUP('Données projet'!$B$10,Paramètres!$A$1:$I$89,5,0)</f>
        <v>143.10878400000004</v>
      </c>
      <c r="AK26" s="13">
        <f t="shared" si="35"/>
        <v>37.008271376367546</v>
      </c>
      <c r="AL26" s="20">
        <f t="shared" si="4"/>
        <v>313.70387144717353</v>
      </c>
      <c r="AM26" s="59">
        <f t="shared" si="5"/>
        <v>598.4816492249513</v>
      </c>
      <c r="AN26" s="59">
        <f ca="1">AVERAGE(OFFSET($AM$3,0,0,'Données projet'!$E$10+1,1))-AVERAGE(OFFSET($H$3,0,0,'Données projet'!$E$10+1,1))</f>
        <v>373.70967725072484</v>
      </c>
      <c r="AO26" s="59">
        <f t="shared" si="36"/>
        <v>431.87575082696571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8.1999999999999993</v>
      </c>
      <c r="BD26" s="12">
        <f>IF('Données projet'!$A$88&gt;35,BD25+BC26-BL25,IF(A26&lt;'Données projet'!$A$88,$BA$205^A26,IF(A26='Données projet'!$A$88,'Données projet'!$B$88,BD25+BC26-BL25)))</f>
        <v>91.600000000000009</v>
      </c>
      <c r="BE26" s="13">
        <f>BD26*VLOOKUP('Données projet'!$B$11,Paramètres!$A$1:$I$89,3,0)*VLOOKUP('Données projet'!$B$11,Paramètres!$A$1:$I$89,5,0)</f>
        <v>77.163840000000008</v>
      </c>
      <c r="BF26" s="13">
        <f t="shared" si="37"/>
        <v>21.442278213774838</v>
      </c>
      <c r="BG26" s="20">
        <f t="shared" si="7"/>
        <v>171.73898922232453</v>
      </c>
      <c r="BH26" s="59">
        <f t="shared" si="8"/>
        <v>456.51676700010228</v>
      </c>
      <c r="BI26" s="59">
        <f ca="1">AVERAGE(OFFSET($BH$3,0,0,'Données projet'!$E$11+1,1))-AVERAGE(OFFSET($H$3,0,0,'Données projet'!$E$11+1,1))</f>
        <v>328.34986205643321</v>
      </c>
      <c r="BJ26" s="59">
        <f t="shared" si="38"/>
        <v>251.60894449147008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545.71087111615634</v>
      </c>
      <c r="S27" s="59">
        <f ca="1">AVERAGE(OFFSET($R$3,0,0,'Données projet'!$E$9+1,1))-AVERAGE(OFFSET($H$3,0,0,'Données projet'!$E$9+1,1))</f>
        <v>250.57528780096658</v>
      </c>
      <c r="T27" s="59">
        <f t="shared" si="34"/>
        <v>277.12386407996132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19.8</v>
      </c>
      <c r="AI27" s="13">
        <f>IF('Données projet'!$A$62&gt;35,AI26+AH27-AQ26,IF(A27&lt;'Données projet'!$A$62,$AF$205^A27,IF(A27='Données projet'!$A$62,'Données projet'!$B$62,AI26+AH27-AQ26)))</f>
        <v>301.20000000000005</v>
      </c>
      <c r="AJ27" s="13">
        <f>AI27*VLOOKUP('Données projet'!$B$10,Paramètres!$A$1:$I$89,3,0)*VLOOKUP('Données projet'!$B$10,Paramètres!$A$1:$I$89,5,0)</f>
        <v>153.17827200000005</v>
      </c>
      <c r="AK27" s="13">
        <f t="shared" si="35"/>
        <v>39.299975597002216</v>
      </c>
      <c r="AL27" s="20">
        <f t="shared" si="4"/>
        <v>335.23294789811229</v>
      </c>
      <c r="AM27" s="59">
        <f t="shared" si="5"/>
        <v>621.23294789811234</v>
      </c>
      <c r="AN27" s="59">
        <f ca="1">AVERAGE(OFFSET($AM$3,0,0,'Données projet'!$E$10+1,1))-AVERAGE(OFFSET($H$3,0,0,'Données projet'!$E$10+1,1))</f>
        <v>373.70967725072484</v>
      </c>
      <c r="AO27" s="59">
        <f t="shared" si="36"/>
        <v>431.87575082696571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8.1999999999999993</v>
      </c>
      <c r="BD27" s="12">
        <f>IF('Données projet'!$A$88&gt;35,BD26+BC27-BL26,IF(A27&lt;'Données projet'!$A$88,$BA$205^A27,IF(A27='Données projet'!$A$88,'Données projet'!$B$88,BD26+BC27-BL26)))</f>
        <v>99.800000000000011</v>
      </c>
      <c r="BE27" s="13">
        <f>BD27*VLOOKUP('Données projet'!$B$11,Paramètres!$A$1:$I$89,3,0)*VLOOKUP('Données projet'!$B$11,Paramètres!$A$1:$I$89,5,0)</f>
        <v>84.071520000000021</v>
      </c>
      <c r="BF27" s="13">
        <f t="shared" si="37"/>
        <v>23.129797599684554</v>
      </c>
      <c r="BG27" s="20">
        <f t="shared" si="7"/>
        <v>186.70896148611726</v>
      </c>
      <c r="BH27" s="59">
        <f t="shared" si="8"/>
        <v>472.70896148611723</v>
      </c>
      <c r="BI27" s="59">
        <f ca="1">AVERAGE(OFFSET($BH$3,0,0,'Données projet'!$E$11+1,1))-AVERAGE(OFFSET($H$3,0,0,'Données projet'!$E$11+1,1))</f>
        <v>328.34986205643321</v>
      </c>
      <c r="BJ27" s="59">
        <f t="shared" si="38"/>
        <v>251.60894449147008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517.30780156925096</v>
      </c>
      <c r="S28" s="59">
        <f ca="1">AVERAGE(OFFSET($R$3,0,0,'Données projet'!$E$9+1,1))-AVERAGE(OFFSET($H$3,0,0,'Données projet'!$E$9+1,1))</f>
        <v>250.57528780096658</v>
      </c>
      <c r="T28" s="59">
        <f t="shared" si="34"/>
        <v>277.12386407996132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321</v>
      </c>
      <c r="AG28" s="12">
        <f>VLOOKUP(A28,'Données projet'!$A$61:$I$81,9,0)</f>
        <v>19.8</v>
      </c>
      <c r="AH28" s="12">
        <f t="array" ref="AH28">INDEX(AG:AG,MIN(IF(ISNUMBER(AG28:AG224),ROW(AG28:AG224),"")))</f>
        <v>19.8</v>
      </c>
      <c r="AI28" s="13">
        <f>IF('Données projet'!$A$62&gt;35,AI27+AH28-AQ27,IF(A28&lt;'Données projet'!$A$62,$AF$205^A28,IF(A28='Données projet'!$A$62,'Données projet'!$B$62,AI27+AH28-AQ27)))</f>
        <v>321.00000000000006</v>
      </c>
      <c r="AJ28" s="13">
        <f>AI28*VLOOKUP('Données projet'!$B$10,Paramètres!$A$1:$I$89,3,0)*VLOOKUP('Données projet'!$B$10,Paramètres!$A$1:$I$89,5,0)</f>
        <v>163.24776000000006</v>
      </c>
      <c r="AK28" s="13">
        <f t="shared" si="35"/>
        <v>41.574197803659196</v>
      </c>
      <c r="AL28" s="20">
        <f t="shared" si="4"/>
        <v>356.73157650803984</v>
      </c>
      <c r="AM28" s="59">
        <f t="shared" si="5"/>
        <v>643.95379873026206</v>
      </c>
      <c r="AN28" s="59">
        <f ca="1">AVERAGE(OFFSET($AM$3,0,0,'Données projet'!$E$10+1,1))-AVERAGE(OFFSET($H$3,0,0,'Données projet'!$E$10+1,1))</f>
        <v>373.70967725072484</v>
      </c>
      <c r="AO28" s="59">
        <f t="shared" si="36"/>
        <v>431.87575082696571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8.1999999999999993</v>
      </c>
      <c r="BD28" s="12">
        <f>IF('Données projet'!$A$88&gt;35,BD27+BC28-BL27,IF(A28&lt;'Données projet'!$A$88,$BA$205^A28,IF(A28='Données projet'!$A$88,'Données projet'!$B$88,BD27+BC28-BL27)))</f>
        <v>108.00000000000001</v>
      </c>
      <c r="BE28" s="13">
        <f>BD28*VLOOKUP('Données projet'!$B$11,Paramètres!$A$1:$I$89,3,0)*VLOOKUP('Données projet'!$B$11,Paramètres!$A$1:$I$89,5,0)</f>
        <v>90.97920000000002</v>
      </c>
      <c r="BF28" s="13">
        <f t="shared" si="37"/>
        <v>24.801235516871511</v>
      </c>
      <c r="BG28" s="20">
        <f t="shared" si="7"/>
        <v>201.65092519188457</v>
      </c>
      <c r="BH28" s="59">
        <f t="shared" si="8"/>
        <v>488.87314741410682</v>
      </c>
      <c r="BI28" s="59">
        <f ca="1">AVERAGE(OFFSET($BH$3,0,0,'Données projet'!$E$11+1,1))-AVERAGE(OFFSET($H$3,0,0,'Données projet'!$E$11+1,1))</f>
        <v>328.34986205643321</v>
      </c>
      <c r="BJ28" s="59">
        <f t="shared" si="38"/>
        <v>251.60894449147008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544.10707877173172</v>
      </c>
      <c r="S29" s="59">
        <f ca="1">AVERAGE(OFFSET($R$3,0,0,'Données projet'!$E$9+1,1))-AVERAGE(OFFSET($H$3,0,0,'Données projet'!$E$9+1,1))</f>
        <v>250.57528780096658</v>
      </c>
      <c r="T29" s="59">
        <f t="shared" si="34"/>
        <v>277.12386407996132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18.399999999999999</v>
      </c>
      <c r="AI29" s="13">
        <f>IF('Données projet'!$A$62&gt;35,AI28+AH29-AQ28,IF(A29&lt;'Données projet'!$A$62,$AF$205^A29,IF(A29='Données projet'!$A$62,'Données projet'!$B$62,AI28+AH29-AQ28)))</f>
        <v>339.40000000000003</v>
      </c>
      <c r="AJ29" s="13">
        <f>AI29*VLOOKUP('Données projet'!$B$10,Paramètres!$A$1:$I$89,3,0)*VLOOKUP('Données projet'!$B$10,Paramètres!$A$1:$I$89,5,0)</f>
        <v>172.60526400000003</v>
      </c>
      <c r="AK29" s="13">
        <f t="shared" si="35"/>
        <v>43.67299857118757</v>
      </c>
      <c r="AL29" s="20">
        <f t="shared" si="4"/>
        <v>376.68464064481844</v>
      </c>
      <c r="AM29" s="59">
        <f t="shared" si="5"/>
        <v>665.12908508926284</v>
      </c>
      <c r="AN29" s="59">
        <f ca="1">AVERAGE(OFFSET($AM$3,0,0,'Données projet'!$E$10+1,1))-AVERAGE(OFFSET($H$3,0,0,'Données projet'!$E$10+1,1))</f>
        <v>373.70967725072484</v>
      </c>
      <c r="AO29" s="59">
        <f t="shared" si="36"/>
        <v>431.87575082696571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8.1999999999999993</v>
      </c>
      <c r="BD29" s="12">
        <f>IF('Données projet'!$A$88&gt;35,BD28+BC29-BL28,IF(A29&lt;'Données projet'!$A$88,$BA$205^A29,IF(A29='Données projet'!$A$88,'Données projet'!$B$88,BD28+BC29-BL28)))</f>
        <v>116.20000000000002</v>
      </c>
      <c r="BE29" s="13">
        <f>BD29*VLOOKUP('Données projet'!$B$11,Paramètres!$A$1:$I$89,3,0)*VLOOKUP('Données projet'!$B$11,Paramètres!$A$1:$I$89,5,0)</f>
        <v>97.886880000000019</v>
      </c>
      <c r="BF29" s="13">
        <f t="shared" si="37"/>
        <v>26.457951797777866</v>
      </c>
      <c r="BG29" s="20">
        <f t="shared" si="7"/>
        <v>216.56724871446315</v>
      </c>
      <c r="BH29" s="59">
        <f t="shared" si="8"/>
        <v>505.01169315890763</v>
      </c>
      <c r="BI29" s="59">
        <f ca="1">AVERAGE(OFFSET($BH$3,0,0,'Données projet'!$E$11+1,1))-AVERAGE(OFFSET($H$3,0,0,'Données projet'!$E$11+1,1))</f>
        <v>328.34986205643321</v>
      </c>
      <c r="BJ29" s="59">
        <f t="shared" si="38"/>
        <v>251.60894449147008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570.84845223854927</v>
      </c>
      <c r="S30" s="59">
        <f ca="1">AVERAGE(OFFSET($R$3,0,0,'Données projet'!$E$9+1,1))-AVERAGE(OFFSET($H$3,0,0,'Données projet'!$E$9+1,1))</f>
        <v>250.57528780096658</v>
      </c>
      <c r="T30" s="59">
        <f t="shared" si="34"/>
        <v>277.12386407996132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18.399999999999999</v>
      </c>
      <c r="AI30" s="13">
        <f>IF('Données projet'!$A$62&gt;35,AI29+AH30-AQ29,IF(A30&lt;'Données projet'!$A$62,$AF$205^A30,IF(A30='Données projet'!$A$62,'Données projet'!$B$62,AI29+AH30-AQ29)))</f>
        <v>357.8</v>
      </c>
      <c r="AJ30" s="13">
        <f>AI30*VLOOKUP('Données projet'!$B$10,Paramètres!$A$1:$I$89,3,0)*VLOOKUP('Données projet'!$B$10,Paramètres!$A$1:$I$89,5,0)</f>
        <v>181.96276800000001</v>
      </c>
      <c r="AK30" s="13">
        <f t="shared" si="35"/>
        <v>45.758589873495914</v>
      </c>
      <c r="AL30" s="20">
        <f t="shared" si="4"/>
        <v>396.6146982963387</v>
      </c>
      <c r="AM30" s="59">
        <f t="shared" si="5"/>
        <v>686.28136496300544</v>
      </c>
      <c r="AN30" s="59">
        <f ca="1">AVERAGE(OFFSET($AM$3,0,0,'Données projet'!$E$10+1,1))-AVERAGE(OFFSET($H$3,0,0,'Données projet'!$E$10+1,1))</f>
        <v>373.70967725072484</v>
      </c>
      <c r="AO30" s="59">
        <f t="shared" si="36"/>
        <v>431.87575082696571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8.1999999999999993</v>
      </c>
      <c r="BD30" s="12">
        <f>IF('Données projet'!$A$88&gt;35,BD29+BC30-BL29,IF(A30&lt;'Données projet'!$A$88,$BA$205^A30,IF(A30='Données projet'!$A$88,'Données projet'!$B$88,BD29+BC30-BL29)))</f>
        <v>124.40000000000002</v>
      </c>
      <c r="BE30" s="13">
        <f>BD30*VLOOKUP('Données projet'!$B$11,Paramètres!$A$1:$I$89,3,0)*VLOOKUP('Données projet'!$B$11,Paramètres!$A$1:$I$89,5,0)</f>
        <v>104.79456000000003</v>
      </c>
      <c r="BF30" s="13">
        <f t="shared" si="37"/>
        <v>28.101103481959861</v>
      </c>
      <c r="BG30" s="20">
        <f t="shared" si="7"/>
        <v>231.45994723108015</v>
      </c>
      <c r="BH30" s="59">
        <f t="shared" si="8"/>
        <v>521.12661389774689</v>
      </c>
      <c r="BI30" s="59">
        <f ca="1">AVERAGE(OFFSET($BH$3,0,0,'Données projet'!$E$11+1,1))-AVERAGE(OFFSET($H$3,0,0,'Données projet'!$E$11+1,1))</f>
        <v>328.34986205643321</v>
      </c>
      <c r="BJ30" s="59">
        <f t="shared" si="38"/>
        <v>251.60894449147008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597.53791350350582</v>
      </c>
      <c r="S31" s="59">
        <f ca="1">AVERAGE(OFFSET($R$3,0,0,'Données projet'!$E$9+1,1))-AVERAGE(OFFSET($H$3,0,0,'Données projet'!$E$9+1,1))</f>
        <v>250.57528780096658</v>
      </c>
      <c r="T31" s="59">
        <f t="shared" si="34"/>
        <v>277.12386407996132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18.399999999999999</v>
      </c>
      <c r="AI31" s="13">
        <f>IF('Données projet'!$A$62&gt;35,AI30+AH31-AQ30,IF(A31&lt;'Données projet'!$A$62,$AF$205^A31,IF(A31='Données projet'!$A$62,'Données projet'!$B$62,AI30+AH31-AQ30)))</f>
        <v>376.2</v>
      </c>
      <c r="AJ31" s="13">
        <f>AI31*VLOOKUP('Données projet'!$B$10,Paramètres!$A$1:$I$89,3,0)*VLOOKUP('Données projet'!$B$10,Paramètres!$A$1:$I$89,5,0)</f>
        <v>191.32027200000002</v>
      </c>
      <c r="AK31" s="13">
        <f t="shared" si="35"/>
        <v>47.831728501490126</v>
      </c>
      <c r="AL31" s="20">
        <f t="shared" si="4"/>
        <v>416.52306754009527</v>
      </c>
      <c r="AM31" s="59">
        <f t="shared" si="5"/>
        <v>707.41195642898413</v>
      </c>
      <c r="AN31" s="59">
        <f ca="1">AVERAGE(OFFSET($AM$3,0,0,'Données projet'!$E$10+1,1))-AVERAGE(OFFSET($H$3,0,0,'Données projet'!$E$10+1,1))</f>
        <v>373.70967725072484</v>
      </c>
      <c r="AO31" s="59">
        <f t="shared" si="36"/>
        <v>431.87575082696571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8.1999999999999993</v>
      </c>
      <c r="BD31" s="12">
        <f>IF('Données projet'!$A$88&gt;35,BD30+BC31-BL30,IF(A31&lt;'Données projet'!$A$88,$BA$205^A31,IF(A31='Données projet'!$A$88,'Données projet'!$B$88,BD30+BC31-BL30)))</f>
        <v>132.60000000000002</v>
      </c>
      <c r="BE31" s="13">
        <f>BD31*VLOOKUP('Données projet'!$B$11,Paramètres!$A$1:$I$89,3,0)*VLOOKUP('Données projet'!$B$11,Paramètres!$A$1:$I$89,5,0)</f>
        <v>111.70224000000003</v>
      </c>
      <c r="BF31" s="13">
        <f t="shared" si="37"/>
        <v>29.731686445309627</v>
      </c>
      <c r="BG31" s="20">
        <f t="shared" si="7"/>
        <v>246.33075522558093</v>
      </c>
      <c r="BH31" s="59">
        <f t="shared" si="8"/>
        <v>537.21964411446982</v>
      </c>
      <c r="BI31" s="59">
        <f ca="1">AVERAGE(OFFSET($BH$3,0,0,'Données projet'!$E$11+1,1))-AVERAGE(OFFSET($H$3,0,0,'Données projet'!$E$11+1,1))</f>
        <v>328.34986205643321</v>
      </c>
      <c r="BJ31" s="59">
        <f t="shared" si="38"/>
        <v>251.60894449147008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569.66893721631868</v>
      </c>
      <c r="S32" s="59">
        <f ca="1">AVERAGE(OFFSET($R$3,0,0,'Données projet'!$E$9+1,1))-AVERAGE(OFFSET($H$3,0,0,'Données projet'!$E$9+1,1))</f>
        <v>250.57528780096658</v>
      </c>
      <c r="T32" s="59">
        <f t="shared" si="34"/>
        <v>277.12386407996132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18.399999999999999</v>
      </c>
      <c r="AI32" s="13">
        <f>IF('Données projet'!$A$62&gt;35,AI31+AH32-AQ31,IF(A32&lt;'Données projet'!$A$62,$AF$205^A32,IF(A32='Données projet'!$A$62,'Données projet'!$B$62,AI31+AH32-AQ31)))</f>
        <v>394.59999999999997</v>
      </c>
      <c r="AJ32" s="13">
        <f>AI32*VLOOKUP('Données projet'!$B$10,Paramètres!$A$1:$I$89,3,0)*VLOOKUP('Données projet'!$B$10,Paramètres!$A$1:$I$89,5,0)</f>
        <v>200.67777600000002</v>
      </c>
      <c r="AK32" s="13">
        <f t="shared" si="35"/>
        <v>49.893093034182762</v>
      </c>
      <c r="AL32" s="20">
        <f t="shared" si="4"/>
        <v>436.41093023453499</v>
      </c>
      <c r="AM32" s="59">
        <f t="shared" si="5"/>
        <v>728.52204134564613</v>
      </c>
      <c r="AN32" s="59">
        <f ca="1">AVERAGE(OFFSET($AM$3,0,0,'Données projet'!$E$10+1,1))-AVERAGE(OFFSET($H$3,0,0,'Données projet'!$E$10+1,1))</f>
        <v>373.70967725072484</v>
      </c>
      <c r="AO32" s="59">
        <f t="shared" si="36"/>
        <v>431.87575082696571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8.1999999999999993</v>
      </c>
      <c r="BD32" s="12">
        <f>IF('Données projet'!$A$88&gt;35,BD31+BC32-BL31,IF(A32&lt;'Données projet'!$A$88,$BA$205^A32,IF(A32='Données projet'!$A$88,'Données projet'!$B$88,BD31+BC32-BL31)))</f>
        <v>140.80000000000001</v>
      </c>
      <c r="BE32" s="13">
        <f>BD32*VLOOKUP('Données projet'!$B$11,Paramètres!$A$1:$I$89,3,0)*VLOOKUP('Données projet'!$B$11,Paramètres!$A$1:$I$89,5,0)</f>
        <v>118.60992000000002</v>
      </c>
      <c r="BF32" s="13">
        <f t="shared" si="37"/>
        <v>31.35056643275615</v>
      </c>
      <c r="BG32" s="20">
        <f t="shared" si="7"/>
        <v>261.18118053705035</v>
      </c>
      <c r="BH32" s="59">
        <f t="shared" si="8"/>
        <v>553.29229164816149</v>
      </c>
      <c r="BI32" s="59">
        <f ca="1">AVERAGE(OFFSET($BH$3,0,0,'Données projet'!$E$11+1,1))-AVERAGE(OFFSET($H$3,0,0,'Données projet'!$E$11+1,1))</f>
        <v>328.34986205643321</v>
      </c>
      <c r="BJ32" s="59">
        <f t="shared" si="38"/>
        <v>251.60894449147008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250.57528780096658</v>
      </c>
      <c r="T33" s="59">
        <f t="shared" si="34"/>
        <v>277.12386407996132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413</v>
      </c>
      <c r="AG33" s="12">
        <f>VLOOKUP(A33,'Données projet'!$A$61:$I$81,9,0)</f>
        <v>18.399999999999999</v>
      </c>
      <c r="AH33" s="12">
        <f t="array" ref="AH33">INDEX(AG:AG,MIN(IF(ISNUMBER(AG33:AG229),ROW(AG33:AG229),"")))</f>
        <v>18.399999999999999</v>
      </c>
      <c r="AI33" s="13">
        <f>IF('Données projet'!$A$62&gt;35,AI32+AH33-AQ32,IF(A33&lt;'Données projet'!$A$62,$AF$205^A33,IF(A33='Données projet'!$A$62,'Données projet'!$B$62,AI32+AH33-AQ32)))</f>
        <v>412.99999999999994</v>
      </c>
      <c r="AJ33" s="13">
        <f>AI33*VLOOKUP('Données projet'!$B$10,Paramètres!$A$1:$I$89,3,0)*VLOOKUP('Données projet'!$B$10,Paramètres!$A$1:$I$89,5,0)</f>
        <v>210.03527999999997</v>
      </c>
      <c r="AK33" s="13">
        <f t="shared" si="35"/>
        <v>51.943295190556434</v>
      </c>
      <c r="AL33" s="20">
        <f t="shared" si="4"/>
        <v>456.27935179021898</v>
      </c>
      <c r="AM33" s="59">
        <f t="shared" si="5"/>
        <v>749.6126851235523</v>
      </c>
      <c r="AN33" s="59">
        <f ca="1">AVERAGE(OFFSET($AM$3,0,0,'Données projet'!$E$10+1,1))-AVERAGE(OFFSET($H$3,0,0,'Données projet'!$E$10+1,1))</f>
        <v>373.70967725072484</v>
      </c>
      <c r="AO33" s="59">
        <f t="shared" si="36"/>
        <v>431.87575082696571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8.1999999999999993</v>
      </c>
      <c r="BC33" s="12">
        <f t="array" ref="BC33">INDEX(BB:BB,MIN(IF(ISNUMBER(BB33:BB229),ROW(BB33:BB229),"")))</f>
        <v>8.1999999999999993</v>
      </c>
      <c r="BD33" s="12">
        <f>IF('Données projet'!$A$88&gt;35,BD32+BC33-BL32,IF(A33&lt;'Données projet'!$A$88,$BA$205^A33,IF(A33='Données projet'!$A$88,'Données projet'!$B$88,BD32+BC33-BL32)))</f>
        <v>149</v>
      </c>
      <c r="BE33" s="13">
        <f>BD33*VLOOKUP('Données projet'!$B$11,Paramètres!$A$1:$I$89,3,0)*VLOOKUP('Données projet'!$B$11,Paramètres!$A$1:$I$89,5,0)</f>
        <v>125.51760000000002</v>
      </c>
      <c r="BF33" s="13">
        <f t="shared" si="37"/>
        <v>32.95850265342969</v>
      </c>
      <c r="BG33" s="20">
        <f t="shared" si="7"/>
        <v>276.01254545472335</v>
      </c>
      <c r="BH33" s="59">
        <f t="shared" si="8"/>
        <v>569.34587878805667</v>
      </c>
      <c r="BI33" s="59">
        <f ca="1">AVERAGE(OFFSET($BH$3,0,0,'Données projet'!$E$11+1,1))-AVERAGE(OFFSET($H$3,0,0,'Données projet'!$E$11+1,1))</f>
        <v>328.34986205643321</v>
      </c>
      <c r="BJ33" s="59">
        <f t="shared" si="38"/>
        <v>251.60894449147008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250.57528780096658</v>
      </c>
      <c r="T34" s="59">
        <f t="shared" si="34"/>
        <v>277.12386407996132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</v>
      </c>
      <c r="AI34" s="13">
        <f>IF('Données projet'!$A$62&gt;35,AI33+AH34-AQ33,IF(A34&lt;'Données projet'!$A$62,$AF$205^A34,IF(A34='Données projet'!$A$62,'Données projet'!$B$62,AI33+AH34-AQ33)))</f>
        <v>428.39999999999992</v>
      </c>
      <c r="AJ34" s="13">
        <f>AI34*VLOOKUP('Données projet'!$B$10,Paramètres!$A$1:$I$89,3,0)*VLOOKUP('Données projet'!$B$10,Paramètres!$A$1:$I$89,5,0)</f>
        <v>217.86710399999996</v>
      </c>
      <c r="AK34" s="13">
        <f t="shared" si="35"/>
        <v>53.651048793743165</v>
      </c>
      <c r="AL34" s="20">
        <f t="shared" si="4"/>
        <v>472.89411611576929</v>
      </c>
      <c r="AM34" s="59">
        <f t="shared" si="5"/>
        <v>766.22744944910255</v>
      </c>
      <c r="AN34" s="59">
        <f ca="1">AVERAGE(OFFSET($AM$3,0,0,'Données projet'!$E$10+1,1))-AVERAGE(OFFSET($H$3,0,0,'Données projet'!$E$10+1,1))</f>
        <v>373.70967725072484</v>
      </c>
      <c r="AO34" s="59">
        <f t="shared" si="36"/>
        <v>431.87575082696571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</v>
      </c>
      <c r="BD34" s="12">
        <f>IF('Données projet'!$A$88&gt;35,BD33+BC34-BL33,IF(A34&lt;'Données projet'!$A$88,$BA$205^A34,IF(A34='Données projet'!$A$88,'Données projet'!$B$88,BD33+BC34-BL33)))</f>
        <v>104</v>
      </c>
      <c r="BE34" s="13">
        <f>BD34*VLOOKUP('Données projet'!$B$11,Paramètres!$A$1:$I$89,3,0)*VLOOKUP('Données projet'!$B$11,Paramètres!$A$1:$I$89,5,0)</f>
        <v>87.609600000000015</v>
      </c>
      <c r="BF34" s="13">
        <f t="shared" si="37"/>
        <v>23.987817980868787</v>
      </c>
      <c r="BG34" s="20">
        <f t="shared" si="7"/>
        <v>194.36550298334649</v>
      </c>
      <c r="BH34" s="59">
        <f t="shared" si="8"/>
        <v>487.69883631667983</v>
      </c>
      <c r="BI34" s="59">
        <f ca="1">AVERAGE(OFFSET($BH$3,0,0,'Données projet'!$E$11+1,1))-AVERAGE(OFFSET($H$3,0,0,'Données projet'!$E$11+1,1))</f>
        <v>328.34986205643321</v>
      </c>
      <c r="BJ34" s="59">
        <f t="shared" si="38"/>
        <v>251.60894449147008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250.57528780096658</v>
      </c>
      <c r="T35" s="59">
        <f t="shared" si="34"/>
        <v>277.12386407996132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</v>
      </c>
      <c r="AI35" s="13">
        <f>IF('Données projet'!$A$62&gt;35,AI34+AH35-AQ34,IF(A35&lt;'Données projet'!$A$62,$AF$205^A35,IF(A35='Données projet'!$A$62,'Données projet'!$B$62,AI34+AH35-AQ34)))</f>
        <v>443.7999999999999</v>
      </c>
      <c r="AJ35" s="13">
        <f>AI35*VLOOKUP('Données projet'!$B$10,Paramètres!$A$1:$I$89,3,0)*VLOOKUP('Données projet'!$B$10,Paramètres!$A$1:$I$89,5,0)</f>
        <v>225.69892799999997</v>
      </c>
      <c r="AK35" s="13">
        <f t="shared" si="35"/>
        <v>55.351669926689375</v>
      </c>
      <c r="AL35" s="20">
        <f t="shared" si="4"/>
        <v>489.49645805565063</v>
      </c>
      <c r="AM35" s="59">
        <f t="shared" si="5"/>
        <v>782.82979138898395</v>
      </c>
      <c r="AN35" s="59">
        <f ca="1">AVERAGE(OFFSET($AM$3,0,0,'Données projet'!$E$10+1,1))-AVERAGE(OFFSET($H$3,0,0,'Données projet'!$E$10+1,1))</f>
        <v>373.70967725072484</v>
      </c>
      <c r="AO35" s="59">
        <f t="shared" si="36"/>
        <v>431.87575082696571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</v>
      </c>
      <c r="BD35" s="12">
        <f>IF('Données projet'!$A$88&gt;35,BD34+BC35-BL34,IF(A35&lt;'Données projet'!$A$88,$BA$205^A35,IF(A35='Données projet'!$A$88,'Données projet'!$B$88,BD34+BC35-BL34)))</f>
        <v>115</v>
      </c>
      <c r="BE35" s="13">
        <f>BD35*VLOOKUP('Données projet'!$B$11,Paramètres!$A$1:$I$89,3,0)*VLOOKUP('Données projet'!$B$11,Paramètres!$A$1:$I$89,5,0)</f>
        <v>96.876000000000005</v>
      </c>
      <c r="BF35" s="13">
        <f t="shared" si="37"/>
        <v>26.21637845945024</v>
      </c>
      <c r="BG35" s="20">
        <f t="shared" si="7"/>
        <v>214.38589248354251</v>
      </c>
      <c r="BH35" s="59">
        <f t="shared" si="8"/>
        <v>507.71922581687579</v>
      </c>
      <c r="BI35" s="59">
        <f ca="1">AVERAGE(OFFSET($BH$3,0,0,'Données projet'!$E$11+1,1))-AVERAGE(OFFSET($H$3,0,0,'Données projet'!$E$11+1,1))</f>
        <v>328.34986205643321</v>
      </c>
      <c r="BJ35" s="59">
        <f t="shared" si="38"/>
        <v>251.60894449147008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250.57528780096658</v>
      </c>
      <c r="T36" s="59">
        <f t="shared" si="34"/>
        <v>277.12386407996132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</v>
      </c>
      <c r="AI36" s="13">
        <f>IF('Données projet'!$A$62&gt;35,AI35+AH36-AQ35,IF(A36&lt;'Données projet'!$A$62,$AF$205^A36,IF(A36='Données projet'!$A$62,'Données projet'!$B$62,AI35+AH36-AQ35)))</f>
        <v>459.19999999999987</v>
      </c>
      <c r="AJ36" s="13">
        <f>AI36*VLOOKUP('Données projet'!$B$10,Paramètres!$A$1:$I$89,3,0)*VLOOKUP('Données projet'!$B$10,Paramètres!$A$1:$I$89,5,0)</f>
        <v>233.53075199999995</v>
      </c>
      <c r="AK36" s="13">
        <f t="shared" si="35"/>
        <v>57.045434452496451</v>
      </c>
      <c r="AL36" s="20">
        <f t="shared" si="4"/>
        <v>506.08685807143121</v>
      </c>
      <c r="AM36" s="59">
        <f t="shared" si="5"/>
        <v>799.42019140476452</v>
      </c>
      <c r="AN36" s="59">
        <f ca="1">AVERAGE(OFFSET($AM$3,0,0,'Données projet'!$E$10+1,1))-AVERAGE(OFFSET($H$3,0,0,'Données projet'!$E$10+1,1))</f>
        <v>373.70967725072484</v>
      </c>
      <c r="AO36" s="59">
        <f t="shared" si="36"/>
        <v>431.87575082696571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</v>
      </c>
      <c r="BD36" s="12">
        <f>IF('Données projet'!$A$88&gt;35,BD35+BC36-BL35,IF(A36&lt;'Données projet'!$A$88,$BA$205^A36,IF(A36='Données projet'!$A$88,'Données projet'!$B$88,BD35+BC36-BL35)))</f>
        <v>126</v>
      </c>
      <c r="BE36" s="13">
        <f>BD36*VLOOKUP('Données projet'!$B$11,Paramètres!$A$1:$I$89,3,0)*VLOOKUP('Données projet'!$B$11,Paramètres!$A$1:$I$89,5,0)</f>
        <v>106.14240000000001</v>
      </c>
      <c r="BF36" s="13">
        <f t="shared" si="37"/>
        <v>28.420224211524975</v>
      </c>
      <c r="BG36" s="20">
        <f t="shared" si="7"/>
        <v>234.36323716840602</v>
      </c>
      <c r="BH36" s="59">
        <f t="shared" si="8"/>
        <v>527.6965705017393</v>
      </c>
      <c r="BI36" s="59">
        <f ca="1">AVERAGE(OFFSET($BH$3,0,0,'Données projet'!$E$11+1,1))-AVERAGE(OFFSET($H$3,0,0,'Données projet'!$E$11+1,1))</f>
        <v>328.34986205643321</v>
      </c>
      <c r="BJ36" s="59">
        <f t="shared" si="38"/>
        <v>251.60894449147008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250.57528780096658</v>
      </c>
      <c r="T37" s="59">
        <f t="shared" si="34"/>
        <v>277.12386407996132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</v>
      </c>
      <c r="AI37" s="13">
        <f>IF('Données projet'!$A$62&gt;35,AI36+AH37-AQ36,IF(A37&lt;'Données projet'!$A$62,$AF$205^A37,IF(A37='Données projet'!$A$62,'Données projet'!$B$62,AI36+AH37-AQ36)))</f>
        <v>474.59999999999985</v>
      </c>
      <c r="AJ37" s="13">
        <f>AI37*VLOOKUP('Données projet'!$B$10,Paramètres!$A$1:$I$89,3,0)*VLOOKUP('Données projet'!$B$10,Paramètres!$A$1:$I$89,5,0)</f>
        <v>241.36257599999993</v>
      </c>
      <c r="AK37" s="13">
        <f t="shared" si="35"/>
        <v>58.732598681397128</v>
      </c>
      <c r="AL37" s="20">
        <f t="shared" si="4"/>
        <v>522.6657625700999</v>
      </c>
      <c r="AM37" s="59">
        <f t="shared" si="5"/>
        <v>815.99909590343327</v>
      </c>
      <c r="AN37" s="59">
        <f ca="1">AVERAGE(OFFSET($AM$3,0,0,'Données projet'!$E$10+1,1))-AVERAGE(OFFSET($H$3,0,0,'Données projet'!$E$10+1,1))</f>
        <v>373.70967725072484</v>
      </c>
      <c r="AO37" s="59">
        <f t="shared" si="36"/>
        <v>431.87575082696571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</v>
      </c>
      <c r="BD37" s="12">
        <f>IF('Données projet'!$A$88&gt;35,BD36+BC37-BL36,IF(A37&lt;'Données projet'!$A$88,$BA$205^A37,IF(A37='Données projet'!$A$88,'Données projet'!$B$88,BD36+BC37-BL36)))</f>
        <v>137</v>
      </c>
      <c r="BE37" s="13">
        <f>BD37*VLOOKUP('Données projet'!$B$11,Paramètres!$A$1:$I$89,3,0)*VLOOKUP('Données projet'!$B$11,Paramètres!$A$1:$I$89,5,0)</f>
        <v>115.40880000000001</v>
      </c>
      <c r="BF37" s="13">
        <f t="shared" si="37"/>
        <v>30.60175820334798</v>
      </c>
      <c r="BG37" s="20">
        <f t="shared" si="7"/>
        <v>254.30172220416441</v>
      </c>
      <c r="BH37" s="59">
        <f t="shared" si="8"/>
        <v>547.63505553749769</v>
      </c>
      <c r="BI37" s="59">
        <f ca="1">AVERAGE(OFFSET($BH$3,0,0,'Données projet'!$E$11+1,1))-AVERAGE(OFFSET($H$3,0,0,'Données projet'!$E$11+1,1))</f>
        <v>328.34986205643321</v>
      </c>
      <c r="BJ37" s="59">
        <f t="shared" si="38"/>
        <v>251.60894449147008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250.57528780096658</v>
      </c>
      <c r="T38" s="59">
        <f t="shared" si="34"/>
        <v>277.12386407996132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490</v>
      </c>
      <c r="AG38" s="12">
        <f>VLOOKUP(A38,'Données projet'!$A$61:$I$81,9,0)</f>
        <v>15.4</v>
      </c>
      <c r="AH38" s="12">
        <f t="array" ref="AH38">INDEX(AG:AG,MIN(IF(ISNUMBER(AG38:AG234),ROW(AG38:AG234),"")))</f>
        <v>15.4</v>
      </c>
      <c r="AI38" s="13">
        <f>IF('Données projet'!$A$62&gt;35,AI37+AH38-AQ37,IF(A38&lt;'Données projet'!$A$62,$AF$205^A38,IF(A38='Données projet'!$A$62,'Données projet'!$B$62,AI37+AH38-AQ37)))</f>
        <v>489.99999999999983</v>
      </c>
      <c r="AJ38" s="13">
        <f>AI38*VLOOKUP('Données projet'!$B$10,Paramètres!$A$1:$I$89,3,0)*VLOOKUP('Données projet'!$B$10,Paramètres!$A$1:$I$89,5,0)</f>
        <v>249.19439999999994</v>
      </c>
      <c r="AK38" s="13">
        <f t="shared" si="35"/>
        <v>60.413401345668042</v>
      </c>
      <c r="AL38" s="20">
        <f t="shared" si="4"/>
        <v>539.23358734370515</v>
      </c>
      <c r="AM38" s="59">
        <f t="shared" si="5"/>
        <v>832.56692067703852</v>
      </c>
      <c r="AN38" s="59">
        <f ca="1">AVERAGE(OFFSET($AM$3,0,0,'Données projet'!$E$10+1,1))-AVERAGE(OFFSET($H$3,0,0,'Données projet'!$E$10+1,1))</f>
        <v>373.70967725072484</v>
      </c>
      <c r="AO38" s="59">
        <f t="shared" si="36"/>
        <v>431.87575082696571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</v>
      </c>
      <c r="BD38" s="12">
        <f>IF('Données projet'!$A$88&gt;35,BD37+BC38-BL37,IF(A38&lt;'Données projet'!$A$88,$BA$205^A38,IF(A38='Données projet'!$A$88,'Données projet'!$B$88,BD37+BC38-BL37)))</f>
        <v>148</v>
      </c>
      <c r="BE38" s="13">
        <f>BD38*VLOOKUP('Données projet'!$B$11,Paramètres!$A$1:$I$89,3,0)*VLOOKUP('Données projet'!$B$11,Paramètres!$A$1:$I$89,5,0)</f>
        <v>124.6752</v>
      </c>
      <c r="BF38" s="13">
        <f t="shared" si="37"/>
        <v>32.762975561628714</v>
      </c>
      <c r="BG38" s="20">
        <f t="shared" si="7"/>
        <v>274.20482243650338</v>
      </c>
      <c r="BH38" s="59">
        <f t="shared" si="8"/>
        <v>567.53815576983675</v>
      </c>
      <c r="BI38" s="59">
        <f ca="1">AVERAGE(OFFSET($BH$3,0,0,'Données projet'!$E$11+1,1))-AVERAGE(OFFSET($H$3,0,0,'Données projet'!$E$11+1,1))</f>
        <v>328.34986205643321</v>
      </c>
      <c r="BJ38" s="59">
        <f t="shared" si="38"/>
        <v>251.60894449147008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250.57528780096658</v>
      </c>
      <c r="T39" s="59">
        <f t="shared" si="34"/>
        <v>277.12386407996132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12.6</v>
      </c>
      <c r="AI39" s="13">
        <f>IF('Données projet'!$A$62&gt;35,AI38+AH39-AQ38,IF(A39&lt;'Données projet'!$A$62,$AF$205^A39,IF(A39='Données projet'!$A$62,'Données projet'!$B$62,AI38+AH39-AQ38)))</f>
        <v>502.59999999999985</v>
      </c>
      <c r="AJ39" s="13">
        <f>AI39*VLOOKUP('Données projet'!$B$10,Paramètres!$A$1:$I$89,3,0)*VLOOKUP('Données projet'!$B$10,Paramètres!$A$1:$I$89,5,0)</f>
        <v>255.60225599999995</v>
      </c>
      <c r="AK39" s="13">
        <f t="shared" si="35"/>
        <v>61.784027976629687</v>
      </c>
      <c r="AL39" s="20">
        <f t="shared" si="4"/>
        <v>552.78111125929661</v>
      </c>
      <c r="AM39" s="59">
        <f t="shared" si="5"/>
        <v>846.11444459262998</v>
      </c>
      <c r="AN39" s="59">
        <f ca="1">AVERAGE(OFFSET($AM$3,0,0,'Données projet'!$E$10+1,1))-AVERAGE(OFFSET($H$3,0,0,'Données projet'!$E$10+1,1))</f>
        <v>373.70967725072484</v>
      </c>
      <c r="AO39" s="59">
        <f t="shared" si="36"/>
        <v>431.87575082696571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</v>
      </c>
      <c r="BD39" s="12">
        <f>IF('Données projet'!$A$88&gt;35,BD38+BC39-BL38,IF(A39&lt;'Données projet'!$A$88,$BA$205^A39,IF(A39='Données projet'!$A$88,'Données projet'!$B$88,BD38+BC39-BL38)))</f>
        <v>159</v>
      </c>
      <c r="BE39" s="13">
        <f>BD39*VLOOKUP('Données projet'!$B$11,Paramètres!$A$1:$I$89,3,0)*VLOOKUP('Données projet'!$B$11,Paramètres!$A$1:$I$89,5,0)</f>
        <v>133.94159999999999</v>
      </c>
      <c r="BF39" s="13">
        <f t="shared" si="37"/>
        <v>34.905558014330531</v>
      </c>
      <c r="BG39" s="20">
        <f t="shared" si="7"/>
        <v>294.07546687495898</v>
      </c>
      <c r="BH39" s="59">
        <f t="shared" si="8"/>
        <v>587.40880020829229</v>
      </c>
      <c r="BI39" s="59">
        <f ca="1">AVERAGE(OFFSET($BH$3,0,0,'Données projet'!$E$11+1,1))-AVERAGE(OFFSET($H$3,0,0,'Données projet'!$E$11+1,1))</f>
        <v>328.34986205643321</v>
      </c>
      <c r="BJ39" s="59">
        <f t="shared" si="38"/>
        <v>251.60894449147008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250.57528780096658</v>
      </c>
      <c r="T40" s="59">
        <f t="shared" si="34"/>
        <v>277.12386407996132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12.6</v>
      </c>
      <c r="AI40" s="13">
        <f>IF('Données projet'!$A$62&gt;35,AI39+AH40-AQ39,IF(A40&lt;'Données projet'!$A$62,$AF$205^A40,IF(A40='Données projet'!$A$62,'Données projet'!$B$62,AI39+AH40-AQ39)))</f>
        <v>515.19999999999982</v>
      </c>
      <c r="AJ40" s="13">
        <f>AI40*VLOOKUP('Données projet'!$B$10,Paramètres!$A$1:$I$89,3,0)*VLOOKUP('Données projet'!$B$10,Paramètres!$A$1:$I$89,5,0)</f>
        <v>262.01011199999988</v>
      </c>
      <c r="AK40" s="13">
        <f t="shared" si="35"/>
        <v>63.150660361846469</v>
      </c>
      <c r="AL40" s="20">
        <f t="shared" si="4"/>
        <v>566.32167853021576</v>
      </c>
      <c r="AM40" s="59">
        <f t="shared" si="5"/>
        <v>859.65501186354913</v>
      </c>
      <c r="AN40" s="59">
        <f ca="1">AVERAGE(OFFSET($AM$3,0,0,'Données projet'!$E$10+1,1))-AVERAGE(OFFSET($H$3,0,0,'Données projet'!$E$10+1,1))</f>
        <v>373.70967725072484</v>
      </c>
      <c r="AO40" s="59">
        <f t="shared" si="36"/>
        <v>431.87575082696571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</v>
      </c>
      <c r="BD40" s="12">
        <f>IF('Données projet'!$A$88&gt;35,BD39+BC40-BL39,IF(A40&lt;'Données projet'!$A$88,$BA$205^A40,IF(A40='Données projet'!$A$88,'Données projet'!$B$88,BD39+BC40-BL39)))</f>
        <v>170</v>
      </c>
      <c r="BE40" s="13">
        <f>BD40*VLOOKUP('Données projet'!$B$11,Paramètres!$A$1:$I$89,3,0)*VLOOKUP('Données projet'!$B$11,Paramètres!$A$1:$I$89,5,0)</f>
        <v>143.20800000000003</v>
      </c>
      <c r="BF40" s="13">
        <f t="shared" si="37"/>
        <v>37.030941422835831</v>
      </c>
      <c r="BG40" s="20">
        <f t="shared" si="7"/>
        <v>313.91615631143912</v>
      </c>
      <c r="BH40" s="59">
        <f t="shared" si="8"/>
        <v>607.24948964477244</v>
      </c>
      <c r="BI40" s="59">
        <f ca="1">AVERAGE(OFFSET($BH$3,0,0,'Données projet'!$E$11+1,1))-AVERAGE(OFFSET($H$3,0,0,'Données projet'!$E$11+1,1))</f>
        <v>328.34986205643321</v>
      </c>
      <c r="BJ40" s="59">
        <f t="shared" si="38"/>
        <v>251.60894449147008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250.57528780096658</v>
      </c>
      <c r="T41" s="59">
        <f t="shared" si="34"/>
        <v>277.12386407996132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12.6</v>
      </c>
      <c r="AI41" s="13">
        <f>IF('Données projet'!$A$62&gt;35,AI40+AH41-AQ40,IF(A41&lt;'Données projet'!$A$62,$AF$205^A41,IF(A41='Données projet'!$A$62,'Données projet'!$B$62,AI40+AH41-AQ40)))</f>
        <v>527.79999999999984</v>
      </c>
      <c r="AJ41" s="13">
        <f>AI41*VLOOKUP('Données projet'!$B$10,Paramètres!$A$1:$I$89,3,0)*VLOOKUP('Données projet'!$B$10,Paramètres!$A$1:$I$89,5,0)</f>
        <v>268.41796799999992</v>
      </c>
      <c r="AK41" s="13">
        <f t="shared" si="35"/>
        <v>64.513407424132822</v>
      </c>
      <c r="AL41" s="20">
        <f t="shared" si="4"/>
        <v>579.85547886369784</v>
      </c>
      <c r="AM41" s="59">
        <f t="shared" si="5"/>
        <v>873.18881219703121</v>
      </c>
      <c r="AN41" s="59">
        <f ca="1">AVERAGE(OFFSET($AM$3,0,0,'Données projet'!$E$10+1,1))-AVERAGE(OFFSET($H$3,0,0,'Données projet'!$E$10+1,1))</f>
        <v>373.70967725072484</v>
      </c>
      <c r="AO41" s="59">
        <f t="shared" si="36"/>
        <v>431.87575082696571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</v>
      </c>
      <c r="BD41" s="12">
        <f>IF('Données projet'!$A$88&gt;35,BD40+BC41-BL40,IF(A41&lt;'Données projet'!$A$88,$BA$205^A41,IF(A41='Données projet'!$A$88,'Données projet'!$B$88,BD40+BC41-BL40)))</f>
        <v>181</v>
      </c>
      <c r="BE41" s="13">
        <f>BD41*VLOOKUP('Données projet'!$B$11,Paramètres!$A$1:$I$89,3,0)*VLOOKUP('Données projet'!$B$11,Paramètres!$A$1:$I$89,5,0)</f>
        <v>152.47440000000003</v>
      </c>
      <c r="BF41" s="13">
        <f t="shared" si="37"/>
        <v>39.140365323908171</v>
      </c>
      <c r="BG41" s="20">
        <f t="shared" si="7"/>
        <v>333.72904960580678</v>
      </c>
      <c r="BH41" s="59">
        <f t="shared" si="8"/>
        <v>627.06238293914009</v>
      </c>
      <c r="BI41" s="59">
        <f ca="1">AVERAGE(OFFSET($BH$3,0,0,'Données projet'!$E$11+1,1))-AVERAGE(OFFSET($H$3,0,0,'Données projet'!$E$11+1,1))</f>
        <v>328.34986205643321</v>
      </c>
      <c r="BJ41" s="59">
        <f t="shared" si="38"/>
        <v>251.60894449147008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250.57528780096658</v>
      </c>
      <c r="T42" s="59">
        <f t="shared" si="34"/>
        <v>277.12386407996132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12.6</v>
      </c>
      <c r="AI42" s="13">
        <f>IF('Données projet'!$A$62&gt;35,AI41+AH42-AQ41,IF(A42&lt;'Données projet'!$A$62,$AF$205^A42,IF(A42='Données projet'!$A$62,'Données projet'!$B$62,AI41+AH42-AQ41)))</f>
        <v>540.39999999999986</v>
      </c>
      <c r="AJ42" s="13">
        <f>AI42*VLOOKUP('Données projet'!$B$10,Paramètres!$A$1:$I$89,3,0)*VLOOKUP('Données projet'!$B$10,Paramètres!$A$1:$I$89,5,0)</f>
        <v>274.82582399999995</v>
      </c>
      <c r="AK42" s="13">
        <f t="shared" si="35"/>
        <v>65.872372589138706</v>
      </c>
      <c r="AL42" s="20">
        <f t="shared" si="4"/>
        <v>593.38269239274985</v>
      </c>
      <c r="AM42" s="59">
        <f t="shared" si="5"/>
        <v>886.71602572608322</v>
      </c>
      <c r="AN42" s="59">
        <f ca="1">AVERAGE(OFFSET($AM$3,0,0,'Données projet'!$E$10+1,1))-AVERAGE(OFFSET($H$3,0,0,'Données projet'!$E$10+1,1))</f>
        <v>373.70967725072484</v>
      </c>
      <c r="AO42" s="59">
        <f t="shared" si="36"/>
        <v>431.87575082696571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</v>
      </c>
      <c r="BD42" s="12">
        <f>IF('Données projet'!$A$88&gt;35,BD41+BC42-BL41,IF(A42&lt;'Données projet'!$A$88,$BA$205^A42,IF(A42='Données projet'!$A$88,'Données projet'!$B$88,BD41+BC42-BL41)))</f>
        <v>192</v>
      </c>
      <c r="BE42" s="13">
        <f>BD42*VLOOKUP('Données projet'!$B$11,Paramètres!$A$1:$I$89,3,0)*VLOOKUP('Données projet'!$B$11,Paramètres!$A$1:$I$89,5,0)</f>
        <v>161.74080000000001</v>
      </c>
      <c r="BF42" s="13">
        <f t="shared" si="37"/>
        <v>41.234910079352424</v>
      </c>
      <c r="BG42" s="20">
        <f t="shared" si="7"/>
        <v>353.51602838820548</v>
      </c>
      <c r="BH42" s="59">
        <f t="shared" si="8"/>
        <v>646.8493617215388</v>
      </c>
      <c r="BI42" s="59">
        <f ca="1">AVERAGE(OFFSET($BH$3,0,0,'Données projet'!$E$11+1,1))-AVERAGE(OFFSET($H$3,0,0,'Données projet'!$E$11+1,1))</f>
        <v>328.34986205643321</v>
      </c>
      <c r="BJ42" s="59">
        <f t="shared" si="38"/>
        <v>251.60894449147008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250.57528780096658</v>
      </c>
      <c r="T43" s="59">
        <f t="shared" si="34"/>
        <v>277.12386407996132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553</v>
      </c>
      <c r="AG43" s="12">
        <f>VLOOKUP(A43,'Données projet'!$A$61:$I$81,9,0)</f>
        <v>12.6</v>
      </c>
      <c r="AH43" s="12">
        <f t="array" ref="AH43">INDEX(AG:AG,MIN(IF(ISNUMBER(AG43:AG239),ROW(AG43:AG239),"")))</f>
        <v>12.6</v>
      </c>
      <c r="AI43" s="13">
        <f>IF('Données projet'!$A$62&gt;35,AI42+AH43-AQ42,IF(A43&lt;'Données projet'!$A$62,$AF$205^A43,IF(A43='Données projet'!$A$62,'Données projet'!$B$62,AI42+AH43-AQ42)))</f>
        <v>552.99999999999989</v>
      </c>
      <c r="AJ43" s="13">
        <f>AI43*VLOOKUP('Données projet'!$B$10,Paramètres!$A$1:$I$89,3,0)*VLOOKUP('Données projet'!$B$10,Paramètres!$A$1:$I$89,5,0)</f>
        <v>281.23367999999994</v>
      </c>
      <c r="AK43" s="13">
        <f t="shared" si="35"/>
        <v>67.227654184389252</v>
      </c>
      <c r="AL43" s="20">
        <f t="shared" si="4"/>
        <v>606.90349037114447</v>
      </c>
      <c r="AM43" s="59">
        <f t="shared" si="5"/>
        <v>900.23682370447773</v>
      </c>
      <c r="AN43" s="59">
        <f ca="1">AVERAGE(OFFSET($AM$3,0,0,'Données projet'!$E$10+1,1))-AVERAGE(OFFSET($H$3,0,0,'Données projet'!$E$10+1,1))</f>
        <v>373.70967725072484</v>
      </c>
      <c r="AO43" s="59">
        <f t="shared" si="36"/>
        <v>431.87575082696571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203</v>
      </c>
      <c r="BB43" s="12">
        <f>VLOOKUP(A43,'Données projet'!$A$87:$I$107,9,0)</f>
        <v>11</v>
      </c>
      <c r="BC43" s="12">
        <f t="array" ref="BC43">INDEX(BB:BB,MIN(IF(ISNUMBER(BB43:BB239),ROW(BB43:BB239),"")))</f>
        <v>11</v>
      </c>
      <c r="BD43" s="12">
        <f>IF('Données projet'!$A$88&gt;35,BD42+BC43-BL42,IF(A43&lt;'Données projet'!$A$88,$BA$205^A43,IF(A43='Données projet'!$A$88,'Données projet'!$B$88,BD42+BC43-BL42)))</f>
        <v>203</v>
      </c>
      <c r="BE43" s="13">
        <f>BD43*VLOOKUP('Données projet'!$B$11,Paramètres!$A$1:$I$89,3,0)*VLOOKUP('Données projet'!$B$11,Paramètres!$A$1:$I$89,5,0)</f>
        <v>171.00720000000001</v>
      </c>
      <c r="BF43" s="13">
        <f t="shared" si="37"/>
        <v>43.315525267338089</v>
      </c>
      <c r="BG43" s="20">
        <f t="shared" si="7"/>
        <v>373.27874650728057</v>
      </c>
      <c r="BH43" s="59">
        <f t="shared" si="8"/>
        <v>666.61207984061389</v>
      </c>
      <c r="BI43" s="59">
        <f ca="1">AVERAGE(OFFSET($BH$3,0,0,'Données projet'!$E$11+1,1))-AVERAGE(OFFSET($H$3,0,0,'Données projet'!$E$11+1,1))</f>
        <v>328.34986205643321</v>
      </c>
      <c r="BJ43" s="59">
        <f t="shared" si="38"/>
        <v>251.60894449147008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250.57528780096658</v>
      </c>
      <c r="T44" s="59">
        <f t="shared" si="34"/>
        <v>277.12386407996132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562.79999999999984</v>
      </c>
      <c r="AJ44" s="13">
        <f>AI44*VLOOKUP('Données projet'!$B$10,Paramètres!$A$1:$I$89,3,0)*VLOOKUP('Données projet'!$B$10,Paramètres!$A$1:$I$89,5,0)</f>
        <v>286.21756799999991</v>
      </c>
      <c r="AK44" s="13">
        <f t="shared" si="35"/>
        <v>68.279275497713186</v>
      </c>
      <c r="AL44" s="20">
        <f t="shared" si="4"/>
        <v>617.4153357585169</v>
      </c>
      <c r="AM44" s="59">
        <f t="shared" si="5"/>
        <v>910.74866909185016</v>
      </c>
      <c r="AN44" s="59">
        <f ca="1">AVERAGE(OFFSET($AM$3,0,0,'Données projet'!$E$10+1,1))-AVERAGE(OFFSET($H$3,0,0,'Données projet'!$E$10+1,1))</f>
        <v>373.70967725072484</v>
      </c>
      <c r="AO44" s="59">
        <f t="shared" si="36"/>
        <v>431.87575082696571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11.2</v>
      </c>
      <c r="BD44" s="12">
        <f>IF('Données projet'!$A$88&gt;35,BD43+BC44-BL43,IF(A44&lt;'Données projet'!$A$88,$BA$205^A44,IF(A44='Données projet'!$A$88,'Données projet'!$B$88,BD43+BC44-BL43)))</f>
        <v>158.19999999999999</v>
      </c>
      <c r="BE44" s="13">
        <f>BD44*VLOOKUP('Données projet'!$B$11,Paramètres!$A$1:$I$89,3,0)*VLOOKUP('Données projet'!$B$11,Paramètres!$A$1:$I$89,5,0)</f>
        <v>133.26768000000001</v>
      </c>
      <c r="BF44" s="13">
        <f t="shared" si="37"/>
        <v>34.750329840004937</v>
      </c>
      <c r="BG44" s="20">
        <f t="shared" si="7"/>
        <v>292.63136713800856</v>
      </c>
      <c r="BH44" s="59">
        <f t="shared" si="8"/>
        <v>585.96470047134187</v>
      </c>
      <c r="BI44" s="59">
        <f ca="1">AVERAGE(OFFSET($BH$3,0,0,'Données projet'!$E$11+1,1))-AVERAGE(OFFSET($H$3,0,0,'Données projet'!$E$11+1,1))</f>
        <v>328.34986205643321</v>
      </c>
      <c r="BJ44" s="59">
        <f t="shared" si="38"/>
        <v>251.60894449147008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250.57528780096658</v>
      </c>
      <c r="T45" s="59">
        <f t="shared" si="34"/>
        <v>277.12386407996132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572.5999999999998</v>
      </c>
      <c r="AJ45" s="13">
        <f>AI45*VLOOKUP('Données projet'!$B$10,Paramètres!$A$1:$I$89,3,0)*VLOOKUP('Données projet'!$B$10,Paramètres!$A$1:$I$89,5,0)</f>
        <v>291.20145599999989</v>
      </c>
      <c r="AK45" s="13">
        <f t="shared" si="35"/>
        <v>69.328767360798082</v>
      </c>
      <c r="AL45" s="20">
        <f t="shared" si="4"/>
        <v>627.9234723533898</v>
      </c>
      <c r="AM45" s="59">
        <f t="shared" si="5"/>
        <v>921.25680568672306</v>
      </c>
      <c r="AN45" s="59">
        <f ca="1">AVERAGE(OFFSET($AM$3,0,0,'Données projet'!$E$10+1,1))-AVERAGE(OFFSET($H$3,0,0,'Données projet'!$E$10+1,1))</f>
        <v>373.70967725072484</v>
      </c>
      <c r="AO45" s="59">
        <f t="shared" si="36"/>
        <v>431.87575082696571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11.2</v>
      </c>
      <c r="BD45" s="12">
        <f>IF('Données projet'!$A$88&gt;35,BD44+BC45-BL44,IF(A45&lt;'Données projet'!$A$88,$BA$205^A45,IF(A45='Données projet'!$A$88,'Données projet'!$B$88,BD44+BC45-BL44)))</f>
        <v>169.39999999999998</v>
      </c>
      <c r="BE45" s="13">
        <f>BD45*VLOOKUP('Données projet'!$B$11,Paramètres!$A$1:$I$89,3,0)*VLOOKUP('Données projet'!$B$11,Paramètres!$A$1:$I$89,5,0)</f>
        <v>142.70256000000001</v>
      </c>
      <c r="BF45" s="13">
        <f t="shared" si="37"/>
        <v>36.91543341153259</v>
      </c>
      <c r="BG45" s="20">
        <f t="shared" si="7"/>
        <v>312.83467185841931</v>
      </c>
      <c r="BH45" s="59">
        <f t="shared" si="8"/>
        <v>606.16800519175263</v>
      </c>
      <c r="BI45" s="59">
        <f ca="1">AVERAGE(OFFSET($BH$3,0,0,'Données projet'!$E$11+1,1))-AVERAGE(OFFSET($H$3,0,0,'Données projet'!$E$11+1,1))</f>
        <v>328.34986205643321</v>
      </c>
      <c r="BJ45" s="59">
        <f t="shared" si="38"/>
        <v>251.60894449147008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250.57528780096658</v>
      </c>
      <c r="T46" s="59">
        <f t="shared" si="34"/>
        <v>277.12386407996132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582.39999999999975</v>
      </c>
      <c r="AJ46" s="13">
        <f>AI46*VLOOKUP('Données projet'!$B$10,Paramètres!$A$1:$I$89,3,0)*VLOOKUP('Données projet'!$B$10,Paramètres!$A$1:$I$89,5,0)</f>
        <v>296.18534399999987</v>
      </c>
      <c r="AK46" s="13">
        <f t="shared" si="35"/>
        <v>70.376170424740906</v>
      </c>
      <c r="AL46" s="20">
        <f t="shared" si="4"/>
        <v>638.42797095642356</v>
      </c>
      <c r="AM46" s="59">
        <f t="shared" si="5"/>
        <v>931.76130428975694</v>
      </c>
      <c r="AN46" s="59">
        <f ca="1">AVERAGE(OFFSET($AM$3,0,0,'Données projet'!$E$10+1,1))-AVERAGE(OFFSET($H$3,0,0,'Données projet'!$E$10+1,1))</f>
        <v>373.70967725072484</v>
      </c>
      <c r="AO46" s="59">
        <f t="shared" si="36"/>
        <v>431.87575082696571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11.2</v>
      </c>
      <c r="BD46" s="12">
        <f>IF('Données projet'!$A$88&gt;35,BD45+BC46-BL45,IF(A46&lt;'Données projet'!$A$88,$BA$205^A46,IF(A46='Données projet'!$A$88,'Données projet'!$B$88,BD45+BC46-BL45)))</f>
        <v>180.59999999999997</v>
      </c>
      <c r="BE46" s="13">
        <f>BD46*VLOOKUP('Données projet'!$B$11,Paramètres!$A$1:$I$89,3,0)*VLOOKUP('Données projet'!$B$11,Paramètres!$A$1:$I$89,5,0)</f>
        <v>152.13744</v>
      </c>
      <c r="BF46" s="13">
        <f t="shared" si="37"/>
        <v>39.063925813036093</v>
      </c>
      <c r="BG46" s="20">
        <f t="shared" si="7"/>
        <v>333.00904545770453</v>
      </c>
      <c r="BH46" s="59">
        <f t="shared" si="8"/>
        <v>626.34237879103785</v>
      </c>
      <c r="BI46" s="59">
        <f ca="1">AVERAGE(OFFSET($BH$3,0,0,'Données projet'!$E$11+1,1))-AVERAGE(OFFSET($H$3,0,0,'Données projet'!$E$11+1,1))</f>
        <v>328.34986205643321</v>
      </c>
      <c r="BJ46" s="59">
        <f t="shared" si="38"/>
        <v>251.60894449147008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250.57528780096658</v>
      </c>
      <c r="T47" s="59">
        <f t="shared" si="34"/>
        <v>277.12386407996132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592.1999999999997</v>
      </c>
      <c r="AJ47" s="13">
        <f>AI47*VLOOKUP('Données projet'!$B$10,Paramètres!$A$1:$I$89,3,0)*VLOOKUP('Données projet'!$B$10,Paramètres!$A$1:$I$89,5,0)</f>
        <v>301.16923199999985</v>
      </c>
      <c r="AK47" s="13">
        <f t="shared" si="35"/>
        <v>71.421523894163926</v>
      </c>
      <c r="AL47" s="20">
        <f t="shared" si="4"/>
        <v>648.92889984900182</v>
      </c>
      <c r="AM47" s="59">
        <f t="shared" si="5"/>
        <v>942.26223318233519</v>
      </c>
      <c r="AN47" s="59">
        <f ca="1">AVERAGE(OFFSET($AM$3,0,0,'Données projet'!$E$10+1,1))-AVERAGE(OFFSET($H$3,0,0,'Données projet'!$E$10+1,1))</f>
        <v>373.70967725072484</v>
      </c>
      <c r="AO47" s="59">
        <f t="shared" si="36"/>
        <v>431.87575082696571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11.2</v>
      </c>
      <c r="BD47" s="12">
        <f>IF('Données projet'!$A$88&gt;35,BD46+BC47-BL46,IF(A47&lt;'Données projet'!$A$88,$BA$205^A47,IF(A47='Données projet'!$A$88,'Données projet'!$B$88,BD46+BC47-BL46)))</f>
        <v>191.79999999999995</v>
      </c>
      <c r="BE47" s="13">
        <f>BD47*VLOOKUP('Données projet'!$B$11,Paramètres!$A$1:$I$89,3,0)*VLOOKUP('Données projet'!$B$11,Paramètres!$A$1:$I$89,5,0)</f>
        <v>161.57231999999999</v>
      </c>
      <c r="BF47" s="13">
        <f t="shared" si="37"/>
        <v>41.196954479055741</v>
      </c>
      <c r="BG47" s="20">
        <f t="shared" si="7"/>
        <v>353.15648638435545</v>
      </c>
      <c r="BH47" s="59">
        <f t="shared" si="8"/>
        <v>646.48981971768876</v>
      </c>
      <c r="BI47" s="59">
        <f ca="1">AVERAGE(OFFSET($BH$3,0,0,'Données projet'!$E$11+1,1))-AVERAGE(OFFSET($H$3,0,0,'Données projet'!$E$11+1,1))</f>
        <v>328.34986205643321</v>
      </c>
      <c r="BJ47" s="59">
        <f t="shared" si="38"/>
        <v>251.60894449147008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250.57528780096658</v>
      </c>
      <c r="T48" s="59">
        <f t="shared" si="34"/>
        <v>277.12386407996132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602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601.99999999999966</v>
      </c>
      <c r="AJ48" s="13">
        <f>AI48*VLOOKUP('Données projet'!$B$10,Paramètres!$A$1:$I$89,3,0)*VLOOKUP('Données projet'!$B$10,Paramètres!$A$1:$I$89,5,0)</f>
        <v>306.15311999999983</v>
      </c>
      <c r="AK48" s="13">
        <f t="shared" si="35"/>
        <v>72.464865601754013</v>
      </c>
      <c r="AL48" s="20">
        <f t="shared" si="4"/>
        <v>659.42632492305449</v>
      </c>
      <c r="AM48" s="59">
        <f t="shared" si="5"/>
        <v>952.75965825638787</v>
      </c>
      <c r="AN48" s="59">
        <f ca="1">AVERAGE(OFFSET($AM$3,0,0,'Données projet'!$E$10+1,1))-AVERAGE(OFFSET($H$3,0,0,'Données projet'!$E$10+1,1))</f>
        <v>373.70967725072484</v>
      </c>
      <c r="AO48" s="59">
        <f t="shared" si="36"/>
        <v>431.87575082696571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11.2</v>
      </c>
      <c r="BD48" s="12">
        <f>IF('Données projet'!$A$88&gt;35,BD47+BC48-BL47,IF(A48&lt;'Données projet'!$A$88,$BA$205^A48,IF(A48='Données projet'!$A$88,'Données projet'!$B$88,BD47+BC48-BL47)))</f>
        <v>202.99999999999994</v>
      </c>
      <c r="BE48" s="13">
        <f>BD48*VLOOKUP('Données projet'!$B$11,Paramètres!$A$1:$I$89,3,0)*VLOOKUP('Données projet'!$B$11,Paramètres!$A$1:$I$89,5,0)</f>
        <v>171.00719999999995</v>
      </c>
      <c r="BF48" s="13">
        <f t="shared" si="37"/>
        <v>43.315525267338089</v>
      </c>
      <c r="BG48" s="20">
        <f t="shared" si="7"/>
        <v>373.27874650728046</v>
      </c>
      <c r="BH48" s="59">
        <f t="shared" si="8"/>
        <v>666.61207984061377</v>
      </c>
      <c r="BI48" s="59">
        <f ca="1">AVERAGE(OFFSET($BH$3,0,0,'Données projet'!$E$11+1,1))-AVERAGE(OFFSET($H$3,0,0,'Données projet'!$E$11+1,1))</f>
        <v>328.34986205643321</v>
      </c>
      <c r="BJ48" s="59">
        <f t="shared" si="38"/>
        <v>251.60894449147008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250.57528780096658</v>
      </c>
      <c r="T49" s="59">
        <f t="shared" si="34"/>
        <v>277.12386407996132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7.8</v>
      </c>
      <c r="AI49" s="13">
        <f>IF('Données projet'!$A$62&gt;35,AI48+AH49-AQ48,IF(A49&lt;'Données projet'!$A$62,$AF$205^A49,IF(A49='Données projet'!$A$62,'Données projet'!$B$62,AI48+AH49-AQ48)))</f>
        <v>609.79999999999961</v>
      </c>
      <c r="AJ49" s="13">
        <f>AI49*VLOOKUP('Données projet'!$B$10,Paramètres!$A$1:$I$89,3,0)*VLOOKUP('Données projet'!$B$10,Paramètres!$A$1:$I$89,5,0)</f>
        <v>310.11988799999978</v>
      </c>
      <c r="AK49" s="13">
        <f t="shared" si="35"/>
        <v>73.293866994394037</v>
      </c>
      <c r="AL49" s="20">
        <f t="shared" si="4"/>
        <v>667.77895661523587</v>
      </c>
      <c r="AM49" s="59">
        <f t="shared" si="5"/>
        <v>961.11228994856924</v>
      </c>
      <c r="AN49" s="59">
        <f ca="1">AVERAGE(OFFSET($AM$3,0,0,'Données projet'!$E$10+1,1))-AVERAGE(OFFSET($H$3,0,0,'Données projet'!$E$10+1,1))</f>
        <v>373.70967725072484</v>
      </c>
      <c r="AO49" s="59">
        <f t="shared" si="36"/>
        <v>431.87575082696571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</v>
      </c>
      <c r="BD49" s="12">
        <f>IF('Données projet'!$A$88&gt;35,BD48+BC49-BL48,IF(A49&lt;'Données projet'!$A$88,$BA$205^A49,IF(A49='Données projet'!$A$88,'Données projet'!$B$88,BD48+BC49-BL48)))</f>
        <v>214.19999999999993</v>
      </c>
      <c r="BE49" s="13">
        <f>BD49*VLOOKUP('Données projet'!$B$11,Paramètres!$A$1:$I$89,3,0)*VLOOKUP('Données projet'!$B$11,Paramètres!$A$1:$I$89,5,0)</f>
        <v>180.44207999999995</v>
      </c>
      <c r="BF49" s="13">
        <f t="shared" si="37"/>
        <v>45.420526775820029</v>
      </c>
      <c r="BG49" s="20">
        <f t="shared" si="7"/>
        <v>393.37737346788646</v>
      </c>
      <c r="BH49" s="59">
        <f t="shared" si="8"/>
        <v>686.71070680121977</v>
      </c>
      <c r="BI49" s="59">
        <f ca="1">AVERAGE(OFFSET($BH$3,0,0,'Données projet'!$E$11+1,1))-AVERAGE(OFFSET($H$3,0,0,'Données projet'!$E$11+1,1))</f>
        <v>328.34986205643321</v>
      </c>
      <c r="BJ49" s="59">
        <f t="shared" si="38"/>
        <v>251.60894449147008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250.57528780096658</v>
      </c>
      <c r="T50" s="59">
        <f t="shared" si="34"/>
        <v>277.12386407996132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7.8</v>
      </c>
      <c r="AI50" s="13">
        <f>IF('Données projet'!$A$62&gt;35,AI49+AH50-AQ49,IF(A50&lt;'Données projet'!$A$62,$AF$205^A50,IF(A50='Données projet'!$A$62,'Données projet'!$B$62,AI49+AH50-AQ49)))</f>
        <v>617.59999999999957</v>
      </c>
      <c r="AJ50" s="13">
        <f>AI50*VLOOKUP('Données projet'!$B$10,Paramètres!$A$1:$I$89,3,0)*VLOOKUP('Données projet'!$B$10,Paramètres!$A$1:$I$89,5,0)</f>
        <v>314.08665599999978</v>
      </c>
      <c r="AK50" s="13">
        <f t="shared" si="35"/>
        <v>74.121634984944436</v>
      </c>
      <c r="AL50" s="20">
        <f t="shared" si="4"/>
        <v>676.1294401321112</v>
      </c>
      <c r="AM50" s="59">
        <f t="shared" si="5"/>
        <v>969.46277346544457</v>
      </c>
      <c r="AN50" s="59">
        <f ca="1">AVERAGE(OFFSET($AM$3,0,0,'Données projet'!$E$10+1,1))-AVERAGE(OFFSET($H$3,0,0,'Données projet'!$E$10+1,1))</f>
        <v>373.70967725072484</v>
      </c>
      <c r="AO50" s="59">
        <f t="shared" si="36"/>
        <v>431.87575082696571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</v>
      </c>
      <c r="BD50" s="12">
        <f>IF('Données projet'!$A$88&gt;35,BD49+BC50-BL49,IF(A50&lt;'Données projet'!$A$88,$BA$205^A50,IF(A50='Données projet'!$A$88,'Données projet'!$B$88,BD49+BC50-BL49)))</f>
        <v>225.39999999999992</v>
      </c>
      <c r="BE50" s="13">
        <f>BD50*VLOOKUP('Données projet'!$B$11,Paramètres!$A$1:$I$89,3,0)*VLOOKUP('Données projet'!$B$11,Paramètres!$A$1:$I$89,5,0)</f>
        <v>189.87695999999994</v>
      </c>
      <c r="BF50" s="13">
        <f t="shared" si="37"/>
        <v>47.5127494286954</v>
      </c>
      <c r="BG50" s="20">
        <f t="shared" si="7"/>
        <v>413.45374392164439</v>
      </c>
      <c r="BH50" s="59">
        <f t="shared" si="8"/>
        <v>706.7870772549777</v>
      </c>
      <c r="BI50" s="59">
        <f ca="1">AVERAGE(OFFSET($BH$3,0,0,'Données projet'!$E$11+1,1))-AVERAGE(OFFSET($H$3,0,0,'Données projet'!$E$11+1,1))</f>
        <v>328.34986205643321</v>
      </c>
      <c r="BJ50" s="59">
        <f t="shared" si="38"/>
        <v>251.60894449147008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250.57528780096658</v>
      </c>
      <c r="T51" s="59">
        <f t="shared" si="34"/>
        <v>277.12386407996132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7.8</v>
      </c>
      <c r="AI51" s="13">
        <f>IF('Données projet'!$A$62&gt;35,AI50+AH51-AQ50,IF(A51&lt;'Données projet'!$A$62,$AF$205^A51,IF(A51='Données projet'!$A$62,'Données projet'!$B$62,AI50+AH51-AQ50)))</f>
        <v>625.39999999999952</v>
      </c>
      <c r="AJ51" s="13">
        <f>AI51*VLOOKUP('Données projet'!$B$10,Paramètres!$A$1:$I$89,3,0)*VLOOKUP('Données projet'!$B$10,Paramètres!$A$1:$I$89,5,0)</f>
        <v>318.05342399999978</v>
      </c>
      <c r="AK51" s="13">
        <f t="shared" si="35"/>
        <v>74.948186952048189</v>
      </c>
      <c r="AL51" s="20">
        <f t="shared" si="4"/>
        <v>684.47780574148339</v>
      </c>
      <c r="AM51" s="59">
        <f t="shared" si="5"/>
        <v>977.81113907481677</v>
      </c>
      <c r="AN51" s="59">
        <f ca="1">AVERAGE(OFFSET($AM$3,0,0,'Données projet'!$E$10+1,1))-AVERAGE(OFFSET($H$3,0,0,'Données projet'!$E$10+1,1))</f>
        <v>373.70967725072484</v>
      </c>
      <c r="AO51" s="59">
        <f t="shared" si="36"/>
        <v>431.87575082696571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</v>
      </c>
      <c r="BD51" s="12">
        <f>IF('Données projet'!$A$88&gt;35,BD50+BC51-BL50,IF(A51&lt;'Données projet'!$A$88,$BA$205^A51,IF(A51='Données projet'!$A$88,'Données projet'!$B$88,BD50+BC51-BL50)))</f>
        <v>236.59999999999991</v>
      </c>
      <c r="BE51" s="13">
        <f>BD51*VLOOKUP('Données projet'!$B$11,Paramètres!$A$1:$I$89,3,0)*VLOOKUP('Données projet'!$B$11,Paramètres!$A$1:$I$89,5,0)</f>
        <v>199.31183999999993</v>
      </c>
      <c r="BF51" s="13">
        <f t="shared" si="37"/>
        <v>49.592900661217925</v>
      </c>
      <c r="BG51" s="20">
        <f t="shared" si="7"/>
        <v>433.50908998495447</v>
      </c>
      <c r="BH51" s="59">
        <f t="shared" si="8"/>
        <v>726.84242331828773</v>
      </c>
      <c r="BI51" s="59">
        <f ca="1">AVERAGE(OFFSET($BH$3,0,0,'Données projet'!$E$11+1,1))-AVERAGE(OFFSET($H$3,0,0,'Données projet'!$E$11+1,1))</f>
        <v>328.34986205643321</v>
      </c>
      <c r="BJ51" s="59">
        <f t="shared" si="38"/>
        <v>251.60894449147008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250.57528780096658</v>
      </c>
      <c r="T52" s="59">
        <f t="shared" si="34"/>
        <v>277.12386407996132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7.8</v>
      </c>
      <c r="AI52" s="13">
        <f>IF('Données projet'!$A$62&gt;35,AI51+AH52-AQ51,IF(A52&lt;'Données projet'!$A$62,$AF$205^A52,IF(A52='Données projet'!$A$62,'Données projet'!$B$62,AI51+AH52-AQ51)))</f>
        <v>633.19999999999948</v>
      </c>
      <c r="AJ52" s="13">
        <f>AI52*VLOOKUP('Données projet'!$B$10,Paramètres!$A$1:$I$89,3,0)*VLOOKUP('Données projet'!$B$10,Paramètres!$A$1:$I$89,5,0)</f>
        <v>322.02019199999978</v>
      </c>
      <c r="AK52" s="13">
        <f t="shared" si="35"/>
        <v>75.77353981592276</v>
      </c>
      <c r="AL52" s="20">
        <f t="shared" si="4"/>
        <v>692.8240829127318</v>
      </c>
      <c r="AM52" s="59">
        <f t="shared" si="5"/>
        <v>986.15741624606517</v>
      </c>
      <c r="AN52" s="59">
        <f ca="1">AVERAGE(OFFSET($AM$3,0,0,'Données projet'!$E$10+1,1))-AVERAGE(OFFSET($H$3,0,0,'Données projet'!$E$10+1,1))</f>
        <v>373.70967725072484</v>
      </c>
      <c r="AO52" s="59">
        <f t="shared" si="36"/>
        <v>431.87575082696571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</v>
      </c>
      <c r="BD52" s="12">
        <f>IF('Données projet'!$A$88&gt;35,BD51+BC52-BL51,IF(A52&lt;'Données projet'!$A$88,$BA$205^A52,IF(A52='Données projet'!$A$88,'Données projet'!$B$88,BD51+BC52-BL51)))</f>
        <v>247.7999999999999</v>
      </c>
      <c r="BE52" s="13">
        <f>BD52*VLOOKUP('Données projet'!$B$11,Paramètres!$A$1:$I$89,3,0)*VLOOKUP('Données projet'!$B$11,Paramètres!$A$1:$I$89,5,0)</f>
        <v>208.74671999999993</v>
      </c>
      <c r="BF52" s="13">
        <f t="shared" si="37"/>
        <v>51.661617147836218</v>
      </c>
      <c r="BG52" s="20">
        <f t="shared" si="7"/>
        <v>453.54452053248133</v>
      </c>
      <c r="BH52" s="59">
        <f t="shared" si="8"/>
        <v>746.87785386581459</v>
      </c>
      <c r="BI52" s="59">
        <f ca="1">AVERAGE(OFFSET($BH$3,0,0,'Données projet'!$E$11+1,1))-AVERAGE(OFFSET($H$3,0,0,'Données projet'!$E$11+1,1))</f>
        <v>328.34986205643321</v>
      </c>
      <c r="BJ52" s="59">
        <f t="shared" si="38"/>
        <v>251.60894449147008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250.57528780096658</v>
      </c>
      <c r="T53" s="59">
        <f t="shared" si="34"/>
        <v>277.12386407996132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641</v>
      </c>
      <c r="AG53" s="12">
        <f>VLOOKUP(A53,'Données projet'!$A$61:$I$81,9,0)</f>
        <v>7.8</v>
      </c>
      <c r="AH53" s="12">
        <f t="array" ref="AH53">INDEX(AG:AG,MIN(IF(ISNUMBER(AG53:AG249),ROW(AG53:AG249),"")))</f>
        <v>7.8</v>
      </c>
      <c r="AI53" s="13">
        <f>IF('Données projet'!$A$62&gt;35,AI52+AH53-AQ52,IF(A53&lt;'Données projet'!$A$62,$AF$205^A53,IF(A53='Données projet'!$A$62,'Données projet'!$B$62,AI52+AH53-AQ52)))</f>
        <v>640.99999999999943</v>
      </c>
      <c r="AJ53" s="13">
        <f>AI53*VLOOKUP('Données projet'!$B$10,Paramètres!$A$1:$I$89,3,0)*VLOOKUP('Données projet'!$B$10,Paramètres!$A$1:$I$89,5,0)</f>
        <v>325.98695999999973</v>
      </c>
      <c r="AK53" s="13">
        <f t="shared" si="35"/>
        <v>76.597710055948212</v>
      </c>
      <c r="AL53" s="20">
        <f t="shared" si="4"/>
        <v>701.1683003474426</v>
      </c>
      <c r="AM53" s="59">
        <f t="shared" si="5"/>
        <v>994.50163368077597</v>
      </c>
      <c r="AN53" s="59">
        <f ca="1">AVERAGE(OFFSET($AM$3,0,0,'Données projet'!$E$10+1,1))-AVERAGE(OFFSET($H$3,0,0,'Données projet'!$E$10+1,1))</f>
        <v>373.70967725072484</v>
      </c>
      <c r="AO53" s="59">
        <f t="shared" si="36"/>
        <v>431.87575082696571</v>
      </c>
      <c r="AP53" s="15">
        <f>IF(ISNA(VLOOKUP(A53,'Données projet'!$A$61:$I$81,3,0)),0,VLOOKUP(A53,'Données projet'!$A$61:$I$81,3,0))</f>
        <v>10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259</v>
      </c>
      <c r="BB53" s="12">
        <f>VLOOKUP(A53,'Données projet'!$A$87:$I$107,9,0)</f>
        <v>11.2</v>
      </c>
      <c r="BC53" s="12">
        <f t="array" ref="BC53">INDEX(BB:BB,MIN(IF(ISNUMBER(BB53:BB249),ROW(BB53:BB249),"")))</f>
        <v>11.2</v>
      </c>
      <c r="BD53" s="12">
        <f>IF('Données projet'!$A$88&gt;35,BD52+BC53-BL52,IF(A53&lt;'Données projet'!$A$88,$BA$205^A53,IF(A53='Données projet'!$A$88,'Données projet'!$B$88,BD52+BC53-BL52)))</f>
        <v>258.99999999999989</v>
      </c>
      <c r="BE53" s="13">
        <f>BD53*VLOOKUP('Données projet'!$B$11,Paramètres!$A$1:$I$89,3,0)*VLOOKUP('Données projet'!$B$11,Paramètres!$A$1:$I$89,5,0)</f>
        <v>218.18159999999995</v>
      </c>
      <c r="BF53" s="13">
        <f t="shared" si="37"/>
        <v>53.719474757115933</v>
      </c>
      <c r="BG53" s="20">
        <f t="shared" si="7"/>
        <v>473.56103853531016</v>
      </c>
      <c r="BH53" s="59">
        <f t="shared" si="8"/>
        <v>766.89437186864347</v>
      </c>
      <c r="BI53" s="59">
        <f ca="1">AVERAGE(OFFSET($BH$3,0,0,'Données projet'!$E$11+1,1))-AVERAGE(OFFSET($H$3,0,0,'Données projet'!$E$11+1,1))</f>
        <v>328.34986205643321</v>
      </c>
      <c r="BJ53" s="59">
        <f t="shared" si="38"/>
        <v>251.60894449147008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0.36549999999999999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19.06078913430343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19.06078913430343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250.57528780096658</v>
      </c>
      <c r="T54" s="59">
        <f t="shared" si="34"/>
        <v>277.12386407996132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5.8</v>
      </c>
      <c r="AI54" s="13">
        <f>IF('Données projet'!$A$62&gt;35,AI53+AH54-AQ53,IF(A54&lt;'Données projet'!$A$62,$AF$205^A54,IF(A54='Données projet'!$A$62,'Données projet'!$B$62,AI53+AH54-AQ53)))</f>
        <v>646.79999999999939</v>
      </c>
      <c r="AJ54" s="13">
        <f>AI54*VLOOKUP('Données projet'!$B$10,Paramètres!$A$1:$I$89,3,0)*VLOOKUP('Données projet'!$B$10,Paramètres!$A$1:$I$89,5,0)</f>
        <v>328.93660799999969</v>
      </c>
      <c r="AK54" s="13">
        <f t="shared" si="35"/>
        <v>77.209797482390513</v>
      </c>
      <c r="AL54" s="20">
        <f t="shared" si="4"/>
        <v>707.37165621516294</v>
      </c>
      <c r="AM54" s="59">
        <f t="shared" si="5"/>
        <v>1000.7049895484963</v>
      </c>
      <c r="AN54" s="59">
        <f ca="1">AVERAGE(OFFSET($AM$3,0,0,'Données projet'!$E$10+1,1))-AVERAGE(OFFSET($H$3,0,0,'Données projet'!$E$10+1,1))</f>
        <v>373.70967725072484</v>
      </c>
      <c r="AO54" s="59">
        <f t="shared" si="36"/>
        <v>431.87575082696571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212.7999999999999</v>
      </c>
      <c r="BE54" s="13">
        <f>BD54*VLOOKUP('Données projet'!$B$11,Paramètres!$A$1:$I$89,3,0)*VLOOKUP('Données projet'!$B$11,Paramètres!$A$1:$I$89,5,0)</f>
        <v>179.26271999999992</v>
      </c>
      <c r="BF54" s="13">
        <f t="shared" si="37"/>
        <v>45.158115787467111</v>
      </c>
      <c r="BG54" s="20">
        <f t="shared" si="7"/>
        <v>390.86628899650503</v>
      </c>
      <c r="BH54" s="59">
        <f t="shared" si="8"/>
        <v>684.19962232983835</v>
      </c>
      <c r="BI54" s="59">
        <f ca="1">AVERAGE(OFFSET($BH$3,0,0,'Données projet'!$E$11+1,1))-AVERAGE(OFFSET($H$3,0,0,'Données projet'!$E$11+1,1))</f>
        <v>328.34986205643321</v>
      </c>
      <c r="BJ54" s="59">
        <f t="shared" si="38"/>
        <v>251.60894449147008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18.687018685313145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18.687018685313145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250.57528780096658</v>
      </c>
      <c r="T55" s="59">
        <f t="shared" si="34"/>
        <v>277.12386407996132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5.8</v>
      </c>
      <c r="AI55" s="13">
        <f>IF('Données projet'!$A$62&gt;35,AI54+AH55-AQ54,IF(A55&lt;'Données projet'!$A$62,$AF$205^A55,IF(A55='Données projet'!$A$62,'Données projet'!$B$62,AI54+AH55-AQ54)))</f>
        <v>652.59999999999934</v>
      </c>
      <c r="AJ55" s="13">
        <f>AI55*VLOOKUP('Données projet'!$B$10,Paramètres!$A$1:$I$89,3,0)*VLOOKUP('Données projet'!$B$10,Paramètres!$A$1:$I$89,5,0)</f>
        <v>331.88625599999972</v>
      </c>
      <c r="AK55" s="13">
        <f t="shared" si="35"/>
        <v>77.821246345552098</v>
      </c>
      <c r="AL55" s="20">
        <f t="shared" si="4"/>
        <v>713.57389991850266</v>
      </c>
      <c r="AM55" s="59">
        <f t="shared" si="5"/>
        <v>1006.907233251836</v>
      </c>
      <c r="AN55" s="59">
        <f ca="1">AVERAGE(OFFSET($AM$3,0,0,'Données projet'!$E$10+1,1))-AVERAGE(OFFSET($H$3,0,0,'Données projet'!$E$10+1,1))</f>
        <v>373.70967725072484</v>
      </c>
      <c r="AO55" s="59">
        <f t="shared" si="36"/>
        <v>431.87575082696571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222.59999999999991</v>
      </c>
      <c r="BE55" s="13">
        <f>BD55*VLOOKUP('Données projet'!$B$11,Paramètres!$A$1:$I$89,3,0)*VLOOKUP('Données projet'!$B$11,Paramètres!$A$1:$I$89,5,0)</f>
        <v>187.51823999999996</v>
      </c>
      <c r="BF55" s="13">
        <f t="shared" si="37"/>
        <v>46.990851800962481</v>
      </c>
      <c r="BG55" s="20">
        <f t="shared" si="7"/>
        <v>408.43666822000955</v>
      </c>
      <c r="BH55" s="59">
        <f t="shared" si="8"/>
        <v>701.77000155334281</v>
      </c>
      <c r="BI55" s="59">
        <f ca="1">AVERAGE(OFFSET($BH$3,0,0,'Données projet'!$E$11+1,1))-AVERAGE(OFFSET($H$3,0,0,'Données projet'!$E$11+1,1))</f>
        <v>328.34986205643321</v>
      </c>
      <c r="BJ55" s="59">
        <f t="shared" si="38"/>
        <v>251.60894449147008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18.320577646850097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18.320577646850097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250.57528780096658</v>
      </c>
      <c r="T56" s="59">
        <f t="shared" si="34"/>
        <v>277.12386407996132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5.8</v>
      </c>
      <c r="AI56" s="13">
        <f>IF('Données projet'!$A$62&gt;35,AI55+AH56-AQ55,IF(A56&lt;'Données projet'!$A$62,$AF$205^A56,IF(A56='Données projet'!$A$62,'Données projet'!$B$62,AI55+AH56-AQ55)))</f>
        <v>658.3999999999993</v>
      </c>
      <c r="AJ56" s="13">
        <f>AI56*VLOOKUP('Données projet'!$B$10,Paramètres!$A$1:$I$89,3,0)*VLOOKUP('Données projet'!$B$10,Paramètres!$A$1:$I$89,5,0)</f>
        <v>334.83590399999969</v>
      </c>
      <c r="AK56" s="13">
        <f t="shared" si="35"/>
        <v>78.432062978171473</v>
      </c>
      <c r="AL56" s="20">
        <f t="shared" si="4"/>
        <v>719.77504248698142</v>
      </c>
      <c r="AM56" s="59">
        <f t="shared" si="5"/>
        <v>1013.1083758203147</v>
      </c>
      <c r="AN56" s="59">
        <f ca="1">AVERAGE(OFFSET($AM$3,0,0,'Données projet'!$E$10+1,1))-AVERAGE(OFFSET($H$3,0,0,'Données projet'!$E$10+1,1))</f>
        <v>373.70967725072484</v>
      </c>
      <c r="AO56" s="59">
        <f t="shared" si="36"/>
        <v>431.87575082696571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232.39999999999992</v>
      </c>
      <c r="BE56" s="13">
        <f>BD56*VLOOKUP('Données projet'!$B$11,Paramètres!$A$1:$I$89,3,0)*VLOOKUP('Données projet'!$B$11,Paramètres!$A$1:$I$89,5,0)</f>
        <v>195.77375999999995</v>
      </c>
      <c r="BF56" s="13">
        <f t="shared" si="37"/>
        <v>48.814216733702644</v>
      </c>
      <c r="BG56" s="20">
        <f t="shared" si="7"/>
        <v>425.99072614453195</v>
      </c>
      <c r="BH56" s="59">
        <f t="shared" si="8"/>
        <v>719.32405947786526</v>
      </c>
      <c r="BI56" s="59">
        <f ca="1">AVERAGE(OFFSET($BH$3,0,0,'Données projet'!$E$11+1,1))-AVERAGE(OFFSET($H$3,0,0,'Données projet'!$E$11+1,1))</f>
        <v>328.34986205643321</v>
      </c>
      <c r="BJ56" s="59">
        <f t="shared" si="38"/>
        <v>251.60894449147008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17.961322293644347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17.961322293644347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250.57528780096658</v>
      </c>
      <c r="T57" s="59">
        <f t="shared" si="34"/>
        <v>277.12386407996132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5.8</v>
      </c>
      <c r="AI57" s="13">
        <f>IF('Données projet'!$A$62&gt;35,AI56+AH57-AQ56,IF(A57&lt;'Données projet'!$A$62,$AF$205^A57,IF(A57='Données projet'!$A$62,'Données projet'!$B$62,AI56+AH57-AQ56)))</f>
        <v>664.19999999999925</v>
      </c>
      <c r="AJ57" s="13">
        <f>AI57*VLOOKUP('Données projet'!$B$10,Paramètres!$A$1:$I$89,3,0)*VLOOKUP('Données projet'!$B$10,Paramètres!$A$1:$I$89,5,0)</f>
        <v>337.78555199999965</v>
      </c>
      <c r="AK57" s="13">
        <f t="shared" si="35"/>
        <v>79.042253594976287</v>
      </c>
      <c r="AL57" s="20">
        <f t="shared" si="4"/>
        <v>725.97509474458309</v>
      </c>
      <c r="AM57" s="59">
        <f t="shared" si="5"/>
        <v>1019.3084280779165</v>
      </c>
      <c r="AN57" s="59">
        <f ca="1">AVERAGE(OFFSET($AM$3,0,0,'Données projet'!$E$10+1,1))-AVERAGE(OFFSET($H$3,0,0,'Données projet'!$E$10+1,1))</f>
        <v>373.70967725072484</v>
      </c>
      <c r="AO57" s="59">
        <f t="shared" si="36"/>
        <v>431.87575082696571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242.19999999999993</v>
      </c>
      <c r="BE57" s="13">
        <f>BD57*VLOOKUP('Données projet'!$B$11,Paramètres!$A$1:$I$89,3,0)*VLOOKUP('Données projet'!$B$11,Paramètres!$A$1:$I$89,5,0)</f>
        <v>204.02927999999997</v>
      </c>
      <c r="BF57" s="13">
        <f t="shared" si="37"/>
        <v>50.628650934368238</v>
      </c>
      <c r="BG57" s="20">
        <f t="shared" si="7"/>
        <v>443.52922971069125</v>
      </c>
      <c r="BH57" s="59">
        <f t="shared" si="8"/>
        <v>736.86256304402457</v>
      </c>
      <c r="BI57" s="59">
        <f ca="1">AVERAGE(OFFSET($BH$3,0,0,'Données projet'!$E$11+1,1))-AVERAGE(OFFSET($H$3,0,0,'Données projet'!$E$11+1,1))</f>
        <v>328.34986205643321</v>
      </c>
      <c r="BJ57" s="59">
        <f t="shared" si="38"/>
        <v>251.60894449147008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17.609111718790832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17.609111718790832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4.0500000000000114</v>
      </c>
      <c r="N58" s="13">
        <f>IF('Données projet'!$A$36&gt;35,N57+M58-V57,IF(A58&lt;'Données projet'!$A$36,$K$205^A58,IF(A58='Données projet'!$A$36,'Données projet'!$B$36,N57+M58-V57)))</f>
        <v>389.75000000000034</v>
      </c>
      <c r="O58" s="13">
        <f>N58*VLOOKUP('Données projet'!$B$9,Paramètres!$A$1:$I$89,3,0)*VLOOKUP('Données projet'!$B$9,Paramètres!$A$1:$I$89,5,0)</f>
        <v>233.07050000000024</v>
      </c>
      <c r="P58" s="13">
        <f t="shared" si="33"/>
        <v>56.946082123005873</v>
      </c>
      <c r="Q58" s="20">
        <f t="shared" si="53"/>
        <v>505.11221386423563</v>
      </c>
      <c r="R58" s="59">
        <f t="shared" si="0"/>
        <v>798.44554719756889</v>
      </c>
      <c r="S58" s="59">
        <f ca="1">AVERAGE(OFFSET($R$3,0,0,'Données projet'!$E$9+1,1))-AVERAGE(OFFSET($H$3,0,0,'Données projet'!$E$9+1,1))</f>
        <v>250.57528780096658</v>
      </c>
      <c r="T58" s="59">
        <f t="shared" si="34"/>
        <v>277.12386407996132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670</v>
      </c>
      <c r="AG58" s="12">
        <f>VLOOKUP(A58,'Données projet'!$A$61:$I$81,9,0)</f>
        <v>5.8</v>
      </c>
      <c r="AH58" s="12">
        <f t="array" ref="AH58">INDEX(AG:AG,MIN(IF(ISNUMBER(AG58:AG254),ROW(AG58:AG254),"")))</f>
        <v>5.8</v>
      </c>
      <c r="AI58" s="13">
        <f>IF('Données projet'!$A$62&gt;35,AI57+AH58-AQ57,IF(A58&lt;'Données projet'!$A$62,$AF$205^A58,IF(A58='Données projet'!$A$62,'Données projet'!$B$62,AI57+AH58-AQ57)))</f>
        <v>669.9999999999992</v>
      </c>
      <c r="AJ58" s="13">
        <f>AI58*VLOOKUP('Données projet'!$B$10,Paramètres!$A$1:$I$89,3,0)*VLOOKUP('Données projet'!$B$10,Paramètres!$A$1:$I$89,5,0)</f>
        <v>340.73519999999962</v>
      </c>
      <c r="AK58" s="13">
        <f t="shared" si="35"/>
        <v>79.651824295893732</v>
      </c>
      <c r="AL58" s="20">
        <f t="shared" si="4"/>
        <v>732.17406731534754</v>
      </c>
      <c r="AM58" s="59">
        <f t="shared" si="5"/>
        <v>1025.5074006486809</v>
      </c>
      <c r="AN58" s="59">
        <f ca="1">AVERAGE(OFFSET($AM$3,0,0,'Données projet'!$E$10+1,1))-AVERAGE(OFFSET($H$3,0,0,'Données projet'!$E$10+1,1))</f>
        <v>373.70967725072484</v>
      </c>
      <c r="AO58" s="59">
        <f t="shared" si="36"/>
        <v>431.87575082696571</v>
      </c>
      <c r="AP58" s="15">
        <f>IF(ISNA(VLOOKUP(A58,'Données projet'!$A$61:$I$81,3,0)),0,VLOOKUP(A58,'Données projet'!$A$61:$I$81,3,0))</f>
        <v>11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251.99999999999994</v>
      </c>
      <c r="BE58" s="13">
        <f>BD58*VLOOKUP('Données projet'!$B$11,Paramètres!$A$1:$I$89,3,0)*VLOOKUP('Données projet'!$B$11,Paramètres!$A$1:$I$89,5,0)</f>
        <v>212.28479999999999</v>
      </c>
      <c r="BF58" s="13">
        <f t="shared" si="37"/>
        <v>52.434557099704193</v>
      </c>
      <c r="BG58" s="20">
        <f t="shared" si="7"/>
        <v>461.05288028198476</v>
      </c>
      <c r="BH58" s="59">
        <f t="shared" si="8"/>
        <v>754.38621361531807</v>
      </c>
      <c r="BI58" s="59">
        <f ca="1">AVERAGE(OFFSET($BH$3,0,0,'Données projet'!$E$11+1,1))-AVERAGE(OFFSET($H$3,0,0,'Données projet'!$E$11+1,1))</f>
        <v>328.34986205643321</v>
      </c>
      <c r="BJ58" s="59">
        <f t="shared" si="38"/>
        <v>251.60894449147008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17.263807778482956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17.263807778482956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4.0500000000000114</v>
      </c>
      <c r="N59" s="13">
        <f>IF('Données projet'!$A$36&gt;35,N58+M59-V58,IF(A59&lt;'Données projet'!$A$36,$K$205^A59,IF(A59='Données projet'!$A$36,'Données projet'!$B$36,N58+M59-V58)))</f>
        <v>393.80000000000035</v>
      </c>
      <c r="O59" s="13">
        <f>N59*VLOOKUP('Données projet'!$B$9,Paramètres!$A$1:$I$89,3,0)*VLOOKUP('Données projet'!$B$9,Paramètres!$A$1:$I$89,5,0)</f>
        <v>235.49240000000023</v>
      </c>
      <c r="P59" s="13">
        <f t="shared" si="33"/>
        <v>57.468630783289512</v>
      </c>
      <c r="Q59" s="20">
        <f t="shared" si="53"/>
        <v>510.24046194756301</v>
      </c>
      <c r="R59" s="59">
        <f t="shared" si="0"/>
        <v>803.57379528089632</v>
      </c>
      <c r="S59" s="59">
        <f ca="1">AVERAGE(OFFSET($R$3,0,0,'Données projet'!$E$9+1,1))-AVERAGE(OFFSET($H$3,0,0,'Données projet'!$E$9+1,1))</f>
        <v>250.57528780096658</v>
      </c>
      <c r="T59" s="59">
        <f t="shared" si="34"/>
        <v>277.12386407996132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4.4000000000000004</v>
      </c>
      <c r="AI59" s="13">
        <f>IF('Données projet'!$A$62&gt;35,AI58+AH59-AQ58,IF(A59&lt;'Données projet'!$A$62,$AF$205^A59,IF(A59='Données projet'!$A$62,'Données projet'!$B$62,AI58+AH59-AQ58)))</f>
        <v>674.39999999999918</v>
      </c>
      <c r="AJ59" s="13">
        <f>AI59*VLOOKUP('Données projet'!$B$10,Paramètres!$A$1:$I$89,3,0)*VLOOKUP('Données projet'!$B$10,Paramètres!$A$1:$I$89,5,0)</f>
        <v>342.97286399999962</v>
      </c>
      <c r="AK59" s="13">
        <f t="shared" si="35"/>
        <v>80.113847395627261</v>
      </c>
      <c r="AL59" s="20">
        <f t="shared" si="4"/>
        <v>736.87602234738335</v>
      </c>
      <c r="AM59" s="59">
        <f t="shared" si="5"/>
        <v>1030.2093556807167</v>
      </c>
      <c r="AN59" s="59">
        <f ca="1">AVERAGE(OFFSET($AM$3,0,0,'Données projet'!$E$10+1,1))-AVERAGE(OFFSET($H$3,0,0,'Données projet'!$E$10+1,1))</f>
        <v>373.70967725072484</v>
      </c>
      <c r="AO59" s="59">
        <f t="shared" si="36"/>
        <v>431.87575082696571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261.79999999999995</v>
      </c>
      <c r="BE59" s="13">
        <f>BD59*VLOOKUP('Données projet'!$B$11,Paramètres!$A$1:$I$89,3,0)*VLOOKUP('Données projet'!$B$11,Paramètres!$A$1:$I$89,5,0)</f>
        <v>220.54031999999998</v>
      </c>
      <c r="BF59" s="13">
        <f t="shared" si="37"/>
        <v>54.232304832110685</v>
      </c>
      <c r="BG59" s="20">
        <f t="shared" si="7"/>
        <v>478.56232158259263</v>
      </c>
      <c r="BH59" s="59">
        <f t="shared" si="8"/>
        <v>771.89565491592589</v>
      </c>
      <c r="BI59" s="59">
        <f ca="1">AVERAGE(OFFSET($BH$3,0,0,'Données projet'!$E$11+1,1))-AVERAGE(OFFSET($H$3,0,0,'Données projet'!$E$11+1,1))</f>
        <v>328.34986205643321</v>
      </c>
      <c r="BJ59" s="59">
        <f t="shared" si="38"/>
        <v>251.60894449147008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16.925275037829909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16.925275037829909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4.0500000000000114</v>
      </c>
      <c r="N60" s="13">
        <f>IF('Données projet'!$A$36&gt;35,N59+M60-V59,IF(A60&lt;'Données projet'!$A$36,$K$205^A60,IF(A60='Données projet'!$A$36,'Données projet'!$B$36,N59+M60-V59)))</f>
        <v>397.85000000000036</v>
      </c>
      <c r="O60" s="13">
        <f>N60*VLOOKUP('Données projet'!$B$9,Paramètres!$A$1:$I$89,3,0)*VLOOKUP('Données projet'!$B$9,Paramètres!$A$1:$I$89,5,0)</f>
        <v>237.91430000000022</v>
      </c>
      <c r="P60" s="13">
        <f t="shared" si="33"/>
        <v>57.990554260508603</v>
      </c>
      <c r="Q60" s="20">
        <f t="shared" si="53"/>
        <v>515.3676211703862</v>
      </c>
      <c r="R60" s="59">
        <f t="shared" si="0"/>
        <v>808.70095450371946</v>
      </c>
      <c r="S60" s="59">
        <f ca="1">AVERAGE(OFFSET($R$3,0,0,'Données projet'!$E$9+1,1))-AVERAGE(OFFSET($H$3,0,0,'Données projet'!$E$9+1,1))</f>
        <v>250.57528780096658</v>
      </c>
      <c r="T60" s="59">
        <f t="shared" si="34"/>
        <v>277.12386407996132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4.4000000000000004</v>
      </c>
      <c r="AI60" s="13">
        <f>IF('Données projet'!$A$62&gt;35,AI59+AH60-AQ59,IF(A60&lt;'Données projet'!$A$62,$AF$205^A60,IF(A60='Données projet'!$A$62,'Données projet'!$B$62,AI59+AH60-AQ59)))</f>
        <v>678.79999999999916</v>
      </c>
      <c r="AJ60" s="13">
        <f>AI60*VLOOKUP('Données projet'!$B$10,Paramètres!$A$1:$I$89,3,0)*VLOOKUP('Données projet'!$B$10,Paramètres!$A$1:$I$89,5,0)</f>
        <v>345.21052799999956</v>
      </c>
      <c r="AK60" s="13">
        <f t="shared" si="35"/>
        <v>80.575519751445157</v>
      </c>
      <c r="AL60" s="20">
        <f t="shared" si="4"/>
        <v>741.57736650043273</v>
      </c>
      <c r="AM60" s="59">
        <f t="shared" si="5"/>
        <v>1034.9106998337661</v>
      </c>
      <c r="AN60" s="59">
        <f ca="1">AVERAGE(OFFSET($AM$3,0,0,'Données projet'!$E$10+1,1))-AVERAGE(OFFSET($H$3,0,0,'Données projet'!$E$10+1,1))</f>
        <v>373.70967725072484</v>
      </c>
      <c r="AO60" s="59">
        <f t="shared" si="36"/>
        <v>431.87575082696571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271.59999999999997</v>
      </c>
      <c r="BE60" s="13">
        <f>BD60*VLOOKUP('Données projet'!$B$11,Paramètres!$A$1:$I$89,3,0)*VLOOKUP('Données projet'!$B$11,Paramètres!$A$1:$I$89,5,0)</f>
        <v>228.79584</v>
      </c>
      <c r="BF60" s="13">
        <f t="shared" si="37"/>
        <v>56.022234495627458</v>
      </c>
      <c r="BG60" s="20">
        <f t="shared" si="7"/>
        <v>496.0581464132178</v>
      </c>
      <c r="BH60" s="59">
        <f t="shared" si="8"/>
        <v>789.39147974655111</v>
      </c>
      <c r="BI60" s="59">
        <f ca="1">AVERAGE(OFFSET($BH$3,0,0,'Données projet'!$E$11+1,1))-AVERAGE(OFFSET($H$3,0,0,'Données projet'!$E$11+1,1))</f>
        <v>328.34986205643321</v>
      </c>
      <c r="BJ60" s="59">
        <f t="shared" si="38"/>
        <v>251.60894449147008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16.593380717736487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16.593380717736487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4.0500000000000114</v>
      </c>
      <c r="N61" s="13">
        <f>IF('Données projet'!$A$36&gt;35,N60+M61-V60,IF(A61&lt;'Données projet'!$A$36,$K$205^A61,IF(A61='Données projet'!$A$36,'Données projet'!$B$36,N60+M61-V60)))</f>
        <v>401.90000000000038</v>
      </c>
      <c r="O61" s="13">
        <f>N61*VLOOKUP('Données projet'!$B$9,Paramètres!$A$1:$I$89,3,0)*VLOOKUP('Données projet'!$B$9,Paramètres!$A$1:$I$89,5,0)</f>
        <v>240.33620000000025</v>
      </c>
      <c r="P61" s="13">
        <f t="shared" si="33"/>
        <v>58.511859655678975</v>
      </c>
      <c r="Q61" s="20">
        <f t="shared" si="53"/>
        <v>520.49370390030799</v>
      </c>
      <c r="R61" s="59">
        <f t="shared" si="0"/>
        <v>813.82703723364125</v>
      </c>
      <c r="S61" s="59">
        <f ca="1">AVERAGE(OFFSET($R$3,0,0,'Données projet'!$E$9+1,1))-AVERAGE(OFFSET($H$3,0,0,'Données projet'!$E$9+1,1))</f>
        <v>250.57528780096658</v>
      </c>
      <c r="T61" s="59">
        <f t="shared" si="34"/>
        <v>277.12386407996132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4.4000000000000004</v>
      </c>
      <c r="AI61" s="13">
        <f>IF('Données projet'!$A$62&gt;35,AI60+AH61-AQ60,IF(A61&lt;'Données projet'!$A$62,$AF$205^A61,IF(A61='Données projet'!$A$62,'Données projet'!$B$62,AI60+AH61-AQ60)))</f>
        <v>683.19999999999914</v>
      </c>
      <c r="AJ61" s="13">
        <f>AI61*VLOOKUP('Données projet'!$B$10,Paramètres!$A$1:$I$89,3,0)*VLOOKUP('Données projet'!$B$10,Paramètres!$A$1:$I$89,5,0)</f>
        <v>347.44819199999961</v>
      </c>
      <c r="AK61" s="13">
        <f t="shared" si="35"/>
        <v>81.036843900596395</v>
      </c>
      <c r="AL61" s="20">
        <f t="shared" si="4"/>
        <v>746.27810419353807</v>
      </c>
      <c r="AM61" s="59">
        <f t="shared" si="5"/>
        <v>1039.6114375268714</v>
      </c>
      <c r="AN61" s="59">
        <f ca="1">AVERAGE(OFFSET($AM$3,0,0,'Données projet'!$E$10+1,1))-AVERAGE(OFFSET($H$3,0,0,'Données projet'!$E$10+1,1))</f>
        <v>373.70967725072484</v>
      </c>
      <c r="AO61" s="59">
        <f t="shared" si="36"/>
        <v>431.87575082696571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281.39999999999998</v>
      </c>
      <c r="BE61" s="13">
        <f>BD61*VLOOKUP('Données projet'!$B$11,Paramètres!$A$1:$I$89,3,0)*VLOOKUP('Données projet'!$B$11,Paramètres!$A$1:$I$89,5,0)</f>
        <v>237.05135999999999</v>
      </c>
      <c r="BF61" s="13">
        <f t="shared" si="37"/>
        <v>57.804660499743029</v>
      </c>
      <c r="BG61" s="20">
        <f t="shared" si="7"/>
        <v>513.54090237038565</v>
      </c>
      <c r="BH61" s="59">
        <f t="shared" si="8"/>
        <v>806.87423570371902</v>
      </c>
      <c r="BI61" s="59">
        <f ca="1">AVERAGE(OFFSET($BH$3,0,0,'Données projet'!$E$11+1,1))-AVERAGE(OFFSET($H$3,0,0,'Données projet'!$E$11+1,1))</f>
        <v>328.34986205643321</v>
      </c>
      <c r="BJ61" s="59">
        <f t="shared" si="38"/>
        <v>251.60894449147008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16.267994642824551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16.267994642824551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4.0500000000000114</v>
      </c>
      <c r="N62" s="13">
        <f>IF('Données projet'!$A$36&gt;35,N61+M62-V61,IF(A62&lt;'Données projet'!$A$36,$K$205^A62,IF(A62='Données projet'!$A$36,'Données projet'!$B$36,N61+M62-V61)))</f>
        <v>405.95000000000039</v>
      </c>
      <c r="O62" s="13">
        <f>N62*VLOOKUP('Données projet'!$B$9,Paramètres!$A$1:$I$89,3,0)*VLOOKUP('Données projet'!$B$9,Paramètres!$A$1:$I$89,5,0)</f>
        <v>242.75810000000027</v>
      </c>
      <c r="P62" s="13">
        <f t="shared" si="33"/>
        <v>59.032553918452734</v>
      </c>
      <c r="Q62" s="20">
        <f t="shared" si="53"/>
        <v>525.61872224130559</v>
      </c>
      <c r="R62" s="59">
        <f t="shared" si="0"/>
        <v>818.95205557463896</v>
      </c>
      <c r="S62" s="59">
        <f ca="1">AVERAGE(OFFSET($R$3,0,0,'Données projet'!$E$9+1,1))-AVERAGE(OFFSET($H$3,0,0,'Données projet'!$E$9+1,1))</f>
        <v>250.57528780096658</v>
      </c>
      <c r="T62" s="59">
        <f t="shared" si="34"/>
        <v>277.12386407996132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4.4000000000000004</v>
      </c>
      <c r="AI62" s="13">
        <f>IF('Données projet'!$A$62&gt;35,AI61+AH62-AQ61,IF(A62&lt;'Données projet'!$A$62,$AF$205^A62,IF(A62='Données projet'!$A$62,'Données projet'!$B$62,AI61+AH62-AQ61)))</f>
        <v>687.59999999999911</v>
      </c>
      <c r="AJ62" s="13">
        <f>AI62*VLOOKUP('Données projet'!$B$10,Paramètres!$A$1:$I$89,3,0)*VLOOKUP('Données projet'!$B$10,Paramètres!$A$1:$I$89,5,0)</f>
        <v>349.68585599999955</v>
      </c>
      <c r="AK62" s="13">
        <f t="shared" si="35"/>
        <v>81.497822345758991</v>
      </c>
      <c r="AL62" s="20">
        <f t="shared" si="4"/>
        <v>750.97823978552935</v>
      </c>
      <c r="AM62" s="59">
        <f t="shared" si="5"/>
        <v>1044.3115731188627</v>
      </c>
      <c r="AN62" s="59">
        <f ca="1">AVERAGE(OFFSET($AM$3,0,0,'Données projet'!$E$10+1,1))-AVERAGE(OFFSET($H$3,0,0,'Données projet'!$E$10+1,1))</f>
        <v>373.70967725072484</v>
      </c>
      <c r="AO62" s="59">
        <f t="shared" si="36"/>
        <v>431.87575082696571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291.2</v>
      </c>
      <c r="BE62" s="13">
        <f>BD62*VLOOKUP('Données projet'!$B$11,Paramètres!$A$1:$I$89,3,0)*VLOOKUP('Données projet'!$B$11,Paramètres!$A$1:$I$89,5,0)</f>
        <v>245.30688000000001</v>
      </c>
      <c r="BF62" s="13">
        <f t="shared" si="37"/>
        <v>59.579874112906374</v>
      </c>
      <c r="BG62" s="20">
        <f t="shared" si="7"/>
        <v>531.01109674664531</v>
      </c>
      <c r="BH62" s="59">
        <f t="shared" si="8"/>
        <v>824.34443007997857</v>
      </c>
      <c r="BI62" s="59">
        <f ca="1">AVERAGE(OFFSET($BH$3,0,0,'Données projet'!$E$11+1,1))-AVERAGE(OFFSET($H$3,0,0,'Données projet'!$E$11+1,1))</f>
        <v>328.34986205643321</v>
      </c>
      <c r="BJ62" s="59">
        <f t="shared" si="38"/>
        <v>251.60894449147008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15.948989190375729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15.948989190375729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410.00000000000006</v>
      </c>
      <c r="L63" s="12">
        <f>VLOOKUP(A63,'Données projet'!$A$35:$I$55,9,0)</f>
        <v>4.0500000000000114</v>
      </c>
      <c r="M63" s="12">
        <f t="array" ref="M63">INDEX(L:L,MIN(IF(ISNUMBER(L63:L259),ROW(L63:L259),"")))</f>
        <v>4.0500000000000114</v>
      </c>
      <c r="N63" s="13">
        <f>IF('Données projet'!$A$36&gt;35,N62+M63-V62,IF(A63&lt;'Données projet'!$A$36,$K$205^A63,IF(A63='Données projet'!$A$36,'Données projet'!$B$36,N62+M63-V62)))</f>
        <v>410.0000000000004</v>
      </c>
      <c r="O63" s="13">
        <f>N63*VLOOKUP('Données projet'!$B$9,Paramètres!$A$1:$I$89,3,0)*VLOOKUP('Données projet'!$B$9,Paramètres!$A$1:$I$89,5,0)</f>
        <v>245.18000000000026</v>
      </c>
      <c r="P63" s="13">
        <f t="shared" si="33"/>
        <v>59.552643851821543</v>
      </c>
      <c r="Q63" s="20">
        <f t="shared" si="53"/>
        <v>530.74268804192297</v>
      </c>
      <c r="R63" s="59">
        <f t="shared" si="0"/>
        <v>824.07602137525623</v>
      </c>
      <c r="S63" s="59">
        <f ca="1">AVERAGE(OFFSET($R$3,0,0,'Données projet'!$E$9+1,1))-AVERAGE(OFFSET($H$3,0,0,'Données projet'!$E$9+1,1))</f>
        <v>250.57528780096658</v>
      </c>
      <c r="T63" s="59">
        <f t="shared" si="34"/>
        <v>277.12386407996132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410.00000000000006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692</v>
      </c>
      <c r="AG63" s="12">
        <f>VLOOKUP(A63,'Données projet'!$A$61:$I$81,9,0)</f>
        <v>4.4000000000000004</v>
      </c>
      <c r="AH63" s="12">
        <f t="array" ref="AH63">INDEX(AG:AG,MIN(IF(ISNUMBER(AG63:AG259),ROW(AG63:AG259),"")))</f>
        <v>4.4000000000000004</v>
      </c>
      <c r="AI63" s="13">
        <f>IF('Données projet'!$A$62&gt;35,AI62+AH63-AQ62,IF(A63&lt;'Données projet'!$A$62,$AF$205^A63,IF(A63='Données projet'!$A$62,'Données projet'!$B$62,AI62+AH63-AQ62)))</f>
        <v>691.99999999999909</v>
      </c>
      <c r="AJ63" s="13">
        <f>AI63*VLOOKUP('Données projet'!$B$10,Paramètres!$A$1:$I$89,3,0)*VLOOKUP('Données projet'!$B$10,Paramètres!$A$1:$I$89,5,0)</f>
        <v>351.92351999999954</v>
      </c>
      <c r="AK63" s="13">
        <f t="shared" si="35"/>
        <v>81.958457555729083</v>
      </c>
      <c r="AL63" s="20">
        <f t="shared" si="4"/>
        <v>755.67777757622719</v>
      </c>
      <c r="AM63" s="59">
        <f t="shared" si="5"/>
        <v>1049.0111109095606</v>
      </c>
      <c r="AN63" s="59">
        <f ca="1">AVERAGE(OFFSET($AM$3,0,0,'Données projet'!$E$10+1,1))-AVERAGE(OFFSET($H$3,0,0,'Données projet'!$E$10+1,1))</f>
        <v>373.70967725072484</v>
      </c>
      <c r="AO63" s="59">
        <f t="shared" si="36"/>
        <v>431.87575082696571</v>
      </c>
      <c r="AP63" s="15">
        <f>IF(ISNA(VLOOKUP(A63,'Données projet'!$A$61:$I$81,3,0)),0,VLOOKUP(A63,'Données projet'!$A$61:$I$81,3,0))</f>
        <v>12</v>
      </c>
      <c r="AQ63" s="15">
        <f>IF(ISNA(VLOOKUP(A63,'Données projet'!$A$61:$I$81,4,0)),0,VLOOKUP(A63,'Données projet'!$A$61:$I$81,4,0))</f>
        <v>692</v>
      </c>
      <c r="AR63" s="16">
        <f>IF(ISNA(VLOOKUP(A63,'Données projet'!$A$61:$I$81,5,0)),0%,VLOOKUP(A63,'Données projet'!$A$61:$I$81,5,0)*VLOOKUP('Données projet'!$B$10,Paramètres!$A$1:$I$89,7,0))</f>
        <v>0.48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186.73969306606645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66.409862600533529</v>
      </c>
      <c r="AX63" s="21">
        <f t="shared" si="6"/>
        <v>253.14955566659998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301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301</v>
      </c>
      <c r="BE63" s="13">
        <f>BD63*VLOOKUP('Données projet'!$B$11,Paramètres!$A$1:$I$89,3,0)*VLOOKUP('Données projet'!$B$11,Paramètres!$A$1:$I$89,5,0)</f>
        <v>253.56240000000005</v>
      </c>
      <c r="BF63" s="13">
        <f t="shared" si="37"/>
        <v>61.348145886656177</v>
      </c>
      <c r="BG63" s="20">
        <f t="shared" si="7"/>
        <v>548.46920075259288</v>
      </c>
      <c r="BH63" s="59">
        <f t="shared" si="8"/>
        <v>841.80253408592625</v>
      </c>
      <c r="BI63" s="59">
        <f ca="1">AVERAGE(OFFSET($BH$3,0,0,'Données projet'!$E$11+1,1))-AVERAGE(OFFSET($H$3,0,0,'Données projet'!$E$11+1,1))</f>
        <v>328.34986205643321</v>
      </c>
      <c r="BJ63" s="59">
        <f t="shared" si="38"/>
        <v>251.60894449147008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0.36549999999999999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34.697028374578743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34.697028374578743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3.4106051316484809E-13</v>
      </c>
      <c r="O64" s="13">
        <f>N64*VLOOKUP('Données projet'!$B$9,Paramètres!$A$1:$I$89,3,0)*VLOOKUP('Données projet'!$B$9,Paramètres!$A$1:$I$89,5,0)</f>
        <v>2.0395418687257919E-13</v>
      </c>
      <c r="P64" s="13">
        <f t="shared" si="33"/>
        <v>2.8200388570161721E-12</v>
      </c>
      <c r="Q64" s="20">
        <f t="shared" si="53"/>
        <v>5.2667878847729083E-12</v>
      </c>
      <c r="R64" s="59">
        <f t="shared" si="0"/>
        <v>293.3333333333386</v>
      </c>
      <c r="S64" s="59">
        <f ca="1">AVERAGE(OFFSET($R$3,0,0,'Données projet'!$E$9+1,1))-AVERAGE(OFFSET($H$3,0,0,'Données projet'!$E$9+1,1))</f>
        <v>250.57528780096658</v>
      </c>
      <c r="T64" s="59">
        <f t="shared" si="34"/>
        <v>277.12386407996132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-9.0949470177292824E-13</v>
      </c>
      <c r="AJ64" s="13">
        <f>AI64*VLOOKUP('Données projet'!$B$10,Paramètres!$A$1:$I$89,3,0)*VLOOKUP('Données projet'!$B$10,Paramètres!$A$1:$I$89,5,0)</f>
        <v>-4.625326255336404E-13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373.70967725072484</v>
      </c>
      <c r="AO64" s="59">
        <f t="shared" si="36"/>
        <v>431.87575082696571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183.07784158500698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46.958864182504151</v>
      </c>
      <c r="AX64" s="21">
        <f t="shared" si="6"/>
        <v>230.03670576751114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253.5</v>
      </c>
      <c r="BE64" s="13">
        <f>BD64*VLOOKUP('Données projet'!$B$11,Paramètres!$A$1:$I$89,3,0)*VLOOKUP('Données projet'!$B$11,Paramètres!$A$1:$I$89,5,0)</f>
        <v>213.54840000000004</v>
      </c>
      <c r="BF64" s="13">
        <f t="shared" si="37"/>
        <v>52.710242573823848</v>
      </c>
      <c r="BG64" s="20">
        <f t="shared" si="7"/>
        <v>463.73380248274316</v>
      </c>
      <c r="BH64" s="59">
        <f t="shared" si="8"/>
        <v>757.06713581607642</v>
      </c>
      <c r="BI64" s="59">
        <f ca="1">AVERAGE(OFFSET($BH$3,0,0,'Données projet'!$E$11+1,1))-AVERAGE(OFFSET($H$3,0,0,'Données projet'!$E$11+1,1))</f>
        <v>328.34986205643321</v>
      </c>
      <c r="BJ64" s="59">
        <f t="shared" si="38"/>
        <v>251.60894449147008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34.01664081125088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34.01664081125088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3.4106051316484809E-13</v>
      </c>
      <c r="O65" s="13">
        <f>N65*VLOOKUP('Données projet'!$B$9,Paramètres!$A$1:$I$89,3,0)*VLOOKUP('Données projet'!$B$9,Paramètres!$A$1:$I$89,5,0)</f>
        <v>2.0395418687257919E-13</v>
      </c>
      <c r="P65" s="13">
        <f t="shared" si="33"/>
        <v>2.8200388570161721E-12</v>
      </c>
      <c r="Q65" s="20">
        <f t="shared" si="53"/>
        <v>5.2667878847729083E-12</v>
      </c>
      <c r="R65" s="59">
        <f t="shared" si="0"/>
        <v>293.3333333333386</v>
      </c>
      <c r="S65" s="59">
        <f ca="1">AVERAGE(OFFSET($R$3,0,0,'Données projet'!$E$9+1,1))-AVERAGE(OFFSET($H$3,0,0,'Données projet'!$E$9+1,1))</f>
        <v>250.57528780096658</v>
      </c>
      <c r="T65" s="59">
        <f t="shared" si="34"/>
        <v>277.12386407996132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-9.0949470177292824E-13</v>
      </c>
      <c r="AJ65" s="13">
        <f>AI65*VLOOKUP('Données projet'!$B$10,Paramètres!$A$1:$I$89,3,0)*VLOOKUP('Données projet'!$B$10,Paramètres!$A$1:$I$89,5,0)</f>
        <v>-4.625326255336404E-13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373.70967725072484</v>
      </c>
      <c r="AO65" s="59">
        <f t="shared" si="36"/>
        <v>431.87575082696571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179.48779677798223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33.204931300266772</v>
      </c>
      <c r="AX65" s="21">
        <f t="shared" si="6"/>
        <v>212.69272807824899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262</v>
      </c>
      <c r="BE65" s="13">
        <f>BD65*VLOOKUP('Données projet'!$B$11,Paramètres!$A$1:$I$89,3,0)*VLOOKUP('Données projet'!$B$11,Paramètres!$A$1:$I$89,5,0)</f>
        <v>220.70880000000002</v>
      </c>
      <c r="BF65" s="13">
        <f t="shared" si="37"/>
        <v>54.268911046456566</v>
      </c>
      <c r="BG65" s="20">
        <f t="shared" si="7"/>
        <v>478.91951340591186</v>
      </c>
      <c r="BH65" s="59">
        <f t="shared" si="8"/>
        <v>772.25284673924511</v>
      </c>
      <c r="BI65" s="59">
        <f ca="1">AVERAGE(OFFSET($BH$3,0,0,'Données projet'!$E$11+1,1))-AVERAGE(OFFSET($H$3,0,0,'Données projet'!$E$11+1,1))</f>
        <v>328.34986205643321</v>
      </c>
      <c r="BJ65" s="59">
        <f t="shared" si="38"/>
        <v>251.60894449147008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33.34959523304444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33.34959523304444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3.4106051316484809E-13</v>
      </c>
      <c r="O66" s="13">
        <f>N66*VLOOKUP('Données projet'!$B$9,Paramètres!$A$1:$I$89,3,0)*VLOOKUP('Données projet'!$B$9,Paramètres!$A$1:$I$89,5,0)</f>
        <v>2.0395418687257919E-13</v>
      </c>
      <c r="P66" s="13">
        <f t="shared" si="33"/>
        <v>2.8200388570161721E-12</v>
      </c>
      <c r="Q66" s="20">
        <f t="shared" si="53"/>
        <v>5.2667878847729083E-12</v>
      </c>
      <c r="R66" s="59">
        <f t="shared" si="0"/>
        <v>293.3333333333386</v>
      </c>
      <c r="S66" s="59">
        <f ca="1">AVERAGE(OFFSET($R$3,0,0,'Données projet'!$E$9+1,1))-AVERAGE(OFFSET($H$3,0,0,'Données projet'!$E$9+1,1))</f>
        <v>250.57528780096658</v>
      </c>
      <c r="T66" s="59">
        <f t="shared" si="34"/>
        <v>277.12386407996132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-9.0949470177292824E-13</v>
      </c>
      <c r="AJ66" s="13">
        <f>AI66*VLOOKUP('Données projet'!$B$10,Paramètres!$A$1:$I$89,3,0)*VLOOKUP('Données projet'!$B$10,Paramètres!$A$1:$I$89,5,0)</f>
        <v>-4.625326255336404E-13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373.70967725072484</v>
      </c>
      <c r="AO66" s="59">
        <f t="shared" si="36"/>
        <v>431.87575082696571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175.96815055991209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23.479432091252082</v>
      </c>
      <c r="AX66" s="21">
        <f t="shared" si="6"/>
        <v>199.44758265116417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270.5</v>
      </c>
      <c r="BE66" s="13">
        <f>BD66*VLOOKUP('Données projet'!$B$11,Paramètres!$A$1:$I$89,3,0)*VLOOKUP('Données projet'!$B$11,Paramètres!$A$1:$I$89,5,0)</f>
        <v>227.86920000000003</v>
      </c>
      <c r="BF66" s="13">
        <f t="shared" si="37"/>
        <v>55.82170347430052</v>
      </c>
      <c r="BG66" s="20">
        <f t="shared" si="7"/>
        <v>494.09499021774013</v>
      </c>
      <c r="BH66" s="59">
        <f t="shared" si="8"/>
        <v>787.42832355107339</v>
      </c>
      <c r="BI66" s="59">
        <f ca="1">AVERAGE(OFFSET($BH$3,0,0,'Données projet'!$E$11+1,1))-AVERAGE(OFFSET($H$3,0,0,'Données projet'!$E$11+1,1))</f>
        <v>328.34986205643321</v>
      </c>
      <c r="BJ66" s="59">
        <f t="shared" si="38"/>
        <v>251.60894449147008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32.695630011768998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32.695630011768998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3.4106051316484809E-13</v>
      </c>
      <c r="O67" s="13">
        <f>N67*VLOOKUP('Données projet'!$B$9,Paramètres!$A$1:$I$89,3,0)*VLOOKUP('Données projet'!$B$9,Paramètres!$A$1:$I$89,5,0)</f>
        <v>2.0395418687257919E-13</v>
      </c>
      <c r="P67" s="13">
        <f t="shared" si="33"/>
        <v>2.8200388570161721E-12</v>
      </c>
      <c r="Q67" s="20">
        <f t="shared" ref="Q67:Q98" si="54">(O67+P67)*0.475*44/12</f>
        <v>5.2667878847729083E-12</v>
      </c>
      <c r="R67" s="59">
        <f t="shared" ref="R67:R130" si="55">Q67+(I67+J67)*44/12</f>
        <v>293.3333333333386</v>
      </c>
      <c r="S67" s="59">
        <f ca="1">AVERAGE(OFFSET($R$3,0,0,'Données projet'!$E$9+1,1))-AVERAGE(OFFSET($H$3,0,0,'Données projet'!$E$9+1,1))</f>
        <v>250.57528780096658</v>
      </c>
      <c r="T67" s="59">
        <f t="shared" si="34"/>
        <v>277.12386407996132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-9.0949470177292824E-13</v>
      </c>
      <c r="AJ67" s="13">
        <f>AI67*VLOOKUP('Données projet'!$B$10,Paramètres!$A$1:$I$89,3,0)*VLOOKUP('Données projet'!$B$10,Paramètres!$A$1:$I$89,5,0)</f>
        <v>-4.625326255336404E-13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373.70967725072484</v>
      </c>
      <c r="AO67" s="59">
        <f t="shared" si="36"/>
        <v>431.87575082696571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172.5175224574061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16.602465650133389</v>
      </c>
      <c r="AX67" s="21">
        <f t="shared" si="6"/>
        <v>189.11998810753948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279</v>
      </c>
      <c r="BE67" s="13">
        <f>BD67*VLOOKUP('Données projet'!$B$11,Paramètres!$A$1:$I$89,3,0)*VLOOKUP('Données projet'!$B$11,Paramètres!$A$1:$I$89,5,0)</f>
        <v>235.02960000000002</v>
      </c>
      <c r="BF67" s="13">
        <f t="shared" si="37"/>
        <v>57.368825686861157</v>
      </c>
      <c r="BG67" s="20">
        <f t="shared" si="7"/>
        <v>509.26059140461649</v>
      </c>
      <c r="BH67" s="59">
        <f t="shared" si="8"/>
        <v>802.59392473794981</v>
      </c>
      <c r="BI67" s="59">
        <f ca="1">AVERAGE(OFFSET($BH$3,0,0,'Données projet'!$E$11+1,1))-AVERAGE(OFFSET($H$3,0,0,'Données projet'!$E$11+1,1))</f>
        <v>328.34986205643321</v>
      </c>
      <c r="BJ67" s="59">
        <f t="shared" si="38"/>
        <v>251.60894449147008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32.054488649603371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32.054488649603371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3.4106051316484809E-13</v>
      </c>
      <c r="O68" s="13">
        <f>N68*VLOOKUP('Données projet'!$B$9,Paramètres!$A$1:$I$89,3,0)*VLOOKUP('Données projet'!$B$9,Paramètres!$A$1:$I$89,5,0)</f>
        <v>2.0395418687257919E-13</v>
      </c>
      <c r="P68" s="13">
        <f t="shared" si="33"/>
        <v>2.8200388570161721E-12</v>
      </c>
      <c r="Q68" s="20">
        <f t="shared" si="54"/>
        <v>5.2667878847729083E-12</v>
      </c>
      <c r="R68" s="59">
        <f t="shared" si="55"/>
        <v>293.3333333333386</v>
      </c>
      <c r="S68" s="59">
        <f ca="1">AVERAGE(OFFSET($R$3,0,0,'Données projet'!$E$9+1,1))-AVERAGE(OFFSET($H$3,0,0,'Données projet'!$E$9+1,1))</f>
        <v>250.57528780096658</v>
      </c>
      <c r="T68" s="59">
        <f t="shared" si="34"/>
        <v>277.12386407996132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-9.0949470177292824E-13</v>
      </c>
      <c r="AJ68" s="13">
        <f>AI68*VLOOKUP('Données projet'!$B$10,Paramètres!$A$1:$I$89,3,0)*VLOOKUP('Données projet'!$B$10,Paramètres!$A$1:$I$89,5,0)</f>
        <v>-4.625326255336404E-13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373.70967725072484</v>
      </c>
      <c r="AO68" s="59">
        <f t="shared" si="36"/>
        <v>431.87575082696571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169.13455906731494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11.739716045626043</v>
      </c>
      <c r="AX68" s="21">
        <f t="shared" ref="AX68:AX131" si="60">SUM(AU68:AW68)</f>
        <v>180.87427511294098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287.5</v>
      </c>
      <c r="BE68" s="13">
        <f>BD68*VLOOKUP('Données projet'!$B$11,Paramètres!$A$1:$I$89,3,0)*VLOOKUP('Données projet'!$B$11,Paramètres!$A$1:$I$89,5,0)</f>
        <v>242.19</v>
      </c>
      <c r="BF68" s="13">
        <f t="shared" si="37"/>
        <v>58.910470259429353</v>
      </c>
      <c r="BG68" s="20">
        <f t="shared" ref="BG68:BG131" si="61">(BE68+BF68)*0.475*44/12</f>
        <v>524.41665236850611</v>
      </c>
      <c r="BH68" s="59">
        <f t="shared" ref="BH68:BH131" si="62">BG68+(AY68+AZ68)*44/12</f>
        <v>817.74998570183948</v>
      </c>
      <c r="BI68" s="59">
        <f ca="1">AVERAGE(OFFSET($BH$3,0,0,'Données projet'!$E$11+1,1))-AVERAGE(OFFSET($H$3,0,0,'Données projet'!$E$11+1,1))</f>
        <v>328.34986205643321</v>
      </c>
      <c r="BJ68" s="59">
        <f t="shared" si="38"/>
        <v>251.60894449147008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31.425919678492193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31.425919678492193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3.4106051316484809E-13</v>
      </c>
      <c r="O69" s="13">
        <f>N69*VLOOKUP('Données projet'!$B$9,Paramètres!$A$1:$I$89,3,0)*VLOOKUP('Données projet'!$B$9,Paramètres!$A$1:$I$89,5,0)</f>
        <v>2.0395418687257919E-13</v>
      </c>
      <c r="P69" s="13">
        <f t="shared" ref="P69:P132" si="87">EXP(-1.0587+0.8836*LN(O69)+0.284)</f>
        <v>2.8200388570161721E-12</v>
      </c>
      <c r="Q69" s="20">
        <f t="shared" si="54"/>
        <v>5.2667878847729083E-12</v>
      </c>
      <c r="R69" s="59">
        <f t="shared" si="55"/>
        <v>293.3333333333386</v>
      </c>
      <c r="S69" s="59">
        <f ca="1">AVERAGE(OFFSET($R$3,0,0,'Données projet'!$E$9+1,1))-AVERAGE(OFFSET($H$3,0,0,'Données projet'!$E$9+1,1))</f>
        <v>250.57528780096658</v>
      </c>
      <c r="T69" s="59">
        <f t="shared" ref="T69:T132" si="88">$T$3</f>
        <v>277.12386407996132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-9.0949470177292824E-13</v>
      </c>
      <c r="AJ69" s="13">
        <f>AI69*VLOOKUP('Données projet'!$B$10,Paramètres!$A$1:$I$89,3,0)*VLOOKUP('Données projet'!$B$10,Paramètres!$A$1:$I$89,5,0)</f>
        <v>-4.625326255336404E-13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373.70967725072484</v>
      </c>
      <c r="AO69" s="59">
        <f t="shared" ref="AO69:AO132" si="90">$AO$3</f>
        <v>431.87575082696571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165.81793352589952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8.3012328250666965</v>
      </c>
      <c r="AX69" s="21">
        <f t="shared" si="60"/>
        <v>174.11916635096622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296</v>
      </c>
      <c r="BE69" s="13">
        <f>BD69*VLOOKUP('Données projet'!$B$11,Paramètres!$A$1:$I$89,3,0)*VLOOKUP('Données projet'!$B$11,Paramètres!$A$1:$I$89,5,0)</f>
        <v>249.35040000000001</v>
      </c>
      <c r="BF69" s="13">
        <f t="shared" ref="BF69:BF132" si="91">EXP(-1.0587+0.8836*LN(BE69)+0.284)</f>
        <v>60.446817732908166</v>
      </c>
      <c r="BG69" s="20">
        <f t="shared" si="61"/>
        <v>539.56348755148167</v>
      </c>
      <c r="BH69" s="59">
        <f t="shared" si="62"/>
        <v>832.89682088481504</v>
      </c>
      <c r="BI69" s="59">
        <f ca="1">AVERAGE(OFFSET($BH$3,0,0,'Données projet'!$E$11+1,1))-AVERAGE(OFFSET($H$3,0,0,'Données projet'!$E$11+1,1))</f>
        <v>328.34986205643321</v>
      </c>
      <c r="BJ69" s="59">
        <f t="shared" ref="BJ69:BJ132" si="92">$BJ$3</f>
        <v>251.60894449147008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30.809676561515289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30.809676561515289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3.4106051316484809E-13</v>
      </c>
      <c r="O70" s="13">
        <f>N70*VLOOKUP('Données projet'!$B$9,Paramètres!$A$1:$I$89,3,0)*VLOOKUP('Données projet'!$B$9,Paramètres!$A$1:$I$89,5,0)</f>
        <v>2.0395418687257919E-13</v>
      </c>
      <c r="P70" s="13">
        <f t="shared" si="87"/>
        <v>2.8200388570161721E-12</v>
      </c>
      <c r="Q70" s="20">
        <f t="shared" si="54"/>
        <v>5.2667878847729083E-12</v>
      </c>
      <c r="R70" s="59">
        <f t="shared" si="55"/>
        <v>293.3333333333386</v>
      </c>
      <c r="S70" s="59">
        <f ca="1">AVERAGE(OFFSET($R$3,0,0,'Données projet'!$E$9+1,1))-AVERAGE(OFFSET($H$3,0,0,'Données projet'!$E$9+1,1))</f>
        <v>250.57528780096658</v>
      </c>
      <c r="T70" s="59">
        <f t="shared" si="88"/>
        <v>277.12386407996132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-9.0949470177292824E-13</v>
      </c>
      <c r="AJ70" s="13">
        <f>AI70*VLOOKUP('Données projet'!$B$10,Paramètres!$A$1:$I$89,3,0)*VLOOKUP('Données projet'!$B$10,Paramètres!$A$1:$I$89,5,0)</f>
        <v>-4.625326255336404E-13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373.70967725072484</v>
      </c>
      <c r="AO70" s="59">
        <f t="shared" si="90"/>
        <v>431.87575082696571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162.56634498840944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5.8698580228130224</v>
      </c>
      <c r="AX70" s="21">
        <f t="shared" si="60"/>
        <v>168.43620301122246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304.5</v>
      </c>
      <c r="BE70" s="13">
        <f>BD70*VLOOKUP('Données projet'!$B$11,Paramètres!$A$1:$I$89,3,0)*VLOOKUP('Données projet'!$B$11,Paramètres!$A$1:$I$89,5,0)</f>
        <v>256.51080000000002</v>
      </c>
      <c r="BF70" s="13">
        <f t="shared" si="91"/>
        <v>61.978037689587161</v>
      </c>
      <c r="BG70" s="20">
        <f t="shared" si="61"/>
        <v>554.70139230936422</v>
      </c>
      <c r="BH70" s="59">
        <f t="shared" si="62"/>
        <v>848.03472564269759</v>
      </c>
      <c r="BI70" s="59">
        <f ca="1">AVERAGE(OFFSET($BH$3,0,0,'Données projet'!$E$11+1,1))-AVERAGE(OFFSET($H$3,0,0,'Données projet'!$E$11+1,1))</f>
        <v>328.34986205643321</v>
      </c>
      <c r="BJ70" s="59">
        <f t="shared" si="92"/>
        <v>251.60894449147008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30.205517596191115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30.205517596191115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3.4106051316484809E-13</v>
      </c>
      <c r="O71" s="13">
        <f>N71*VLOOKUP('Données projet'!$B$9,Paramètres!$A$1:$I$89,3,0)*VLOOKUP('Données projet'!$B$9,Paramètres!$A$1:$I$89,5,0)</f>
        <v>2.0395418687257919E-13</v>
      </c>
      <c r="P71" s="13">
        <f t="shared" si="87"/>
        <v>2.8200388570161721E-12</v>
      </c>
      <c r="Q71" s="20">
        <f t="shared" si="54"/>
        <v>5.2667878847729083E-12</v>
      </c>
      <c r="R71" s="59">
        <f t="shared" si="55"/>
        <v>293.3333333333386</v>
      </c>
      <c r="S71" s="59">
        <f ca="1">AVERAGE(OFFSET($R$3,0,0,'Données projet'!$E$9+1,1))-AVERAGE(OFFSET($H$3,0,0,'Données projet'!$E$9+1,1))</f>
        <v>250.57528780096658</v>
      </c>
      <c r="T71" s="59">
        <f t="shared" si="88"/>
        <v>277.12386407996132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-9.0949470177292824E-13</v>
      </c>
      <c r="AJ71" s="13">
        <f>AI71*VLOOKUP('Données projet'!$B$10,Paramètres!$A$1:$I$89,3,0)*VLOOKUP('Données projet'!$B$10,Paramètres!$A$1:$I$89,5,0)</f>
        <v>-4.625326255336404E-13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373.70967725072484</v>
      </c>
      <c r="AO71" s="59">
        <f t="shared" si="90"/>
        <v>431.87575082696571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159.37851811886637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4.1506164125333482</v>
      </c>
      <c r="AX71" s="21">
        <f t="shared" si="60"/>
        <v>163.52913453139971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313</v>
      </c>
      <c r="BE71" s="13">
        <f>BD71*VLOOKUP('Données projet'!$B$11,Paramètres!$A$1:$I$89,3,0)*VLOOKUP('Données projet'!$B$11,Paramètres!$A$1:$I$89,5,0)</f>
        <v>263.6712</v>
      </c>
      <c r="BF71" s="13">
        <f t="shared" si="91"/>
        <v>63.504289705419772</v>
      </c>
      <c r="BG71" s="20">
        <f t="shared" si="61"/>
        <v>569.83064457027274</v>
      </c>
      <c r="BH71" s="59">
        <f t="shared" si="62"/>
        <v>863.16397790360611</v>
      </c>
      <c r="BI71" s="59">
        <f ca="1">AVERAGE(OFFSET($BH$3,0,0,'Données projet'!$E$11+1,1))-AVERAGE(OFFSET($H$3,0,0,'Données projet'!$E$11+1,1))</f>
        <v>328.34986205643321</v>
      </c>
      <c r="BJ71" s="59">
        <f t="shared" si="92"/>
        <v>251.60894449147008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29.613205819676367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29.613205819676367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3.4106051316484809E-13</v>
      </c>
      <c r="O72" s="13">
        <f>N72*VLOOKUP('Données projet'!$B$9,Paramètres!$A$1:$I$89,3,0)*VLOOKUP('Données projet'!$B$9,Paramètres!$A$1:$I$89,5,0)</f>
        <v>2.0395418687257919E-13</v>
      </c>
      <c r="P72" s="13">
        <f t="shared" si="87"/>
        <v>2.8200388570161721E-12</v>
      </c>
      <c r="Q72" s="20">
        <f t="shared" si="54"/>
        <v>5.2667878847729083E-12</v>
      </c>
      <c r="R72" s="59">
        <f t="shared" si="55"/>
        <v>293.3333333333386</v>
      </c>
      <c r="S72" s="59">
        <f ca="1">AVERAGE(OFFSET($R$3,0,0,'Données projet'!$E$9+1,1))-AVERAGE(OFFSET($H$3,0,0,'Données projet'!$E$9+1,1))</f>
        <v>250.57528780096658</v>
      </c>
      <c r="T72" s="59">
        <f t="shared" si="88"/>
        <v>277.12386407996132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-9.0949470177292824E-13</v>
      </c>
      <c r="AJ72" s="13">
        <f>AI72*VLOOKUP('Données projet'!$B$10,Paramètres!$A$1:$I$89,3,0)*VLOOKUP('Données projet'!$B$10,Paramètres!$A$1:$I$89,5,0)</f>
        <v>-4.625326255336404E-13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373.70967725072484</v>
      </c>
      <c r="AO72" s="59">
        <f t="shared" si="90"/>
        <v>431.87575082696571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156.25320258985263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2.9349290114065112</v>
      </c>
      <c r="AX72" s="21">
        <f t="shared" si="60"/>
        <v>159.18813160125916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321.5</v>
      </c>
      <c r="BE72" s="13">
        <f>BD72*VLOOKUP('Données projet'!$B$11,Paramètres!$A$1:$I$89,3,0)*VLOOKUP('Données projet'!$B$11,Paramètres!$A$1:$I$89,5,0)</f>
        <v>270.83160000000004</v>
      </c>
      <c r="BF72" s="13">
        <f t="shared" si="91"/>
        <v>65.025724195950417</v>
      </c>
      <c r="BG72" s="20">
        <f t="shared" si="61"/>
        <v>584.95150630794706</v>
      </c>
      <c r="BH72" s="59">
        <f t="shared" si="62"/>
        <v>878.28483964128031</v>
      </c>
      <c r="BI72" s="59">
        <f ca="1">AVERAGE(OFFSET($BH$3,0,0,'Données projet'!$E$11+1,1))-AVERAGE(OFFSET($H$3,0,0,'Données projet'!$E$11+1,1))</f>
        <v>328.34986205643321</v>
      </c>
      <c r="BJ72" s="59">
        <f t="shared" si="92"/>
        <v>251.60894449147008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29.032508915824561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29.032508915824561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3.4106051316484809E-13</v>
      </c>
      <c r="O73" s="13">
        <f>N73*VLOOKUP('Données projet'!$B$9,Paramètres!$A$1:$I$89,3,0)*VLOOKUP('Données projet'!$B$9,Paramètres!$A$1:$I$89,5,0)</f>
        <v>2.0395418687257919E-13</v>
      </c>
      <c r="P73" s="13">
        <f t="shared" si="87"/>
        <v>2.8200388570161721E-12</v>
      </c>
      <c r="Q73" s="20">
        <f t="shared" si="54"/>
        <v>5.2667878847729083E-12</v>
      </c>
      <c r="R73" s="59">
        <f t="shared" si="55"/>
        <v>293.3333333333386</v>
      </c>
      <c r="S73" s="59">
        <f ca="1">AVERAGE(OFFSET($R$3,0,0,'Données projet'!$E$9+1,1))-AVERAGE(OFFSET($H$3,0,0,'Données projet'!$E$9+1,1))</f>
        <v>250.57528780096658</v>
      </c>
      <c r="T73" s="59">
        <f t="shared" si="88"/>
        <v>277.12386407996132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-9.0949470177292824E-13</v>
      </c>
      <c r="AJ73" s="13">
        <f>AI73*VLOOKUP('Données projet'!$B$10,Paramètres!$A$1:$I$89,3,0)*VLOOKUP('Données projet'!$B$10,Paramètres!$A$1:$I$89,5,0)</f>
        <v>-4.625326255336404E-13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373.70967725072484</v>
      </c>
      <c r="AO73" s="59">
        <f t="shared" si="90"/>
        <v>431.87575082696571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153.1891725921086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2.0753082062666741</v>
      </c>
      <c r="AX73" s="21">
        <f t="shared" si="60"/>
        <v>155.26448079837527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330</v>
      </c>
      <c r="BE73" s="13">
        <f>BD73*VLOOKUP('Données projet'!$B$11,Paramètres!$A$1:$I$89,3,0)*VLOOKUP('Données projet'!$B$11,Paramètres!$A$1:$I$89,5,0)</f>
        <v>277.99200000000002</v>
      </c>
      <c r="BF73" s="13">
        <f t="shared" si="91"/>
        <v>66.542483170264177</v>
      </c>
      <c r="BG73" s="20">
        <f t="shared" si="61"/>
        <v>600.06422485487678</v>
      </c>
      <c r="BH73" s="59">
        <f t="shared" si="62"/>
        <v>893.39755818821004</v>
      </c>
      <c r="BI73" s="59">
        <f ca="1">AVERAGE(OFFSET($BH$3,0,0,'Données projet'!$E$11+1,1))-AVERAGE(OFFSET($H$3,0,0,'Données projet'!$E$11+1,1))</f>
        <v>328.34986205643321</v>
      </c>
      <c r="BJ73" s="59">
        <f t="shared" si="92"/>
        <v>251.60894449147008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56</v>
      </c>
      <c r="BM73" s="16">
        <f>IF(ISNA(VLOOKUP(A73,'Données projet'!$A$87:$I$107,5,0)),0%,VLOOKUP(A73,'Données projet'!$A$87:$I$107,5,0)*VLOOKUP('Données projet'!$B$11,Paramètres!$A$1:$I$89,7,0))</f>
        <v>0.36549999999999999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47.523988258370579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47.523988258370579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3.4106051316484809E-13</v>
      </c>
      <c r="O74" s="13">
        <f>N74*VLOOKUP('Données projet'!$B$9,Paramètres!$A$1:$I$89,3,0)*VLOOKUP('Données projet'!$B$9,Paramètres!$A$1:$I$89,5,0)</f>
        <v>2.0395418687257919E-13</v>
      </c>
      <c r="P74" s="13">
        <f t="shared" si="87"/>
        <v>2.8200388570161721E-12</v>
      </c>
      <c r="Q74" s="20">
        <f t="shared" si="54"/>
        <v>5.2667878847729083E-12</v>
      </c>
      <c r="R74" s="59">
        <f t="shared" si="55"/>
        <v>293.3333333333386</v>
      </c>
      <c r="S74" s="59">
        <f ca="1">AVERAGE(OFFSET($R$3,0,0,'Données projet'!$E$9+1,1))-AVERAGE(OFFSET($H$3,0,0,'Données projet'!$E$9+1,1))</f>
        <v>250.57528780096658</v>
      </c>
      <c r="T74" s="59">
        <f t="shared" si="88"/>
        <v>277.12386407996132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-9.0949470177292824E-13</v>
      </c>
      <c r="AJ74" s="13">
        <f>AI74*VLOOKUP('Données projet'!$B$10,Paramètres!$A$1:$I$89,3,0)*VLOOKUP('Données projet'!$B$10,Paramètres!$A$1:$I$89,5,0)</f>
        <v>-4.625326255336404E-13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373.70967725072484</v>
      </c>
      <c r="AO74" s="59">
        <f t="shared" si="90"/>
        <v>431.87575082696571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150.18522635374657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1.4674645057032556</v>
      </c>
      <c r="AX74" s="21">
        <f t="shared" si="60"/>
        <v>151.65269085944982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281.39999999999998</v>
      </c>
      <c r="BE74" s="13">
        <f>BD74*VLOOKUP('Données projet'!$B$11,Paramètres!$A$1:$I$89,3,0)*VLOOKUP('Données projet'!$B$11,Paramètres!$A$1:$I$89,5,0)</f>
        <v>237.05135999999999</v>
      </c>
      <c r="BF74" s="13">
        <f t="shared" si="91"/>
        <v>57.804660499743029</v>
      </c>
      <c r="BG74" s="20">
        <f t="shared" si="61"/>
        <v>513.54090237038565</v>
      </c>
      <c r="BH74" s="59">
        <f t="shared" si="62"/>
        <v>806.87423570371902</v>
      </c>
      <c r="BI74" s="59">
        <f ca="1">AVERAGE(OFFSET($BH$3,0,0,'Données projet'!$E$11+1,1))-AVERAGE(OFFSET($H$3,0,0,'Données projet'!$E$11+1,1))</f>
        <v>328.34986205643321</v>
      </c>
      <c r="BJ74" s="59">
        <f t="shared" si="92"/>
        <v>251.60894449147008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46.592071835394563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46.592071835394563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3.4106051316484809E-13</v>
      </c>
      <c r="O75" s="13">
        <f>N75*VLOOKUP('Données projet'!$B$9,Paramètres!$A$1:$I$89,3,0)*VLOOKUP('Données projet'!$B$9,Paramètres!$A$1:$I$89,5,0)</f>
        <v>2.0395418687257919E-13</v>
      </c>
      <c r="P75" s="13">
        <f t="shared" si="87"/>
        <v>2.8200388570161721E-12</v>
      </c>
      <c r="Q75" s="20">
        <f t="shared" si="54"/>
        <v>5.2667878847729083E-12</v>
      </c>
      <c r="R75" s="59">
        <f t="shared" si="55"/>
        <v>293.3333333333386</v>
      </c>
      <c r="S75" s="59">
        <f ca="1">AVERAGE(OFFSET($R$3,0,0,'Données projet'!$E$9+1,1))-AVERAGE(OFFSET($H$3,0,0,'Données projet'!$E$9+1,1))</f>
        <v>250.57528780096658</v>
      </c>
      <c r="T75" s="59">
        <f t="shared" si="88"/>
        <v>277.12386407996132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-9.0949470177292824E-13</v>
      </c>
      <c r="AJ75" s="13">
        <f>AI75*VLOOKUP('Données projet'!$B$10,Paramètres!$A$1:$I$89,3,0)*VLOOKUP('Données projet'!$B$10,Paramètres!$A$1:$I$89,5,0)</f>
        <v>-4.625326255336404E-13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373.70967725072484</v>
      </c>
      <c r="AO75" s="59">
        <f t="shared" si="90"/>
        <v>431.87575082696571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147.24018566889254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1.0376541031333371</v>
      </c>
      <c r="AX75" s="21">
        <f t="shared" si="60"/>
        <v>148.27783977202589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288.79999999999995</v>
      </c>
      <c r="BE75" s="13">
        <f>BD75*VLOOKUP('Données projet'!$B$11,Paramètres!$A$1:$I$89,3,0)*VLOOKUP('Données projet'!$B$11,Paramètres!$A$1:$I$89,5,0)</f>
        <v>243.28512000000001</v>
      </c>
      <c r="BF75" s="13">
        <f t="shared" si="91"/>
        <v>59.145779826981617</v>
      </c>
      <c r="BG75" s="20">
        <f t="shared" si="61"/>
        <v>526.73381719865961</v>
      </c>
      <c r="BH75" s="59">
        <f t="shared" si="62"/>
        <v>820.06715053199287</v>
      </c>
      <c r="BI75" s="59">
        <f ca="1">AVERAGE(OFFSET($BH$3,0,0,'Données projet'!$E$11+1,1))-AVERAGE(OFFSET($H$3,0,0,'Données projet'!$E$11+1,1))</f>
        <v>328.34986205643321</v>
      </c>
      <c r="BJ75" s="59">
        <f t="shared" si="92"/>
        <v>251.60894449147008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45.678429725060212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45.678429725060212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3.4106051316484809E-13</v>
      </c>
      <c r="O76" s="13">
        <f>N76*VLOOKUP('Données projet'!$B$9,Paramètres!$A$1:$I$89,3,0)*VLOOKUP('Données projet'!$B$9,Paramètres!$A$1:$I$89,5,0)</f>
        <v>2.0395418687257919E-13</v>
      </c>
      <c r="P76" s="13">
        <f t="shared" si="87"/>
        <v>2.8200388570161721E-12</v>
      </c>
      <c r="Q76" s="20">
        <f t="shared" si="54"/>
        <v>5.2667878847729083E-12</v>
      </c>
      <c r="R76" s="59">
        <f t="shared" si="55"/>
        <v>293.3333333333386</v>
      </c>
      <c r="S76" s="59">
        <f ca="1">AVERAGE(OFFSET($R$3,0,0,'Données projet'!$E$9+1,1))-AVERAGE(OFFSET($H$3,0,0,'Données projet'!$E$9+1,1))</f>
        <v>250.57528780096658</v>
      </c>
      <c r="T76" s="59">
        <f t="shared" si="88"/>
        <v>277.12386407996132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-9.0949470177292824E-13</v>
      </c>
      <c r="AJ76" s="13">
        <f>AI76*VLOOKUP('Données projet'!$B$10,Paramètres!$A$1:$I$89,3,0)*VLOOKUP('Données projet'!$B$10,Paramètres!$A$1:$I$89,5,0)</f>
        <v>-4.625326255336404E-13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373.70967725072484</v>
      </c>
      <c r="AO76" s="59">
        <f t="shared" si="90"/>
        <v>431.87575082696571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144.35289543557104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0.7337322528516278</v>
      </c>
      <c r="AX76" s="21">
        <f t="shared" si="60"/>
        <v>145.08662768842268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296.19999999999993</v>
      </c>
      <c r="BE76" s="13">
        <f>BD76*VLOOKUP('Données projet'!$B$11,Paramètres!$A$1:$I$89,3,0)*VLOOKUP('Données projet'!$B$11,Paramètres!$A$1:$I$89,5,0)</f>
        <v>249.51887999999997</v>
      </c>
      <c r="BF76" s="13">
        <f t="shared" si="91"/>
        <v>60.482904697997853</v>
      </c>
      <c r="BG76" s="20">
        <f t="shared" si="61"/>
        <v>539.91977501567953</v>
      </c>
      <c r="BH76" s="59">
        <f t="shared" si="62"/>
        <v>833.25310834901279</v>
      </c>
      <c r="BI76" s="59">
        <f ca="1">AVERAGE(OFFSET($BH$3,0,0,'Données projet'!$E$11+1,1))-AVERAGE(OFFSET($H$3,0,0,'Données projet'!$E$11+1,1))</f>
        <v>328.34986205643321</v>
      </c>
      <c r="BJ76" s="59">
        <f t="shared" si="92"/>
        <v>251.60894449147008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44.782703579242856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44.782703579242856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3.4106051316484809E-13</v>
      </c>
      <c r="O77" s="13">
        <f>N77*VLOOKUP('Données projet'!$B$9,Paramètres!$A$1:$I$89,3,0)*VLOOKUP('Données projet'!$B$9,Paramètres!$A$1:$I$89,5,0)</f>
        <v>2.0395418687257919E-13</v>
      </c>
      <c r="P77" s="13">
        <f t="shared" si="87"/>
        <v>2.8200388570161721E-12</v>
      </c>
      <c r="Q77" s="20">
        <f t="shared" si="54"/>
        <v>5.2667878847729083E-12</v>
      </c>
      <c r="R77" s="59">
        <f t="shared" si="55"/>
        <v>293.3333333333386</v>
      </c>
      <c r="S77" s="59">
        <f ca="1">AVERAGE(OFFSET($R$3,0,0,'Données projet'!$E$9+1,1))-AVERAGE(OFFSET($H$3,0,0,'Données projet'!$E$9+1,1))</f>
        <v>250.57528780096658</v>
      </c>
      <c r="T77" s="59">
        <f t="shared" si="88"/>
        <v>277.12386407996132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-9.0949470177292824E-13</v>
      </c>
      <c r="AJ77" s="13">
        <f>AI77*VLOOKUP('Données projet'!$B$10,Paramètres!$A$1:$I$89,3,0)*VLOOKUP('Données projet'!$B$10,Paramètres!$A$1:$I$89,5,0)</f>
        <v>-4.625326255336404E-13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373.70967725072484</v>
      </c>
      <c r="AO77" s="59">
        <f t="shared" si="90"/>
        <v>431.87575082696571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141.52222320265184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0.51882705156666853</v>
      </c>
      <c r="AX77" s="21">
        <f t="shared" si="60"/>
        <v>142.0410502542185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303.59999999999991</v>
      </c>
      <c r="BE77" s="13">
        <f>BD77*VLOOKUP('Données projet'!$B$11,Paramètres!$A$1:$I$89,3,0)*VLOOKUP('Données projet'!$B$11,Paramètres!$A$1:$I$89,5,0)</f>
        <v>255.75263999999996</v>
      </c>
      <c r="BF77" s="13">
        <f t="shared" si="91"/>
        <v>61.816146384369418</v>
      </c>
      <c r="BG77" s="20">
        <f t="shared" si="61"/>
        <v>553.09896961944332</v>
      </c>
      <c r="BH77" s="59">
        <f t="shared" si="62"/>
        <v>846.43230295277658</v>
      </c>
      <c r="BI77" s="59">
        <f ca="1">AVERAGE(OFFSET($BH$3,0,0,'Données projet'!$E$11+1,1))-AVERAGE(OFFSET($H$3,0,0,'Données projet'!$E$11+1,1))</f>
        <v>328.34986205643321</v>
      </c>
      <c r="BJ77" s="59">
        <f t="shared" si="92"/>
        <v>251.60894449147008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43.904542076805981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43.904542076805981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3.4106051316484809E-13</v>
      </c>
      <c r="O78" s="13">
        <f>N78*VLOOKUP('Données projet'!$B$9,Paramètres!$A$1:$I$89,3,0)*VLOOKUP('Données projet'!$B$9,Paramètres!$A$1:$I$89,5,0)</f>
        <v>2.0395418687257919E-13</v>
      </c>
      <c r="P78" s="13">
        <f t="shared" si="87"/>
        <v>2.8200388570161721E-12</v>
      </c>
      <c r="Q78" s="20">
        <f t="shared" si="54"/>
        <v>5.2667878847729083E-12</v>
      </c>
      <c r="R78" s="59">
        <f t="shared" si="55"/>
        <v>293.3333333333386</v>
      </c>
      <c r="S78" s="59">
        <f ca="1">AVERAGE(OFFSET($R$3,0,0,'Données projet'!$E$9+1,1))-AVERAGE(OFFSET($H$3,0,0,'Données projet'!$E$9+1,1))</f>
        <v>250.57528780096658</v>
      </c>
      <c r="T78" s="59">
        <f t="shared" si="88"/>
        <v>277.12386407996132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-9.0949470177292824E-13</v>
      </c>
      <c r="AJ78" s="13">
        <f>AI78*VLOOKUP('Données projet'!$B$10,Paramètres!$A$1:$I$89,3,0)*VLOOKUP('Données projet'!$B$10,Paramètres!$A$1:$I$89,5,0)</f>
        <v>-4.625326255336404E-13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373.70967725072484</v>
      </c>
      <c r="AO78" s="59">
        <f t="shared" si="90"/>
        <v>431.87575082696571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138.7470587256806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0.3668661264258139</v>
      </c>
      <c r="AX78" s="21">
        <f t="shared" si="60"/>
        <v>139.11392485210641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310.99999999999989</v>
      </c>
      <c r="BE78" s="13">
        <f>BD78*VLOOKUP('Données projet'!$B$11,Paramètres!$A$1:$I$89,3,0)*VLOOKUP('Données projet'!$B$11,Paramètres!$A$1:$I$89,5,0)</f>
        <v>261.98639999999989</v>
      </c>
      <c r="BF78" s="13">
        <f t="shared" si="91"/>
        <v>63.14561042409737</v>
      </c>
      <c r="BG78" s="20">
        <f t="shared" si="61"/>
        <v>566.27158482196944</v>
      </c>
      <c r="BH78" s="59">
        <f t="shared" si="62"/>
        <v>859.60491815530281</v>
      </c>
      <c r="BI78" s="59">
        <f ca="1">AVERAGE(OFFSET($BH$3,0,0,'Données projet'!$E$11+1,1))-AVERAGE(OFFSET($H$3,0,0,'Données projet'!$E$11+1,1))</f>
        <v>328.34986205643321</v>
      </c>
      <c r="BJ78" s="59">
        <f t="shared" si="92"/>
        <v>251.60894449147008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43.043600785806262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43.043600785806262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3.4106051316484809E-13</v>
      </c>
      <c r="O79" s="13">
        <f>N79*VLOOKUP('Données projet'!$B$9,Paramètres!$A$1:$I$89,3,0)*VLOOKUP('Données projet'!$B$9,Paramètres!$A$1:$I$89,5,0)</f>
        <v>2.0395418687257919E-13</v>
      </c>
      <c r="P79" s="13">
        <f t="shared" si="87"/>
        <v>2.8200388570161721E-12</v>
      </c>
      <c r="Q79" s="20">
        <f t="shared" si="54"/>
        <v>5.2667878847729083E-12</v>
      </c>
      <c r="R79" s="59">
        <f t="shared" si="55"/>
        <v>293.3333333333386</v>
      </c>
      <c r="S79" s="59">
        <f ca="1">AVERAGE(OFFSET($R$3,0,0,'Données projet'!$E$9+1,1))-AVERAGE(OFFSET($H$3,0,0,'Données projet'!$E$9+1,1))</f>
        <v>250.57528780096658</v>
      </c>
      <c r="T79" s="59">
        <f t="shared" si="88"/>
        <v>277.12386407996132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-9.0949470177292824E-13</v>
      </c>
      <c r="AJ79" s="13">
        <f>AI79*VLOOKUP('Données projet'!$B$10,Paramètres!$A$1:$I$89,3,0)*VLOOKUP('Données projet'!$B$10,Paramètres!$A$1:$I$89,5,0)</f>
        <v>-4.625326255336404E-13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373.70967725072484</v>
      </c>
      <c r="AO79" s="59">
        <f t="shared" si="90"/>
        <v>431.87575082696571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136.02631353141956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0.25941352578333426</v>
      </c>
      <c r="AX79" s="21">
        <f t="shared" si="60"/>
        <v>136.28572705720291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318.39999999999986</v>
      </c>
      <c r="BE79" s="13">
        <f>BD79*VLOOKUP('Données projet'!$B$11,Paramètres!$A$1:$I$89,3,0)*VLOOKUP('Données projet'!$B$11,Paramètres!$A$1:$I$89,5,0)</f>
        <v>268.22015999999991</v>
      </c>
      <c r="BF79" s="13">
        <f t="shared" si="91"/>
        <v>64.471397046337671</v>
      </c>
      <c r="BG79" s="20">
        <f t="shared" si="61"/>
        <v>579.43779518903796</v>
      </c>
      <c r="BH79" s="59">
        <f t="shared" si="62"/>
        <v>872.77112852237133</v>
      </c>
      <c r="BI79" s="59">
        <f ca="1">AVERAGE(OFFSET($BH$3,0,0,'Données projet'!$E$11+1,1))-AVERAGE(OFFSET($H$3,0,0,'Données projet'!$E$11+1,1))</f>
        <v>328.34986205643321</v>
      </c>
      <c r="BJ79" s="59">
        <f t="shared" si="92"/>
        <v>251.60894449147008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42.199542028400714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42.199542028400714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3.4106051316484809E-13</v>
      </c>
      <c r="O80" s="13">
        <f>N80*VLOOKUP('Données projet'!$B$9,Paramètres!$A$1:$I$89,3,0)*VLOOKUP('Données projet'!$B$9,Paramètres!$A$1:$I$89,5,0)</f>
        <v>2.0395418687257919E-13</v>
      </c>
      <c r="P80" s="13">
        <f t="shared" si="87"/>
        <v>2.8200388570161721E-12</v>
      </c>
      <c r="Q80" s="20">
        <f t="shared" si="54"/>
        <v>5.2667878847729083E-12</v>
      </c>
      <c r="R80" s="59">
        <f t="shared" si="55"/>
        <v>293.3333333333386</v>
      </c>
      <c r="S80" s="59">
        <f ca="1">AVERAGE(OFFSET($R$3,0,0,'Données projet'!$E$9+1,1))-AVERAGE(OFFSET($H$3,0,0,'Données projet'!$E$9+1,1))</f>
        <v>250.57528780096658</v>
      </c>
      <c r="T80" s="59">
        <f t="shared" si="88"/>
        <v>277.12386407996132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-9.0949470177292824E-13</v>
      </c>
      <c r="AJ80" s="13">
        <f>AI80*VLOOKUP('Données projet'!$B$10,Paramètres!$A$1:$I$89,3,0)*VLOOKUP('Données projet'!$B$10,Paramètres!$A$1:$I$89,5,0)</f>
        <v>-4.625326255336404E-13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373.70967725072484</v>
      </c>
      <c r="AO80" s="59">
        <f t="shared" si="90"/>
        <v>431.87575082696571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133.35892049092729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0.18343306321290695</v>
      </c>
      <c r="AX80" s="21">
        <f t="shared" si="60"/>
        <v>133.54235355414019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325.79999999999984</v>
      </c>
      <c r="BE80" s="13">
        <f>BD80*VLOOKUP('Données projet'!$B$11,Paramètres!$A$1:$I$89,3,0)*VLOOKUP('Données projet'!$B$11,Paramètres!$A$1:$I$89,5,0)</f>
        <v>274.45391999999993</v>
      </c>
      <c r="BF80" s="13">
        <f t="shared" si="91"/>
        <v>65.793601555534096</v>
      </c>
      <c r="BG80" s="20">
        <f t="shared" si="61"/>
        <v>592.59776670922179</v>
      </c>
      <c r="BH80" s="59">
        <f t="shared" si="62"/>
        <v>885.93110004255504</v>
      </c>
      <c r="BI80" s="59">
        <f ca="1">AVERAGE(OFFSET($BH$3,0,0,'Données projet'!$E$11+1,1))-AVERAGE(OFFSET($H$3,0,0,'Données projet'!$E$11+1,1))</f>
        <v>328.34986205643321</v>
      </c>
      <c r="BJ80" s="59">
        <f t="shared" si="92"/>
        <v>251.60894449147008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41.372034748402882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41.372034748402882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3.4106051316484809E-13</v>
      </c>
      <c r="O81" s="13">
        <f>N81*VLOOKUP('Données projet'!$B$9,Paramètres!$A$1:$I$89,3,0)*VLOOKUP('Données projet'!$B$9,Paramètres!$A$1:$I$89,5,0)</f>
        <v>2.0395418687257919E-13</v>
      </c>
      <c r="P81" s="13">
        <f t="shared" si="87"/>
        <v>2.8200388570161721E-12</v>
      </c>
      <c r="Q81" s="20">
        <f t="shared" si="54"/>
        <v>5.2667878847729083E-12</v>
      </c>
      <c r="R81" s="59">
        <f t="shared" si="55"/>
        <v>293.3333333333386</v>
      </c>
      <c r="S81" s="59">
        <f ca="1">AVERAGE(OFFSET($R$3,0,0,'Données projet'!$E$9+1,1))-AVERAGE(OFFSET($H$3,0,0,'Données projet'!$E$9+1,1))</f>
        <v>250.57528780096658</v>
      </c>
      <c r="T81" s="59">
        <f t="shared" si="88"/>
        <v>277.12386407996132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-9.0949470177292824E-13</v>
      </c>
      <c r="AJ81" s="13">
        <f>AI81*VLOOKUP('Données projet'!$B$10,Paramètres!$A$1:$I$89,3,0)*VLOOKUP('Données projet'!$B$10,Paramètres!$A$1:$I$89,5,0)</f>
        <v>-4.625326255336404E-13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373.70967725072484</v>
      </c>
      <c r="AO81" s="59">
        <f t="shared" si="90"/>
        <v>431.87575082696571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130.74383340100997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0.12970676289166713</v>
      </c>
      <c r="AX81" s="21">
        <f t="shared" si="60"/>
        <v>130.87354016390162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333.19999999999982</v>
      </c>
      <c r="BE81" s="13">
        <f>BD81*VLOOKUP('Données projet'!$B$11,Paramètres!$A$1:$I$89,3,0)*VLOOKUP('Données projet'!$B$11,Paramètres!$A$1:$I$89,5,0)</f>
        <v>280.68767999999989</v>
      </c>
      <c r="BF81" s="13">
        <f t="shared" si="91"/>
        <v>67.11231467966806</v>
      </c>
      <c r="BG81" s="20">
        <f t="shared" si="61"/>
        <v>605.75165740042166</v>
      </c>
      <c r="BH81" s="59">
        <f t="shared" si="62"/>
        <v>899.08499073375492</v>
      </c>
      <c r="BI81" s="59">
        <f ca="1">AVERAGE(OFFSET($BH$3,0,0,'Données projet'!$E$11+1,1))-AVERAGE(OFFSET($H$3,0,0,'Données projet'!$E$11+1,1))</f>
        <v>328.34986205643321</v>
      </c>
      <c r="BJ81" s="59">
        <f t="shared" si="92"/>
        <v>251.60894449147008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40.560754381436205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40.560754381436205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3.4106051316484809E-13</v>
      </c>
      <c r="O82" s="13">
        <f>N82*VLOOKUP('Données projet'!$B$9,Paramètres!$A$1:$I$89,3,0)*VLOOKUP('Données projet'!$B$9,Paramètres!$A$1:$I$89,5,0)</f>
        <v>2.0395418687257919E-13</v>
      </c>
      <c r="P82" s="13">
        <f t="shared" si="87"/>
        <v>2.8200388570161721E-12</v>
      </c>
      <c r="Q82" s="20">
        <f t="shared" si="54"/>
        <v>5.2667878847729083E-12</v>
      </c>
      <c r="R82" s="59">
        <f t="shared" si="55"/>
        <v>293.3333333333386</v>
      </c>
      <c r="S82" s="59">
        <f ca="1">AVERAGE(OFFSET($R$3,0,0,'Données projet'!$E$9+1,1))-AVERAGE(OFFSET($H$3,0,0,'Données projet'!$E$9+1,1))</f>
        <v>250.57528780096658</v>
      </c>
      <c r="T82" s="59">
        <f t="shared" si="88"/>
        <v>277.12386407996132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-9.0949470177292824E-13</v>
      </c>
      <c r="AJ82" s="13">
        <f>AI82*VLOOKUP('Données projet'!$B$10,Paramètres!$A$1:$I$89,3,0)*VLOOKUP('Données projet'!$B$10,Paramètres!$A$1:$I$89,5,0)</f>
        <v>-4.625326255336404E-13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373.70967725072484</v>
      </c>
      <c r="AO82" s="59">
        <f t="shared" si="90"/>
        <v>431.87575082696571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128.1800265738803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9.1716531606453475E-2</v>
      </c>
      <c r="AX82" s="21">
        <f t="shared" si="60"/>
        <v>128.27174310548676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340.5999999999998</v>
      </c>
      <c r="BE82" s="13">
        <f>BD82*VLOOKUP('Données projet'!$B$11,Paramètres!$A$1:$I$89,3,0)*VLOOKUP('Données projet'!$B$11,Paramètres!$A$1:$I$89,5,0)</f>
        <v>286.92143999999985</v>
      </c>
      <c r="BF82" s="13">
        <f t="shared" si="91"/>
        <v>68.427622886698884</v>
      </c>
      <c r="BG82" s="20">
        <f t="shared" si="61"/>
        <v>618.89961786100014</v>
      </c>
      <c r="BH82" s="59">
        <f t="shared" si="62"/>
        <v>912.23295119433351</v>
      </c>
      <c r="BI82" s="59">
        <f ca="1">AVERAGE(OFFSET($BH$3,0,0,'Données projet'!$E$11+1,1))-AVERAGE(OFFSET($H$3,0,0,'Données projet'!$E$11+1,1))</f>
        <v>328.34986205643321</v>
      </c>
      <c r="BJ82" s="59">
        <f t="shared" si="92"/>
        <v>251.60894449147008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39.765382727633579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39.765382727633579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3.4106051316484809E-13</v>
      </c>
      <c r="O83" s="13">
        <f>N83*VLOOKUP('Données projet'!$B$9,Paramètres!$A$1:$I$89,3,0)*VLOOKUP('Données projet'!$B$9,Paramètres!$A$1:$I$89,5,0)</f>
        <v>2.0395418687257919E-13</v>
      </c>
      <c r="P83" s="13">
        <f t="shared" si="87"/>
        <v>2.8200388570161721E-12</v>
      </c>
      <c r="Q83" s="20">
        <f t="shared" si="54"/>
        <v>5.2667878847729083E-12</v>
      </c>
      <c r="R83" s="59">
        <f t="shared" si="55"/>
        <v>293.3333333333386</v>
      </c>
      <c r="S83" s="59">
        <f ca="1">AVERAGE(OFFSET($R$3,0,0,'Données projet'!$E$9+1,1))-AVERAGE(OFFSET($H$3,0,0,'Données projet'!$E$9+1,1))</f>
        <v>250.57528780096658</v>
      </c>
      <c r="T83" s="59">
        <f t="shared" si="88"/>
        <v>277.12386407996132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-9.0949470177292824E-13</v>
      </c>
      <c r="AJ83" s="13">
        <f>AI83*VLOOKUP('Données projet'!$B$10,Paramètres!$A$1:$I$89,3,0)*VLOOKUP('Données projet'!$B$10,Paramètres!$A$1:$I$89,5,0)</f>
        <v>-4.625326255336404E-13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373.70967725072484</v>
      </c>
      <c r="AO83" s="59">
        <f t="shared" si="90"/>
        <v>431.87575082696571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125.66649443486287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6.4853381445833566E-2</v>
      </c>
      <c r="AX83" s="21">
        <f t="shared" si="60"/>
        <v>125.7313478163087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348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347.99999999999977</v>
      </c>
      <c r="BE83" s="13">
        <f>BD83*VLOOKUP('Données projet'!$B$11,Paramètres!$A$1:$I$89,3,0)*VLOOKUP('Données projet'!$B$11,Paramètres!$A$1:$I$89,5,0)</f>
        <v>293.15519999999987</v>
      </c>
      <c r="BF83" s="13">
        <f t="shared" si="91"/>
        <v>69.739608672728551</v>
      </c>
      <c r="BG83" s="20">
        <f t="shared" si="61"/>
        <v>632.0417917716685</v>
      </c>
      <c r="BH83" s="59">
        <f t="shared" si="62"/>
        <v>925.37512510500187</v>
      </c>
      <c r="BI83" s="59">
        <f ca="1">AVERAGE(OFFSET($BH$3,0,0,'Données projet'!$E$11+1,1))-AVERAGE(OFFSET($H$3,0,0,'Données projet'!$E$11+1,1))</f>
        <v>328.34986205643321</v>
      </c>
      <c r="BJ83" s="59">
        <f t="shared" si="92"/>
        <v>251.60894449147008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56</v>
      </c>
      <c r="BM83" s="16">
        <f>IF(ISNA(VLOOKUP(A83,'Données projet'!$A$87:$I$107,5,0)),0%,VLOOKUP(A83,'Données projet'!$A$87:$I$107,5,0)*VLOOKUP('Données projet'!$B$11,Paramètres!$A$1:$I$89,7,0))</f>
        <v>0.36549999999999999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58.046396961136651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58.046396961136651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2.0395418687257919E-13</v>
      </c>
      <c r="P84" s="13">
        <f t="shared" si="87"/>
        <v>2.8200388570161721E-12</v>
      </c>
      <c r="Q84" s="20">
        <f t="shared" si="54"/>
        <v>5.2667878847729083E-12</v>
      </c>
      <c r="R84" s="59">
        <f t="shared" si="55"/>
        <v>293.3333333333386</v>
      </c>
      <c r="S84" s="59">
        <f ca="1">AVERAGE(OFFSET($R$3,0,0,'Données projet'!$E$9+1,1))-AVERAGE(OFFSET($H$3,0,0,'Données projet'!$E$9+1,1))</f>
        <v>250.57528780096658</v>
      </c>
      <c r="T84" s="59">
        <f t="shared" si="88"/>
        <v>277.12386407996132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-9.0949470177292824E-13</v>
      </c>
      <c r="AJ84" s="13">
        <f>AI84*VLOOKUP('Données projet'!$B$10,Paramètres!$A$1:$I$89,3,0)*VLOOKUP('Données projet'!$B$10,Paramètres!$A$1:$I$89,5,0)</f>
        <v>-4.625326255336404E-13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373.70967725072484</v>
      </c>
      <c r="AO84" s="59">
        <f t="shared" si="90"/>
        <v>431.87575082696571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123.20225112798835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4.5858265803226737E-2</v>
      </c>
      <c r="AX84" s="21">
        <f t="shared" si="60"/>
        <v>123.24810939379158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298.5999999999998</v>
      </c>
      <c r="BE84" s="13">
        <f>BD84*VLOOKUP('Données projet'!$B$11,Paramètres!$A$1:$I$89,3,0)*VLOOKUP('Données projet'!$B$11,Paramètres!$A$1:$I$89,5,0)</f>
        <v>251.54063999999983</v>
      </c>
      <c r="BF84" s="13">
        <f t="shared" si="91"/>
        <v>60.915727667172014</v>
      </c>
      <c r="BG84" s="20">
        <f t="shared" si="61"/>
        <v>544.19484035365758</v>
      </c>
      <c r="BH84" s="59">
        <f t="shared" si="62"/>
        <v>837.52817368699084</v>
      </c>
      <c r="BI84" s="59">
        <f ca="1">AVERAGE(OFFSET($BH$3,0,0,'Données projet'!$E$11+1,1))-AVERAGE(OFFSET($H$3,0,0,'Données projet'!$E$11+1,1))</f>
        <v>328.34986205643321</v>
      </c>
      <c r="BJ84" s="59">
        <f t="shared" si="92"/>
        <v>251.60894449147008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56.90814252153497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56.90814252153497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2.0395418687257919E-13</v>
      </c>
      <c r="P85" s="13">
        <f t="shared" si="87"/>
        <v>2.8200388570161721E-12</v>
      </c>
      <c r="Q85" s="20">
        <f t="shared" si="54"/>
        <v>5.2667878847729083E-12</v>
      </c>
      <c r="R85" s="59">
        <f t="shared" si="55"/>
        <v>293.3333333333386</v>
      </c>
      <c r="S85" s="59">
        <f ca="1">AVERAGE(OFFSET($R$3,0,0,'Données projet'!$E$9+1,1))-AVERAGE(OFFSET($H$3,0,0,'Données projet'!$E$9+1,1))</f>
        <v>250.57528780096658</v>
      </c>
      <c r="T85" s="59">
        <f t="shared" si="88"/>
        <v>277.12386407996132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-9.0949470177292824E-13</v>
      </c>
      <c r="AJ85" s="13">
        <f>AI85*VLOOKUP('Données projet'!$B$10,Paramètres!$A$1:$I$89,3,0)*VLOOKUP('Données projet'!$B$10,Paramètres!$A$1:$I$89,5,0)</f>
        <v>-4.625326255336404E-13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373.70967725072484</v>
      </c>
      <c r="AO85" s="59">
        <f t="shared" si="90"/>
        <v>431.87575082696571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120.78633012932164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3.2426690722916783E-2</v>
      </c>
      <c r="AX85" s="21">
        <f t="shared" si="60"/>
        <v>120.81875682004456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305.19999999999982</v>
      </c>
      <c r="BE85" s="13">
        <f>BD85*VLOOKUP('Données projet'!$B$11,Paramètres!$A$1:$I$89,3,0)*VLOOKUP('Données projet'!$B$11,Paramètres!$A$1:$I$89,5,0)</f>
        <v>257.10047999999989</v>
      </c>
      <c r="BF85" s="13">
        <f t="shared" si="91"/>
        <v>62.103914639805609</v>
      </c>
      <c r="BG85" s="20">
        <f t="shared" si="61"/>
        <v>555.94765399766129</v>
      </c>
      <c r="BH85" s="59">
        <f t="shared" si="62"/>
        <v>849.28098733099455</v>
      </c>
      <c r="BI85" s="59">
        <f ca="1">AVERAGE(OFFSET($BH$3,0,0,'Données projet'!$E$11+1,1))-AVERAGE(OFFSET($H$3,0,0,'Données projet'!$E$11+1,1))</f>
        <v>328.34986205643321</v>
      </c>
      <c r="BJ85" s="59">
        <f t="shared" si="92"/>
        <v>251.60894449147008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55.792208557227227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55.792208557227227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2.0395418687257919E-13</v>
      </c>
      <c r="P86" s="13">
        <f t="shared" si="87"/>
        <v>2.8200388570161721E-12</v>
      </c>
      <c r="Q86" s="20">
        <f t="shared" si="54"/>
        <v>5.2667878847729083E-12</v>
      </c>
      <c r="R86" s="59">
        <f t="shared" si="55"/>
        <v>293.3333333333386</v>
      </c>
      <c r="S86" s="59">
        <f ca="1">AVERAGE(OFFSET($R$3,0,0,'Données projet'!$E$9+1,1))-AVERAGE(OFFSET($H$3,0,0,'Données projet'!$E$9+1,1))</f>
        <v>250.57528780096658</v>
      </c>
      <c r="T86" s="59">
        <f t="shared" si="88"/>
        <v>277.12386407996132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-9.0949470177292824E-13</v>
      </c>
      <c r="AJ86" s="13">
        <f>AI86*VLOOKUP('Données projet'!$B$10,Paramètres!$A$1:$I$89,3,0)*VLOOKUP('Données projet'!$B$10,Paramètres!$A$1:$I$89,5,0)</f>
        <v>-4.625326255336404E-13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373.70967725072484</v>
      </c>
      <c r="AO86" s="59">
        <f t="shared" si="90"/>
        <v>431.87575082696571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118.41778386787247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2.2929132901613369E-2</v>
      </c>
      <c r="AX86" s="21">
        <f t="shared" si="60"/>
        <v>118.44071300077408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311.79999999999984</v>
      </c>
      <c r="BE86" s="13">
        <f>BD86*VLOOKUP('Données projet'!$B$11,Paramètres!$A$1:$I$89,3,0)*VLOOKUP('Données projet'!$B$11,Paramètres!$A$1:$I$89,5,0)</f>
        <v>262.6603199999999</v>
      </c>
      <c r="BF86" s="13">
        <f t="shared" si="91"/>
        <v>63.289114259938842</v>
      </c>
      <c r="BG86" s="20">
        <f t="shared" si="61"/>
        <v>567.69526466939328</v>
      </c>
      <c r="BH86" s="59">
        <f t="shared" si="62"/>
        <v>861.02859800272654</v>
      </c>
      <c r="BI86" s="59">
        <f ca="1">AVERAGE(OFFSET($BH$3,0,0,'Données projet'!$E$11+1,1))-AVERAGE(OFFSET($H$3,0,0,'Données projet'!$E$11+1,1))</f>
        <v>328.34986205643321</v>
      </c>
      <c r="BJ86" s="59">
        <f t="shared" si="92"/>
        <v>251.60894449147008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54.698157377307048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54.698157377307048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2.0395418687257919E-13</v>
      </c>
      <c r="P87" s="13">
        <f t="shared" si="87"/>
        <v>2.8200388570161721E-12</v>
      </c>
      <c r="Q87" s="20">
        <f t="shared" si="54"/>
        <v>5.2667878847729083E-12</v>
      </c>
      <c r="R87" s="59">
        <f t="shared" si="55"/>
        <v>293.3333333333386</v>
      </c>
      <c r="S87" s="59">
        <f ca="1">AVERAGE(OFFSET($R$3,0,0,'Données projet'!$E$9+1,1))-AVERAGE(OFFSET($H$3,0,0,'Données projet'!$E$9+1,1))</f>
        <v>250.57528780096658</v>
      </c>
      <c r="T87" s="59">
        <f t="shared" si="88"/>
        <v>277.12386407996132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-9.0949470177292824E-13</v>
      </c>
      <c r="AJ87" s="13">
        <f>AI87*VLOOKUP('Données projet'!$B$10,Paramètres!$A$1:$I$89,3,0)*VLOOKUP('Données projet'!$B$10,Paramètres!$A$1:$I$89,5,0)</f>
        <v>-4.625326255336404E-13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373.70967725072484</v>
      </c>
      <c r="AO87" s="59">
        <f t="shared" si="90"/>
        <v>431.87575082696571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116.09568335393976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1.6213345361458392E-2</v>
      </c>
      <c r="AX87" s="21">
        <f t="shared" si="60"/>
        <v>116.11189669930123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318.39999999999986</v>
      </c>
      <c r="BE87" s="13">
        <f>BD87*VLOOKUP('Données projet'!$B$11,Paramètres!$A$1:$I$89,3,0)*VLOOKUP('Données projet'!$B$11,Paramètres!$A$1:$I$89,5,0)</f>
        <v>268.22015999999991</v>
      </c>
      <c r="BF87" s="13">
        <f t="shared" si="91"/>
        <v>64.471397046337671</v>
      </c>
      <c r="BG87" s="20">
        <f t="shared" si="61"/>
        <v>579.43779518903796</v>
      </c>
      <c r="BH87" s="59">
        <f t="shared" si="62"/>
        <v>872.77112852237133</v>
      </c>
      <c r="BI87" s="59">
        <f ca="1">AVERAGE(OFFSET($BH$3,0,0,'Données projet'!$E$11+1,1))-AVERAGE(OFFSET($H$3,0,0,'Données projet'!$E$11+1,1))</f>
        <v>328.34986205643321</v>
      </c>
      <c r="BJ87" s="59">
        <f t="shared" si="92"/>
        <v>251.60894449147008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53.625559873719773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53.625559873719773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2.0395418687257919E-13</v>
      </c>
      <c r="P88" s="13">
        <f t="shared" si="87"/>
        <v>2.8200388570161721E-12</v>
      </c>
      <c r="Q88" s="20">
        <f t="shared" si="54"/>
        <v>5.2667878847729083E-12</v>
      </c>
      <c r="R88" s="59">
        <f t="shared" si="55"/>
        <v>293.3333333333386</v>
      </c>
      <c r="S88" s="59">
        <f ca="1">AVERAGE(OFFSET($R$3,0,0,'Données projet'!$E$9+1,1))-AVERAGE(OFFSET($H$3,0,0,'Données projet'!$E$9+1,1))</f>
        <v>250.57528780096658</v>
      </c>
      <c r="T88" s="59">
        <f t="shared" si="88"/>
        <v>277.12386407996132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-9.0949470177292824E-13</v>
      </c>
      <c r="AJ88" s="13">
        <f>AI88*VLOOKUP('Données projet'!$B$10,Paramètres!$A$1:$I$89,3,0)*VLOOKUP('Données projet'!$B$10,Paramètres!$A$1:$I$89,5,0)</f>
        <v>-4.625326255336404E-13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373.70967725072484</v>
      </c>
      <c r="AO88" s="59">
        <f t="shared" si="90"/>
        <v>431.87575082696571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113.81911781474381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1.1464566450806684E-2</v>
      </c>
      <c r="AX88" s="21">
        <f t="shared" si="60"/>
        <v>113.83058238119462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324.99999999999989</v>
      </c>
      <c r="BE88" s="13">
        <f>BD88*VLOOKUP('Données projet'!$B$11,Paramètres!$A$1:$I$89,3,0)*VLOOKUP('Données projet'!$B$11,Paramètres!$A$1:$I$89,5,0)</f>
        <v>273.77999999999992</v>
      </c>
      <c r="BF88" s="13">
        <f t="shared" si="91"/>
        <v>65.650830427167435</v>
      </c>
      <c r="BG88" s="20">
        <f t="shared" si="61"/>
        <v>591.17536299398307</v>
      </c>
      <c r="BH88" s="59">
        <f t="shared" si="62"/>
        <v>884.50869632731633</v>
      </c>
      <c r="BI88" s="59">
        <f ca="1">AVERAGE(OFFSET($BH$3,0,0,'Données projet'!$E$11+1,1))-AVERAGE(OFFSET($H$3,0,0,'Données projet'!$E$11+1,1))</f>
        <v>328.34986205643321</v>
      </c>
      <c r="BJ88" s="59">
        <f t="shared" si="92"/>
        <v>251.60894449147008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52.573995352957972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52.573995352957972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2.0395418687257919E-13</v>
      </c>
      <c r="P89" s="13">
        <f t="shared" si="87"/>
        <v>2.8200388570161721E-12</v>
      </c>
      <c r="Q89" s="20">
        <f t="shared" si="54"/>
        <v>5.2667878847729083E-12</v>
      </c>
      <c r="R89" s="59">
        <f t="shared" si="55"/>
        <v>293.3333333333386</v>
      </c>
      <c r="S89" s="59">
        <f ca="1">AVERAGE(OFFSET($R$3,0,0,'Données projet'!$E$9+1,1))-AVERAGE(OFFSET($H$3,0,0,'Données projet'!$E$9+1,1))</f>
        <v>250.57528780096658</v>
      </c>
      <c r="T89" s="59">
        <f t="shared" si="88"/>
        <v>277.12386407996132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-9.0949470177292824E-13</v>
      </c>
      <c r="AJ89" s="13">
        <f>AI89*VLOOKUP('Données projet'!$B$10,Paramètres!$A$1:$I$89,3,0)*VLOOKUP('Données projet'!$B$10,Paramètres!$A$1:$I$89,5,0)</f>
        <v>-4.625326255336404E-13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373.70967725072484</v>
      </c>
      <c r="AO89" s="59">
        <f t="shared" si="90"/>
        <v>431.87575082696571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111.58719433720361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8.1066726807291958E-3</v>
      </c>
      <c r="AX89" s="21">
        <f t="shared" si="60"/>
        <v>111.59530100988434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331.59999999999991</v>
      </c>
      <c r="BE89" s="13">
        <f>BD89*VLOOKUP('Données projet'!$B$11,Paramètres!$A$1:$I$89,3,0)*VLOOKUP('Données projet'!$B$11,Paramètres!$A$1:$I$89,5,0)</f>
        <v>279.33983999999998</v>
      </c>
      <c r="BF89" s="13">
        <f t="shared" si="91"/>
        <v>66.827478935410426</v>
      </c>
      <c r="BG89" s="20">
        <f t="shared" si="61"/>
        <v>602.90808047917312</v>
      </c>
      <c r="BH89" s="59">
        <f t="shared" si="62"/>
        <v>896.24141381250638</v>
      </c>
      <c r="BI89" s="59">
        <f ca="1">AVERAGE(OFFSET($BH$3,0,0,'Données projet'!$E$11+1,1))-AVERAGE(OFFSET($H$3,0,0,'Données projet'!$E$11+1,1))</f>
        <v>328.34986205643321</v>
      </c>
      <c r="BJ89" s="59">
        <f t="shared" si="92"/>
        <v>251.60894449147008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51.543051371057281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51.543051371057281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2.0395418687257919E-13</v>
      </c>
      <c r="P90" s="13">
        <f t="shared" si="87"/>
        <v>2.8200388570161721E-12</v>
      </c>
      <c r="Q90" s="20">
        <f t="shared" si="54"/>
        <v>5.2667878847729083E-12</v>
      </c>
      <c r="R90" s="59">
        <f t="shared" si="55"/>
        <v>293.3333333333386</v>
      </c>
      <c r="S90" s="59">
        <f ca="1">AVERAGE(OFFSET($R$3,0,0,'Données projet'!$E$9+1,1))-AVERAGE(OFFSET($H$3,0,0,'Données projet'!$E$9+1,1))</f>
        <v>250.57528780096658</v>
      </c>
      <c r="T90" s="59">
        <f t="shared" si="88"/>
        <v>277.12386407996132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-9.0949470177292824E-13</v>
      </c>
      <c r="AJ90" s="13">
        <f>AI90*VLOOKUP('Données projet'!$B$10,Paramètres!$A$1:$I$89,3,0)*VLOOKUP('Données projet'!$B$10,Paramètres!$A$1:$I$89,5,0)</f>
        <v>-4.625326255336404E-13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373.70967725072484</v>
      </c>
      <c r="AO90" s="59">
        <f t="shared" si="90"/>
        <v>431.87575082696571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109.39903751771908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5.7322832254033422E-3</v>
      </c>
      <c r="AX90" s="21">
        <f t="shared" si="60"/>
        <v>109.40476980094448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338.19999999999993</v>
      </c>
      <c r="BE90" s="13">
        <f>BD90*VLOOKUP('Données projet'!$B$11,Paramètres!$A$1:$I$89,3,0)*VLOOKUP('Données projet'!$B$11,Paramètres!$A$1:$I$89,5,0)</f>
        <v>284.89967999999999</v>
      </c>
      <c r="BF90" s="13">
        <f t="shared" si="91"/>
        <v>68.001404388285337</v>
      </c>
      <c r="BG90" s="20">
        <f t="shared" si="61"/>
        <v>614.63605530959683</v>
      </c>
      <c r="BH90" s="59">
        <f t="shared" si="62"/>
        <v>907.9693886429302</v>
      </c>
      <c r="BI90" s="59">
        <f ca="1">AVERAGE(OFFSET($BH$3,0,0,'Données projet'!$E$11+1,1))-AVERAGE(OFFSET($H$3,0,0,'Données projet'!$E$11+1,1))</f>
        <v>328.34986205643321</v>
      </c>
      <c r="BJ90" s="59">
        <f t="shared" si="92"/>
        <v>251.60894449147008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50.532323571827924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50.532323571827924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2.0395418687257919E-13</v>
      </c>
      <c r="P91" s="13">
        <f t="shared" si="87"/>
        <v>2.8200388570161721E-12</v>
      </c>
      <c r="Q91" s="20">
        <f t="shared" si="54"/>
        <v>5.2667878847729083E-12</v>
      </c>
      <c r="R91" s="59">
        <f t="shared" si="55"/>
        <v>293.3333333333386</v>
      </c>
      <c r="S91" s="59">
        <f ca="1">AVERAGE(OFFSET($R$3,0,0,'Données projet'!$E$9+1,1))-AVERAGE(OFFSET($H$3,0,0,'Données projet'!$E$9+1,1))</f>
        <v>250.57528780096658</v>
      </c>
      <c r="T91" s="59">
        <f t="shared" si="88"/>
        <v>277.12386407996132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-9.0949470177292824E-13</v>
      </c>
      <c r="AJ91" s="13">
        <f>AI91*VLOOKUP('Données projet'!$B$10,Paramètres!$A$1:$I$89,3,0)*VLOOKUP('Données projet'!$B$10,Paramètres!$A$1:$I$89,5,0)</f>
        <v>-4.625326255336404E-13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373.70967725072484</v>
      </c>
      <c r="AO91" s="59">
        <f t="shared" si="90"/>
        <v>431.87575082696571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107.25378911882076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4.0533363403645979E-3</v>
      </c>
      <c r="AX91" s="21">
        <f t="shared" si="60"/>
        <v>107.25784245516112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344.79999999999995</v>
      </c>
      <c r="BE91" s="13">
        <f>BD91*VLOOKUP('Données projet'!$B$11,Paramètres!$A$1:$I$89,3,0)*VLOOKUP('Données projet'!$B$11,Paramètres!$A$1:$I$89,5,0)</f>
        <v>290.45952</v>
      </c>
      <c r="BF91" s="13">
        <f t="shared" si="91"/>
        <v>69.172666052266209</v>
      </c>
      <c r="BG91" s="20">
        <f t="shared" si="61"/>
        <v>626.35939070769689</v>
      </c>
      <c r="BH91" s="59">
        <f t="shared" si="62"/>
        <v>919.69272404103026</v>
      </c>
      <c r="BI91" s="59">
        <f ca="1">AVERAGE(OFFSET($BH$3,0,0,'Données projet'!$E$11+1,1))-AVERAGE(OFFSET($H$3,0,0,'Données projet'!$E$11+1,1))</f>
        <v>328.34986205643321</v>
      </c>
      <c r="BJ91" s="59">
        <f t="shared" si="92"/>
        <v>251.60894449147008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49.541415528258369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49.541415528258369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2.0395418687257919E-13</v>
      </c>
      <c r="P92" s="13">
        <f t="shared" si="87"/>
        <v>2.8200388570161721E-12</v>
      </c>
      <c r="Q92" s="20">
        <f t="shared" si="54"/>
        <v>5.2667878847729083E-12</v>
      </c>
      <c r="R92" s="59">
        <f t="shared" si="55"/>
        <v>293.3333333333386</v>
      </c>
      <c r="S92" s="59">
        <f ca="1">AVERAGE(OFFSET($R$3,0,0,'Données projet'!$E$9+1,1))-AVERAGE(OFFSET($H$3,0,0,'Données projet'!$E$9+1,1))</f>
        <v>250.57528780096658</v>
      </c>
      <c r="T92" s="59">
        <f t="shared" si="88"/>
        <v>277.12386407996132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-9.0949470177292824E-13</v>
      </c>
      <c r="AJ92" s="13">
        <f>AI92*VLOOKUP('Données projet'!$B$10,Paramètres!$A$1:$I$89,3,0)*VLOOKUP('Données projet'!$B$10,Paramètres!$A$1:$I$89,5,0)</f>
        <v>-4.625326255336404E-13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373.70967725072484</v>
      </c>
      <c r="AO92" s="59">
        <f t="shared" si="90"/>
        <v>431.87575082696571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105.15060773255253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2.8661416127016711E-3</v>
      </c>
      <c r="AX92" s="21">
        <f t="shared" si="60"/>
        <v>105.15347387416523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</v>
      </c>
      <c r="BE92" s="13">
        <f>BD92*VLOOKUP('Données projet'!$B$11,Paramètres!$A$1:$I$89,3,0)*VLOOKUP('Données projet'!$B$11,Paramètres!$A$1:$I$89,5,0)</f>
        <v>296.01936000000001</v>
      </c>
      <c r="BF92" s="13">
        <f t="shared" si="91"/>
        <v>70.341320795108345</v>
      </c>
      <c r="BG92" s="20">
        <f t="shared" si="61"/>
        <v>638.07818571814698</v>
      </c>
      <c r="BH92" s="59">
        <f t="shared" si="62"/>
        <v>931.41151905148035</v>
      </c>
      <c r="BI92" s="59">
        <f ca="1">AVERAGE(OFFSET($BH$3,0,0,'Données projet'!$E$11+1,1))-AVERAGE(OFFSET($H$3,0,0,'Données projet'!$E$11+1,1))</f>
        <v>328.34986205643321</v>
      </c>
      <c r="BJ92" s="59">
        <f t="shared" si="92"/>
        <v>251.60894449147008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48.569938587028986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48.569938587028986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2.0395418687257919E-13</v>
      </c>
      <c r="P93" s="13">
        <f t="shared" si="87"/>
        <v>2.8200388570161721E-12</v>
      </c>
      <c r="Q93" s="20">
        <f t="shared" si="54"/>
        <v>5.2667878847729083E-12</v>
      </c>
      <c r="R93" s="59">
        <f t="shared" si="55"/>
        <v>293.3333333333386</v>
      </c>
      <c r="S93" s="59">
        <f ca="1">AVERAGE(OFFSET($R$3,0,0,'Données projet'!$E$9+1,1))-AVERAGE(OFFSET($H$3,0,0,'Données projet'!$E$9+1,1))</f>
        <v>250.57528780096658</v>
      </c>
      <c r="T93" s="59">
        <f t="shared" si="88"/>
        <v>277.12386407996132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-9.0949470177292824E-13</v>
      </c>
      <c r="AJ93" s="13">
        <f>AI93*VLOOKUP('Données projet'!$B$10,Paramètres!$A$1:$I$89,3,0)*VLOOKUP('Données projet'!$B$10,Paramètres!$A$1:$I$89,5,0)</f>
        <v>-4.625326255336404E-13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373.70967725072484</v>
      </c>
      <c r="AO93" s="59">
        <f t="shared" si="90"/>
        <v>431.87575082696571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103.08866845045503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2.0266681701822989E-3</v>
      </c>
      <c r="AX93" s="21">
        <f t="shared" si="60"/>
        <v>103.09069511862522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</v>
      </c>
      <c r="BE93" s="13">
        <f>BD93*VLOOKUP('Données projet'!$B$11,Paramètres!$A$1:$I$89,3,0)*VLOOKUP('Données projet'!$B$11,Paramètres!$A$1:$I$89,5,0)</f>
        <v>301.57920000000007</v>
      </c>
      <c r="BF93" s="13">
        <f t="shared" si="91"/>
        <v>71.507423226130925</v>
      </c>
      <c r="BG93" s="20">
        <f t="shared" si="61"/>
        <v>649.79253545217807</v>
      </c>
      <c r="BH93" s="59">
        <f t="shared" si="62"/>
        <v>943.12586878551133</v>
      </c>
      <c r="BI93" s="59">
        <f ca="1">AVERAGE(OFFSET($BH$3,0,0,'Données projet'!$E$11+1,1))-AVERAGE(OFFSET($H$3,0,0,'Données projet'!$E$11+1,1))</f>
        <v>328.34986205643321</v>
      </c>
      <c r="BJ93" s="59">
        <f t="shared" si="92"/>
        <v>251.60894449147008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0.36549999999999999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66.678300850378122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66.678300850378122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2.0395418687257919E-13</v>
      </c>
      <c r="P94" s="13">
        <f t="shared" si="87"/>
        <v>2.8200388570161721E-12</v>
      </c>
      <c r="Q94" s="20">
        <f t="shared" si="54"/>
        <v>5.2667878847729083E-12</v>
      </c>
      <c r="R94" s="59">
        <f t="shared" si="55"/>
        <v>293.3333333333386</v>
      </c>
      <c r="S94" s="59">
        <f ca="1">AVERAGE(OFFSET($R$3,0,0,'Données projet'!$E$9+1,1))-AVERAGE(OFFSET($H$3,0,0,'Données projet'!$E$9+1,1))</f>
        <v>250.57528780096658</v>
      </c>
      <c r="T94" s="59">
        <f t="shared" si="88"/>
        <v>277.12386407996132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-9.0949470177292824E-13</v>
      </c>
      <c r="AJ94" s="13">
        <f>AI94*VLOOKUP('Données projet'!$B$10,Paramètres!$A$1:$I$89,3,0)*VLOOKUP('Données projet'!$B$10,Paramètres!$A$1:$I$89,5,0)</f>
        <v>-4.625326255336404E-13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373.70967725072484</v>
      </c>
      <c r="AO94" s="59">
        <f t="shared" si="90"/>
        <v>431.87575082696571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101.06716254002069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1.4330708063508355E-3</v>
      </c>
      <c r="AX94" s="21">
        <f t="shared" si="60"/>
        <v>101.06859561082705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5.9</v>
      </c>
      <c r="BD94" s="12">
        <f>IF('Données projet'!$A$88&gt;35,BD93+BC94-BL93,IF(A94&lt;'Données projet'!$A$88,$BA$205^A94,IF(A94='Données projet'!$A$88,'Données projet'!$B$88,BD93+BC94-BL93)))</f>
        <v>307.89999999999998</v>
      </c>
      <c r="BE94" s="13">
        <f>BD94*VLOOKUP('Données projet'!$B$11,Paramètres!$A$1:$I$89,3,0)*VLOOKUP('Données projet'!$B$11,Paramètres!$A$1:$I$89,5,0)</f>
        <v>259.37495999999999</v>
      </c>
      <c r="BF94" s="13">
        <f t="shared" si="91"/>
        <v>62.589126028863561</v>
      </c>
      <c r="BG94" s="20">
        <f t="shared" si="61"/>
        <v>560.7541165002707</v>
      </c>
      <c r="BH94" s="59">
        <f t="shared" si="62"/>
        <v>854.08744983360407</v>
      </c>
      <c r="BI94" s="59">
        <f ca="1">AVERAGE(OFFSET($BH$3,0,0,'Données projet'!$E$11+1,1))-AVERAGE(OFFSET($H$3,0,0,'Données projet'!$E$11+1,1))</f>
        <v>328.34986205643321</v>
      </c>
      <c r="BJ94" s="59">
        <f t="shared" si="92"/>
        <v>251.60894449147008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65.370780040449915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65.370780040449915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2.0395418687257919E-13</v>
      </c>
      <c r="P95" s="13">
        <f t="shared" si="87"/>
        <v>2.8200388570161721E-12</v>
      </c>
      <c r="Q95" s="20">
        <f t="shared" si="54"/>
        <v>5.2667878847729083E-12</v>
      </c>
      <c r="R95" s="59">
        <f t="shared" si="55"/>
        <v>293.3333333333386</v>
      </c>
      <c r="S95" s="59">
        <f ca="1">AVERAGE(OFFSET($R$3,0,0,'Données projet'!$E$9+1,1))-AVERAGE(OFFSET($H$3,0,0,'Données projet'!$E$9+1,1))</f>
        <v>250.57528780096658</v>
      </c>
      <c r="T95" s="59">
        <f t="shared" si="88"/>
        <v>277.12386407996132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-9.0949470177292824E-13</v>
      </c>
      <c r="AJ95" s="13">
        <f>AI95*VLOOKUP('Données projet'!$B$10,Paramètres!$A$1:$I$89,3,0)*VLOOKUP('Données projet'!$B$10,Paramètres!$A$1:$I$89,5,0)</f>
        <v>-4.625326255336404E-13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373.70967725072484</v>
      </c>
      <c r="AO95" s="59">
        <f t="shared" si="90"/>
        <v>431.87575082696571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99.085297127493106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1.0133340850911495E-3</v>
      </c>
      <c r="AX95" s="21">
        <f t="shared" si="60"/>
        <v>99.086310461578194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5.9</v>
      </c>
      <c r="BD95" s="12">
        <f>IF('Données projet'!$A$88&gt;35,BD94+BC95-BL94,IF(A95&lt;'Données projet'!$A$88,$BA$205^A95,IF(A95='Données projet'!$A$88,'Données projet'!$B$88,BD94+BC95-BL94)))</f>
        <v>313.79999999999995</v>
      </c>
      <c r="BE95" s="13">
        <f>BD95*VLOOKUP('Données projet'!$B$11,Paramètres!$A$1:$I$89,3,0)*VLOOKUP('Données projet'!$B$11,Paramètres!$A$1:$I$89,5,0)</f>
        <v>264.34512000000001</v>
      </c>
      <c r="BF95" s="13">
        <f t="shared" si="91"/>
        <v>63.647686641828493</v>
      </c>
      <c r="BG95" s="20">
        <f t="shared" si="61"/>
        <v>571.25413823451788</v>
      </c>
      <c r="BH95" s="59">
        <f t="shared" si="62"/>
        <v>864.58747156785125</v>
      </c>
      <c r="BI95" s="59">
        <f ca="1">AVERAGE(OFFSET($BH$3,0,0,'Données projet'!$E$11+1,1))-AVERAGE(OFFSET($H$3,0,0,'Données projet'!$E$11+1,1))</f>
        <v>328.34986205643321</v>
      </c>
      <c r="BJ95" s="59">
        <f t="shared" si="92"/>
        <v>251.60894449147008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64.088898916095459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64.088898916095459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2.0395418687257919E-13</v>
      </c>
      <c r="P96" s="13">
        <f t="shared" si="87"/>
        <v>2.8200388570161721E-12</v>
      </c>
      <c r="Q96" s="20">
        <f t="shared" si="54"/>
        <v>5.2667878847729083E-12</v>
      </c>
      <c r="R96" s="59">
        <f t="shared" si="55"/>
        <v>293.3333333333386</v>
      </c>
      <c r="S96" s="59">
        <f ca="1">AVERAGE(OFFSET($R$3,0,0,'Données projet'!$E$9+1,1))-AVERAGE(OFFSET($H$3,0,0,'Données projet'!$E$9+1,1))</f>
        <v>250.57528780096658</v>
      </c>
      <c r="T96" s="59">
        <f t="shared" si="88"/>
        <v>277.12386407996132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-9.0949470177292824E-13</v>
      </c>
      <c r="AJ96" s="13">
        <f>AI96*VLOOKUP('Données projet'!$B$10,Paramètres!$A$1:$I$89,3,0)*VLOOKUP('Données projet'!$B$10,Paramètres!$A$1:$I$89,5,0)</f>
        <v>-4.625326255336404E-13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373.70967725072484</v>
      </c>
      <c r="AO96" s="59">
        <f t="shared" si="90"/>
        <v>431.87575082696571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97.142294886886646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7.1653540317541777E-4</v>
      </c>
      <c r="AX96" s="21">
        <f t="shared" si="60"/>
        <v>97.143011422289817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5.9</v>
      </c>
      <c r="BD96" s="12">
        <f>IF('Données projet'!$A$88&gt;35,BD95+BC96-BL95,IF(A96&lt;'Données projet'!$A$88,$BA$205^A96,IF(A96='Données projet'!$A$88,'Données projet'!$B$88,BD95+BC96-BL95)))</f>
        <v>319.69999999999993</v>
      </c>
      <c r="BE96" s="13">
        <f>BD96*VLOOKUP('Données projet'!$B$11,Paramètres!$A$1:$I$89,3,0)*VLOOKUP('Données projet'!$B$11,Paramètres!$A$1:$I$89,5,0)</f>
        <v>269.31527999999997</v>
      </c>
      <c r="BF96" s="13">
        <f t="shared" si="91"/>
        <v>64.703932954620839</v>
      </c>
      <c r="BG96" s="20">
        <f t="shared" si="61"/>
        <v>581.75012922929784</v>
      </c>
      <c r="BH96" s="59">
        <f t="shared" si="62"/>
        <v>875.08346256263121</v>
      </c>
      <c r="BI96" s="59">
        <f ca="1">AVERAGE(OFFSET($BH$3,0,0,'Données projet'!$E$11+1,1))-AVERAGE(OFFSET($H$3,0,0,'Données projet'!$E$11+1,1))</f>
        <v>328.34986205643321</v>
      </c>
      <c r="BJ96" s="59">
        <f t="shared" si="92"/>
        <v>251.60894449147008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62.832154698719314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62.832154698719314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2.0395418687257919E-13</v>
      </c>
      <c r="P97" s="13">
        <f t="shared" si="87"/>
        <v>2.8200388570161721E-12</v>
      </c>
      <c r="Q97" s="20">
        <f t="shared" si="54"/>
        <v>5.2667878847729083E-12</v>
      </c>
      <c r="R97" s="59">
        <f t="shared" si="55"/>
        <v>293.3333333333386</v>
      </c>
      <c r="S97" s="59">
        <f ca="1">AVERAGE(OFFSET($R$3,0,0,'Données projet'!$E$9+1,1))-AVERAGE(OFFSET($H$3,0,0,'Données projet'!$E$9+1,1))</f>
        <v>250.57528780096658</v>
      </c>
      <c r="T97" s="59">
        <f t="shared" si="88"/>
        <v>277.12386407996132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-9.0949470177292824E-13</v>
      </c>
      <c r="AJ97" s="13">
        <f>AI97*VLOOKUP('Données projet'!$B$10,Paramètres!$A$1:$I$89,3,0)*VLOOKUP('Données projet'!$B$10,Paramètres!$A$1:$I$89,5,0)</f>
        <v>-4.625326255336404E-13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373.70967725072484</v>
      </c>
      <c r="AO97" s="59">
        <f t="shared" si="90"/>
        <v>431.87575082696571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95.237393735104135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5.0666704254557474E-4</v>
      </c>
      <c r="AX97" s="21">
        <f t="shared" si="60"/>
        <v>95.237900402146678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5.9</v>
      </c>
      <c r="BD97" s="12">
        <f>IF('Données projet'!$A$88&gt;35,BD96+BC97-BL96,IF(A97&lt;'Données projet'!$A$88,$BA$205^A97,IF(A97='Données projet'!$A$88,'Données projet'!$B$88,BD96+BC97-BL96)))</f>
        <v>325.59999999999991</v>
      </c>
      <c r="BE97" s="13">
        <f>BD97*VLOOKUP('Données projet'!$B$11,Paramètres!$A$1:$I$89,3,0)*VLOOKUP('Données projet'!$B$11,Paramètres!$A$1:$I$89,5,0)</f>
        <v>274.28543999999994</v>
      </c>
      <c r="BF97" s="13">
        <f t="shared" si="91"/>
        <v>65.75791260290552</v>
      </c>
      <c r="BG97" s="20">
        <f t="shared" si="61"/>
        <v>592.24217245006037</v>
      </c>
      <c r="BH97" s="59">
        <f t="shared" si="62"/>
        <v>885.57550578339374</v>
      </c>
      <c r="BI97" s="59">
        <f ca="1">AVERAGE(OFFSET($BH$3,0,0,'Données projet'!$E$11+1,1))-AVERAGE(OFFSET($H$3,0,0,'Données projet'!$E$11+1,1))</f>
        <v>328.34986205643321</v>
      </c>
      <c r="BJ97" s="59">
        <f t="shared" si="92"/>
        <v>251.60894449147008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61.600054468907629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61.600054468907629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2.0395418687257919E-13</v>
      </c>
      <c r="P98" s="13">
        <f t="shared" si="87"/>
        <v>2.8200388570161721E-12</v>
      </c>
      <c r="Q98" s="20">
        <f t="shared" si="54"/>
        <v>5.2667878847729083E-12</v>
      </c>
      <c r="R98" s="59">
        <f t="shared" si="55"/>
        <v>293.3333333333386</v>
      </c>
      <c r="S98" s="59">
        <f ca="1">AVERAGE(OFFSET($R$3,0,0,'Données projet'!$E$9+1,1))-AVERAGE(OFFSET($H$3,0,0,'Données projet'!$E$9+1,1))</f>
        <v>250.57528780096658</v>
      </c>
      <c r="T98" s="59">
        <f t="shared" si="88"/>
        <v>277.12386407996132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-9.0949470177292824E-13</v>
      </c>
      <c r="AJ98" s="13">
        <f>AI98*VLOOKUP('Données projet'!$B$10,Paramètres!$A$1:$I$89,3,0)*VLOOKUP('Données projet'!$B$10,Paramètres!$A$1:$I$89,5,0)</f>
        <v>-4.625326255336404E-13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373.70967725072484</v>
      </c>
      <c r="AO98" s="59">
        <f t="shared" si="90"/>
        <v>431.87575082696571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93.369846533033098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3.5826770158770889E-4</v>
      </c>
      <c r="AX98" s="21">
        <f t="shared" si="60"/>
        <v>93.370204800734683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5.9</v>
      </c>
      <c r="BD98" s="12">
        <f>IF('Données projet'!$A$88&gt;35,BD97+BC98-BL97,IF(A98&lt;'Données projet'!$A$88,$BA$205^A98,IF(A98='Données projet'!$A$88,'Données projet'!$B$88,BD97+BC98-BL97)))</f>
        <v>331.49999999999989</v>
      </c>
      <c r="BE98" s="13">
        <f>BD98*VLOOKUP('Données projet'!$B$11,Paramètres!$A$1:$I$89,3,0)*VLOOKUP('Données projet'!$B$11,Paramètres!$A$1:$I$89,5,0)</f>
        <v>279.25559999999996</v>
      </c>
      <c r="BF98" s="13">
        <f t="shared" si="91"/>
        <v>66.809671397146161</v>
      </c>
      <c r="BG98" s="20">
        <f t="shared" si="61"/>
        <v>602.73034768336277</v>
      </c>
      <c r="BH98" s="59">
        <f t="shared" si="62"/>
        <v>896.06368101669614</v>
      </c>
      <c r="BI98" s="59">
        <f ca="1">AVERAGE(OFFSET($BH$3,0,0,'Données projet'!$E$11+1,1))-AVERAGE(OFFSET($H$3,0,0,'Données projet'!$E$11+1,1))</f>
        <v>328.34986205643321</v>
      </c>
      <c r="BJ98" s="59">
        <f t="shared" si="92"/>
        <v>251.60894449147008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60.392114973095616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60.392114973095616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2.0395418687257919E-13</v>
      </c>
      <c r="P99" s="13">
        <f t="shared" si="87"/>
        <v>2.8200388570161721E-12</v>
      </c>
      <c r="Q99" s="20">
        <f t="shared" ref="Q99:Q130" si="107">(O99+P99)*0.475*44/12</f>
        <v>5.2667878847729083E-12</v>
      </c>
      <c r="R99" s="59">
        <f t="shared" si="55"/>
        <v>293.3333333333386</v>
      </c>
      <c r="S99" s="59">
        <f ca="1">AVERAGE(OFFSET($R$3,0,0,'Données projet'!$E$9+1,1))-AVERAGE(OFFSET($H$3,0,0,'Données projet'!$E$9+1,1))</f>
        <v>250.57528780096658</v>
      </c>
      <c r="T99" s="59">
        <f t="shared" si="88"/>
        <v>277.12386407996132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-9.0949470177292824E-13</v>
      </c>
      <c r="AJ99" s="13">
        <f>AI99*VLOOKUP('Données projet'!$B$10,Paramètres!$A$1:$I$89,3,0)*VLOOKUP('Données projet'!$B$10,Paramètres!$A$1:$I$89,5,0)</f>
        <v>-4.625326255336404E-13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373.70967725072484</v>
      </c>
      <c r="AO99" s="59">
        <f t="shared" si="90"/>
        <v>431.87575082696571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91.538920792503362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2.5333352127278737E-4</v>
      </c>
      <c r="AX99" s="21">
        <f t="shared" si="60"/>
        <v>91.539174126024633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5.9</v>
      </c>
      <c r="BD99" s="12">
        <f>IF('Données projet'!$A$88&gt;35,BD98+BC99-BL98,IF(A99&lt;'Données projet'!$A$88,$BA$205^A99,IF(A99='Données projet'!$A$88,'Données projet'!$B$88,BD98+BC99-BL98)))</f>
        <v>337.39999999999986</v>
      </c>
      <c r="BE99" s="13">
        <f>BD99*VLOOKUP('Données projet'!$B$11,Paramètres!$A$1:$I$89,3,0)*VLOOKUP('Données projet'!$B$11,Paramètres!$A$1:$I$89,5,0)</f>
        <v>284.22575999999992</v>
      </c>
      <c r="BF99" s="13">
        <f t="shared" si="91"/>
        <v>67.859253423756542</v>
      </c>
      <c r="BG99" s="20">
        <f t="shared" si="61"/>
        <v>613.2147317130424</v>
      </c>
      <c r="BH99" s="59">
        <f t="shared" si="62"/>
        <v>906.54806504637577</v>
      </c>
      <c r="BI99" s="59">
        <f ca="1">AVERAGE(OFFSET($BH$3,0,0,'Données projet'!$E$11+1,1))-AVERAGE(OFFSET($H$3,0,0,'Données projet'!$E$11+1,1))</f>
        <v>328.34986205643321</v>
      </c>
      <c r="BJ99" s="59">
        <f t="shared" si="92"/>
        <v>251.60894449147008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59.207862434026133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59.207862434026133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2.0395418687257919E-13</v>
      </c>
      <c r="P100" s="13">
        <f t="shared" si="87"/>
        <v>2.8200388570161721E-12</v>
      </c>
      <c r="Q100" s="20">
        <f t="shared" si="107"/>
        <v>5.2667878847729083E-12</v>
      </c>
      <c r="R100" s="59">
        <f t="shared" si="55"/>
        <v>293.3333333333386</v>
      </c>
      <c r="S100" s="59">
        <f ca="1">AVERAGE(OFFSET($R$3,0,0,'Données projet'!$E$9+1,1))-AVERAGE(OFFSET($H$3,0,0,'Données projet'!$E$9+1,1))</f>
        <v>250.57528780096658</v>
      </c>
      <c r="T100" s="59">
        <f t="shared" si="88"/>
        <v>277.12386407996132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-9.0949470177292824E-13</v>
      </c>
      <c r="AJ100" s="13">
        <f>AI100*VLOOKUP('Données projet'!$B$10,Paramètres!$A$1:$I$89,3,0)*VLOOKUP('Données projet'!$B$10,Paramètres!$A$1:$I$89,5,0)</f>
        <v>-4.625326255336404E-13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373.70967725072484</v>
      </c>
      <c r="AO100" s="59">
        <f t="shared" si="90"/>
        <v>431.87575082696571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89.743898388990985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1.7913385079385444E-4</v>
      </c>
      <c r="AX100" s="21">
        <f t="shared" si="60"/>
        <v>89.744077522841778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5.9</v>
      </c>
      <c r="BD100" s="12">
        <f>IF('Données projet'!$A$88&gt;35,BD99+BC100-BL99,IF(A100&lt;'Données projet'!$A$88,$BA$205^A100,IF(A100='Données projet'!$A$88,'Données projet'!$B$88,BD99+BC100-BL99)))</f>
        <v>343.29999999999984</v>
      </c>
      <c r="BE100" s="13">
        <f>BD100*VLOOKUP('Données projet'!$B$11,Paramètres!$A$1:$I$89,3,0)*VLOOKUP('Données projet'!$B$11,Paramètres!$A$1:$I$89,5,0)</f>
        <v>289.19591999999989</v>
      </c>
      <c r="BF100" s="13">
        <f t="shared" si="91"/>
        <v>68.906701138977155</v>
      </c>
      <c r="BG100" s="20">
        <f t="shared" si="61"/>
        <v>623.69539848371835</v>
      </c>
      <c r="BH100" s="59">
        <f t="shared" si="62"/>
        <v>917.02873181705172</v>
      </c>
      <c r="BI100" s="59">
        <f ca="1">AVERAGE(OFFSET($BH$3,0,0,'Données projet'!$E$11+1,1))-AVERAGE(OFFSET($H$3,0,0,'Données projet'!$E$11+1,1))</f>
        <v>328.34986205643321</v>
      </c>
      <c r="BJ100" s="59">
        <f t="shared" si="92"/>
        <v>251.60894449147008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58.046832364925081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58.046832364925081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2.0395418687257919E-13</v>
      </c>
      <c r="P101" s="13">
        <f t="shared" si="87"/>
        <v>2.8200388570161721E-12</v>
      </c>
      <c r="Q101" s="20">
        <f t="shared" si="107"/>
        <v>5.2667878847729083E-12</v>
      </c>
      <c r="R101" s="59">
        <f t="shared" si="55"/>
        <v>293.3333333333386</v>
      </c>
      <c r="S101" s="59">
        <f ca="1">AVERAGE(OFFSET($R$3,0,0,'Données projet'!$E$9+1,1))-AVERAGE(OFFSET($H$3,0,0,'Données projet'!$E$9+1,1))</f>
        <v>250.57528780096658</v>
      </c>
      <c r="T101" s="59">
        <f t="shared" si="88"/>
        <v>277.12386407996132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-9.0949470177292824E-13</v>
      </c>
      <c r="AJ101" s="13">
        <f>AI101*VLOOKUP('Données projet'!$B$10,Paramètres!$A$1:$I$89,3,0)*VLOOKUP('Données projet'!$B$10,Paramètres!$A$1:$I$89,5,0)</f>
        <v>-4.625326255336404E-13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373.70967725072484</v>
      </c>
      <c r="AO101" s="59">
        <f t="shared" si="90"/>
        <v>431.87575082696571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87.984075279955917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1.2666676063639368E-4</v>
      </c>
      <c r="AX101" s="21">
        <f t="shared" si="60"/>
        <v>87.984201946716553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5.9</v>
      </c>
      <c r="BD101" s="12">
        <f>IF('Données projet'!$A$88&gt;35,BD100+BC101-BL100,IF(A101&lt;'Données projet'!$A$88,$BA$205^A101,IF(A101='Données projet'!$A$88,'Données projet'!$B$88,BD100+BC101-BL100)))</f>
        <v>349.19999999999982</v>
      </c>
      <c r="BE101" s="13">
        <f>BD101*VLOOKUP('Données projet'!$B$11,Paramètres!$A$1:$I$89,3,0)*VLOOKUP('Données projet'!$B$11,Paramètres!$A$1:$I$89,5,0)</f>
        <v>294.16607999999991</v>
      </c>
      <c r="BF101" s="13">
        <f t="shared" si="91"/>
        <v>69.952055456115559</v>
      </c>
      <c r="BG101" s="20">
        <f t="shared" si="61"/>
        <v>634.17241925273436</v>
      </c>
      <c r="BH101" s="59">
        <f t="shared" si="62"/>
        <v>927.50575258606773</v>
      </c>
      <c r="BI101" s="59">
        <f ca="1">AVERAGE(OFFSET($BH$3,0,0,'Données projet'!$E$11+1,1))-AVERAGE(OFFSET($H$3,0,0,'Données projet'!$E$11+1,1))</f>
        <v>328.34986205643321</v>
      </c>
      <c r="BJ101" s="59">
        <f t="shared" si="92"/>
        <v>251.60894449147008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56.908569387320682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56.908569387320682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2.0395418687257919E-13</v>
      </c>
      <c r="P102" s="13">
        <f t="shared" si="87"/>
        <v>2.8200388570161721E-12</v>
      </c>
      <c r="Q102" s="20">
        <f t="shared" si="107"/>
        <v>5.2667878847729083E-12</v>
      </c>
      <c r="R102" s="59">
        <f t="shared" si="55"/>
        <v>293.3333333333386</v>
      </c>
      <c r="S102" s="59">
        <f ca="1">AVERAGE(OFFSET($R$3,0,0,'Données projet'!$E$9+1,1))-AVERAGE(OFFSET($H$3,0,0,'Données projet'!$E$9+1,1))</f>
        <v>250.57528780096658</v>
      </c>
      <c r="T102" s="59">
        <f t="shared" si="88"/>
        <v>277.12386407996132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-9.0949470177292824E-13</v>
      </c>
      <c r="AJ102" s="13">
        <f>AI102*VLOOKUP('Données projet'!$B$10,Paramètres!$A$1:$I$89,3,0)*VLOOKUP('Données projet'!$B$10,Paramètres!$A$1:$I$89,5,0)</f>
        <v>-4.625326255336404E-13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373.70967725072484</v>
      </c>
      <c r="AO102" s="59">
        <f t="shared" si="90"/>
        <v>431.87575082696571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86.258761228702923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8.9566925396927221E-5</v>
      </c>
      <c r="AX102" s="21">
        <f t="shared" si="60"/>
        <v>86.258850795628319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5.9</v>
      </c>
      <c r="BD102" s="12">
        <f>IF('Données projet'!$A$88&gt;35,BD101+BC102-BL101,IF(A102&lt;'Données projet'!$A$88,$BA$205^A102,IF(A102='Données projet'!$A$88,'Données projet'!$B$88,BD101+BC102-BL101)))</f>
        <v>355.0999999999998</v>
      </c>
      <c r="BE102" s="13">
        <f>BD102*VLOOKUP('Données projet'!$B$11,Paramètres!$A$1:$I$89,3,0)*VLOOKUP('Données projet'!$B$11,Paramètres!$A$1:$I$89,5,0)</f>
        <v>299.13623999999987</v>
      </c>
      <c r="BF102" s="13">
        <f t="shared" si="91"/>
        <v>70.995355826722829</v>
      </c>
      <c r="BG102" s="20">
        <f t="shared" si="61"/>
        <v>644.64586273154202</v>
      </c>
      <c r="BH102" s="59">
        <f t="shared" si="62"/>
        <v>937.9791960648754</v>
      </c>
      <c r="BI102" s="59">
        <f ca="1">AVERAGE(OFFSET($BH$3,0,0,'Données projet'!$E$11+1,1))-AVERAGE(OFFSET($H$3,0,0,'Données projet'!$E$11+1,1))</f>
        <v>328.34986205643321</v>
      </c>
      <c r="BJ102" s="59">
        <f t="shared" si="92"/>
        <v>251.60894449147008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55.792627052435243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55.792627052435243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2.0395418687257919E-13</v>
      </c>
      <c r="P103" s="13">
        <f t="shared" si="87"/>
        <v>2.8200388570161721E-12</v>
      </c>
      <c r="Q103" s="20">
        <f t="shared" si="107"/>
        <v>5.2667878847729083E-12</v>
      </c>
      <c r="R103" s="59">
        <f t="shared" si="55"/>
        <v>293.3333333333386</v>
      </c>
      <c r="S103" s="59">
        <f ca="1">AVERAGE(OFFSET($R$3,0,0,'Données projet'!$E$9+1,1))-AVERAGE(OFFSET($H$3,0,0,'Données projet'!$E$9+1,1))</f>
        <v>250.57528780096658</v>
      </c>
      <c r="T103" s="59">
        <f t="shared" si="88"/>
        <v>277.12386407996132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-9.0949470177292824E-13</v>
      </c>
      <c r="AJ103" s="13">
        <f>AI103*VLOOKUP('Données projet'!$B$10,Paramètres!$A$1:$I$89,3,0)*VLOOKUP('Données projet'!$B$10,Paramètres!$A$1:$I$89,5,0)</f>
        <v>-4.625326255336404E-13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373.70967725072484</v>
      </c>
      <c r="AO103" s="59">
        <f t="shared" si="90"/>
        <v>431.87575082696571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84.567279533657342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6.3333380318196842E-5</v>
      </c>
      <c r="AX103" s="21">
        <f t="shared" si="60"/>
        <v>84.567342867037667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361</v>
      </c>
      <c r="BB103" s="12">
        <f>VLOOKUP(A103,'Données projet'!$A$87:$I$107,9,0)</f>
        <v>5.9</v>
      </c>
      <c r="BC103" s="12">
        <f t="array" ref="BC103">INDEX(BB:BB,MIN(IF(ISNUMBER(BB103:BB299),ROW(BB103:BB299),"")))</f>
        <v>5.9</v>
      </c>
      <c r="BD103" s="12">
        <f>IF('Données projet'!$A$88&gt;35,BD102+BC103-BL102,IF(A103&lt;'Données projet'!$A$88,$BA$205^A103,IF(A103='Données projet'!$A$88,'Données projet'!$B$88,BD102+BC103-BL102)))</f>
        <v>360.99999999999977</v>
      </c>
      <c r="BE103" s="13">
        <f>BD103*VLOOKUP('Données projet'!$B$11,Paramètres!$A$1:$I$89,3,0)*VLOOKUP('Données projet'!$B$11,Paramètres!$A$1:$I$89,5,0)</f>
        <v>304.10639999999984</v>
      </c>
      <c r="BF103" s="13">
        <f t="shared" si="91"/>
        <v>72.036640316223298</v>
      </c>
      <c r="BG103" s="20">
        <f t="shared" si="61"/>
        <v>655.11579521742192</v>
      </c>
      <c r="BH103" s="59">
        <f t="shared" si="62"/>
        <v>948.44912855075518</v>
      </c>
      <c r="BI103" s="59">
        <f ca="1">AVERAGE(OFFSET($BH$3,0,0,'Données projet'!$E$11+1,1))-AVERAGE(OFFSET($H$3,0,0,'Données projet'!$E$11+1,1))</f>
        <v>328.34986205643321</v>
      </c>
      <c r="BJ103" s="59">
        <f t="shared" si="92"/>
        <v>251.60894449147008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55</v>
      </c>
      <c r="BM103" s="16">
        <f>IF(ISNA(VLOOKUP(A103,'Données projet'!$A$87:$I$107,5,0)),0%,VLOOKUP(A103,'Données projet'!$A$87:$I$107,5,0)*VLOOKUP('Données projet'!$B$11,Paramètres!$A$1:$I$89,7,0))</f>
        <v>0.36549999999999999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73.418985565841581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73.418985565841581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2.0395418687257919E-13</v>
      </c>
      <c r="P104" s="13">
        <f t="shared" si="87"/>
        <v>2.8200388570161721E-12</v>
      </c>
      <c r="Q104" s="20">
        <f t="shared" si="107"/>
        <v>5.2667878847729083E-12</v>
      </c>
      <c r="R104" s="59">
        <f t="shared" si="55"/>
        <v>293.3333333333386</v>
      </c>
      <c r="S104" s="59">
        <f ca="1">AVERAGE(OFFSET($R$3,0,0,'Données projet'!$E$9+1,1))-AVERAGE(OFFSET($H$3,0,0,'Données projet'!$E$9+1,1))</f>
        <v>250.57528780096658</v>
      </c>
      <c r="T104" s="59">
        <f t="shared" si="88"/>
        <v>277.12386407996132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-9.0949470177292824E-13</v>
      </c>
      <c r="AJ104" s="13">
        <f>AI104*VLOOKUP('Données projet'!$B$10,Paramètres!$A$1:$I$89,3,0)*VLOOKUP('Données projet'!$B$10,Paramètres!$A$1:$I$89,5,0)</f>
        <v>-4.625326255336404E-13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373.70967725072484</v>
      </c>
      <c r="AO104" s="59">
        <f t="shared" si="90"/>
        <v>431.87575082696571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82.908966762949646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4.4783462698463611E-5</v>
      </c>
      <c r="AX104" s="21">
        <f t="shared" si="60"/>
        <v>82.909011546412344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311.19999999999976</v>
      </c>
      <c r="BE104" s="13">
        <f>BD104*VLOOKUP('Données projet'!$B$11,Paramètres!$A$1:$I$89,3,0)*VLOOKUP('Données projet'!$B$11,Paramètres!$A$1:$I$89,5,0)</f>
        <v>262.15487999999982</v>
      </c>
      <c r="BF104" s="13">
        <f t="shared" si="91"/>
        <v>63.181490407105123</v>
      </c>
      <c r="BG104" s="20">
        <f t="shared" si="61"/>
        <v>566.62751179237432</v>
      </c>
      <c r="BH104" s="59">
        <f t="shared" si="62"/>
        <v>859.96084512570769</v>
      </c>
      <c r="BI104" s="59">
        <f ca="1">AVERAGE(OFFSET($BH$3,0,0,'Données projet'!$E$11+1,1))-AVERAGE(OFFSET($H$3,0,0,'Données projet'!$E$11+1,1))</f>
        <v>328.34986205643321</v>
      </c>
      <c r="BJ104" s="59">
        <f t="shared" si="92"/>
        <v>251.60894449147008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71.97928404005485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71.97928404005485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2.0395418687257919E-13</v>
      </c>
      <c r="P105" s="13">
        <f t="shared" si="87"/>
        <v>2.8200388570161721E-12</v>
      </c>
      <c r="Q105" s="20">
        <f t="shared" si="107"/>
        <v>5.2667878847729083E-12</v>
      </c>
      <c r="R105" s="59">
        <f t="shared" si="55"/>
        <v>293.3333333333386</v>
      </c>
      <c r="S105" s="59">
        <f ca="1">AVERAGE(OFFSET($R$3,0,0,'Données projet'!$E$9+1,1))-AVERAGE(OFFSET($H$3,0,0,'Données projet'!$E$9+1,1))</f>
        <v>250.57528780096658</v>
      </c>
      <c r="T105" s="59">
        <f t="shared" si="88"/>
        <v>277.12386407996132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-9.0949470177292824E-13</v>
      </c>
      <c r="AJ105" s="13">
        <f>AI105*VLOOKUP('Données projet'!$B$10,Paramètres!$A$1:$I$89,3,0)*VLOOKUP('Données projet'!$B$10,Paramètres!$A$1:$I$89,5,0)</f>
        <v>-4.625326255336404E-13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373.70967725072484</v>
      </c>
      <c r="AO105" s="59">
        <f t="shared" si="90"/>
        <v>431.87575082696571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81.283172494204607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3.1666690159098421E-5</v>
      </c>
      <c r="AX105" s="21">
        <f t="shared" si="60"/>
        <v>81.283204160894769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316.39999999999975</v>
      </c>
      <c r="BE105" s="13">
        <f>BD105*VLOOKUP('Données projet'!$B$11,Paramètres!$A$1:$I$89,3,0)*VLOOKUP('Données projet'!$B$11,Paramètres!$A$1:$I$89,5,0)</f>
        <v>266.5353599999998</v>
      </c>
      <c r="BF105" s="13">
        <f t="shared" si="91"/>
        <v>64.113433471449738</v>
      </c>
      <c r="BG105" s="20">
        <f t="shared" si="61"/>
        <v>575.87998196277465</v>
      </c>
      <c r="BH105" s="59">
        <f t="shared" si="62"/>
        <v>869.21331529610802</v>
      </c>
      <c r="BI105" s="59">
        <f ca="1">AVERAGE(OFFSET($BH$3,0,0,'Données projet'!$E$11+1,1))-AVERAGE(OFFSET($H$3,0,0,'Données projet'!$E$11+1,1))</f>
        <v>328.34986205643321</v>
      </c>
      <c r="BJ105" s="59">
        <f t="shared" si="92"/>
        <v>251.60894449147008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70.567814183057578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70.567814183057578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2.0395418687257919E-13</v>
      </c>
      <c r="P106" s="13">
        <f t="shared" si="87"/>
        <v>2.8200388570161721E-12</v>
      </c>
      <c r="Q106" s="20">
        <f t="shared" si="107"/>
        <v>5.2667878847729083E-12</v>
      </c>
      <c r="R106" s="59">
        <f t="shared" si="55"/>
        <v>293.3333333333386</v>
      </c>
      <c r="S106" s="59">
        <f ca="1">AVERAGE(OFFSET($R$3,0,0,'Données projet'!$E$9+1,1))-AVERAGE(OFFSET($H$3,0,0,'Données projet'!$E$9+1,1))</f>
        <v>250.57528780096658</v>
      </c>
      <c r="T106" s="59">
        <f t="shared" si="88"/>
        <v>277.12386407996132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-9.0949470177292824E-13</v>
      </c>
      <c r="AJ106" s="13">
        <f>AI106*VLOOKUP('Données projet'!$B$10,Paramètres!$A$1:$I$89,3,0)*VLOOKUP('Données projet'!$B$10,Paramètres!$A$1:$I$89,5,0)</f>
        <v>-4.625326255336404E-13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373.70967725072484</v>
      </c>
      <c r="AO106" s="59">
        <f t="shared" si="90"/>
        <v>431.87575082696571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79.68925905943307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2.2391731349231805E-5</v>
      </c>
      <c r="AX106" s="21">
        <f t="shared" si="60"/>
        <v>79.689281451164419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321.59999999999974</v>
      </c>
      <c r="BE106" s="13">
        <f>BD106*VLOOKUP('Données projet'!$B$11,Paramètres!$A$1:$I$89,3,0)*VLOOKUP('Données projet'!$B$11,Paramètres!$A$1:$I$89,5,0)</f>
        <v>270.91583999999983</v>
      </c>
      <c r="BF106" s="13">
        <f t="shared" si="91"/>
        <v>65.043595328112488</v>
      </c>
      <c r="BG106" s="20">
        <f t="shared" si="61"/>
        <v>585.12934986312894</v>
      </c>
      <c r="BH106" s="59">
        <f t="shared" si="62"/>
        <v>878.46268319646219</v>
      </c>
      <c r="BI106" s="59">
        <f ca="1">AVERAGE(OFFSET($BH$3,0,0,'Données projet'!$E$11+1,1))-AVERAGE(OFFSET($H$3,0,0,'Données projet'!$E$11+1,1))</f>
        <v>328.34986205643321</v>
      </c>
      <c r="BJ106" s="59">
        <f t="shared" si="92"/>
        <v>251.60894449147008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69.184022389044415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69.184022389044415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2.0395418687257919E-13</v>
      </c>
      <c r="P107" s="13">
        <f t="shared" si="87"/>
        <v>2.8200388570161721E-12</v>
      </c>
      <c r="Q107" s="20">
        <f t="shared" si="107"/>
        <v>5.2667878847729083E-12</v>
      </c>
      <c r="R107" s="59">
        <f t="shared" si="55"/>
        <v>293.3333333333386</v>
      </c>
      <c r="S107" s="59">
        <f ca="1">AVERAGE(OFFSET($R$3,0,0,'Données projet'!$E$9+1,1))-AVERAGE(OFFSET($H$3,0,0,'Données projet'!$E$9+1,1))</f>
        <v>250.57528780096658</v>
      </c>
      <c r="T107" s="59">
        <f t="shared" si="88"/>
        <v>277.12386407996132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-9.0949470177292824E-13</v>
      </c>
      <c r="AJ107" s="13">
        <f>AI107*VLOOKUP('Données projet'!$B$10,Paramètres!$A$1:$I$89,3,0)*VLOOKUP('Données projet'!$B$10,Paramètres!$A$1:$I$89,5,0)</f>
        <v>-4.625326255336404E-13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373.70967725072484</v>
      </c>
      <c r="AO107" s="59">
        <f t="shared" si="90"/>
        <v>431.87575082696571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78.126601294926203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1.583334507954921E-5</v>
      </c>
      <c r="AX107" s="21">
        <f t="shared" si="60"/>
        <v>78.126617128271278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326.79999999999973</v>
      </c>
      <c r="BE107" s="13">
        <f>BD107*VLOOKUP('Données projet'!$B$11,Paramètres!$A$1:$I$89,3,0)*VLOOKUP('Données projet'!$B$11,Paramètres!$A$1:$I$89,5,0)</f>
        <v>275.29631999999981</v>
      </c>
      <c r="BF107" s="13">
        <f t="shared" si="91"/>
        <v>65.972008102689301</v>
      </c>
      <c r="BG107" s="20">
        <f t="shared" si="61"/>
        <v>594.37567144551679</v>
      </c>
      <c r="BH107" s="59">
        <f t="shared" si="62"/>
        <v>887.70900477885016</v>
      </c>
      <c r="BI107" s="59">
        <f ca="1">AVERAGE(OFFSET($BH$3,0,0,'Données projet'!$E$11+1,1))-AVERAGE(OFFSET($H$3,0,0,'Données projet'!$E$11+1,1))</f>
        <v>328.34986205643321</v>
      </c>
      <c r="BJ107" s="59">
        <f t="shared" si="92"/>
        <v>251.60894449147008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67.8273659080822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67.8273659080822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2.0395418687257919E-13</v>
      </c>
      <c r="P108" s="13">
        <f t="shared" si="87"/>
        <v>2.8200388570161721E-12</v>
      </c>
      <c r="Q108" s="20">
        <f t="shared" si="107"/>
        <v>5.2667878847729083E-12</v>
      </c>
      <c r="R108" s="59">
        <f t="shared" si="55"/>
        <v>293.3333333333386</v>
      </c>
      <c r="S108" s="59">
        <f ca="1">AVERAGE(OFFSET($R$3,0,0,'Données projet'!$E$9+1,1))-AVERAGE(OFFSET($H$3,0,0,'Données projet'!$E$9+1,1))</f>
        <v>250.57528780096658</v>
      </c>
      <c r="T108" s="59">
        <f t="shared" si="88"/>
        <v>277.12386407996132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-9.0949470177292824E-13</v>
      </c>
      <c r="AJ108" s="13">
        <f>AI108*VLOOKUP('Données projet'!$B$10,Paramètres!$A$1:$I$89,3,0)*VLOOKUP('Données projet'!$B$10,Paramètres!$A$1:$I$89,5,0)</f>
        <v>-4.625326255336404E-13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373.70967725072484</v>
      </c>
      <c r="AO108" s="59">
        <f t="shared" si="90"/>
        <v>431.87575082696571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76.594586296054189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1.1195865674615903E-5</v>
      </c>
      <c r="AX108" s="21">
        <f t="shared" si="60"/>
        <v>76.59459749191987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331.99999999999972</v>
      </c>
      <c r="BE108" s="13">
        <f>BD108*VLOOKUP('Données projet'!$B$11,Paramètres!$A$1:$I$89,3,0)*VLOOKUP('Données projet'!$B$11,Paramètres!$A$1:$I$89,5,0)</f>
        <v>279.67679999999979</v>
      </c>
      <c r="BF108" s="13">
        <f t="shared" si="91"/>
        <v>66.898702839782985</v>
      </c>
      <c r="BG108" s="20">
        <f t="shared" si="61"/>
        <v>603.61900077928829</v>
      </c>
      <c r="BH108" s="59">
        <f t="shared" si="62"/>
        <v>896.95233411262166</v>
      </c>
      <c r="BI108" s="59">
        <f ca="1">AVERAGE(OFFSET($BH$3,0,0,'Données projet'!$E$11+1,1))-AVERAGE(OFFSET($H$3,0,0,'Données projet'!$E$11+1,1))</f>
        <v>328.34986205643321</v>
      </c>
      <c r="BJ108" s="59">
        <f t="shared" si="92"/>
        <v>251.60894449147008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66.497312633232909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66.497312633232909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2.0395418687257919E-13</v>
      </c>
      <c r="P109" s="13">
        <f t="shared" si="87"/>
        <v>2.8200388570161721E-12</v>
      </c>
      <c r="Q109" s="20">
        <f t="shared" si="107"/>
        <v>5.2667878847729083E-12</v>
      </c>
      <c r="R109" s="59">
        <f t="shared" si="55"/>
        <v>293.3333333333386</v>
      </c>
      <c r="S109" s="59">
        <f ca="1">AVERAGE(OFFSET($R$3,0,0,'Données projet'!$E$9+1,1))-AVERAGE(OFFSET($H$3,0,0,'Données projet'!$E$9+1,1))</f>
        <v>250.57528780096658</v>
      </c>
      <c r="T109" s="59">
        <f t="shared" si="88"/>
        <v>277.12386407996132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-9.0949470177292824E-13</v>
      </c>
      <c r="AJ109" s="13">
        <f>AI109*VLOOKUP('Données projet'!$B$10,Paramètres!$A$1:$I$89,3,0)*VLOOKUP('Données projet'!$B$10,Paramètres!$A$1:$I$89,5,0)</f>
        <v>-4.625326255336404E-13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373.70967725072484</v>
      </c>
      <c r="AO109" s="59">
        <f t="shared" si="90"/>
        <v>431.87575082696571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75.092613176873172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7.9166725397746052E-6</v>
      </c>
      <c r="AX109" s="21">
        <f t="shared" si="60"/>
        <v>75.092621093545716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337.1999999999997</v>
      </c>
      <c r="BE109" s="13">
        <f>BD109*VLOOKUP('Données projet'!$B$11,Paramètres!$A$1:$I$89,3,0)*VLOOKUP('Données projet'!$B$11,Paramètres!$A$1:$I$89,5,0)</f>
        <v>284.05727999999976</v>
      </c>
      <c r="BF109" s="13">
        <f t="shared" si="91"/>
        <v>67.823709555728385</v>
      </c>
      <c r="BG109" s="20">
        <f t="shared" si="61"/>
        <v>612.85939014289318</v>
      </c>
      <c r="BH109" s="59">
        <f t="shared" si="62"/>
        <v>906.19272347622655</v>
      </c>
      <c r="BI109" s="59">
        <f ca="1">AVERAGE(OFFSET($BH$3,0,0,'Données projet'!$E$11+1,1))-AVERAGE(OFFSET($H$3,0,0,'Données projet'!$E$11+1,1))</f>
        <v>328.34986205643321</v>
      </c>
      <c r="BJ109" s="59">
        <f t="shared" si="92"/>
        <v>251.60894449147008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65.193340891851008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65.193340891851008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2.0395418687257919E-13</v>
      </c>
      <c r="P110" s="13">
        <f t="shared" si="87"/>
        <v>2.8200388570161721E-12</v>
      </c>
      <c r="Q110" s="20">
        <f t="shared" si="107"/>
        <v>5.2667878847729083E-12</v>
      </c>
      <c r="R110" s="59">
        <f t="shared" si="55"/>
        <v>293.3333333333386</v>
      </c>
      <c r="S110" s="59">
        <f ca="1">AVERAGE(OFFSET($R$3,0,0,'Données projet'!$E$9+1,1))-AVERAGE(OFFSET($H$3,0,0,'Données projet'!$E$9+1,1))</f>
        <v>250.57528780096658</v>
      </c>
      <c r="T110" s="59">
        <f t="shared" si="88"/>
        <v>277.12386407996132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-9.0949470177292824E-13</v>
      </c>
      <c r="AJ110" s="13">
        <f>AI110*VLOOKUP('Données projet'!$B$10,Paramètres!$A$1:$I$89,3,0)*VLOOKUP('Données projet'!$B$10,Paramètres!$A$1:$I$89,5,0)</f>
        <v>-4.625326255336404E-13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373.70967725072484</v>
      </c>
      <c r="AO110" s="59">
        <f t="shared" si="90"/>
        <v>431.87575082696571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73.620092834446154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5.5979328373079513E-6</v>
      </c>
      <c r="AX110" s="21">
        <f t="shared" si="60"/>
        <v>73.620098432378995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342.39999999999969</v>
      </c>
      <c r="BE110" s="13">
        <f>BD110*VLOOKUP('Données projet'!$B$11,Paramètres!$A$1:$I$89,3,0)*VLOOKUP('Données projet'!$B$11,Paramètres!$A$1:$I$89,5,0)</f>
        <v>288.43775999999974</v>
      </c>
      <c r="BF110" s="13">
        <f t="shared" si="91"/>
        <v>68.747057287972595</v>
      </c>
      <c r="BG110" s="20">
        <f t="shared" si="61"/>
        <v>622.09689010988507</v>
      </c>
      <c r="BH110" s="59">
        <f t="shared" si="62"/>
        <v>915.43022344321844</v>
      </c>
      <c r="BI110" s="59">
        <f ca="1">AVERAGE(OFFSET($BH$3,0,0,'Données projet'!$E$11+1,1))-AVERAGE(OFFSET($H$3,0,0,'Données projet'!$E$11+1,1))</f>
        <v>328.34986205643321</v>
      </c>
      <c r="BJ110" s="59">
        <f t="shared" si="92"/>
        <v>251.60894449147008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63.914939240973382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63.914939240973382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2.0395418687257919E-13</v>
      </c>
      <c r="P111" s="13">
        <f t="shared" si="87"/>
        <v>2.8200388570161721E-12</v>
      </c>
      <c r="Q111" s="20">
        <f t="shared" si="107"/>
        <v>5.2667878847729083E-12</v>
      </c>
      <c r="R111" s="59">
        <f t="shared" si="55"/>
        <v>293.3333333333386</v>
      </c>
      <c r="S111" s="59">
        <f ca="1">AVERAGE(OFFSET($R$3,0,0,'Données projet'!$E$9+1,1))-AVERAGE(OFFSET($H$3,0,0,'Données projet'!$E$9+1,1))</f>
        <v>250.57528780096658</v>
      </c>
      <c r="T111" s="59">
        <f t="shared" si="88"/>
        <v>277.12386407996132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-9.0949470177292824E-13</v>
      </c>
      <c r="AJ111" s="13">
        <f>AI111*VLOOKUP('Données projet'!$B$10,Paramètres!$A$1:$I$89,3,0)*VLOOKUP('Données projet'!$B$10,Paramètres!$A$1:$I$89,5,0)</f>
        <v>-4.625326255336404E-13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373.70967725072484</v>
      </c>
      <c r="AO111" s="59">
        <f t="shared" si="90"/>
        <v>431.87575082696571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72.176447717785408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3.9583362698873026E-6</v>
      </c>
      <c r="AX111" s="21">
        <f t="shared" si="60"/>
        <v>72.176451676121673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347.59999999999968</v>
      </c>
      <c r="BE111" s="13">
        <f>BD111*VLOOKUP('Données projet'!$B$11,Paramètres!$A$1:$I$89,3,0)*VLOOKUP('Données projet'!$B$11,Paramètres!$A$1:$I$89,5,0)</f>
        <v>292.81823999999978</v>
      </c>
      <c r="BF111" s="13">
        <f t="shared" si="91"/>
        <v>69.668774141370633</v>
      </c>
      <c r="BG111" s="20">
        <f t="shared" si="61"/>
        <v>631.33154962955348</v>
      </c>
      <c r="BH111" s="59">
        <f t="shared" si="62"/>
        <v>924.66488296288685</v>
      </c>
      <c r="BI111" s="59">
        <f ca="1">AVERAGE(OFFSET($BH$3,0,0,'Données projet'!$E$11+1,1))-AVERAGE(OFFSET($H$3,0,0,'Données projet'!$E$11+1,1))</f>
        <v>328.34986205643321</v>
      </c>
      <c r="BJ111" s="59">
        <f t="shared" si="92"/>
        <v>251.60894449147008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62.661606266721456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62.661606266721456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2.0395418687257919E-13</v>
      </c>
      <c r="P112" s="13">
        <f t="shared" si="87"/>
        <v>2.8200388570161721E-12</v>
      </c>
      <c r="Q112" s="20">
        <f t="shared" si="107"/>
        <v>5.2667878847729083E-12</v>
      </c>
      <c r="R112" s="59">
        <f t="shared" si="55"/>
        <v>293.3333333333386</v>
      </c>
      <c r="S112" s="59">
        <f ca="1">AVERAGE(OFFSET($R$3,0,0,'Données projet'!$E$9+1,1))-AVERAGE(OFFSET($H$3,0,0,'Données projet'!$E$9+1,1))</f>
        <v>250.57528780096658</v>
      </c>
      <c r="T112" s="59">
        <f t="shared" si="88"/>
        <v>277.12386407996132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-9.0949470177292824E-13</v>
      </c>
      <c r="AJ112" s="13">
        <f>AI112*VLOOKUP('Données projet'!$B$10,Paramètres!$A$1:$I$89,3,0)*VLOOKUP('Données projet'!$B$10,Paramètres!$A$1:$I$89,5,0)</f>
        <v>-4.625326255336404E-13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373.70967725072484</v>
      </c>
      <c r="AO112" s="59">
        <f t="shared" si="90"/>
        <v>431.87575082696571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70.761111601325808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2.7989664186539757E-6</v>
      </c>
      <c r="AX112" s="21">
        <f t="shared" si="60"/>
        <v>70.761114400292229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352.79999999999967</v>
      </c>
      <c r="BE112" s="13">
        <f>BD112*VLOOKUP('Données projet'!$B$11,Paramètres!$A$1:$I$89,3,0)*VLOOKUP('Données projet'!$B$11,Paramètres!$A$1:$I$89,5,0)</f>
        <v>297.19871999999975</v>
      </c>
      <c r="BF112" s="13">
        <f t="shared" si="91"/>
        <v>70.588887331631497</v>
      </c>
      <c r="BG112" s="20">
        <f t="shared" si="61"/>
        <v>640.56341610259108</v>
      </c>
      <c r="BH112" s="59">
        <f t="shared" si="62"/>
        <v>933.89674943592445</v>
      </c>
      <c r="BI112" s="59">
        <f ca="1">AVERAGE(OFFSET($BH$3,0,0,'Données projet'!$E$11+1,1))-AVERAGE(OFFSET($H$3,0,0,'Données projet'!$E$11+1,1))</f>
        <v>328.34986205643321</v>
      </c>
      <c r="BJ112" s="59">
        <f t="shared" si="92"/>
        <v>251.60894449147008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61.432850387636982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61.432850387636982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2.0395418687257919E-13</v>
      </c>
      <c r="P113" s="13">
        <f t="shared" si="87"/>
        <v>2.8200388570161721E-12</v>
      </c>
      <c r="Q113" s="20">
        <f t="shared" si="107"/>
        <v>5.2667878847729083E-12</v>
      </c>
      <c r="R113" s="59">
        <f t="shared" si="55"/>
        <v>293.3333333333386</v>
      </c>
      <c r="S113" s="59">
        <f ca="1">AVERAGE(OFFSET($R$3,0,0,'Données projet'!$E$9+1,1))-AVERAGE(OFFSET($H$3,0,0,'Données projet'!$E$9+1,1))</f>
        <v>250.57528780096658</v>
      </c>
      <c r="T113" s="59">
        <f t="shared" si="88"/>
        <v>277.12386407996132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-9.0949470177292824E-13</v>
      </c>
      <c r="AJ113" s="13">
        <f>AI113*VLOOKUP('Données projet'!$B$10,Paramètres!$A$1:$I$89,3,0)*VLOOKUP('Données projet'!$B$10,Paramètres!$A$1:$I$89,5,0)</f>
        <v>-4.625326255336404E-13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373.70967725072484</v>
      </c>
      <c r="AO113" s="59">
        <f t="shared" si="90"/>
        <v>431.87575082696571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69.373529362840188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1.9791681349436513E-6</v>
      </c>
      <c r="AX113" s="21">
        <f t="shared" si="60"/>
        <v>69.37353134200832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357.99999999999966</v>
      </c>
      <c r="BE113" s="13">
        <f>BD113*VLOOKUP('Données projet'!$B$11,Paramètres!$A$1:$I$89,3,0)*VLOOKUP('Données projet'!$B$11,Paramètres!$A$1:$I$89,5,0)</f>
        <v>301.57919999999973</v>
      </c>
      <c r="BF113" s="13">
        <f t="shared" si="91"/>
        <v>71.507423226130868</v>
      </c>
      <c r="BG113" s="20">
        <f t="shared" si="61"/>
        <v>649.79253545217739</v>
      </c>
      <c r="BH113" s="59">
        <f t="shared" si="62"/>
        <v>943.12586878551065</v>
      </c>
      <c r="BI113" s="59">
        <f ca="1">AVERAGE(OFFSET($BH$3,0,0,'Données projet'!$E$11+1,1))-AVERAGE(OFFSET($H$3,0,0,'Données projet'!$E$11+1,1))</f>
        <v>328.34986205643321</v>
      </c>
      <c r="BJ113" s="59">
        <f t="shared" si="92"/>
        <v>251.60894449147008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0.36549999999999999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77.587122623472027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77.587122623472027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2.0395418687257919E-13</v>
      </c>
      <c r="P114" s="13">
        <f t="shared" si="87"/>
        <v>2.8200388570161721E-12</v>
      </c>
      <c r="Q114" s="20">
        <f t="shared" si="107"/>
        <v>5.2667878847729083E-12</v>
      </c>
      <c r="R114" s="59">
        <f t="shared" si="55"/>
        <v>293.3333333333386</v>
      </c>
      <c r="S114" s="59">
        <f ca="1">AVERAGE(OFFSET($R$3,0,0,'Données projet'!$E$9+1,1))-AVERAGE(OFFSET($H$3,0,0,'Données projet'!$E$9+1,1))</f>
        <v>250.57528780096658</v>
      </c>
      <c r="T114" s="59">
        <f t="shared" si="88"/>
        <v>277.12386407996132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-9.0949470177292824E-13</v>
      </c>
      <c r="AJ114" s="13">
        <f>AI114*VLOOKUP('Données projet'!$B$10,Paramètres!$A$1:$I$89,3,0)*VLOOKUP('Données projet'!$B$10,Paramètres!$A$1:$I$89,5,0)</f>
        <v>-4.625326255336404E-13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373.70967725072484</v>
      </c>
      <c r="AO114" s="59">
        <f t="shared" si="90"/>
        <v>431.87575082696571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68.013156765709681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1.3994832093269878E-6</v>
      </c>
      <c r="AX114" s="21">
        <f t="shared" si="60"/>
        <v>68.013158165192891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311.49999999999966</v>
      </c>
      <c r="BE114" s="13">
        <f>BD114*VLOOKUP('Données projet'!$B$11,Paramètres!$A$1:$I$89,3,0)*VLOOKUP('Données projet'!$B$11,Paramètres!$A$1:$I$89,5,0)</f>
        <v>262.40759999999977</v>
      </c>
      <c r="BF114" s="13">
        <f t="shared" si="91"/>
        <v>63.235305349754363</v>
      </c>
      <c r="BG114" s="20">
        <f t="shared" si="61"/>
        <v>567.16139348415504</v>
      </c>
      <c r="BH114" s="59">
        <f t="shared" si="62"/>
        <v>860.4947268174883</v>
      </c>
      <c r="BI114" s="59">
        <f ca="1">AVERAGE(OFFSET($BH$3,0,0,'Données projet'!$E$11+1,1))-AVERAGE(OFFSET($H$3,0,0,'Données projet'!$E$11+1,1))</f>
        <v>328.34986205643321</v>
      </c>
      <c r="BJ114" s="59">
        <f t="shared" si="92"/>
        <v>251.60894449147008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76.065686472297742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76.065686472297742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2.0395418687257919E-13</v>
      </c>
      <c r="P115" s="13">
        <f t="shared" si="87"/>
        <v>2.8200388570161721E-12</v>
      </c>
      <c r="Q115" s="20">
        <f t="shared" si="107"/>
        <v>5.2667878847729083E-12</v>
      </c>
      <c r="R115" s="59">
        <f t="shared" si="55"/>
        <v>293.3333333333386</v>
      </c>
      <c r="S115" s="59">
        <f ca="1">AVERAGE(OFFSET($R$3,0,0,'Données projet'!$E$9+1,1))-AVERAGE(OFFSET($H$3,0,0,'Données projet'!$E$9+1,1))</f>
        <v>250.57528780096658</v>
      </c>
      <c r="T115" s="59">
        <f t="shared" si="88"/>
        <v>277.12386407996132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-9.0949470177292824E-13</v>
      </c>
      <c r="AJ115" s="13">
        <f>AI115*VLOOKUP('Données projet'!$B$10,Paramètres!$A$1:$I$89,3,0)*VLOOKUP('Données projet'!$B$10,Paramètres!$A$1:$I$89,5,0)</f>
        <v>-4.625326255336404E-13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373.70967725072484</v>
      </c>
      <c r="AO115" s="59">
        <f t="shared" si="90"/>
        <v>431.87575082696571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66.679460245463545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9.8958406747182565E-7</v>
      </c>
      <c r="AX115" s="21">
        <f t="shared" si="60"/>
        <v>66.679461235047611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315.99999999999966</v>
      </c>
      <c r="BE115" s="13">
        <f>BD115*VLOOKUP('Données projet'!$B$11,Paramètres!$A$1:$I$89,3,0)*VLOOKUP('Données projet'!$B$11,Paramètres!$A$1:$I$89,5,0)</f>
        <v>266.19839999999971</v>
      </c>
      <c r="BF115" s="13">
        <f t="shared" si="91"/>
        <v>64.041809198373159</v>
      </c>
      <c r="BG115" s="20">
        <f t="shared" si="61"/>
        <v>575.16836435383277</v>
      </c>
      <c r="BH115" s="59">
        <f t="shared" si="62"/>
        <v>868.50169768716614</v>
      </c>
      <c r="BI115" s="59">
        <f ca="1">AVERAGE(OFFSET($BH$3,0,0,'Données projet'!$E$11+1,1))-AVERAGE(OFFSET($H$3,0,0,'Données projet'!$E$11+1,1))</f>
        <v>328.34986205643321</v>
      </c>
      <c r="BJ115" s="59">
        <f t="shared" si="92"/>
        <v>251.60894449147008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74.574084756063556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74.574084756063556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2.0395418687257919E-13</v>
      </c>
      <c r="P116" s="13">
        <f t="shared" si="87"/>
        <v>2.8200388570161721E-12</v>
      </c>
      <c r="Q116" s="20">
        <f t="shared" si="107"/>
        <v>5.2667878847729083E-12</v>
      </c>
      <c r="R116" s="59">
        <f t="shared" si="55"/>
        <v>293.3333333333386</v>
      </c>
      <c r="S116" s="59">
        <f ca="1">AVERAGE(OFFSET($R$3,0,0,'Données projet'!$E$9+1,1))-AVERAGE(OFFSET($H$3,0,0,'Données projet'!$E$9+1,1))</f>
        <v>250.57528780096658</v>
      </c>
      <c r="T116" s="59">
        <f t="shared" si="88"/>
        <v>277.12386407996132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-9.0949470177292824E-13</v>
      </c>
      <c r="AJ116" s="13">
        <f>AI116*VLOOKUP('Données projet'!$B$10,Paramètres!$A$1:$I$89,3,0)*VLOOKUP('Données projet'!$B$10,Paramètres!$A$1:$I$89,5,0)</f>
        <v>-4.625326255336404E-13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373.70967725072484</v>
      </c>
      <c r="AO116" s="59">
        <f t="shared" si="90"/>
        <v>431.87575082696571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65.371916700504883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6.9974160466349392E-7</v>
      </c>
      <c r="AX116" s="21">
        <f t="shared" si="60"/>
        <v>65.371917400246488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320.49999999999966</v>
      </c>
      <c r="BE116" s="13">
        <f>BD116*VLOOKUP('Données projet'!$B$11,Paramètres!$A$1:$I$89,3,0)*VLOOKUP('Données projet'!$B$11,Paramètres!$A$1:$I$89,5,0)</f>
        <v>269.98919999999976</v>
      </c>
      <c r="BF116" s="13">
        <f t="shared" si="91"/>
        <v>64.846977249929026</v>
      </c>
      <c r="BG116" s="20">
        <f t="shared" si="61"/>
        <v>583.17300871029261</v>
      </c>
      <c r="BH116" s="59">
        <f t="shared" si="62"/>
        <v>876.50634204362586</v>
      </c>
      <c r="BI116" s="59">
        <f ca="1">AVERAGE(OFFSET($BH$3,0,0,'Données projet'!$E$11+1,1))-AVERAGE(OFFSET($H$3,0,0,'Données projet'!$E$11+1,1))</f>
        <v>328.34986205643321</v>
      </c>
      <c r="BJ116" s="59">
        <f t="shared" si="92"/>
        <v>251.60894449147008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73.111732439697505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73.111732439697505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2.0395418687257919E-13</v>
      </c>
      <c r="P117" s="13">
        <f t="shared" si="87"/>
        <v>2.8200388570161721E-12</v>
      </c>
      <c r="Q117" s="20">
        <f t="shared" si="107"/>
        <v>5.2667878847729083E-12</v>
      </c>
      <c r="R117" s="59">
        <f t="shared" si="55"/>
        <v>293.3333333333386</v>
      </c>
      <c r="S117" s="59">
        <f ca="1">AVERAGE(OFFSET($R$3,0,0,'Données projet'!$E$9+1,1))-AVERAGE(OFFSET($H$3,0,0,'Données projet'!$E$9+1,1))</f>
        <v>250.57528780096658</v>
      </c>
      <c r="T117" s="59">
        <f t="shared" si="88"/>
        <v>277.12386407996132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-9.0949470177292824E-13</v>
      </c>
      <c r="AJ117" s="13">
        <f>AI117*VLOOKUP('Données projet'!$B$10,Paramètres!$A$1:$I$89,3,0)*VLOOKUP('Données projet'!$B$10,Paramètres!$A$1:$I$89,5,0)</f>
        <v>-4.625326255336404E-13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373.70967725072484</v>
      </c>
      <c r="AO117" s="59">
        <f t="shared" si="90"/>
        <v>431.87575082696571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64.090013286940049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4.9479203373591283E-7</v>
      </c>
      <c r="AX117" s="21">
        <f t="shared" si="60"/>
        <v>64.090013781732083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324.99999999999966</v>
      </c>
      <c r="BE117" s="13">
        <f>BD117*VLOOKUP('Données projet'!$B$11,Paramètres!$A$1:$I$89,3,0)*VLOOKUP('Données projet'!$B$11,Paramètres!$A$1:$I$89,5,0)</f>
        <v>273.77999999999975</v>
      </c>
      <c r="BF117" s="13">
        <f t="shared" si="91"/>
        <v>65.650830427167435</v>
      </c>
      <c r="BG117" s="20">
        <f t="shared" si="61"/>
        <v>591.17536299398284</v>
      </c>
      <c r="BH117" s="59">
        <f t="shared" si="62"/>
        <v>884.5086963273161</v>
      </c>
      <c r="BI117" s="59">
        <f ca="1">AVERAGE(OFFSET($BH$3,0,0,'Données projet'!$E$11+1,1))-AVERAGE(OFFSET($H$3,0,0,'Données projet'!$E$11+1,1))</f>
        <v>328.34986205643321</v>
      </c>
      <c r="BJ117" s="59">
        <f t="shared" si="92"/>
        <v>251.60894449147008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71.678055960308555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71.678055960308555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2.0395418687257919E-13</v>
      </c>
      <c r="P118" s="13">
        <f t="shared" si="87"/>
        <v>2.8200388570161721E-12</v>
      </c>
      <c r="Q118" s="20">
        <f t="shared" si="107"/>
        <v>5.2667878847729083E-12</v>
      </c>
      <c r="R118" s="59">
        <f t="shared" si="55"/>
        <v>293.3333333333386</v>
      </c>
      <c r="S118" s="59">
        <f ca="1">AVERAGE(OFFSET($R$3,0,0,'Données projet'!$E$9+1,1))-AVERAGE(OFFSET($H$3,0,0,'Données projet'!$E$9+1,1))</f>
        <v>250.57528780096658</v>
      </c>
      <c r="T118" s="59">
        <f t="shared" si="88"/>
        <v>277.12386407996132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-9.0949470177292824E-13</v>
      </c>
      <c r="AJ118" s="13">
        <f>AI118*VLOOKUP('Données projet'!$B$10,Paramètres!$A$1:$I$89,3,0)*VLOOKUP('Données projet'!$B$10,Paramètres!$A$1:$I$89,5,0)</f>
        <v>-4.625326255336404E-13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373.70967725072484</v>
      </c>
      <c r="AO118" s="59">
        <f t="shared" si="90"/>
        <v>431.87575082696571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62.833247217431342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3.4987080233174696E-7</v>
      </c>
      <c r="AX118" s="21">
        <f t="shared" si="60"/>
        <v>62.833247567302145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329.49999999999966</v>
      </c>
      <c r="BE118" s="13">
        <f>BD118*VLOOKUP('Données projet'!$B$11,Paramètres!$A$1:$I$89,3,0)*VLOOKUP('Données projet'!$B$11,Paramètres!$A$1:$I$89,5,0)</f>
        <v>277.57079999999974</v>
      </c>
      <c r="BF118" s="13">
        <f t="shared" si="91"/>
        <v>66.453389040149148</v>
      </c>
      <c r="BG118" s="20">
        <f t="shared" si="61"/>
        <v>599.17546257825927</v>
      </c>
      <c r="BH118" s="59">
        <f t="shared" si="62"/>
        <v>892.50879591159264</v>
      </c>
      <c r="BI118" s="59">
        <f ca="1">AVERAGE(OFFSET($BH$3,0,0,'Données projet'!$E$11+1,1))-AVERAGE(OFFSET($H$3,0,0,'Données projet'!$E$11+1,1))</f>
        <v>328.34986205643321</v>
      </c>
      <c r="BJ118" s="59">
        <f t="shared" si="92"/>
        <v>251.60894449147008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70.272493002224124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70.272493002224124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2.0395418687257919E-13</v>
      </c>
      <c r="P119" s="13">
        <f t="shared" si="87"/>
        <v>2.8200388570161721E-12</v>
      </c>
      <c r="Q119" s="20">
        <f t="shared" si="107"/>
        <v>5.2667878847729083E-12</v>
      </c>
      <c r="R119" s="59">
        <f t="shared" si="55"/>
        <v>293.3333333333386</v>
      </c>
      <c r="S119" s="59">
        <f ca="1">AVERAGE(OFFSET($R$3,0,0,'Données projet'!$E$9+1,1))-AVERAGE(OFFSET($H$3,0,0,'Données projet'!$E$9+1,1))</f>
        <v>250.57528780096658</v>
      </c>
      <c r="T119" s="59">
        <f t="shared" si="88"/>
        <v>277.12386407996132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-9.0949470177292824E-13</v>
      </c>
      <c r="AJ119" s="13">
        <f>AI119*VLOOKUP('Données projet'!$B$10,Paramètres!$A$1:$I$89,3,0)*VLOOKUP('Données projet'!$B$10,Paramètres!$A$1:$I$89,5,0)</f>
        <v>-4.625326255336404E-13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373.70967725072484</v>
      </c>
      <c r="AO119" s="59">
        <f t="shared" si="90"/>
        <v>431.87575082696571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61.601125563994088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2.4739601686795641E-7</v>
      </c>
      <c r="AX119" s="21">
        <f t="shared" si="60"/>
        <v>61.601125811390105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333.99999999999966</v>
      </c>
      <c r="BE119" s="13">
        <f>BD119*VLOOKUP('Données projet'!$B$11,Paramètres!$A$1:$I$89,3,0)*VLOOKUP('Données projet'!$B$11,Paramètres!$A$1:$I$89,5,0)</f>
        <v>281.36159999999973</v>
      </c>
      <c r="BF119" s="13">
        <f t="shared" si="91"/>
        <v>67.254672812309238</v>
      </c>
      <c r="BG119" s="20">
        <f t="shared" si="61"/>
        <v>607.17334181477145</v>
      </c>
      <c r="BH119" s="59">
        <f t="shared" si="62"/>
        <v>900.5066751481047</v>
      </c>
      <c r="BI119" s="59">
        <f ca="1">AVERAGE(OFFSET($BH$3,0,0,'Données projet'!$E$11+1,1))-AVERAGE(OFFSET($H$3,0,0,'Données projet'!$E$11+1,1))</f>
        <v>328.34986205643321</v>
      </c>
      <c r="BJ119" s="59">
        <f t="shared" si="92"/>
        <v>251.60894449147008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68.894492276438967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68.894492276438967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2.0395418687257919E-13</v>
      </c>
      <c r="P120" s="13">
        <f t="shared" si="87"/>
        <v>2.8200388570161721E-12</v>
      </c>
      <c r="Q120" s="20">
        <f t="shared" si="107"/>
        <v>5.2667878847729083E-12</v>
      </c>
      <c r="R120" s="59">
        <f t="shared" si="55"/>
        <v>293.3333333333386</v>
      </c>
      <c r="S120" s="59">
        <f ca="1">AVERAGE(OFFSET($R$3,0,0,'Données projet'!$E$9+1,1))-AVERAGE(OFFSET($H$3,0,0,'Données projet'!$E$9+1,1))</f>
        <v>250.57528780096658</v>
      </c>
      <c r="T120" s="59">
        <f t="shared" si="88"/>
        <v>277.12386407996132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-9.0949470177292824E-13</v>
      </c>
      <c r="AJ120" s="13">
        <f>AI120*VLOOKUP('Données projet'!$B$10,Paramètres!$A$1:$I$89,3,0)*VLOOKUP('Données projet'!$B$10,Paramètres!$A$1:$I$89,5,0)</f>
        <v>-4.625326255336404E-13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373.70967725072484</v>
      </c>
      <c r="AO120" s="59">
        <f t="shared" si="90"/>
        <v>431.87575082696571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60.393165064660735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1.7493540116587348E-7</v>
      </c>
      <c r="AX120" s="21">
        <f t="shared" si="60"/>
        <v>60.393165239596136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338.49999999999966</v>
      </c>
      <c r="BE120" s="13">
        <f>BD120*VLOOKUP('Données projet'!$B$11,Paramètres!$A$1:$I$89,3,0)*VLOOKUP('Données projet'!$B$11,Paramètres!$A$1:$I$89,5,0)</f>
        <v>285.15239999999972</v>
      </c>
      <c r="BF120" s="13">
        <f t="shared" si="91"/>
        <v>68.054700905071442</v>
      </c>
      <c r="BG120" s="20">
        <f t="shared" si="61"/>
        <v>615.1690340763322</v>
      </c>
      <c r="BH120" s="59">
        <f t="shared" si="62"/>
        <v>908.50236740966557</v>
      </c>
      <c r="BI120" s="59">
        <f ca="1">AVERAGE(OFFSET($BH$3,0,0,'Données projet'!$E$11+1,1))-AVERAGE(OFFSET($H$3,0,0,'Données projet'!$E$11+1,1))</f>
        <v>328.34986205643321</v>
      </c>
      <c r="BJ120" s="59">
        <f t="shared" si="92"/>
        <v>251.60894449147008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67.543513304389009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67.543513304389009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2.0395418687257919E-13</v>
      </c>
      <c r="P121" s="13">
        <f t="shared" si="87"/>
        <v>2.8200388570161721E-12</v>
      </c>
      <c r="Q121" s="20">
        <f t="shared" si="107"/>
        <v>5.2667878847729083E-12</v>
      </c>
      <c r="R121" s="59">
        <f t="shared" si="55"/>
        <v>293.3333333333386</v>
      </c>
      <c r="S121" s="59">
        <f ca="1">AVERAGE(OFFSET($R$3,0,0,'Données projet'!$E$9+1,1))-AVERAGE(OFFSET($H$3,0,0,'Données projet'!$E$9+1,1))</f>
        <v>250.57528780096658</v>
      </c>
      <c r="T121" s="59">
        <f t="shared" si="88"/>
        <v>277.12386407996132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-9.0949470177292824E-13</v>
      </c>
      <c r="AJ121" s="13">
        <f>AI121*VLOOKUP('Données projet'!$B$10,Paramètres!$A$1:$I$89,3,0)*VLOOKUP('Données projet'!$B$10,Paramètres!$A$1:$I$89,5,0)</f>
        <v>-4.625326255336404E-13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373.70967725072484</v>
      </c>
      <c r="AO121" s="59">
        <f t="shared" si="90"/>
        <v>431.87575082696571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59.208891933936158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1.2369800843397821E-7</v>
      </c>
      <c r="AX121" s="21">
        <f t="shared" si="60"/>
        <v>59.208892057634166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342.99999999999966</v>
      </c>
      <c r="BE121" s="13">
        <f>BD121*VLOOKUP('Données projet'!$B$11,Paramètres!$A$1:$I$89,3,0)*VLOOKUP('Données projet'!$B$11,Paramètres!$A$1:$I$89,5,0)</f>
        <v>288.94319999999976</v>
      </c>
      <c r="BF121" s="13">
        <f t="shared" si="91"/>
        <v>68.853491941116658</v>
      </c>
      <c r="BG121" s="20">
        <f t="shared" si="61"/>
        <v>623.16257179744446</v>
      </c>
      <c r="BH121" s="59">
        <f t="shared" si="62"/>
        <v>916.49590513077783</v>
      </c>
      <c r="BI121" s="59">
        <f ca="1">AVERAGE(OFFSET($BH$3,0,0,'Données projet'!$E$11+1,1))-AVERAGE(OFFSET($H$3,0,0,'Données projet'!$E$11+1,1))</f>
        <v>328.34986205643321</v>
      </c>
      <c r="BJ121" s="59">
        <f t="shared" si="92"/>
        <v>251.60894449147008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66.21902620596515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66.21902620596515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2.0395418687257919E-13</v>
      </c>
      <c r="P122" s="13">
        <f t="shared" si="87"/>
        <v>2.8200388570161721E-12</v>
      </c>
      <c r="Q122" s="20">
        <f t="shared" si="107"/>
        <v>5.2667878847729083E-12</v>
      </c>
      <c r="R122" s="59">
        <f t="shared" si="55"/>
        <v>293.3333333333386</v>
      </c>
      <c r="S122" s="59">
        <f ca="1">AVERAGE(OFFSET($R$3,0,0,'Données projet'!$E$9+1,1))-AVERAGE(OFFSET($H$3,0,0,'Données projet'!$E$9+1,1))</f>
        <v>250.57528780096658</v>
      </c>
      <c r="T122" s="59">
        <f t="shared" si="88"/>
        <v>277.12386407996132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-9.0949470177292824E-13</v>
      </c>
      <c r="AJ122" s="13">
        <f>AI122*VLOOKUP('Données projet'!$B$10,Paramètres!$A$1:$I$89,3,0)*VLOOKUP('Données projet'!$B$10,Paramètres!$A$1:$I$89,5,0)</f>
        <v>-4.625326255336404E-13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373.70967725072484</v>
      </c>
      <c r="AO122" s="59">
        <f t="shared" si="90"/>
        <v>431.87575082696571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58.047841676969803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8.746770058293674E-8</v>
      </c>
      <c r="AX122" s="21">
        <f t="shared" si="60"/>
        <v>58.0478417644375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347.49999999999966</v>
      </c>
      <c r="BE122" s="13">
        <f>BD122*VLOOKUP('Données projet'!$B$11,Paramètres!$A$1:$I$89,3,0)*VLOOKUP('Données projet'!$B$11,Paramètres!$A$1:$I$89,5,0)</f>
        <v>292.73399999999975</v>
      </c>
      <c r="BF122" s="13">
        <f t="shared" si="91"/>
        <v>69.651064026395574</v>
      </c>
      <c r="BG122" s="20">
        <f t="shared" si="61"/>
        <v>631.15398651263843</v>
      </c>
      <c r="BH122" s="59">
        <f t="shared" si="62"/>
        <v>924.4873198459718</v>
      </c>
      <c r="BI122" s="59">
        <f ca="1">AVERAGE(OFFSET($BH$3,0,0,'Données projet'!$E$11+1,1))-AVERAGE(OFFSET($H$3,0,0,'Données projet'!$E$11+1,1))</f>
        <v>328.34986205643321</v>
      </c>
      <c r="BJ122" s="59">
        <f t="shared" si="92"/>
        <v>251.60894449147008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64.92051149168401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64.92051149168401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2.0395418687257919E-13</v>
      </c>
      <c r="P123" s="13">
        <f t="shared" si="87"/>
        <v>2.8200388570161721E-12</v>
      </c>
      <c r="Q123" s="20">
        <f t="shared" si="107"/>
        <v>5.2667878847729083E-12</v>
      </c>
      <c r="R123" s="59">
        <f t="shared" si="55"/>
        <v>293.3333333333386</v>
      </c>
      <c r="S123" s="59">
        <f ca="1">AVERAGE(OFFSET($R$3,0,0,'Données projet'!$E$9+1,1))-AVERAGE(OFFSET($H$3,0,0,'Données projet'!$E$9+1,1))</f>
        <v>250.57528780096658</v>
      </c>
      <c r="T123" s="59">
        <f t="shared" si="88"/>
        <v>277.12386407996132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-9.0949470177292824E-13</v>
      </c>
      <c r="AJ123" s="13">
        <f>AI123*VLOOKUP('Données projet'!$B$10,Paramètres!$A$1:$I$89,3,0)*VLOOKUP('Données projet'!$B$10,Paramètres!$A$1:$I$89,5,0)</f>
        <v>-4.625326255336404E-13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373.70967725072484</v>
      </c>
      <c r="AO123" s="59">
        <f t="shared" si="90"/>
        <v>431.87575082696571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56.909558907371824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6.1849004216989103E-8</v>
      </c>
      <c r="AX123" s="21">
        <f t="shared" si="60"/>
        <v>56.909558969220832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351.99999999999966</v>
      </c>
      <c r="BE123" s="13">
        <f>BD123*VLOOKUP('Données projet'!$B$11,Paramètres!$A$1:$I$89,3,0)*VLOOKUP('Données projet'!$B$11,Paramètres!$A$1:$I$89,5,0)</f>
        <v>296.52479999999974</v>
      </c>
      <c r="BF123" s="13">
        <f t="shared" si="91"/>
        <v>70.447434770968471</v>
      </c>
      <c r="BG123" s="20">
        <f t="shared" si="61"/>
        <v>639.1433088927696</v>
      </c>
      <c r="BH123" s="59">
        <f t="shared" si="62"/>
        <v>932.47664222610297</v>
      </c>
      <c r="BI123" s="59">
        <f ca="1">AVERAGE(OFFSET($BH$3,0,0,'Données projet'!$E$11+1,1))-AVERAGE(OFFSET($H$3,0,0,'Données projet'!$E$11+1,1))</f>
        <v>328.34986205643321</v>
      </c>
      <c r="BJ123" s="59">
        <f t="shared" si="92"/>
        <v>251.60894449147008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47</v>
      </c>
      <c r="BM123" s="16">
        <f>IF(ISNA(VLOOKUP(A123,'Données projet'!$A$87:$I$107,5,0)),0%,VLOOKUP(A123,'Données projet'!$A$87:$I$107,5,0)*VLOOKUP('Données projet'!$B$11,Paramètres!$A$1:$I$89,7,0))</f>
        <v>0.36549999999999999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79.644907882367391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79.644907882367391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2.0395418687257919E-13</v>
      </c>
      <c r="P124" s="13">
        <f t="shared" si="87"/>
        <v>2.8200388570161721E-12</v>
      </c>
      <c r="Q124" s="20">
        <f t="shared" si="107"/>
        <v>5.2667878847729083E-12</v>
      </c>
      <c r="R124" s="59">
        <f t="shared" si="55"/>
        <v>293.3333333333386</v>
      </c>
      <c r="S124" s="59">
        <f ca="1">AVERAGE(OFFSET($R$3,0,0,'Données projet'!$E$9+1,1))-AVERAGE(OFFSET($H$3,0,0,'Données projet'!$E$9+1,1))</f>
        <v>250.57528780096658</v>
      </c>
      <c r="T124" s="59">
        <f t="shared" si="88"/>
        <v>277.12386407996132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-9.0949470177292824E-13</v>
      </c>
      <c r="AJ124" s="13">
        <f>AI124*VLOOKUP('Données projet'!$B$10,Paramètres!$A$1:$I$89,3,0)*VLOOKUP('Données projet'!$B$10,Paramètres!$A$1:$I$89,5,0)</f>
        <v>-4.625326255336404E-13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373.70967725072484</v>
      </c>
      <c r="AO124" s="59">
        <f t="shared" si="90"/>
        <v>431.87575082696571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55.793597168601728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4.373385029146837E-8</v>
      </c>
      <c r="AX124" s="21">
        <f t="shared" si="60"/>
        <v>55.793597212335577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4.0999999999999996</v>
      </c>
      <c r="BD124" s="12">
        <f>IF('Données projet'!$A$88&gt;35,BD123+BC124-BL123,IF(A124&lt;'Données projet'!$A$88,$BA$205^A124,IF(A124='Données projet'!$A$88,'Données projet'!$B$88,BD123+BC124-BL123)))</f>
        <v>309.09999999999968</v>
      </c>
      <c r="BE124" s="13">
        <f>BD124*VLOOKUP('Données projet'!$B$11,Paramètres!$A$1:$I$89,3,0)*VLOOKUP('Données projet'!$B$11,Paramètres!$A$1:$I$89,5,0)</f>
        <v>260.38583999999975</v>
      </c>
      <c r="BF124" s="13">
        <f t="shared" si="91"/>
        <v>62.804616352490115</v>
      </c>
      <c r="BG124" s="20">
        <f t="shared" si="61"/>
        <v>562.89004481391976</v>
      </c>
      <c r="BH124" s="59">
        <f t="shared" si="62"/>
        <v>856.22337814725302</v>
      </c>
      <c r="BI124" s="59">
        <f ca="1">AVERAGE(OFFSET($BH$3,0,0,'Données projet'!$E$11+1,1))-AVERAGE(OFFSET($H$3,0,0,'Données projet'!$E$11+1,1))</f>
        <v>328.34986205643321</v>
      </c>
      <c r="BJ124" s="59">
        <f t="shared" si="92"/>
        <v>251.60894449147008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78.083119817391236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78.083119817391236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2.0395418687257919E-13</v>
      </c>
      <c r="P125" s="13">
        <f t="shared" si="87"/>
        <v>2.8200388570161721E-12</v>
      </c>
      <c r="Q125" s="20">
        <f t="shared" si="107"/>
        <v>5.2667878847729083E-12</v>
      </c>
      <c r="R125" s="59">
        <f t="shared" si="55"/>
        <v>293.3333333333386</v>
      </c>
      <c r="S125" s="59">
        <f ca="1">AVERAGE(OFFSET($R$3,0,0,'Données projet'!$E$9+1,1))-AVERAGE(OFFSET($H$3,0,0,'Données projet'!$E$9+1,1))</f>
        <v>250.57528780096658</v>
      </c>
      <c r="T125" s="59">
        <f t="shared" si="88"/>
        <v>277.12386407996132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-9.0949470177292824E-13</v>
      </c>
      <c r="AJ125" s="13">
        <f>AI125*VLOOKUP('Données projet'!$B$10,Paramètres!$A$1:$I$89,3,0)*VLOOKUP('Données projet'!$B$10,Paramètres!$A$1:$I$89,5,0)</f>
        <v>-4.625326255336404E-13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373.70967725072484</v>
      </c>
      <c r="AO125" s="59">
        <f t="shared" si="90"/>
        <v>431.87575082696571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54.699518758859462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3.0924502108494552E-8</v>
      </c>
      <c r="AX125" s="21">
        <f t="shared" si="60"/>
        <v>54.699518789783966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4.0999999999999996</v>
      </c>
      <c r="BD125" s="12">
        <f>IF('Données projet'!$A$88&gt;35,BD124+BC125-BL124,IF(A125&lt;'Données projet'!$A$88,$BA$205^A125,IF(A125='Données projet'!$A$88,'Données projet'!$B$88,BD124+BC125-BL124)))</f>
        <v>313.1999999999997</v>
      </c>
      <c r="BE125" s="13">
        <f>BD125*VLOOKUP('Données projet'!$B$11,Paramètres!$A$1:$I$89,3,0)*VLOOKUP('Données projet'!$B$11,Paramètres!$A$1:$I$89,5,0)</f>
        <v>263.83967999999976</v>
      </c>
      <c r="BF125" s="13">
        <f t="shared" si="91"/>
        <v>63.540142934904779</v>
      </c>
      <c r="BG125" s="20">
        <f t="shared" si="61"/>
        <v>570.18652494495871</v>
      </c>
      <c r="BH125" s="59">
        <f t="shared" si="62"/>
        <v>863.51985827829208</v>
      </c>
      <c r="BI125" s="59">
        <f ca="1">AVERAGE(OFFSET($BH$3,0,0,'Données projet'!$E$11+1,1))-AVERAGE(OFFSET($H$3,0,0,'Données projet'!$E$11+1,1))</f>
        <v>328.34986205643321</v>
      </c>
      <c r="BJ125" s="59">
        <f t="shared" si="92"/>
        <v>251.60894449147008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76.551957463772609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76.551957463772609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2.0395418687257919E-13</v>
      </c>
      <c r="P126" s="13">
        <f t="shared" si="87"/>
        <v>2.8200388570161721E-12</v>
      </c>
      <c r="Q126" s="20">
        <f t="shared" si="107"/>
        <v>5.2667878847729083E-12</v>
      </c>
      <c r="R126" s="59">
        <f t="shared" si="55"/>
        <v>293.3333333333386</v>
      </c>
      <c r="S126" s="59">
        <f ca="1">AVERAGE(OFFSET($R$3,0,0,'Données projet'!$E$9+1,1))-AVERAGE(OFFSET($H$3,0,0,'Données projet'!$E$9+1,1))</f>
        <v>250.57528780096658</v>
      </c>
      <c r="T126" s="59">
        <f t="shared" si="88"/>
        <v>277.12386407996132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-9.0949470177292824E-13</v>
      </c>
      <c r="AJ126" s="13">
        <f>AI126*VLOOKUP('Données projet'!$B$10,Paramètres!$A$1:$I$89,3,0)*VLOOKUP('Données projet'!$B$10,Paramètres!$A$1:$I$89,5,0)</f>
        <v>-4.625326255336404E-13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373.70967725072484</v>
      </c>
      <c r="AO126" s="59">
        <f t="shared" si="90"/>
        <v>431.87575082696571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53.62689455941031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2.1866925145734185E-8</v>
      </c>
      <c r="AX126" s="21">
        <f t="shared" si="60"/>
        <v>53.626894581277234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4.0999999999999996</v>
      </c>
      <c r="BD126" s="12">
        <f>IF('Données projet'!$A$88&gt;35,BD125+BC126-BL125,IF(A126&lt;'Données projet'!$A$88,$BA$205^A126,IF(A126='Données projet'!$A$88,'Données projet'!$B$88,BD125+BC126-BL125)))</f>
        <v>317.29999999999973</v>
      </c>
      <c r="BE126" s="13">
        <f>BD126*VLOOKUP('Données projet'!$B$11,Paramètres!$A$1:$I$89,3,0)*VLOOKUP('Données projet'!$B$11,Paramètres!$A$1:$I$89,5,0)</f>
        <v>267.29351999999983</v>
      </c>
      <c r="BF126" s="13">
        <f t="shared" si="91"/>
        <v>64.274549574792829</v>
      </c>
      <c r="BG126" s="20">
        <f t="shared" si="61"/>
        <v>577.48105450943058</v>
      </c>
      <c r="BH126" s="59">
        <f t="shared" si="62"/>
        <v>870.81438784276384</v>
      </c>
      <c r="BI126" s="59">
        <f ca="1">AVERAGE(OFFSET($BH$3,0,0,'Données projet'!$E$11+1,1))-AVERAGE(OFFSET($H$3,0,0,'Données projet'!$E$11+1,1))</f>
        <v>328.34986205643321</v>
      </c>
      <c r="BJ126" s="59">
        <f t="shared" si="92"/>
        <v>251.60894449147008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75.050820269991618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75.050820269991618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2.0395418687257919E-13</v>
      </c>
      <c r="P127" s="13">
        <f t="shared" si="87"/>
        <v>2.8200388570161721E-12</v>
      </c>
      <c r="Q127" s="20">
        <f t="shared" si="107"/>
        <v>5.2667878847729083E-12</v>
      </c>
      <c r="R127" s="59">
        <f t="shared" si="55"/>
        <v>293.3333333333386</v>
      </c>
      <c r="S127" s="59">
        <f ca="1">AVERAGE(OFFSET($R$3,0,0,'Données projet'!$E$9+1,1))-AVERAGE(OFFSET($H$3,0,0,'Données projet'!$E$9+1,1))</f>
        <v>250.57528780096658</v>
      </c>
      <c r="T127" s="59">
        <f t="shared" si="88"/>
        <v>277.12386407996132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-9.0949470177292824E-13</v>
      </c>
      <c r="AJ127" s="13">
        <f>AI127*VLOOKUP('Données projet'!$B$10,Paramètres!$A$1:$I$89,3,0)*VLOOKUP('Données projet'!$B$10,Paramètres!$A$1:$I$89,5,0)</f>
        <v>-4.625326255336404E-13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373.70967725072484</v>
      </c>
      <c r="AO127" s="59">
        <f t="shared" si="90"/>
        <v>431.87575082696571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52.575303866276194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1.5462251054247276E-8</v>
      </c>
      <c r="AX127" s="21">
        <f t="shared" si="60"/>
        <v>52.575303881738442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4.0999999999999996</v>
      </c>
      <c r="BD127" s="12">
        <f>IF('Données projet'!$A$88&gt;35,BD126+BC127-BL126,IF(A127&lt;'Données projet'!$A$88,$BA$205^A127,IF(A127='Données projet'!$A$88,'Données projet'!$B$88,BD126+BC127-BL126)))</f>
        <v>321.39999999999975</v>
      </c>
      <c r="BE127" s="13">
        <f>BD127*VLOOKUP('Données projet'!$B$11,Paramètres!$A$1:$I$89,3,0)*VLOOKUP('Données projet'!$B$11,Paramètres!$A$1:$I$89,5,0)</f>
        <v>270.74735999999979</v>
      </c>
      <c r="BF127" s="13">
        <f t="shared" si="91"/>
        <v>65.007852416747056</v>
      </c>
      <c r="BG127" s="20">
        <f t="shared" si="61"/>
        <v>584.77366162583417</v>
      </c>
      <c r="BH127" s="59">
        <f t="shared" si="62"/>
        <v>878.10699495916742</v>
      </c>
      <c r="BI127" s="59">
        <f ca="1">AVERAGE(OFFSET($BH$3,0,0,'Données projet'!$E$11+1,1))-AVERAGE(OFFSET($H$3,0,0,'Données projet'!$E$11+1,1))</f>
        <v>328.34986205643321</v>
      </c>
      <c r="BJ127" s="59">
        <f t="shared" si="92"/>
        <v>251.60894449147008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73.579119460977395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73.579119460977395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2.0395418687257919E-13</v>
      </c>
      <c r="P128" s="13">
        <f t="shared" si="87"/>
        <v>2.8200388570161721E-12</v>
      </c>
      <c r="Q128" s="20">
        <f t="shared" si="107"/>
        <v>5.2667878847729083E-12</v>
      </c>
      <c r="R128" s="59">
        <f t="shared" si="55"/>
        <v>293.3333333333386</v>
      </c>
      <c r="S128" s="59">
        <f ca="1">AVERAGE(OFFSET($R$3,0,0,'Données projet'!$E$9+1,1))-AVERAGE(OFFSET($H$3,0,0,'Données projet'!$E$9+1,1))</f>
        <v>250.57528780096658</v>
      </c>
      <c r="T128" s="59">
        <f t="shared" si="88"/>
        <v>277.12386407996132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-9.0949470177292824E-13</v>
      </c>
      <c r="AJ128" s="13">
        <f>AI128*VLOOKUP('Données projet'!$B$10,Paramètres!$A$1:$I$89,3,0)*VLOOKUP('Données projet'!$B$10,Paramètres!$A$1:$I$89,5,0)</f>
        <v>-4.625326255336404E-13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373.70967725072484</v>
      </c>
      <c r="AO128" s="59">
        <f t="shared" si="90"/>
        <v>431.87575082696571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51.544334225227445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1.0933462572867092E-8</v>
      </c>
      <c r="AX128" s="21">
        <f t="shared" si="60"/>
        <v>51.544334236160907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4.0999999999999996</v>
      </c>
      <c r="BD128" s="12">
        <f>IF('Données projet'!$A$88&gt;35,BD127+BC128-BL127,IF(A128&lt;'Données projet'!$A$88,$BA$205^A128,IF(A128='Données projet'!$A$88,'Données projet'!$B$88,BD127+BC128-BL127)))</f>
        <v>325.49999999999977</v>
      </c>
      <c r="BE128" s="13">
        <f>BD128*VLOOKUP('Données projet'!$B$11,Paramètres!$A$1:$I$89,3,0)*VLOOKUP('Données projet'!$B$11,Paramètres!$A$1:$I$89,5,0)</f>
        <v>274.20119999999986</v>
      </c>
      <c r="BF128" s="13">
        <f t="shared" si="91"/>
        <v>65.740067169772757</v>
      </c>
      <c r="BG128" s="20">
        <f t="shared" si="61"/>
        <v>592.06437365402064</v>
      </c>
      <c r="BH128" s="59">
        <f t="shared" si="62"/>
        <v>885.39770698735401</v>
      </c>
      <c r="BI128" s="59">
        <f ca="1">AVERAGE(OFFSET($BH$3,0,0,'Données projet'!$E$11+1,1))-AVERAGE(OFFSET($H$3,0,0,'Données projet'!$E$11+1,1))</f>
        <v>328.34986205643321</v>
      </c>
      <c r="BJ128" s="59">
        <f t="shared" si="92"/>
        <v>251.60894449147008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72.136277807179084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72.136277807179084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2.0395418687257919E-13</v>
      </c>
      <c r="P129" s="13">
        <f t="shared" si="87"/>
        <v>2.8200388570161721E-12</v>
      </c>
      <c r="Q129" s="20">
        <f t="shared" si="107"/>
        <v>5.2667878847729083E-12</v>
      </c>
      <c r="R129" s="59">
        <f t="shared" si="55"/>
        <v>293.3333333333386</v>
      </c>
      <c r="S129" s="59">
        <f ca="1">AVERAGE(OFFSET($R$3,0,0,'Données projet'!$E$9+1,1))-AVERAGE(OFFSET($H$3,0,0,'Données projet'!$E$9+1,1))</f>
        <v>250.57528780096658</v>
      </c>
      <c r="T129" s="59">
        <f t="shared" si="88"/>
        <v>277.12386407996132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-9.0949470177292824E-13</v>
      </c>
      <c r="AJ129" s="13">
        <f>AI129*VLOOKUP('Données projet'!$B$10,Paramètres!$A$1:$I$89,3,0)*VLOOKUP('Données projet'!$B$10,Paramètres!$A$1:$I$89,5,0)</f>
        <v>-4.625326255336404E-13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373.70967725072484</v>
      </c>
      <c r="AO129" s="59">
        <f t="shared" si="90"/>
        <v>431.87575082696571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50.533581270010274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7.7311255271236379E-9</v>
      </c>
      <c r="AX129" s="21">
        <f t="shared" si="60"/>
        <v>50.533581277741398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4.0999999999999996</v>
      </c>
      <c r="BD129" s="12">
        <f>IF('Données projet'!$A$88&gt;35,BD128+BC129-BL128,IF(A129&lt;'Données projet'!$A$88,$BA$205^A129,IF(A129='Données projet'!$A$88,'Données projet'!$B$88,BD128+BC129-BL128)))</f>
        <v>329.5999999999998</v>
      </c>
      <c r="BE129" s="13">
        <f>BD129*VLOOKUP('Données projet'!$B$11,Paramètres!$A$1:$I$89,3,0)*VLOOKUP('Données projet'!$B$11,Paramètres!$A$1:$I$89,5,0)</f>
        <v>277.65503999999987</v>
      </c>
      <c r="BF129" s="13">
        <f t="shared" si="91"/>
        <v>66.47120912437552</v>
      </c>
      <c r="BG129" s="20">
        <f t="shared" si="61"/>
        <v>599.35321722495371</v>
      </c>
      <c r="BH129" s="59">
        <f t="shared" si="62"/>
        <v>892.68655055828708</v>
      </c>
      <c r="BI129" s="59">
        <f ca="1">AVERAGE(OFFSET($BH$3,0,0,'Données projet'!$E$11+1,1))-AVERAGE(OFFSET($H$3,0,0,'Données projet'!$E$11+1,1))</f>
        <v>328.34986205643321</v>
      </c>
      <c r="BJ129" s="59">
        <f t="shared" si="92"/>
        <v>251.60894449147008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70.721729398165252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70.721729398165252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2.0395418687257919E-13</v>
      </c>
      <c r="P130" s="13">
        <f t="shared" si="87"/>
        <v>2.8200388570161721E-12</v>
      </c>
      <c r="Q130" s="20">
        <f t="shared" si="107"/>
        <v>5.2667878847729083E-12</v>
      </c>
      <c r="R130" s="59">
        <f t="shared" si="55"/>
        <v>293.3333333333386</v>
      </c>
      <c r="S130" s="59">
        <f ca="1">AVERAGE(OFFSET($R$3,0,0,'Données projet'!$E$9+1,1))-AVERAGE(OFFSET($H$3,0,0,'Données projet'!$E$9+1,1))</f>
        <v>250.57528780096658</v>
      </c>
      <c r="T130" s="59">
        <f t="shared" si="88"/>
        <v>277.12386407996132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-9.0949470177292824E-13</v>
      </c>
      <c r="AJ130" s="13">
        <f>AI130*VLOOKUP('Données projet'!$B$10,Paramètres!$A$1:$I$89,3,0)*VLOOKUP('Données projet'!$B$10,Paramètres!$A$1:$I$89,5,0)</f>
        <v>-4.625326255336404E-13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373.70967725072484</v>
      </c>
      <c r="AO130" s="59">
        <f t="shared" si="90"/>
        <v>431.87575082696571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49.542648563746482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5.4667312864335462E-9</v>
      </c>
      <c r="AX130" s="21">
        <f t="shared" si="60"/>
        <v>49.542648569213213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4.0999999999999996</v>
      </c>
      <c r="BD130" s="12">
        <f>IF('Données projet'!$A$88&gt;35,BD129+BC130-BL129,IF(A130&lt;'Données projet'!$A$88,$BA$205^A130,IF(A130='Données projet'!$A$88,'Données projet'!$B$88,BD129+BC130-BL129)))</f>
        <v>333.69999999999982</v>
      </c>
      <c r="BE130" s="13">
        <f>BD130*VLOOKUP('Données projet'!$B$11,Paramètres!$A$1:$I$89,3,0)*VLOOKUP('Données projet'!$B$11,Paramètres!$A$1:$I$89,5,0)</f>
        <v>281.10887999999989</v>
      </c>
      <c r="BF130" s="13">
        <f t="shared" si="91"/>
        <v>67.201293168774626</v>
      </c>
      <c r="BG130" s="20">
        <f t="shared" si="61"/>
        <v>606.64021826894884</v>
      </c>
      <c r="BH130" s="59">
        <f t="shared" si="62"/>
        <v>899.97355160228221</v>
      </c>
      <c r="BI130" s="59">
        <f ca="1">AVERAGE(OFFSET($BH$3,0,0,'Données projet'!$E$11+1,1))-AVERAGE(OFFSET($H$3,0,0,'Données projet'!$E$11+1,1))</f>
        <v>328.34986205643321</v>
      </c>
      <c r="BJ130" s="59">
        <f t="shared" si="92"/>
        <v>251.60894449147008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69.334919420662843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69.334919420662843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2.0395418687257919E-13</v>
      </c>
      <c r="P131" s="13">
        <f t="shared" si="87"/>
        <v>2.8200388570161721E-12</v>
      </c>
      <c r="Q131" s="20">
        <f t="shared" ref="Q131:Q153" si="108">(O131+P131)*0.475*44/12</f>
        <v>5.2667878847729083E-12</v>
      </c>
      <c r="R131" s="59">
        <f t="shared" ref="R131:R194" si="109">Q131+(I131+J131)*44/12</f>
        <v>293.3333333333386</v>
      </c>
      <c r="S131" s="59">
        <f ca="1">AVERAGE(OFFSET($R$3,0,0,'Données projet'!$E$9+1,1))-AVERAGE(OFFSET($H$3,0,0,'Données projet'!$E$9+1,1))</f>
        <v>250.57528780096658</v>
      </c>
      <c r="T131" s="59">
        <f t="shared" si="88"/>
        <v>277.12386407996132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-9.0949470177292824E-13</v>
      </c>
      <c r="AJ131" s="13">
        <f>AI131*VLOOKUP('Données projet'!$B$10,Paramètres!$A$1:$I$89,3,0)*VLOOKUP('Données projet'!$B$10,Paramètres!$A$1:$I$89,5,0)</f>
        <v>-4.625326255336404E-13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373.70967725072484</v>
      </c>
      <c r="AO131" s="59">
        <f t="shared" si="90"/>
        <v>431.87575082696571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48.571147443443252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3.865562763561819E-9</v>
      </c>
      <c r="AX131" s="21">
        <f t="shared" si="60"/>
        <v>48.571147447308817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4.0999999999999996</v>
      </c>
      <c r="BD131" s="12">
        <f>IF('Données projet'!$A$88&gt;35,BD130+BC131-BL130,IF(A131&lt;'Données projet'!$A$88,$BA$205^A131,IF(A131='Données projet'!$A$88,'Données projet'!$B$88,BD130+BC131-BL130)))</f>
        <v>337.79999999999984</v>
      </c>
      <c r="BE131" s="13">
        <f>BD131*VLOOKUP('Données projet'!$B$11,Paramètres!$A$1:$I$89,3,0)*VLOOKUP('Données projet'!$B$11,Paramètres!$A$1:$I$89,5,0)</f>
        <v>284.5627199999999</v>
      </c>
      <c r="BF131" s="13">
        <f t="shared" si="91"/>
        <v>67.93033380429695</v>
      </c>
      <c r="BG131" s="20">
        <f t="shared" si="61"/>
        <v>613.9254020424836</v>
      </c>
      <c r="BH131" s="59">
        <f t="shared" si="62"/>
        <v>907.25873537581697</v>
      </c>
      <c r="BI131" s="59">
        <f ca="1">AVERAGE(OFFSET($BH$3,0,0,'Données projet'!$E$11+1,1))-AVERAGE(OFFSET($H$3,0,0,'Données projet'!$E$11+1,1))</f>
        <v>328.34986205643321</v>
      </c>
      <c r="BJ131" s="59">
        <f t="shared" si="92"/>
        <v>251.60894449147008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67.975303940948692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67.975303940948692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2.0395418687257919E-13</v>
      </c>
      <c r="P132" s="13">
        <f t="shared" si="87"/>
        <v>2.8200388570161721E-12</v>
      </c>
      <c r="Q132" s="20">
        <f t="shared" si="108"/>
        <v>5.2667878847729083E-12</v>
      </c>
      <c r="R132" s="59">
        <f t="shared" si="109"/>
        <v>293.3333333333386</v>
      </c>
      <c r="S132" s="59">
        <f ca="1">AVERAGE(OFFSET($R$3,0,0,'Données projet'!$E$9+1,1))-AVERAGE(OFFSET($H$3,0,0,'Données projet'!$E$9+1,1))</f>
        <v>250.57528780096658</v>
      </c>
      <c r="T132" s="59">
        <f t="shared" si="88"/>
        <v>277.12386407996132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-9.0949470177292824E-13</v>
      </c>
      <c r="AJ132" s="13">
        <f>AI132*VLOOKUP('Données projet'!$B$10,Paramètres!$A$1:$I$89,3,0)*VLOOKUP('Données projet'!$B$10,Paramètres!$A$1:$I$89,5,0)</f>
        <v>-4.625326255336404E-13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373.70967725072484</v>
      </c>
      <c r="AO132" s="59">
        <f t="shared" si="90"/>
        <v>431.87575082696571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47.618696867551996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2.7333656432167731E-9</v>
      </c>
      <c r="AX132" s="21">
        <f t="shared" ref="AX132:AX153" si="114">SUM(AU132:AW132)</f>
        <v>47.618696870285362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4.0999999999999996</v>
      </c>
      <c r="BD132" s="12">
        <f>IF('Données projet'!$A$88&gt;35,BD131+BC132-BL131,IF(A132&lt;'Données projet'!$A$88,$BA$205^A132,IF(A132='Données projet'!$A$88,'Données projet'!$B$88,BD131+BC132-BL131)))</f>
        <v>341.89999999999986</v>
      </c>
      <c r="BE132" s="13">
        <f>BD132*VLOOKUP('Données projet'!$B$11,Paramètres!$A$1:$I$89,3,0)*VLOOKUP('Données projet'!$B$11,Paramètres!$A$1:$I$89,5,0)</f>
        <v>288.01655999999991</v>
      </c>
      <c r="BF132" s="13">
        <f t="shared" si="91"/>
        <v>68.658345160002241</v>
      </c>
      <c r="BG132" s="20">
        <f t="shared" ref="BG132:BG153" si="115">(BE132+BF132)*0.475*44/12</f>
        <v>621.2087931536704</v>
      </c>
      <c r="BH132" s="59">
        <f t="shared" ref="BH132:BH195" si="116">BG132+(AY132+AZ132)*44/12</f>
        <v>914.54212648700377</v>
      </c>
      <c r="BI132" s="59">
        <f ca="1">AVERAGE(OFFSET($BH$3,0,0,'Données projet'!$E$11+1,1))-AVERAGE(OFFSET($H$3,0,0,'Données projet'!$E$11+1,1))</f>
        <v>328.34986205643321</v>
      </c>
      <c r="BJ132" s="59">
        <f t="shared" si="92"/>
        <v>251.60894449147008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66.642349691508173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66.642349691508173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2.0395418687257919E-13</v>
      </c>
      <c r="P133" s="13">
        <f t="shared" ref="P133:P196" si="141">EXP(-1.0587+0.8836*LN(O133)+0.284)</f>
        <v>2.8200388570161721E-12</v>
      </c>
      <c r="Q133" s="20">
        <f t="shared" si="108"/>
        <v>5.2667878847729083E-12</v>
      </c>
      <c r="R133" s="59">
        <f t="shared" si="109"/>
        <v>293.3333333333386</v>
      </c>
      <c r="S133" s="59">
        <f ca="1">AVERAGE(OFFSET($R$3,0,0,'Données projet'!$E$9+1,1))-AVERAGE(OFFSET($H$3,0,0,'Données projet'!$E$9+1,1))</f>
        <v>250.57528780096658</v>
      </c>
      <c r="T133" s="59">
        <f t="shared" ref="T133:T196" si="142">$T$3</f>
        <v>277.12386407996132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-9.0949470177292824E-13</v>
      </c>
      <c r="AJ133" s="13">
        <f>AI133*VLOOKUP('Données projet'!$B$10,Paramètres!$A$1:$I$89,3,0)*VLOOKUP('Données projet'!$B$10,Paramètres!$A$1:$I$89,5,0)</f>
        <v>-4.625326255336404E-13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373.70967725072484</v>
      </c>
      <c r="AO133" s="59">
        <f t="shared" ref="AO133:AO196" si="144">$AO$3</f>
        <v>431.87575082696571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46.684923266516478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1.9327813817809095E-9</v>
      </c>
      <c r="AX133" s="21">
        <f t="shared" si="114"/>
        <v>46.684923268449261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346</v>
      </c>
      <c r="BB133" s="12">
        <f>VLOOKUP(A133,'Données projet'!$A$87:$I$107,9,0)</f>
        <v>4.0999999999999996</v>
      </c>
      <c r="BC133" s="12">
        <f t="array" ref="BC133">INDEX(BB:BB,MIN(IF(ISNUMBER(BB133:BB329),ROW(BB133:BB329),"")))</f>
        <v>4.0999999999999996</v>
      </c>
      <c r="BD133" s="12">
        <f>IF('Données projet'!$A$88&gt;35,BD132+BC133-BL132,IF(A133&lt;'Données projet'!$A$88,$BA$205^A133,IF(A133='Données projet'!$A$88,'Données projet'!$B$88,BD132+BC133-BL132)))</f>
        <v>345.99999999999989</v>
      </c>
      <c r="BE133" s="13">
        <f>BD133*VLOOKUP('Données projet'!$B$11,Paramètres!$A$1:$I$89,3,0)*VLOOKUP('Données projet'!$B$11,Paramètres!$A$1:$I$89,5,0)</f>
        <v>291.47039999999993</v>
      </c>
      <c r="BF133" s="13">
        <f t="shared" ref="BF133:BF153" si="145">EXP(-1.0587+0.8836*LN(BE133)+0.284)</f>
        <v>69.38534100658697</v>
      </c>
      <c r="BG133" s="20">
        <f t="shared" si="115"/>
        <v>628.49041558647207</v>
      </c>
      <c r="BH133" s="59">
        <f t="shared" si="116"/>
        <v>921.82374891980544</v>
      </c>
      <c r="BI133" s="59">
        <f ca="1">AVERAGE(OFFSET($BH$3,0,0,'Données projet'!$E$11+1,1))-AVERAGE(OFFSET($H$3,0,0,'Données projet'!$E$11+1,1))</f>
        <v>328.34986205643321</v>
      </c>
      <c r="BJ133" s="59">
        <f t="shared" ref="BJ133:BJ196" si="146">$BJ$3</f>
        <v>251.60894449147008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44</v>
      </c>
      <c r="BM133" s="16">
        <f>IF(ISNA(VLOOKUP(A133,'Données projet'!$A$87:$I$107,5,0)),0%,VLOOKUP(A133,'Données projet'!$A$87:$I$107,5,0)*VLOOKUP('Données projet'!$B$11,Paramètres!$A$1:$I$89,7,0))</f>
        <v>0.36549999999999999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80.311868181687203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80.311868181687203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2.0395418687257919E-13</v>
      </c>
      <c r="P134" s="13">
        <f t="shared" si="141"/>
        <v>2.8200388570161721E-12</v>
      </c>
      <c r="Q134" s="20">
        <f t="shared" si="108"/>
        <v>5.2667878847729083E-12</v>
      </c>
      <c r="R134" s="59">
        <f t="shared" si="109"/>
        <v>293.3333333333386</v>
      </c>
      <c r="S134" s="59">
        <f ca="1">AVERAGE(OFFSET($R$3,0,0,'Données projet'!$E$9+1,1))-AVERAGE(OFFSET($H$3,0,0,'Données projet'!$E$9+1,1))</f>
        <v>250.57528780096658</v>
      </c>
      <c r="T134" s="59">
        <f t="shared" si="142"/>
        <v>277.12386407996132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-9.0949470177292824E-13</v>
      </c>
      <c r="AJ134" s="13">
        <f>AI134*VLOOKUP('Données projet'!$B$10,Paramètres!$A$1:$I$89,3,0)*VLOOKUP('Données projet'!$B$10,Paramètres!$A$1:$I$89,5,0)</f>
        <v>-4.625326255336404E-13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373.70967725072484</v>
      </c>
      <c r="AO134" s="59">
        <f t="shared" si="144"/>
        <v>431.87575082696571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45.76946039625161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1.3666828216083866E-9</v>
      </c>
      <c r="AX134" s="21">
        <f t="shared" si="114"/>
        <v>45.769460397618296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3.8</v>
      </c>
      <c r="BD134" s="12">
        <f>IF('Données projet'!$A$88&gt;35,BD133+BC134-BL133,IF(A134&lt;'Données projet'!$A$88,$BA$205^A134,IF(A134='Données projet'!$A$88,'Données projet'!$B$88,BD133+BC134-BL133)))</f>
        <v>305.7999999999999</v>
      </c>
      <c r="BE134" s="13">
        <f>BD134*VLOOKUP('Données projet'!$B$11,Paramètres!$A$1:$I$89,3,0)*VLOOKUP('Données projet'!$B$11,Paramètres!$A$1:$I$89,5,0)</f>
        <v>257.60591999999991</v>
      </c>
      <c r="BF134" s="13">
        <f t="shared" si="145"/>
        <v>62.21178242147321</v>
      </c>
      <c r="BG134" s="20">
        <f t="shared" si="115"/>
        <v>557.01583171739901</v>
      </c>
      <c r="BH134" s="59">
        <f t="shared" si="116"/>
        <v>850.34916505073238</v>
      </c>
      <c r="BI134" s="59">
        <f ca="1">AVERAGE(OFFSET($BH$3,0,0,'Données projet'!$E$11+1,1))-AVERAGE(OFFSET($H$3,0,0,'Données projet'!$E$11+1,1))</f>
        <v>328.34986205643321</v>
      </c>
      <c r="BJ134" s="59">
        <f t="shared" si="146"/>
        <v>251.60894449147008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78.737001432046995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78.737001432046995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2.0395418687257919E-13</v>
      </c>
      <c r="P135" s="13">
        <f t="shared" si="141"/>
        <v>2.8200388570161721E-12</v>
      </c>
      <c r="Q135" s="20">
        <f t="shared" si="108"/>
        <v>5.2667878847729083E-12</v>
      </c>
      <c r="R135" s="59">
        <f t="shared" si="109"/>
        <v>293.3333333333386</v>
      </c>
      <c r="S135" s="59">
        <f ca="1">AVERAGE(OFFSET($R$3,0,0,'Données projet'!$E$9+1,1))-AVERAGE(OFFSET($H$3,0,0,'Données projet'!$E$9+1,1))</f>
        <v>250.57528780096658</v>
      </c>
      <c r="T135" s="59">
        <f t="shared" si="142"/>
        <v>277.12386407996132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-9.0949470177292824E-13</v>
      </c>
      <c r="AJ135" s="13">
        <f>AI135*VLOOKUP('Données projet'!$B$10,Paramètres!$A$1:$I$89,3,0)*VLOOKUP('Données projet'!$B$10,Paramètres!$A$1:$I$89,5,0)</f>
        <v>-4.625326255336404E-13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373.70967725072484</v>
      </c>
      <c r="AO135" s="59">
        <f t="shared" si="144"/>
        <v>431.87575082696571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44.871949194495421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9.6639069089045474E-10</v>
      </c>
      <c r="AX135" s="21">
        <f t="shared" si="114"/>
        <v>44.871949195461809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3.8</v>
      </c>
      <c r="BD135" s="12">
        <f>IF('Données projet'!$A$88&gt;35,BD134+BC135-BL134,IF(A135&lt;'Données projet'!$A$88,$BA$205^A135,IF(A135='Données projet'!$A$88,'Données projet'!$B$88,BD134+BC135-BL134)))</f>
        <v>309.59999999999991</v>
      </c>
      <c r="BE135" s="13">
        <f>BD135*VLOOKUP('Données projet'!$B$11,Paramètres!$A$1:$I$89,3,0)*VLOOKUP('Données projet'!$B$11,Paramètres!$A$1:$I$89,5,0)</f>
        <v>260.80703999999997</v>
      </c>
      <c r="BF135" s="13">
        <f t="shared" si="145"/>
        <v>62.894375229379683</v>
      </c>
      <c r="BG135" s="20">
        <f t="shared" si="115"/>
        <v>563.77996485783626</v>
      </c>
      <c r="BH135" s="59">
        <f t="shared" si="116"/>
        <v>857.11329819116963</v>
      </c>
      <c r="BI135" s="59">
        <f ca="1">AVERAGE(OFFSET($BH$3,0,0,'Données projet'!$E$11+1,1))-AVERAGE(OFFSET($H$3,0,0,'Données projet'!$E$11+1,1))</f>
        <v>328.34986205643321</v>
      </c>
      <c r="BJ135" s="59">
        <f t="shared" si="146"/>
        <v>251.60894449147008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77.193016858793371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77.193016858793371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2.0395418687257919E-13</v>
      </c>
      <c r="P136" s="13">
        <f t="shared" si="141"/>
        <v>2.8200388570161721E-12</v>
      </c>
      <c r="Q136" s="20">
        <f t="shared" si="108"/>
        <v>5.2667878847729083E-12</v>
      </c>
      <c r="R136" s="59">
        <f t="shared" si="109"/>
        <v>293.3333333333386</v>
      </c>
      <c r="S136" s="59">
        <f ca="1">AVERAGE(OFFSET($R$3,0,0,'Données projet'!$E$9+1,1))-AVERAGE(OFFSET($H$3,0,0,'Données projet'!$E$9+1,1))</f>
        <v>250.57528780096658</v>
      </c>
      <c r="T136" s="59">
        <f t="shared" si="142"/>
        <v>277.12386407996132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-9.0949470177292824E-13</v>
      </c>
      <c r="AJ136" s="13">
        <f>AI136*VLOOKUP('Données projet'!$B$10,Paramètres!$A$1:$I$89,3,0)*VLOOKUP('Données projet'!$B$10,Paramètres!$A$1:$I$89,5,0)</f>
        <v>-4.625326255336404E-13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373.70967725072484</v>
      </c>
      <c r="AO136" s="59">
        <f t="shared" si="144"/>
        <v>431.87575082696571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43.992037639977895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6.8334141080419328E-10</v>
      </c>
      <c r="AX136" s="21">
        <f t="shared" si="114"/>
        <v>43.992037640661238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3.8</v>
      </c>
      <c r="BD136" s="12">
        <f>IF('Données projet'!$A$88&gt;35,BD135+BC136-BL135,IF(A136&lt;'Données projet'!$A$88,$BA$205^A136,IF(A136='Données projet'!$A$88,'Données projet'!$B$88,BD135+BC136-BL135)))</f>
        <v>313.39999999999992</v>
      </c>
      <c r="BE136" s="13">
        <f>BD136*VLOOKUP('Données projet'!$B$11,Paramètres!$A$1:$I$89,3,0)*VLOOKUP('Données projet'!$B$11,Paramètres!$A$1:$I$89,5,0)</f>
        <v>264.00815999999998</v>
      </c>
      <c r="BF136" s="13">
        <f t="shared" si="145"/>
        <v>63.575993499536125</v>
      </c>
      <c r="BG136" s="20">
        <f t="shared" si="115"/>
        <v>570.5424006783586</v>
      </c>
      <c r="BH136" s="59">
        <f t="shared" si="116"/>
        <v>863.87573401169197</v>
      </c>
      <c r="BI136" s="59">
        <f ca="1">AVERAGE(OFFSET($BH$3,0,0,'Données projet'!$E$11+1,1))-AVERAGE(OFFSET($H$3,0,0,'Données projet'!$E$11+1,1))</f>
        <v>328.34986205643321</v>
      </c>
      <c r="BJ136" s="59">
        <f t="shared" si="146"/>
        <v>251.60894449147008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75.679308881283646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75.679308881283646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2.0395418687257919E-13</v>
      </c>
      <c r="P137" s="13">
        <f t="shared" si="141"/>
        <v>2.8200388570161721E-12</v>
      </c>
      <c r="Q137" s="20">
        <f t="shared" si="108"/>
        <v>5.2667878847729083E-12</v>
      </c>
      <c r="R137" s="59">
        <f t="shared" si="109"/>
        <v>293.3333333333386</v>
      </c>
      <c r="S137" s="59">
        <f ca="1">AVERAGE(OFFSET($R$3,0,0,'Données projet'!$E$9+1,1))-AVERAGE(OFFSET($H$3,0,0,'Données projet'!$E$9+1,1))</f>
        <v>250.57528780096658</v>
      </c>
      <c r="T137" s="59">
        <f t="shared" si="142"/>
        <v>277.12386407996132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-9.0949470177292824E-13</v>
      </c>
      <c r="AJ137" s="13">
        <f>AI137*VLOOKUP('Données projet'!$B$10,Paramètres!$A$1:$I$89,3,0)*VLOOKUP('Données projet'!$B$10,Paramètres!$A$1:$I$89,5,0)</f>
        <v>-4.625326255336404E-13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373.70967725072484</v>
      </c>
      <c r="AO137" s="59">
        <f t="shared" si="144"/>
        <v>431.87575082696571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43.129380614351398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4.8319534544522737E-10</v>
      </c>
      <c r="AX137" s="21">
        <f t="shared" si="114"/>
        <v>43.129380614834595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3.8</v>
      </c>
      <c r="BD137" s="12">
        <f>IF('Données projet'!$A$88&gt;35,BD136+BC137-BL136,IF(A137&lt;'Données projet'!$A$88,$BA$205^A137,IF(A137='Données projet'!$A$88,'Données projet'!$B$88,BD136+BC137-BL136)))</f>
        <v>317.19999999999993</v>
      </c>
      <c r="BE137" s="13">
        <f>BD137*VLOOKUP('Données projet'!$B$11,Paramètres!$A$1:$I$89,3,0)*VLOOKUP('Données projet'!$B$11,Paramètres!$A$1:$I$89,5,0)</f>
        <v>267.20927999999998</v>
      </c>
      <c r="BF137" s="13">
        <f t="shared" si="145"/>
        <v>64.256650415058076</v>
      </c>
      <c r="BG137" s="20">
        <f t="shared" si="115"/>
        <v>577.30316213955939</v>
      </c>
      <c r="BH137" s="59">
        <f t="shared" si="116"/>
        <v>870.63649547289265</v>
      </c>
      <c r="BI137" s="59">
        <f ca="1">AVERAGE(OFFSET($BH$3,0,0,'Données projet'!$E$11+1,1))-AVERAGE(OFFSET($H$3,0,0,'Données projet'!$E$11+1,1))</f>
        <v>328.34986205643321</v>
      </c>
      <c r="BJ137" s="59">
        <f t="shared" si="146"/>
        <v>251.60894449147008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74.195283793942181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74.195283793942181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2.0395418687257919E-13</v>
      </c>
      <c r="P138" s="13">
        <f t="shared" si="141"/>
        <v>2.8200388570161721E-12</v>
      </c>
      <c r="Q138" s="20">
        <f t="shared" si="108"/>
        <v>5.2667878847729083E-12</v>
      </c>
      <c r="R138" s="59">
        <f t="shared" si="109"/>
        <v>293.3333333333386</v>
      </c>
      <c r="S138" s="59">
        <f ca="1">AVERAGE(OFFSET($R$3,0,0,'Données projet'!$E$9+1,1))-AVERAGE(OFFSET($H$3,0,0,'Données projet'!$E$9+1,1))</f>
        <v>250.57528780096658</v>
      </c>
      <c r="T138" s="59">
        <f t="shared" si="142"/>
        <v>277.12386407996132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-9.0949470177292824E-13</v>
      </c>
      <c r="AJ138" s="13">
        <f>AI138*VLOOKUP('Données projet'!$B$10,Paramètres!$A$1:$I$89,3,0)*VLOOKUP('Données projet'!$B$10,Paramètres!$A$1:$I$89,5,0)</f>
        <v>-4.625326255336404E-13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373.70967725072484</v>
      </c>
      <c r="AO138" s="59">
        <f t="shared" si="144"/>
        <v>431.87575082696571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42.283639766828607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3.4167070540209664E-10</v>
      </c>
      <c r="AX138" s="21">
        <f t="shared" si="114"/>
        <v>42.283639767170278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3.8</v>
      </c>
      <c r="BD138" s="12">
        <f>IF('Données projet'!$A$88&gt;35,BD137+BC138-BL137,IF(A138&lt;'Données projet'!$A$88,$BA$205^A138,IF(A138='Données projet'!$A$88,'Données projet'!$B$88,BD137+BC138-BL137)))</f>
        <v>320.99999999999994</v>
      </c>
      <c r="BE138" s="13">
        <f>BD138*VLOOKUP('Données projet'!$B$11,Paramètres!$A$1:$I$89,3,0)*VLOOKUP('Données projet'!$B$11,Paramètres!$A$1:$I$89,5,0)</f>
        <v>270.41039999999998</v>
      </c>
      <c r="BF138" s="13">
        <f t="shared" si="145"/>
        <v>64.936358825024399</v>
      </c>
      <c r="BG138" s="20">
        <f t="shared" si="115"/>
        <v>584.06227162025073</v>
      </c>
      <c r="BH138" s="59">
        <f t="shared" si="116"/>
        <v>877.3956049535841</v>
      </c>
      <c r="BI138" s="59">
        <f ca="1">AVERAGE(OFFSET($BH$3,0,0,'Données projet'!$E$11+1,1))-AVERAGE(OFFSET($H$3,0,0,'Données projet'!$E$11+1,1))</f>
        <v>328.34986205643321</v>
      </c>
      <c r="BJ138" s="59">
        <f t="shared" si="146"/>
        <v>251.60894449147008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72.740359533397566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72.740359533397566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2.0395418687257919E-13</v>
      </c>
      <c r="P139" s="13">
        <f t="shared" si="141"/>
        <v>2.8200388570161721E-12</v>
      </c>
      <c r="Q139" s="20">
        <f t="shared" si="108"/>
        <v>5.2667878847729083E-12</v>
      </c>
      <c r="R139" s="59">
        <f t="shared" si="109"/>
        <v>293.3333333333386</v>
      </c>
      <c r="S139" s="59">
        <f ca="1">AVERAGE(OFFSET($R$3,0,0,'Données projet'!$E$9+1,1))-AVERAGE(OFFSET($H$3,0,0,'Données projet'!$E$9+1,1))</f>
        <v>250.57528780096658</v>
      </c>
      <c r="T139" s="59">
        <f t="shared" si="142"/>
        <v>277.12386407996132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-9.0949470177292824E-13</v>
      </c>
      <c r="AJ139" s="13">
        <f>AI139*VLOOKUP('Données projet'!$B$10,Paramètres!$A$1:$I$89,3,0)*VLOOKUP('Données projet'!$B$10,Paramètres!$A$1:$I$89,5,0)</f>
        <v>-4.625326255336404E-13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373.70967725072484</v>
      </c>
      <c r="AO139" s="59">
        <f t="shared" si="144"/>
        <v>431.87575082696571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41.454483381474759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2.4159767272261369E-10</v>
      </c>
      <c r="AX139" s="21">
        <f t="shared" si="114"/>
        <v>41.454483381716358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3.8</v>
      </c>
      <c r="BD139" s="12">
        <f>IF('Données projet'!$A$88&gt;35,BD138+BC139-BL138,IF(A139&lt;'Données projet'!$A$88,$BA$205^A139,IF(A139='Données projet'!$A$88,'Données projet'!$B$88,BD138+BC139-BL138)))</f>
        <v>324.79999999999995</v>
      </c>
      <c r="BE139" s="13">
        <f>BD139*VLOOKUP('Données projet'!$B$11,Paramètres!$A$1:$I$89,3,0)*VLOOKUP('Données projet'!$B$11,Paramètres!$A$1:$I$89,5,0)</f>
        <v>273.61151999999998</v>
      </c>
      <c r="BF139" s="13">
        <f t="shared" si="145"/>
        <v>65.615131256792893</v>
      </c>
      <c r="BG139" s="20">
        <f t="shared" si="115"/>
        <v>590.81975093891413</v>
      </c>
      <c r="BH139" s="59">
        <f t="shared" si="116"/>
        <v>884.1530842722475</v>
      </c>
      <c r="BI139" s="59">
        <f ca="1">AVERAGE(OFFSET($BH$3,0,0,'Données projet'!$E$11+1,1))-AVERAGE(OFFSET($H$3,0,0,'Données projet'!$E$11+1,1))</f>
        <v>328.34986205643321</v>
      </c>
      <c r="BJ139" s="59">
        <f t="shared" si="146"/>
        <v>251.60894449147008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71.31396545018606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71.31396545018606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2.0395418687257919E-13</v>
      </c>
      <c r="P140" s="13">
        <f t="shared" si="141"/>
        <v>2.8200388570161721E-12</v>
      </c>
      <c r="Q140" s="20">
        <f t="shared" si="108"/>
        <v>5.2667878847729083E-12</v>
      </c>
      <c r="R140" s="59">
        <f t="shared" si="109"/>
        <v>293.3333333333386</v>
      </c>
      <c r="S140" s="59">
        <f ca="1">AVERAGE(OFFSET($R$3,0,0,'Données projet'!$E$9+1,1))-AVERAGE(OFFSET($H$3,0,0,'Données projet'!$E$9+1,1))</f>
        <v>250.57528780096658</v>
      </c>
      <c r="T140" s="59">
        <f t="shared" si="142"/>
        <v>277.12386407996132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-9.0949470177292824E-13</v>
      </c>
      <c r="AJ140" s="13">
        <f>AI140*VLOOKUP('Données projet'!$B$10,Paramètres!$A$1:$I$89,3,0)*VLOOKUP('Données projet'!$B$10,Paramètres!$A$1:$I$89,5,0)</f>
        <v>-4.625326255336404E-13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373.70967725072484</v>
      </c>
      <c r="AO140" s="59">
        <f t="shared" si="144"/>
        <v>431.87575082696571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40.641586247102239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1.7083535270104832E-10</v>
      </c>
      <c r="AX140" s="21">
        <f t="shared" si="114"/>
        <v>40.641586247273075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3.8</v>
      </c>
      <c r="BD140" s="12">
        <f>IF('Données projet'!$A$88&gt;35,BD139+BC140-BL139,IF(A140&lt;'Données projet'!$A$88,$BA$205^A140,IF(A140='Données projet'!$A$88,'Données projet'!$B$88,BD139+BC140-BL139)))</f>
        <v>328.59999999999997</v>
      </c>
      <c r="BE140" s="13">
        <f>BD140*VLOOKUP('Données projet'!$B$11,Paramètres!$A$1:$I$89,3,0)*VLOOKUP('Données projet'!$B$11,Paramètres!$A$1:$I$89,5,0)</f>
        <v>276.81263999999999</v>
      </c>
      <c r="BF140" s="13">
        <f t="shared" si="145"/>
        <v>66.292979927723678</v>
      </c>
      <c r="BG140" s="20">
        <f t="shared" si="115"/>
        <v>597.57562137411867</v>
      </c>
      <c r="BH140" s="59">
        <f t="shared" si="116"/>
        <v>890.90895470745204</v>
      </c>
      <c r="BI140" s="59">
        <f ca="1">AVERAGE(OFFSET($BH$3,0,0,'Données projet'!$E$11+1,1))-AVERAGE(OFFSET($H$3,0,0,'Données projet'!$E$11+1,1))</f>
        <v>328.34986205643321</v>
      </c>
      <c r="BJ140" s="59">
        <f t="shared" si="146"/>
        <v>251.60894449147008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69.915542084931843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69.915542084931843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2.0395418687257919E-13</v>
      </c>
      <c r="P141" s="13">
        <f t="shared" si="141"/>
        <v>2.8200388570161721E-12</v>
      </c>
      <c r="Q141" s="20">
        <f t="shared" si="108"/>
        <v>5.2667878847729083E-12</v>
      </c>
      <c r="R141" s="59">
        <f t="shared" si="109"/>
        <v>293.3333333333386</v>
      </c>
      <c r="S141" s="59">
        <f ca="1">AVERAGE(OFFSET($R$3,0,0,'Données projet'!$E$9+1,1))-AVERAGE(OFFSET($H$3,0,0,'Données projet'!$E$9+1,1))</f>
        <v>250.57528780096658</v>
      </c>
      <c r="T141" s="59">
        <f t="shared" si="142"/>
        <v>277.12386407996132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-9.0949470177292824E-13</v>
      </c>
      <c r="AJ141" s="13">
        <f>AI141*VLOOKUP('Données projet'!$B$10,Paramètres!$A$1:$I$89,3,0)*VLOOKUP('Données projet'!$B$10,Paramètres!$A$1:$I$89,5,0)</f>
        <v>-4.625326255336404E-13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373.70967725072484</v>
      </c>
      <c r="AO141" s="59">
        <f t="shared" si="144"/>
        <v>431.87575082696571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39.844629529716471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1.2079883636130684E-10</v>
      </c>
      <c r="AX141" s="21">
        <f t="shared" si="114"/>
        <v>39.84462952983727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3.8</v>
      </c>
      <c r="BD141" s="12">
        <f>IF('Données projet'!$A$88&gt;35,BD140+BC141-BL140,IF(A141&lt;'Données projet'!$A$88,$BA$205^A141,IF(A141='Données projet'!$A$88,'Données projet'!$B$88,BD140+BC141-BL140)))</f>
        <v>332.4</v>
      </c>
      <c r="BE141" s="13">
        <f>BD141*VLOOKUP('Données projet'!$B$11,Paramètres!$A$1:$I$89,3,0)*VLOOKUP('Données projet'!$B$11,Paramètres!$A$1:$I$89,5,0)</f>
        <v>280.01376000000005</v>
      </c>
      <c r="BF141" s="13">
        <f t="shared" si="145"/>
        <v>66.969916756344503</v>
      </c>
      <c r="BG141" s="20">
        <f t="shared" si="115"/>
        <v>604.32990368396679</v>
      </c>
      <c r="BH141" s="59">
        <f t="shared" si="116"/>
        <v>897.66323701730016</v>
      </c>
      <c r="BI141" s="59">
        <f ca="1">AVERAGE(OFFSET($BH$3,0,0,'Données projet'!$E$11+1,1))-AVERAGE(OFFSET($H$3,0,0,'Données projet'!$E$11+1,1))</f>
        <v>328.34986205643321</v>
      </c>
      <c r="BJ141" s="59">
        <f t="shared" si="146"/>
        <v>251.60894449147008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68.544540948916236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68.544540948916236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2.0395418687257919E-13</v>
      </c>
      <c r="P142" s="13">
        <f t="shared" si="141"/>
        <v>2.8200388570161721E-12</v>
      </c>
      <c r="Q142" s="20">
        <f t="shared" si="108"/>
        <v>5.2667878847729083E-12</v>
      </c>
      <c r="R142" s="59">
        <f t="shared" si="109"/>
        <v>293.3333333333386</v>
      </c>
      <c r="S142" s="59">
        <f ca="1">AVERAGE(OFFSET($R$3,0,0,'Données projet'!$E$9+1,1))-AVERAGE(OFFSET($H$3,0,0,'Données projet'!$E$9+1,1))</f>
        <v>250.57528780096658</v>
      </c>
      <c r="T142" s="59">
        <f t="shared" si="142"/>
        <v>277.12386407996132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-9.0949470177292824E-13</v>
      </c>
      <c r="AJ142" s="13">
        <f>AI142*VLOOKUP('Données projet'!$B$10,Paramètres!$A$1:$I$89,3,0)*VLOOKUP('Données projet'!$B$10,Paramètres!$A$1:$I$89,5,0)</f>
        <v>-4.625326255336404E-13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373.70967725072484</v>
      </c>
      <c r="AO142" s="59">
        <f t="shared" si="144"/>
        <v>431.87575082696571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39.063300647463038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8.541767635052416E-11</v>
      </c>
      <c r="AX142" s="21">
        <f t="shared" si="114"/>
        <v>39.063300647548452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3.8</v>
      </c>
      <c r="BD142" s="12">
        <f>IF('Données projet'!$A$88&gt;35,BD141+BC142-BL141,IF(A142&lt;'Données projet'!$A$88,$BA$205^A142,IF(A142='Données projet'!$A$88,'Données projet'!$B$88,BD141+BC142-BL141)))</f>
        <v>336.2</v>
      </c>
      <c r="BE142" s="13">
        <f>BD142*VLOOKUP('Données projet'!$B$11,Paramètres!$A$1:$I$89,3,0)*VLOOKUP('Données projet'!$B$11,Paramètres!$A$1:$I$89,5,0)</f>
        <v>283.21487999999999</v>
      </c>
      <c r="BF142" s="13">
        <f t="shared" si="145"/>
        <v>67.645953372990718</v>
      </c>
      <c r="BG142" s="20">
        <f t="shared" si="115"/>
        <v>611.08261812462547</v>
      </c>
      <c r="BH142" s="59">
        <f t="shared" si="116"/>
        <v>904.41595145795873</v>
      </c>
      <c r="BI142" s="59">
        <f ca="1">AVERAGE(OFFSET($BH$3,0,0,'Données projet'!$E$11+1,1))-AVERAGE(OFFSET($H$3,0,0,'Données projet'!$E$11+1,1))</f>
        <v>328.34986205643321</v>
      </c>
      <c r="BJ142" s="59">
        <f t="shared" si="146"/>
        <v>251.60894449147008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67.200424308949763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67.200424308949763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2.0395418687257919E-13</v>
      </c>
      <c r="P143" s="13">
        <f t="shared" si="141"/>
        <v>2.8200388570161721E-12</v>
      </c>
      <c r="Q143" s="20">
        <f t="shared" si="108"/>
        <v>5.2667878847729083E-12</v>
      </c>
      <c r="R143" s="59">
        <f t="shared" si="109"/>
        <v>293.3333333333386</v>
      </c>
      <c r="S143" s="59">
        <f ca="1">AVERAGE(OFFSET($R$3,0,0,'Données projet'!$E$9+1,1))-AVERAGE(OFFSET($H$3,0,0,'Données projet'!$E$9+1,1))</f>
        <v>250.57528780096658</v>
      </c>
      <c r="T143" s="59">
        <f t="shared" si="142"/>
        <v>277.12386407996132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-9.0949470177292824E-13</v>
      </c>
      <c r="AJ143" s="13">
        <f>AI143*VLOOKUP('Données projet'!$B$10,Paramètres!$A$1:$I$89,3,0)*VLOOKUP('Données projet'!$B$10,Paramètres!$A$1:$I$89,5,0)</f>
        <v>-4.625326255336404E-13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373.70967725072484</v>
      </c>
      <c r="AO143" s="59">
        <f t="shared" si="144"/>
        <v>431.87575082696571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38.297293148027038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6.0399418180653421E-11</v>
      </c>
      <c r="AX143" s="21">
        <f t="shared" si="114"/>
        <v>38.297293148087434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340</v>
      </c>
      <c r="BB143" s="12">
        <f>VLOOKUP(A143,'Données projet'!$A$87:$I$107,9,0)</f>
        <v>3.8</v>
      </c>
      <c r="BC143" s="12">
        <f t="array" ref="BC143">INDEX(BB:BB,MIN(IF(ISNUMBER(BB143:BB339),ROW(BB143:BB339),"")))</f>
        <v>3.8</v>
      </c>
      <c r="BD143" s="12">
        <f>IF('Données projet'!$A$88&gt;35,BD142+BC143-BL142,IF(A143&lt;'Données projet'!$A$88,$BA$205^A143,IF(A143='Données projet'!$A$88,'Données projet'!$B$88,BD142+BC143-BL142)))</f>
        <v>340</v>
      </c>
      <c r="BE143" s="13">
        <f>BD143*VLOOKUP('Données projet'!$B$11,Paramètres!$A$1:$I$89,3,0)*VLOOKUP('Données projet'!$B$11,Paramètres!$A$1:$I$89,5,0)</f>
        <v>286.41600000000005</v>
      </c>
      <c r="BF143" s="13">
        <f t="shared" si="145"/>
        <v>68.321101129951245</v>
      </c>
      <c r="BG143" s="20">
        <f t="shared" si="115"/>
        <v>617.8337844679985</v>
      </c>
      <c r="BH143" s="59">
        <f t="shared" si="116"/>
        <v>911.16711780133187</v>
      </c>
      <c r="BI143" s="59">
        <f ca="1">AVERAGE(OFFSET($BH$3,0,0,'Données projet'!$E$11+1,1))-AVERAGE(OFFSET($H$3,0,0,'Données projet'!$E$11+1,1))</f>
        <v>328.34986205643321</v>
      </c>
      <c r="BJ143" s="59">
        <f t="shared" si="146"/>
        <v>251.60894449147008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0.36549999999999999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79.837885592649272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79.837885592649272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2.0395418687257919E-13</v>
      </c>
      <c r="P144" s="13">
        <f t="shared" si="141"/>
        <v>2.8200388570161721E-12</v>
      </c>
      <c r="Q144" s="20">
        <f t="shared" si="108"/>
        <v>5.2667878847729083E-12</v>
      </c>
      <c r="R144" s="59">
        <f t="shared" si="109"/>
        <v>293.3333333333386</v>
      </c>
      <c r="S144" s="59">
        <f ca="1">AVERAGE(OFFSET($R$3,0,0,'Données projet'!$E$9+1,1))-AVERAGE(OFFSET($H$3,0,0,'Données projet'!$E$9+1,1))</f>
        <v>250.57528780096658</v>
      </c>
      <c r="T144" s="59">
        <f t="shared" si="142"/>
        <v>277.12386407996132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-9.0949470177292824E-13</v>
      </c>
      <c r="AJ144" s="13">
        <f>AI144*VLOOKUP('Données projet'!$B$10,Paramètres!$A$1:$I$89,3,0)*VLOOKUP('Données projet'!$B$10,Paramètres!$A$1:$I$89,5,0)</f>
        <v>-4.625326255336404E-13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373.70967725072484</v>
      </c>
      <c r="AO144" s="59">
        <f t="shared" si="144"/>
        <v>431.87575082696571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37.546306588436536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4.270883817526208E-11</v>
      </c>
      <c r="AX144" s="21">
        <f t="shared" si="114"/>
        <v>37.546306588479247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3.4</v>
      </c>
      <c r="BD144" s="12">
        <f>IF('Données projet'!$A$88&gt;35,BD143+BC144-BL143,IF(A144&lt;'Données projet'!$A$88,$BA$205^A144,IF(A144='Données projet'!$A$88,'Données projet'!$B$88,BD143+BC144-BL143)))</f>
        <v>302.39999999999998</v>
      </c>
      <c r="BE144" s="13">
        <f>BD144*VLOOKUP('Données projet'!$B$11,Paramètres!$A$1:$I$89,3,0)*VLOOKUP('Données projet'!$B$11,Paramètres!$A$1:$I$89,5,0)</f>
        <v>254.74176</v>
      </c>
      <c r="BF144" s="13">
        <f t="shared" si="145"/>
        <v>61.600204366992962</v>
      </c>
      <c r="BG144" s="20">
        <f t="shared" si="115"/>
        <v>550.96225460584606</v>
      </c>
      <c r="BH144" s="59">
        <f t="shared" si="116"/>
        <v>844.29558793917931</v>
      </c>
      <c r="BI144" s="59">
        <f ca="1">AVERAGE(OFFSET($BH$3,0,0,'Données projet'!$E$11+1,1))-AVERAGE(OFFSET($H$3,0,0,'Données projet'!$E$11+1,1))</f>
        <v>328.34986205643321</v>
      </c>
      <c r="BJ144" s="59">
        <f t="shared" si="146"/>
        <v>251.60894449147008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78.272313352479273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78.272313352479273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2.0395418687257919E-13</v>
      </c>
      <c r="P145" s="13">
        <f t="shared" si="141"/>
        <v>2.8200388570161721E-12</v>
      </c>
      <c r="Q145" s="20">
        <f t="shared" si="108"/>
        <v>5.2667878847729083E-12</v>
      </c>
      <c r="R145" s="59">
        <f t="shared" si="109"/>
        <v>293.3333333333386</v>
      </c>
      <c r="S145" s="59">
        <f ca="1">AVERAGE(OFFSET($R$3,0,0,'Données projet'!$E$9+1,1))-AVERAGE(OFFSET($H$3,0,0,'Données projet'!$E$9+1,1))</f>
        <v>250.57528780096658</v>
      </c>
      <c r="T145" s="59">
        <f t="shared" si="142"/>
        <v>277.12386407996132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-9.0949470177292824E-13</v>
      </c>
      <c r="AJ145" s="13">
        <f>AI145*VLOOKUP('Données projet'!$B$10,Paramètres!$A$1:$I$89,3,0)*VLOOKUP('Données projet'!$B$10,Paramètres!$A$1:$I$89,5,0)</f>
        <v>-4.625326255336404E-13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373.70967725072484</v>
      </c>
      <c r="AO145" s="59">
        <f t="shared" si="144"/>
        <v>431.87575082696571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36.810046417223028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3.0199709090326711E-11</v>
      </c>
      <c r="AX145" s="21">
        <f t="shared" si="114"/>
        <v>36.810046417253226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3.4</v>
      </c>
      <c r="BD145" s="12">
        <f>IF('Données projet'!$A$88&gt;35,BD144+BC145-BL144,IF(A145&lt;'Données projet'!$A$88,$BA$205^A145,IF(A145='Données projet'!$A$88,'Données projet'!$B$88,BD144+BC145-BL144)))</f>
        <v>305.79999999999995</v>
      </c>
      <c r="BE145" s="13">
        <f>BD145*VLOOKUP('Données projet'!$B$11,Paramètres!$A$1:$I$89,3,0)*VLOOKUP('Données projet'!$B$11,Paramètres!$A$1:$I$89,5,0)</f>
        <v>257.60591999999997</v>
      </c>
      <c r="BF145" s="13">
        <f t="shared" si="145"/>
        <v>62.21178242147321</v>
      </c>
      <c r="BG145" s="20">
        <f t="shared" si="115"/>
        <v>557.01583171739912</v>
      </c>
      <c r="BH145" s="59">
        <f t="shared" si="116"/>
        <v>850.34916505073238</v>
      </c>
      <c r="BI145" s="59">
        <f ca="1">AVERAGE(OFFSET($BH$3,0,0,'Données projet'!$E$11+1,1))-AVERAGE(OFFSET($H$3,0,0,'Données projet'!$E$11+1,1))</f>
        <v>328.34986205643321</v>
      </c>
      <c r="BJ145" s="59">
        <f t="shared" si="146"/>
        <v>251.60894449147008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76.73744102903423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76.73744102903423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2.0395418687257919E-13</v>
      </c>
      <c r="P146" s="13">
        <f t="shared" si="141"/>
        <v>2.8200388570161721E-12</v>
      </c>
      <c r="Q146" s="20">
        <f t="shared" si="108"/>
        <v>5.2667878847729083E-12</v>
      </c>
      <c r="R146" s="59">
        <f t="shared" si="109"/>
        <v>293.3333333333386</v>
      </c>
      <c r="S146" s="59">
        <f ca="1">AVERAGE(OFFSET($R$3,0,0,'Données projet'!$E$9+1,1))-AVERAGE(OFFSET($H$3,0,0,'Données projet'!$E$9+1,1))</f>
        <v>250.57528780096658</v>
      </c>
      <c r="T146" s="59">
        <f t="shared" si="142"/>
        <v>277.12386407996132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-9.0949470177292824E-13</v>
      </c>
      <c r="AJ146" s="13">
        <f>AI146*VLOOKUP('Données projet'!$B$10,Paramètres!$A$1:$I$89,3,0)*VLOOKUP('Données projet'!$B$10,Paramètres!$A$1:$I$89,5,0)</f>
        <v>-4.625326255336404E-13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373.70967725072484</v>
      </c>
      <c r="AO146" s="59">
        <f t="shared" si="144"/>
        <v>431.87575082696571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36.088223858892654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2.135441908763104E-11</v>
      </c>
      <c r="AX146" s="21">
        <f t="shared" si="114"/>
        <v>36.088223858914006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3.4</v>
      </c>
      <c r="BD146" s="12">
        <f>IF('Données projet'!$A$88&gt;35,BD145+BC146-BL145,IF(A146&lt;'Données projet'!$A$88,$BA$205^A146,IF(A146='Données projet'!$A$88,'Données projet'!$B$88,BD145+BC146-BL145)))</f>
        <v>309.19999999999993</v>
      </c>
      <c r="BE146" s="13">
        <f>BD146*VLOOKUP('Données projet'!$B$11,Paramètres!$A$1:$I$89,3,0)*VLOOKUP('Données projet'!$B$11,Paramètres!$A$1:$I$89,5,0)</f>
        <v>260.47007999999994</v>
      </c>
      <c r="BF146" s="13">
        <f t="shared" si="145"/>
        <v>62.822569479065102</v>
      </c>
      <c r="BG146" s="20">
        <f t="shared" si="115"/>
        <v>563.06803117603829</v>
      </c>
      <c r="BH146" s="59">
        <f t="shared" si="116"/>
        <v>856.40136450937166</v>
      </c>
      <c r="BI146" s="59">
        <f ca="1">AVERAGE(OFFSET($BH$3,0,0,'Données projet'!$E$11+1,1))-AVERAGE(OFFSET($H$3,0,0,'Données projet'!$E$11+1,1))</f>
        <v>328.34986205643321</v>
      </c>
      <c r="BJ146" s="59">
        <f t="shared" si="146"/>
        <v>251.60894449147008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75.232666615672258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75.232666615672258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2.0395418687257919E-13</v>
      </c>
      <c r="P147" s="13">
        <f t="shared" si="141"/>
        <v>2.8200388570161721E-12</v>
      </c>
      <c r="Q147" s="20">
        <f t="shared" si="108"/>
        <v>5.2667878847729083E-12</v>
      </c>
      <c r="R147" s="59">
        <f t="shared" si="109"/>
        <v>293.3333333333386</v>
      </c>
      <c r="S147" s="59">
        <f ca="1">AVERAGE(OFFSET($R$3,0,0,'Données projet'!$E$9+1,1))-AVERAGE(OFFSET($H$3,0,0,'Données projet'!$E$9+1,1))</f>
        <v>250.57528780096658</v>
      </c>
      <c r="T147" s="59">
        <f t="shared" si="142"/>
        <v>277.12386407996132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-9.0949470177292824E-13</v>
      </c>
      <c r="AJ147" s="13">
        <f>AI147*VLOOKUP('Données projet'!$B$10,Paramètres!$A$1:$I$89,3,0)*VLOOKUP('Données projet'!$B$10,Paramètres!$A$1:$I$89,5,0)</f>
        <v>-4.625326255336404E-13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373.70967725072484</v>
      </c>
      <c r="AO147" s="59">
        <f t="shared" si="144"/>
        <v>431.87575082696571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35.380555800662854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1.5099854545163355E-11</v>
      </c>
      <c r="AX147" s="21">
        <f t="shared" si="114"/>
        <v>35.380555800677953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3.4</v>
      </c>
      <c r="BD147" s="12">
        <f>IF('Données projet'!$A$88&gt;35,BD146+BC147-BL146,IF(A147&lt;'Données projet'!$A$88,$BA$205^A147,IF(A147='Données projet'!$A$88,'Données projet'!$B$88,BD146+BC147-BL146)))</f>
        <v>312.59999999999991</v>
      </c>
      <c r="BE147" s="13">
        <f>BD147*VLOOKUP('Données projet'!$B$11,Paramètres!$A$1:$I$89,3,0)*VLOOKUP('Données projet'!$B$11,Paramètres!$A$1:$I$89,5,0)</f>
        <v>263.33423999999997</v>
      </c>
      <c r="BF147" s="13">
        <f t="shared" si="145"/>
        <v>63.432575244281175</v>
      </c>
      <c r="BG147" s="20">
        <f t="shared" si="115"/>
        <v>569.11886988378967</v>
      </c>
      <c r="BH147" s="59">
        <f t="shared" si="116"/>
        <v>862.45220321712304</v>
      </c>
      <c r="BI147" s="59">
        <f ca="1">AVERAGE(OFFSET($BH$3,0,0,'Données projet'!$E$11+1,1))-AVERAGE(OFFSET($H$3,0,0,'Données projet'!$E$11+1,1))</f>
        <v>328.34986205643321</v>
      </c>
      <c r="BJ147" s="59">
        <f t="shared" si="146"/>
        <v>251.60894449147008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73.757399910734563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73.757399910734563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2.0395418687257919E-13</v>
      </c>
      <c r="P148" s="13">
        <f t="shared" si="141"/>
        <v>2.8200388570161721E-12</v>
      </c>
      <c r="Q148" s="20">
        <f t="shared" si="108"/>
        <v>5.2667878847729083E-12</v>
      </c>
      <c r="R148" s="59">
        <f t="shared" si="109"/>
        <v>293.3333333333386</v>
      </c>
      <c r="S148" s="59">
        <f ca="1">AVERAGE(OFFSET($R$3,0,0,'Données projet'!$E$9+1,1))-AVERAGE(OFFSET($H$3,0,0,'Données projet'!$E$9+1,1))</f>
        <v>250.57528780096658</v>
      </c>
      <c r="T148" s="59">
        <f t="shared" si="142"/>
        <v>277.12386407996132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-9.0949470177292824E-13</v>
      </c>
      <c r="AJ148" s="13">
        <f>AI148*VLOOKUP('Données projet'!$B$10,Paramètres!$A$1:$I$89,3,0)*VLOOKUP('Données projet'!$B$10,Paramètres!$A$1:$I$89,5,0)</f>
        <v>-4.625326255336404E-13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373.70967725072484</v>
      </c>
      <c r="AO148" s="59">
        <f t="shared" si="144"/>
        <v>431.87575082696571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34.686764681420044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1.067720954381552E-11</v>
      </c>
      <c r="AX148" s="21">
        <f t="shared" si="114"/>
        <v>34.686764681430724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3.4</v>
      </c>
      <c r="BD148" s="12">
        <f>IF('Données projet'!$A$88&gt;35,BD147+BC148-BL147,IF(A148&lt;'Données projet'!$A$88,$BA$205^A148,IF(A148='Données projet'!$A$88,'Données projet'!$B$88,BD147+BC148-BL147)))</f>
        <v>315.99999999999989</v>
      </c>
      <c r="BE148" s="13">
        <f>BD148*VLOOKUP('Données projet'!$B$11,Paramètres!$A$1:$I$89,3,0)*VLOOKUP('Données projet'!$B$11,Paramètres!$A$1:$I$89,5,0)</f>
        <v>266.19839999999994</v>
      </c>
      <c r="BF148" s="13">
        <f t="shared" si="145"/>
        <v>64.041809198373215</v>
      </c>
      <c r="BG148" s="20">
        <f t="shared" si="115"/>
        <v>575.16836435383323</v>
      </c>
      <c r="BH148" s="59">
        <f t="shared" si="116"/>
        <v>868.5016976871666</v>
      </c>
      <c r="BI148" s="59">
        <f ca="1">AVERAGE(OFFSET($BH$3,0,0,'Données projet'!$E$11+1,1))-AVERAGE(OFFSET($H$3,0,0,'Données projet'!$E$11+1,1))</f>
        <v>328.34986205643321</v>
      </c>
      <c r="BJ148" s="59">
        <f t="shared" si="146"/>
        <v>251.60894449147008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72.311062286056853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72.311062286056853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2.0395418687257919E-13</v>
      </c>
      <c r="P149" s="13">
        <f t="shared" si="141"/>
        <v>2.8200388570161721E-12</v>
      </c>
      <c r="Q149" s="20">
        <f t="shared" si="108"/>
        <v>5.2667878847729083E-12</v>
      </c>
      <c r="R149" s="59">
        <f t="shared" si="109"/>
        <v>293.3333333333386</v>
      </c>
      <c r="S149" s="59">
        <f ca="1">AVERAGE(OFFSET($R$3,0,0,'Données projet'!$E$9+1,1))-AVERAGE(OFFSET($H$3,0,0,'Données projet'!$E$9+1,1))</f>
        <v>250.57528780096658</v>
      </c>
      <c r="T149" s="59">
        <f t="shared" si="142"/>
        <v>277.12386407996132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-9.0949470177292824E-13</v>
      </c>
      <c r="AJ149" s="13">
        <f>AI149*VLOOKUP('Données projet'!$B$10,Paramètres!$A$1:$I$89,3,0)*VLOOKUP('Données projet'!$B$10,Paramètres!$A$1:$I$89,5,0)</f>
        <v>-4.625326255336404E-13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373.70967725072484</v>
      </c>
      <c r="AO149" s="59">
        <f t="shared" si="144"/>
        <v>431.87575082696571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34.006578382854791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7.5499272725816777E-12</v>
      </c>
      <c r="AX149" s="21">
        <f t="shared" si="114"/>
        <v>34.006578382862344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3.4</v>
      </c>
      <c r="BD149" s="12">
        <f>IF('Données projet'!$A$88&gt;35,BD148+BC149-BL148,IF(A149&lt;'Données projet'!$A$88,$BA$205^A149,IF(A149='Données projet'!$A$88,'Données projet'!$B$88,BD148+BC149-BL148)))</f>
        <v>319.39999999999986</v>
      </c>
      <c r="BE149" s="13">
        <f>BD149*VLOOKUP('Données projet'!$B$11,Paramètres!$A$1:$I$89,3,0)*VLOOKUP('Données projet'!$B$11,Paramètres!$A$1:$I$89,5,0)</f>
        <v>269.06255999999991</v>
      </c>
      <c r="BF149" s="13">
        <f t="shared" si="145"/>
        <v>64.650280606814434</v>
      </c>
      <c r="BG149" s="20">
        <f t="shared" si="115"/>
        <v>581.2165307235349</v>
      </c>
      <c r="BH149" s="59">
        <f t="shared" si="116"/>
        <v>874.54986405686827</v>
      </c>
      <c r="BI149" s="59">
        <f ca="1">AVERAGE(OFFSET($BH$3,0,0,'Données projet'!$E$11+1,1))-AVERAGE(OFFSET($H$3,0,0,'Données projet'!$E$11+1,1))</f>
        <v>328.34986205643321</v>
      </c>
      <c r="BJ149" s="59">
        <f t="shared" si="146"/>
        <v>251.60894449147008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70.893086460020228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70.893086460020228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2.0395418687257919E-13</v>
      </c>
      <c r="P150" s="13">
        <f t="shared" si="141"/>
        <v>2.8200388570161721E-12</v>
      </c>
      <c r="Q150" s="20">
        <f t="shared" si="108"/>
        <v>5.2667878847729083E-12</v>
      </c>
      <c r="R150" s="59">
        <f t="shared" si="109"/>
        <v>293.3333333333386</v>
      </c>
      <c r="S150" s="59">
        <f ca="1">AVERAGE(OFFSET($R$3,0,0,'Données projet'!$E$9+1,1))-AVERAGE(OFFSET($H$3,0,0,'Données projet'!$E$9+1,1))</f>
        <v>250.57528780096658</v>
      </c>
      <c r="T150" s="59">
        <f t="shared" si="142"/>
        <v>277.12386407996132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-9.0949470177292824E-13</v>
      </c>
      <c r="AJ150" s="13">
        <f>AI150*VLOOKUP('Données projet'!$B$10,Paramètres!$A$1:$I$89,3,0)*VLOOKUP('Données projet'!$B$10,Paramètres!$A$1:$I$89,5,0)</f>
        <v>-4.625326255336404E-13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373.70967725072484</v>
      </c>
      <c r="AO150" s="59">
        <f t="shared" si="144"/>
        <v>431.87575082696571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33.339730122731723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5.33860477190776E-12</v>
      </c>
      <c r="AX150" s="21">
        <f t="shared" si="114"/>
        <v>33.339730122737059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3.4</v>
      </c>
      <c r="BD150" s="12">
        <f>IF('Données projet'!$A$88&gt;35,BD149+BC150-BL149,IF(A150&lt;'Données projet'!$A$88,$BA$205^A150,IF(A150='Données projet'!$A$88,'Données projet'!$B$88,BD149+BC150-BL149)))</f>
        <v>322.79999999999984</v>
      </c>
      <c r="BE150" s="13">
        <f>BD150*VLOOKUP('Données projet'!$B$11,Paramètres!$A$1:$I$89,3,0)*VLOOKUP('Données projet'!$B$11,Paramètres!$A$1:$I$89,5,0)</f>
        <v>271.92671999999988</v>
      </c>
      <c r="BF150" s="13">
        <f t="shared" si="145"/>
        <v>65.257998526454017</v>
      </c>
      <c r="BG150" s="20">
        <f t="shared" si="115"/>
        <v>587.26338476690717</v>
      </c>
      <c r="BH150" s="59">
        <f t="shared" si="116"/>
        <v>880.59671810024042</v>
      </c>
      <c r="BI150" s="59">
        <f ca="1">AVERAGE(OFFSET($BH$3,0,0,'Données projet'!$E$11+1,1))-AVERAGE(OFFSET($H$3,0,0,'Données projet'!$E$11+1,1))</f>
        <v>328.34986205643321</v>
      </c>
      <c r="BJ150" s="59">
        <f t="shared" si="146"/>
        <v>251.60894449147008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69.502916275052328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69.502916275052328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2.0395418687257919E-13</v>
      </c>
      <c r="P151" s="13">
        <f t="shared" si="141"/>
        <v>2.8200388570161721E-12</v>
      </c>
      <c r="Q151" s="20">
        <f t="shared" si="108"/>
        <v>5.2667878847729083E-12</v>
      </c>
      <c r="R151" s="59">
        <f t="shared" si="109"/>
        <v>293.3333333333386</v>
      </c>
      <c r="S151" s="59">
        <f ca="1">AVERAGE(OFFSET($R$3,0,0,'Données projet'!$E$9+1,1))-AVERAGE(OFFSET($H$3,0,0,'Données projet'!$E$9+1,1))</f>
        <v>250.57528780096658</v>
      </c>
      <c r="T151" s="59">
        <f t="shared" si="142"/>
        <v>277.12386407996132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-9.0949470177292824E-13</v>
      </c>
      <c r="AJ151" s="13">
        <f>AI151*VLOOKUP('Données projet'!$B$10,Paramètres!$A$1:$I$89,3,0)*VLOOKUP('Données projet'!$B$10,Paramètres!$A$1:$I$89,5,0)</f>
        <v>-4.625326255336404E-13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373.70967725072484</v>
      </c>
      <c r="AO151" s="59">
        <f t="shared" si="144"/>
        <v>431.87575082696571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32.685958350252392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3.7749636362908388E-12</v>
      </c>
      <c r="AX151" s="21">
        <f t="shared" si="114"/>
        <v>32.685958350256165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3.4</v>
      </c>
      <c r="BD151" s="12">
        <f>IF('Données projet'!$A$88&gt;35,BD150+BC151-BL150,IF(A151&lt;'Données projet'!$A$88,$BA$205^A151,IF(A151='Données projet'!$A$88,'Données projet'!$B$88,BD150+BC151-BL150)))</f>
        <v>326.19999999999982</v>
      </c>
      <c r="BE151" s="13">
        <f>BD151*VLOOKUP('Données projet'!$B$11,Paramètres!$A$1:$I$89,3,0)*VLOOKUP('Données projet'!$B$11,Paramètres!$A$1:$I$89,5,0)</f>
        <v>274.79087999999985</v>
      </c>
      <c r="BF151" s="13">
        <f t="shared" si="145"/>
        <v>65.86497181236102</v>
      </c>
      <c r="BG151" s="20">
        <f t="shared" si="115"/>
        <v>593.3089419065285</v>
      </c>
      <c r="BH151" s="59">
        <f t="shared" si="116"/>
        <v>886.64227523986187</v>
      </c>
      <c r="BI151" s="59">
        <f ca="1">AVERAGE(OFFSET($BH$3,0,0,'Données projet'!$E$11+1,1))-AVERAGE(OFFSET($H$3,0,0,'Données projet'!$E$11+1,1))</f>
        <v>328.34986205643321</v>
      </c>
      <c r="BJ151" s="59">
        <f t="shared" si="146"/>
        <v>251.60894449147008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68.140006479491561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68.140006479491561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2.0395418687257919E-13</v>
      </c>
      <c r="P152" s="13">
        <f t="shared" si="141"/>
        <v>2.8200388570161721E-12</v>
      </c>
      <c r="Q152" s="20">
        <f t="shared" si="108"/>
        <v>5.2667878847729083E-12</v>
      </c>
      <c r="R152" s="59">
        <f t="shared" si="109"/>
        <v>293.3333333333386</v>
      </c>
      <c r="S152" s="59">
        <f ca="1">AVERAGE(OFFSET($R$3,0,0,'Données projet'!$E$9+1,1))-AVERAGE(OFFSET($H$3,0,0,'Données projet'!$E$9+1,1))</f>
        <v>250.57528780096658</v>
      </c>
      <c r="T152" s="59">
        <f t="shared" si="142"/>
        <v>277.12386407996132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-9.0949470177292824E-13</v>
      </c>
      <c r="AJ152" s="13">
        <f>AI152*VLOOKUP('Données projet'!$B$10,Paramètres!$A$1:$I$89,3,0)*VLOOKUP('Données projet'!$B$10,Paramètres!$A$1:$I$89,5,0)</f>
        <v>-4.625326255336404E-13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373.70967725072484</v>
      </c>
      <c r="AO152" s="59">
        <f t="shared" si="144"/>
        <v>431.87575082696571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32.045006643469975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2.66930238595388E-12</v>
      </c>
      <c r="AX152" s="21">
        <f t="shared" si="114"/>
        <v>32.045006643472647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3.4</v>
      </c>
      <c r="BD152" s="12">
        <f>IF('Données projet'!$A$88&gt;35,BD151+BC152-BL151,IF(A152&lt;'Données projet'!$A$88,$BA$205^A152,IF(A152='Données projet'!$A$88,'Données projet'!$B$88,BD151+BC152-BL151)))</f>
        <v>329.5999999999998</v>
      </c>
      <c r="BE152" s="13">
        <f>BD152*VLOOKUP('Données projet'!$B$11,Paramètres!$A$1:$I$89,3,0)*VLOOKUP('Données projet'!$B$11,Paramètres!$A$1:$I$89,5,0)</f>
        <v>277.65503999999987</v>
      </c>
      <c r="BF152" s="13">
        <f t="shared" si="145"/>
        <v>66.47120912437552</v>
      </c>
      <c r="BG152" s="20">
        <f t="shared" si="115"/>
        <v>599.35321722495371</v>
      </c>
      <c r="BH152" s="59">
        <f t="shared" si="116"/>
        <v>892.68655055828708</v>
      </c>
      <c r="BI152" s="59">
        <f ca="1">AVERAGE(OFFSET($BH$3,0,0,'Données projet'!$E$11+1,1))-AVERAGE(OFFSET($H$3,0,0,'Données projet'!$E$11+1,1))</f>
        <v>328.34986205643321</v>
      </c>
      <c r="BJ152" s="59">
        <f t="shared" si="146"/>
        <v>251.60894449147008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66.803822513728846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66.803822513728846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2.0395418687257919E-13</v>
      </c>
      <c r="P153" s="13">
        <f t="shared" si="141"/>
        <v>2.8200388570161721E-12</v>
      </c>
      <c r="Q153" s="20">
        <f t="shared" si="108"/>
        <v>5.2667878847729083E-12</v>
      </c>
      <c r="R153" s="59">
        <f t="shared" si="109"/>
        <v>293.3333333333386</v>
      </c>
      <c r="S153" s="59">
        <f ca="1">AVERAGE(OFFSET($R$3,0,0,'Données projet'!$E$9+1,1))-AVERAGE(OFFSET($H$3,0,0,'Données projet'!$E$9+1,1))</f>
        <v>250.57528780096658</v>
      </c>
      <c r="T153" s="59">
        <f t="shared" si="142"/>
        <v>277.12386407996132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-9.0949470177292824E-13</v>
      </c>
      <c r="AJ153" s="13">
        <f>AI153*VLOOKUP('Données projet'!$B$10,Paramètres!$A$1:$I$89,3,0)*VLOOKUP('Données projet'!$B$10,Paramètres!$A$1:$I$89,5,0)</f>
        <v>-4.625326255336404E-13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373.70967725072484</v>
      </c>
      <c r="AO153" s="59">
        <f t="shared" si="144"/>
        <v>431.87575082696571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31.416623608715621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1.8874818181454194E-12</v>
      </c>
      <c r="AX153" s="21">
        <f t="shared" si="114"/>
        <v>31.416623608717508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333</v>
      </c>
      <c r="BB153" s="12">
        <f>VLOOKUP(A153,'Données projet'!$A$87:$I$107,9,0)</f>
        <v>3.4</v>
      </c>
      <c r="BC153" s="12">
        <f t="array" ref="BC153">INDEX(BB:BB,MIN(IF(ISNUMBER(BB153:BB349),ROW(BB153:BB349),"")))</f>
        <v>3.4</v>
      </c>
      <c r="BD153" s="12">
        <f>IF('Données projet'!$A$88&gt;35,BD152+BC153-BL152,IF(A153&lt;'Données projet'!$A$88,$BA$205^A153,IF(A153='Données projet'!$A$88,'Données projet'!$B$88,BD152+BC153-BL152)))</f>
        <v>332.99999999999977</v>
      </c>
      <c r="BE153" s="13">
        <f>BD153*VLOOKUP('Données projet'!$B$11,Paramètres!$A$1:$I$89,3,0)*VLOOKUP('Données projet'!$B$11,Paramètres!$A$1:$I$89,5,0)</f>
        <v>280.51919999999984</v>
      </c>
      <c r="BF153" s="13">
        <f t="shared" si="145"/>
        <v>67.076718933381159</v>
      </c>
      <c r="BG153" s="20">
        <f t="shared" si="115"/>
        <v>605.39622547563852</v>
      </c>
      <c r="BH153" s="59">
        <f t="shared" si="116"/>
        <v>898.72955880897189</v>
      </c>
      <c r="BI153" s="59">
        <f ca="1">AVERAGE(OFFSET($BH$3,0,0,'Données projet'!$E$11+1,1))-AVERAGE(OFFSET($H$3,0,0,'Données projet'!$E$11+1,1))</f>
        <v>328.34986205643321</v>
      </c>
      <c r="BJ153" s="59">
        <f t="shared" si="146"/>
        <v>251.60894449147008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333</v>
      </c>
      <c r="BM153" s="16">
        <f>IF(ISNA(VLOOKUP(A153,'Données projet'!$A$87:$I$107,5,0)),0%,VLOOKUP(A153,'Données projet'!$A$87:$I$107,5,0)*VLOOKUP('Données projet'!$B$11,Paramètres!$A$1:$I$89,7,0))</f>
        <v>0.36549999999999999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178.83746140274019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178.83746140274019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2.0395418687257919E-13</v>
      </c>
      <c r="P154" s="13">
        <f t="shared" si="141"/>
        <v>2.8200388570161721E-12</v>
      </c>
      <c r="Q154" s="20">
        <f t="shared" ref="Q154:Q203" si="162">(O154+P154)*0.475*44/12</f>
        <v>5.2667878847729083E-12</v>
      </c>
      <c r="R154" s="59">
        <f t="shared" si="109"/>
        <v>293.3333333333386</v>
      </c>
      <c r="S154" s="59">
        <f ca="1">AVERAGE(OFFSET($R$3,0,0,'Données projet'!$E$9+1,1))-AVERAGE(OFFSET($H$3,0,0,'Données projet'!$E$9+1,1))</f>
        <v>250.57528780096658</v>
      </c>
      <c r="T154" s="59">
        <f t="shared" si="142"/>
        <v>277.12386407996132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-9.0949470177292824E-13</v>
      </c>
      <c r="AJ154" s="13">
        <f>AI154*VLOOKUP('Données projet'!$B$10,Paramètres!$A$1:$I$89,3,0)*VLOOKUP('Données projet'!$B$10,Paramètres!$A$1:$I$89,5,0)</f>
        <v>-4.625326255336404E-13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373.70967725072484</v>
      </c>
      <c r="AO154" s="59">
        <f t="shared" si="144"/>
        <v>431.87575082696571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30.800562781996994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1.33465119297694E-12</v>
      </c>
      <c r="AX154" s="21">
        <f t="shared" ref="AX154:AX203" si="166">SUM(AU154:AW154)</f>
        <v>30.80056278199833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-1.915395841933787E-13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328.34986205643321</v>
      </c>
      <c r="BJ154" s="59">
        <f t="shared" si="146"/>
        <v>251.60894449147008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175.33056786471315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175.33056786471315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2.0395418687257919E-13</v>
      </c>
      <c r="P155" s="13">
        <f t="shared" si="141"/>
        <v>2.8200388570161721E-12</v>
      </c>
      <c r="Q155" s="20">
        <f t="shared" si="162"/>
        <v>5.2667878847729083E-12</v>
      </c>
      <c r="R155" s="59">
        <f t="shared" si="109"/>
        <v>293.3333333333386</v>
      </c>
      <c r="S155" s="59">
        <f ca="1">AVERAGE(OFFSET($R$3,0,0,'Données projet'!$E$9+1,1))-AVERAGE(OFFSET($H$3,0,0,'Données projet'!$E$9+1,1))</f>
        <v>250.57528780096658</v>
      </c>
      <c r="T155" s="59">
        <f t="shared" si="142"/>
        <v>277.12386407996132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-9.0949470177292824E-13</v>
      </c>
      <c r="AJ155" s="13">
        <f>AI155*VLOOKUP('Données projet'!$B$10,Paramètres!$A$1:$I$89,3,0)*VLOOKUP('Données projet'!$B$10,Paramètres!$A$1:$I$89,5,0)</f>
        <v>-4.625326255336404E-13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373.70967725072484</v>
      </c>
      <c r="AO155" s="59">
        <f t="shared" si="144"/>
        <v>431.87575082696571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30.196582532330318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9.4374090907270971E-13</v>
      </c>
      <c r="AX155" s="21">
        <f t="shared" si="166"/>
        <v>30.196582532331263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-1.915395841933787E-13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328.34986205643321</v>
      </c>
      <c r="BJ155" s="59">
        <f t="shared" si="146"/>
        <v>251.60894449147008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171.89244236997297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171.89244236997297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2.0395418687257919E-13</v>
      </c>
      <c r="P156" s="13">
        <f t="shared" si="141"/>
        <v>2.8200388570161721E-12</v>
      </c>
      <c r="Q156" s="20">
        <f t="shared" si="162"/>
        <v>5.2667878847729083E-12</v>
      </c>
      <c r="R156" s="59">
        <f t="shared" si="109"/>
        <v>293.3333333333386</v>
      </c>
      <c r="S156" s="59">
        <f ca="1">AVERAGE(OFFSET($R$3,0,0,'Données projet'!$E$9+1,1))-AVERAGE(OFFSET($H$3,0,0,'Données projet'!$E$9+1,1))</f>
        <v>250.57528780096658</v>
      </c>
      <c r="T156" s="59">
        <f t="shared" si="142"/>
        <v>277.12386407996132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-9.0949470177292824E-13</v>
      </c>
      <c r="AJ156" s="13">
        <f>AI156*VLOOKUP('Données projet'!$B$10,Paramètres!$A$1:$I$89,3,0)*VLOOKUP('Données projet'!$B$10,Paramètres!$A$1:$I$89,5,0)</f>
        <v>-4.625326255336404E-13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373.70967725072484</v>
      </c>
      <c r="AO156" s="59">
        <f t="shared" si="144"/>
        <v>431.87575082696571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29.604445966968029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6.6732559648847E-13</v>
      </c>
      <c r="AX156" s="21">
        <f t="shared" si="166"/>
        <v>29.604445966968697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-1.915395841933787E-13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328.34986205643321</v>
      </c>
      <c r="BJ156" s="59">
        <f t="shared" si="146"/>
        <v>251.60894449147008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168.52173641913515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168.52173641913515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2.0395418687257919E-13</v>
      </c>
      <c r="P157" s="13">
        <f t="shared" si="141"/>
        <v>2.8200388570161721E-12</v>
      </c>
      <c r="Q157" s="20">
        <f t="shared" si="162"/>
        <v>5.2667878847729083E-12</v>
      </c>
      <c r="R157" s="59">
        <f t="shared" si="109"/>
        <v>293.3333333333386</v>
      </c>
      <c r="S157" s="59">
        <f ca="1">AVERAGE(OFFSET($R$3,0,0,'Données projet'!$E$9+1,1))-AVERAGE(OFFSET($H$3,0,0,'Données projet'!$E$9+1,1))</f>
        <v>250.57528780096658</v>
      </c>
      <c r="T157" s="59">
        <f t="shared" si="142"/>
        <v>277.12386407996132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-9.0949470177292824E-13</v>
      </c>
      <c r="AJ157" s="13">
        <f>AI157*VLOOKUP('Données projet'!$B$10,Paramètres!$A$1:$I$89,3,0)*VLOOKUP('Données projet'!$B$10,Paramètres!$A$1:$I$89,5,0)</f>
        <v>-4.625326255336404E-13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373.70967725072484</v>
      </c>
      <c r="AO157" s="59">
        <f t="shared" si="144"/>
        <v>431.87575082696571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29.023920838484852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4.7187045453635485E-13</v>
      </c>
      <c r="AX157" s="21">
        <f t="shared" si="166"/>
        <v>29.023920838485324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-1.915395841933787E-13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328.34986205643321</v>
      </c>
      <c r="BJ157" s="59">
        <f t="shared" si="146"/>
        <v>251.60894449147008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165.21712795606564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165.21712795606564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2.0395418687257919E-13</v>
      </c>
      <c r="P158" s="13">
        <f t="shared" si="141"/>
        <v>2.8200388570161721E-12</v>
      </c>
      <c r="Q158" s="20">
        <f t="shared" si="162"/>
        <v>5.2667878847729083E-12</v>
      </c>
      <c r="R158" s="59">
        <f t="shared" si="109"/>
        <v>293.3333333333386</v>
      </c>
      <c r="S158" s="59">
        <f ca="1">AVERAGE(OFFSET($R$3,0,0,'Données projet'!$E$9+1,1))-AVERAGE(OFFSET($H$3,0,0,'Données projet'!$E$9+1,1))</f>
        <v>250.57528780096658</v>
      </c>
      <c r="T158" s="59">
        <f t="shared" si="142"/>
        <v>277.12386407996132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-9.0949470177292824E-13</v>
      </c>
      <c r="AJ158" s="13">
        <f>AI158*VLOOKUP('Données projet'!$B$10,Paramètres!$A$1:$I$89,3,0)*VLOOKUP('Données projet'!$B$10,Paramètres!$A$1:$I$89,5,0)</f>
        <v>-4.625326255336404E-13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373.70967725072484</v>
      </c>
      <c r="AO158" s="59">
        <f t="shared" si="144"/>
        <v>431.87575082696571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28.454779453685866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3.33662798244235E-13</v>
      </c>
      <c r="AX158" s="21">
        <f t="shared" si="166"/>
        <v>28.4547794536862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-1.915395841933787E-13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328.34986205643321</v>
      </c>
      <c r="BJ158" s="59">
        <f t="shared" si="146"/>
        <v>251.60894449147008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161.97732084934478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161.97732084934478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2.0395418687257919E-13</v>
      </c>
      <c r="P159" s="13">
        <f t="shared" si="141"/>
        <v>2.8200388570161721E-12</v>
      </c>
      <c r="Q159" s="20">
        <f t="shared" si="162"/>
        <v>5.2667878847729083E-12</v>
      </c>
      <c r="R159" s="59">
        <f t="shared" si="109"/>
        <v>293.3333333333386</v>
      </c>
      <c r="S159" s="59">
        <f ca="1">AVERAGE(OFFSET($R$3,0,0,'Données projet'!$E$9+1,1))-AVERAGE(OFFSET($H$3,0,0,'Données projet'!$E$9+1,1))</f>
        <v>250.57528780096658</v>
      </c>
      <c r="T159" s="59">
        <f t="shared" si="142"/>
        <v>277.12386407996132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-9.0949470177292824E-13</v>
      </c>
      <c r="AJ159" s="13">
        <f>AI159*VLOOKUP('Données projet'!$B$10,Paramètres!$A$1:$I$89,3,0)*VLOOKUP('Données projet'!$B$10,Paramètres!$A$1:$I$89,5,0)</f>
        <v>-4.625326255336404E-13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373.70967725072484</v>
      </c>
      <c r="AO159" s="59">
        <f t="shared" si="144"/>
        <v>431.87575082696571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27.896798584300821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2.3593522726817743E-13</v>
      </c>
      <c r="AX159" s="21">
        <f t="shared" si="166"/>
        <v>27.896798584301056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-1.915395841933787E-13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328.34986205643321</v>
      </c>
      <c r="BJ159" s="59">
        <f t="shared" si="146"/>
        <v>251.60894449147008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158.80104438389952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158.80104438389952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2.0395418687257919E-13</v>
      </c>
      <c r="P160" s="13">
        <f t="shared" si="141"/>
        <v>2.8200388570161721E-12</v>
      </c>
      <c r="Q160" s="20">
        <f t="shared" si="162"/>
        <v>5.2667878847729083E-12</v>
      </c>
      <c r="R160" s="59">
        <f t="shared" si="109"/>
        <v>293.3333333333386</v>
      </c>
      <c r="S160" s="59">
        <f ca="1">AVERAGE(OFFSET($R$3,0,0,'Données projet'!$E$9+1,1))-AVERAGE(OFFSET($H$3,0,0,'Données projet'!$E$9+1,1))</f>
        <v>250.57528780096658</v>
      </c>
      <c r="T160" s="59">
        <f t="shared" si="142"/>
        <v>277.12386407996132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-9.0949470177292824E-13</v>
      </c>
      <c r="AJ160" s="13">
        <f>AI160*VLOOKUP('Données projet'!$B$10,Paramètres!$A$1:$I$89,3,0)*VLOOKUP('Données projet'!$B$10,Paramètres!$A$1:$I$89,5,0)</f>
        <v>-4.625326255336404E-13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373.70967725072484</v>
      </c>
      <c r="AO160" s="59">
        <f t="shared" si="144"/>
        <v>431.87575082696571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27.349759379429692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1.668313991221175E-13</v>
      </c>
      <c r="AX160" s="21">
        <f t="shared" si="166"/>
        <v>27.349759379429859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-1.915395841933787E-13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328.34986205643321</v>
      </c>
      <c r="BJ160" s="59">
        <f t="shared" si="146"/>
        <v>251.60894449147008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155.68705276260428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155.68705276260428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2.0395418687257919E-13</v>
      </c>
      <c r="P161" s="13">
        <f t="shared" si="141"/>
        <v>2.8200388570161721E-12</v>
      </c>
      <c r="Q161" s="20">
        <f t="shared" si="162"/>
        <v>5.2667878847729083E-12</v>
      </c>
      <c r="R161" s="59">
        <f t="shared" si="109"/>
        <v>293.3333333333386</v>
      </c>
      <c r="S161" s="59">
        <f ca="1">AVERAGE(OFFSET($R$3,0,0,'Données projet'!$E$9+1,1))-AVERAGE(OFFSET($H$3,0,0,'Données projet'!$E$9+1,1))</f>
        <v>250.57528780096658</v>
      </c>
      <c r="T161" s="59">
        <f t="shared" si="142"/>
        <v>277.12386407996132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-9.0949470177292824E-13</v>
      </c>
      <c r="AJ161" s="13">
        <f>AI161*VLOOKUP('Données projet'!$B$10,Paramètres!$A$1:$I$89,3,0)*VLOOKUP('Données projet'!$B$10,Paramètres!$A$1:$I$89,5,0)</f>
        <v>-4.625326255336404E-13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373.70967725072484</v>
      </c>
      <c r="AO161" s="59">
        <f t="shared" si="144"/>
        <v>431.87575082696571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26.813447279705116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1.1796761363408871E-13</v>
      </c>
      <c r="AX161" s="21">
        <f t="shared" si="166"/>
        <v>26.813447279705233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-1.915395841933787E-13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328.34986205643321</v>
      </c>
      <c r="BJ161" s="59">
        <f t="shared" si="146"/>
        <v>251.60894449147008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152.63412461765529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152.63412461765529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2.0395418687257919E-13</v>
      </c>
      <c r="P162" s="13">
        <f t="shared" si="141"/>
        <v>2.8200388570161721E-12</v>
      </c>
      <c r="Q162" s="20">
        <f t="shared" si="162"/>
        <v>5.2667878847729083E-12</v>
      </c>
      <c r="R162" s="59">
        <f t="shared" si="109"/>
        <v>293.3333333333386</v>
      </c>
      <c r="S162" s="59">
        <f ca="1">AVERAGE(OFFSET($R$3,0,0,'Données projet'!$E$9+1,1))-AVERAGE(OFFSET($H$3,0,0,'Données projet'!$E$9+1,1))</f>
        <v>250.57528780096658</v>
      </c>
      <c r="T162" s="59">
        <f t="shared" si="142"/>
        <v>277.12386407996132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-9.0949470177292824E-13</v>
      </c>
      <c r="AJ162" s="13">
        <f>AI162*VLOOKUP('Données projet'!$B$10,Paramètres!$A$1:$I$89,3,0)*VLOOKUP('Données projet'!$B$10,Paramètres!$A$1:$I$89,5,0)</f>
        <v>-4.625326255336404E-13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373.70967725072484</v>
      </c>
      <c r="AO162" s="59">
        <f t="shared" si="144"/>
        <v>431.87575082696571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26.287651933138058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8.341569956105875E-14</v>
      </c>
      <c r="AX162" s="21">
        <f t="shared" si="166"/>
        <v>26.28765193313814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-1.915395841933787E-13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328.34986205643321</v>
      </c>
      <c r="BJ162" s="59">
        <f t="shared" si="146"/>
        <v>251.60894449147008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149.64106253152647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149.64106253152647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2.0395418687257919E-13</v>
      </c>
      <c r="P163" s="13">
        <f t="shared" si="141"/>
        <v>2.8200388570161721E-12</v>
      </c>
      <c r="Q163" s="20">
        <f t="shared" si="162"/>
        <v>5.2667878847729083E-12</v>
      </c>
      <c r="R163" s="59">
        <f t="shared" si="109"/>
        <v>293.3333333333386</v>
      </c>
      <c r="S163" s="59">
        <f ca="1">AVERAGE(OFFSET($R$3,0,0,'Données projet'!$E$9+1,1))-AVERAGE(OFFSET($H$3,0,0,'Données projet'!$E$9+1,1))</f>
        <v>250.57528780096658</v>
      </c>
      <c r="T163" s="59">
        <f t="shared" si="142"/>
        <v>277.12386407996132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-9.0949470177292824E-13</v>
      </c>
      <c r="AJ163" s="13">
        <f>AI163*VLOOKUP('Données projet'!$B$10,Paramètres!$A$1:$I$89,3,0)*VLOOKUP('Données projet'!$B$10,Paramètres!$A$1:$I$89,5,0)</f>
        <v>-4.625326255336404E-13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373.70967725072484</v>
      </c>
      <c r="AO163" s="59">
        <f t="shared" si="144"/>
        <v>431.87575082696571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25.772167112613687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5.8983806817044357E-14</v>
      </c>
      <c r="AX163" s="21">
        <f t="shared" si="166"/>
        <v>25.772167112613747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-1.915395841933787E-13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328.34986205643321</v>
      </c>
      <c r="BJ163" s="59">
        <f t="shared" si="146"/>
        <v>251.60894449147008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146.70669256731901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146.70669256731901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2.0395418687257919E-13</v>
      </c>
      <c r="P164" s="13">
        <f t="shared" si="141"/>
        <v>2.8200388570161721E-12</v>
      </c>
      <c r="Q164" s="20">
        <f t="shared" si="162"/>
        <v>5.2667878847729083E-12</v>
      </c>
      <c r="R164" s="59">
        <f t="shared" si="109"/>
        <v>293.3333333333386</v>
      </c>
      <c r="S164" s="59">
        <f ca="1">AVERAGE(OFFSET($R$3,0,0,'Données projet'!$E$9+1,1))-AVERAGE(OFFSET($H$3,0,0,'Données projet'!$E$9+1,1))</f>
        <v>250.57528780096658</v>
      </c>
      <c r="T164" s="59">
        <f t="shared" si="142"/>
        <v>277.12386407996132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-9.0949470177292824E-13</v>
      </c>
      <c r="AJ164" s="13">
        <f>AI164*VLOOKUP('Données projet'!$B$10,Paramètres!$A$1:$I$89,3,0)*VLOOKUP('Données projet'!$B$10,Paramètres!$A$1:$I$89,5,0)</f>
        <v>-4.625326255336404E-13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373.70967725072484</v>
      </c>
      <c r="AO164" s="59">
        <f t="shared" si="144"/>
        <v>431.87575082696571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25.266790635005101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4.1707849780529375E-14</v>
      </c>
      <c r="AX164" s="21">
        <f t="shared" si="166"/>
        <v>25.266790635005144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-1.915395841933787E-13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328.34986205643321</v>
      </c>
      <c r="BJ164" s="59">
        <f t="shared" si="146"/>
        <v>251.60894449147008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143.82986380832071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143.82986380832071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2.0395418687257919E-13</v>
      </c>
      <c r="P165" s="13">
        <f t="shared" si="141"/>
        <v>2.8200388570161721E-12</v>
      </c>
      <c r="Q165" s="20">
        <f t="shared" si="162"/>
        <v>5.2667878847729083E-12</v>
      </c>
      <c r="R165" s="59">
        <f t="shared" si="109"/>
        <v>293.3333333333386</v>
      </c>
      <c r="S165" s="59">
        <f ca="1">AVERAGE(OFFSET($R$3,0,0,'Données projet'!$E$9+1,1))-AVERAGE(OFFSET($H$3,0,0,'Données projet'!$E$9+1,1))</f>
        <v>250.57528780096658</v>
      </c>
      <c r="T165" s="59">
        <f t="shared" si="142"/>
        <v>277.12386407996132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-9.0949470177292824E-13</v>
      </c>
      <c r="AJ165" s="13">
        <f>AI165*VLOOKUP('Données projet'!$B$10,Paramètres!$A$1:$I$89,3,0)*VLOOKUP('Données projet'!$B$10,Paramètres!$A$1:$I$89,5,0)</f>
        <v>-4.625326255336404E-13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373.70967725072484</v>
      </c>
      <c r="AO165" s="59">
        <f t="shared" si="144"/>
        <v>431.87575082696571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24.771324281873206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2.9491903408522178E-14</v>
      </c>
      <c r="AX165" s="21">
        <f t="shared" si="166"/>
        <v>24.771324281873234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-1.915395841933787E-13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328.34986205643321</v>
      </c>
      <c r="BJ165" s="59">
        <f t="shared" si="146"/>
        <v>251.60894449147008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141.00944790659409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141.00944790659409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2.0395418687257919E-13</v>
      </c>
      <c r="P166" s="13">
        <f t="shared" si="141"/>
        <v>2.8200388570161721E-12</v>
      </c>
      <c r="Q166" s="20">
        <f t="shared" si="162"/>
        <v>5.2667878847729083E-12</v>
      </c>
      <c r="R166" s="59">
        <f t="shared" si="109"/>
        <v>293.3333333333386</v>
      </c>
      <c r="S166" s="59">
        <f ca="1">AVERAGE(OFFSET($R$3,0,0,'Données projet'!$E$9+1,1))-AVERAGE(OFFSET($H$3,0,0,'Données projet'!$E$9+1,1))</f>
        <v>250.57528780096658</v>
      </c>
      <c r="T166" s="59">
        <f t="shared" si="142"/>
        <v>277.12386407996132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-9.0949470177292824E-13</v>
      </c>
      <c r="AJ166" s="13">
        <f>AI166*VLOOKUP('Données projet'!$B$10,Paramètres!$A$1:$I$89,3,0)*VLOOKUP('Données projet'!$B$10,Paramètres!$A$1:$I$89,5,0)</f>
        <v>-4.625326255336404E-13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373.70967725072484</v>
      </c>
      <c r="AO166" s="59">
        <f t="shared" si="144"/>
        <v>431.87575082696571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24.285573721721594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2.0853924890264687E-14</v>
      </c>
      <c r="AX166" s="21">
        <f t="shared" si="166"/>
        <v>24.285573721721615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-1.915395841933787E-13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328.34986205643321</v>
      </c>
      <c r="BJ166" s="59">
        <f t="shared" si="146"/>
        <v>251.60894449147008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138.24433864041649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138.24433864041649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2.0395418687257919E-13</v>
      </c>
      <c r="P167" s="13">
        <f t="shared" si="141"/>
        <v>2.8200388570161721E-12</v>
      </c>
      <c r="Q167" s="20">
        <f t="shared" si="162"/>
        <v>5.2667878847729083E-12</v>
      </c>
      <c r="R167" s="59">
        <f t="shared" si="109"/>
        <v>293.3333333333386</v>
      </c>
      <c r="S167" s="59">
        <f ca="1">AVERAGE(OFFSET($R$3,0,0,'Données projet'!$E$9+1,1))-AVERAGE(OFFSET($H$3,0,0,'Données projet'!$E$9+1,1))</f>
        <v>250.57528780096658</v>
      </c>
      <c r="T167" s="59">
        <f t="shared" si="142"/>
        <v>277.12386407996132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-9.0949470177292824E-13</v>
      </c>
      <c r="AJ167" s="13">
        <f>AI167*VLOOKUP('Données projet'!$B$10,Paramètres!$A$1:$I$89,3,0)*VLOOKUP('Données projet'!$B$10,Paramètres!$A$1:$I$89,5,0)</f>
        <v>-4.625326255336404E-13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373.70967725072484</v>
      </c>
      <c r="AO167" s="59">
        <f t="shared" si="144"/>
        <v>431.87575082696571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23.809348433775966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1.4745951704261089E-14</v>
      </c>
      <c r="AX167" s="21">
        <f t="shared" si="166"/>
        <v>23.80934843377598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-1.915395841933787E-13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328.34986205643321</v>
      </c>
      <c r="BJ167" s="59">
        <f t="shared" si="146"/>
        <v>251.60894449147008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135.5334514803985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135.5334514803985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2.0395418687257919E-13</v>
      </c>
      <c r="P168" s="13">
        <f t="shared" si="141"/>
        <v>2.8200388570161721E-12</v>
      </c>
      <c r="Q168" s="20">
        <f t="shared" si="162"/>
        <v>5.2667878847729083E-12</v>
      </c>
      <c r="R168" s="59">
        <f t="shared" si="109"/>
        <v>293.3333333333386</v>
      </c>
      <c r="S168" s="59">
        <f ca="1">AVERAGE(OFFSET($R$3,0,0,'Données projet'!$E$9+1,1))-AVERAGE(OFFSET($H$3,0,0,'Données projet'!$E$9+1,1))</f>
        <v>250.57528780096658</v>
      </c>
      <c r="T168" s="59">
        <f t="shared" si="142"/>
        <v>277.12386407996132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-9.0949470177292824E-13</v>
      </c>
      <c r="AJ168" s="13">
        <f>AI168*VLOOKUP('Données projet'!$B$10,Paramètres!$A$1:$I$89,3,0)*VLOOKUP('Données projet'!$B$10,Paramètres!$A$1:$I$89,5,0)</f>
        <v>-4.625326255336404E-13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373.70967725072484</v>
      </c>
      <c r="AO168" s="59">
        <f t="shared" si="144"/>
        <v>431.87575082696571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23.34246163325821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1.0426962445132344E-14</v>
      </c>
      <c r="AX168" s="21">
        <f t="shared" si="166"/>
        <v>23.342461633258221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-1.915395841933787E-13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328.34986205643321</v>
      </c>
      <c r="BJ168" s="59">
        <f t="shared" si="146"/>
        <v>251.60894449147008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132.87572316411058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132.87572316411058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2.0395418687257919E-13</v>
      </c>
      <c r="P169" s="13">
        <f t="shared" si="141"/>
        <v>2.8200388570161721E-12</v>
      </c>
      <c r="Q169" s="20">
        <f t="shared" si="162"/>
        <v>5.2667878847729083E-12</v>
      </c>
      <c r="R169" s="59">
        <f t="shared" si="109"/>
        <v>293.3333333333386</v>
      </c>
      <c r="S169" s="59">
        <f ca="1">AVERAGE(OFFSET($R$3,0,0,'Données projet'!$E$9+1,1))-AVERAGE(OFFSET($H$3,0,0,'Données projet'!$E$9+1,1))</f>
        <v>250.57528780096658</v>
      </c>
      <c r="T169" s="59">
        <f t="shared" si="142"/>
        <v>277.12386407996132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-9.0949470177292824E-13</v>
      </c>
      <c r="AJ169" s="13">
        <f>AI169*VLOOKUP('Données projet'!$B$10,Paramètres!$A$1:$I$89,3,0)*VLOOKUP('Données projet'!$B$10,Paramètres!$A$1:$I$89,5,0)</f>
        <v>-4.625326255336404E-13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373.70967725072484</v>
      </c>
      <c r="AO169" s="59">
        <f t="shared" si="144"/>
        <v>431.87575082696571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22.884730198125776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7.3729758521305446E-15</v>
      </c>
      <c r="AX169" s="21">
        <f t="shared" si="166"/>
        <v>22.884730198125784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-1.915395841933787E-13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328.34986205643321</v>
      </c>
      <c r="BJ169" s="59">
        <f t="shared" si="146"/>
        <v>251.60894449147008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130.27011127905087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130.27011127905087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2.0395418687257919E-13</v>
      </c>
      <c r="P170" s="13">
        <f t="shared" si="141"/>
        <v>2.8200388570161721E-12</v>
      </c>
      <c r="Q170" s="20">
        <f t="shared" si="162"/>
        <v>5.2667878847729083E-12</v>
      </c>
      <c r="R170" s="59">
        <f t="shared" si="109"/>
        <v>293.3333333333386</v>
      </c>
      <c r="S170" s="59">
        <f ca="1">AVERAGE(OFFSET($R$3,0,0,'Données projet'!$E$9+1,1))-AVERAGE(OFFSET($H$3,0,0,'Données projet'!$E$9+1,1))</f>
        <v>250.57528780096658</v>
      </c>
      <c r="T170" s="59">
        <f t="shared" si="142"/>
        <v>277.12386407996132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-9.0949470177292824E-13</v>
      </c>
      <c r="AJ170" s="13">
        <f>AI170*VLOOKUP('Données projet'!$B$10,Paramètres!$A$1:$I$89,3,0)*VLOOKUP('Données projet'!$B$10,Paramètres!$A$1:$I$89,5,0)</f>
        <v>-4.625326255336404E-13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373.70967725072484</v>
      </c>
      <c r="AO170" s="59">
        <f t="shared" si="144"/>
        <v>431.87575082696571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22.435974597247682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5.2134812225661719E-15</v>
      </c>
      <c r="AX170" s="21">
        <f t="shared" si="166"/>
        <v>22.435974597247686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-1.915395841933787E-13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328.34986205643321</v>
      </c>
      <c r="BJ170" s="59">
        <f t="shared" si="146"/>
        <v>251.60894449147008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127.71559385379084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127.71559385379084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2.0395418687257919E-13</v>
      </c>
      <c r="P171" s="13">
        <f t="shared" si="141"/>
        <v>2.8200388570161721E-12</v>
      </c>
      <c r="Q171" s="20">
        <f t="shared" si="162"/>
        <v>5.2667878847729083E-12</v>
      </c>
      <c r="R171" s="59">
        <f t="shared" si="109"/>
        <v>293.3333333333386</v>
      </c>
      <c r="S171" s="59">
        <f ca="1">AVERAGE(OFFSET($R$3,0,0,'Données projet'!$E$9+1,1))-AVERAGE(OFFSET($H$3,0,0,'Données projet'!$E$9+1,1))</f>
        <v>250.57528780096658</v>
      </c>
      <c r="T171" s="59">
        <f t="shared" si="142"/>
        <v>277.12386407996132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-9.0949470177292824E-13</v>
      </c>
      <c r="AJ171" s="13">
        <f>AI171*VLOOKUP('Données projet'!$B$10,Paramètres!$A$1:$I$89,3,0)*VLOOKUP('Données projet'!$B$10,Paramètres!$A$1:$I$89,5,0)</f>
        <v>-4.625326255336404E-13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373.70967725072484</v>
      </c>
      <c r="AO171" s="59">
        <f t="shared" si="144"/>
        <v>431.87575082696571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21.996018819988919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3.6864879260652723E-15</v>
      </c>
      <c r="AX171" s="21">
        <f t="shared" si="166"/>
        <v>21.996018819988922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-1.915395841933787E-13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328.34986205643321</v>
      </c>
      <c r="BJ171" s="59">
        <f t="shared" si="146"/>
        <v>251.60894449147008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125.21116895713838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125.21116895713838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2.0395418687257919E-13</v>
      </c>
      <c r="P172" s="13">
        <f t="shared" si="141"/>
        <v>2.8200388570161721E-12</v>
      </c>
      <c r="Q172" s="20">
        <f t="shared" si="162"/>
        <v>5.2667878847729083E-12</v>
      </c>
      <c r="R172" s="59">
        <f t="shared" si="109"/>
        <v>293.3333333333386</v>
      </c>
      <c r="S172" s="59">
        <f ca="1">AVERAGE(OFFSET($R$3,0,0,'Données projet'!$E$9+1,1))-AVERAGE(OFFSET($H$3,0,0,'Données projet'!$E$9+1,1))</f>
        <v>250.57528780096658</v>
      </c>
      <c r="T172" s="59">
        <f t="shared" si="142"/>
        <v>277.12386407996132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-9.0949470177292824E-13</v>
      </c>
      <c r="AJ172" s="13">
        <f>AI172*VLOOKUP('Données projet'!$B$10,Paramètres!$A$1:$I$89,3,0)*VLOOKUP('Données projet'!$B$10,Paramètres!$A$1:$I$89,5,0)</f>
        <v>-4.625326255336404E-13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373.70967725072484</v>
      </c>
      <c r="AO172" s="59">
        <f t="shared" si="144"/>
        <v>431.87575082696571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21.56469030717567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2.6067406112830859E-15</v>
      </c>
      <c r="AX172" s="21">
        <f t="shared" si="166"/>
        <v>21.564690307175674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-1.915395841933787E-13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328.34986205643321</v>
      </c>
      <c r="BJ172" s="59">
        <f t="shared" si="146"/>
        <v>251.60894449147008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122.75585430516092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122.75585430516092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2.0395418687257919E-13</v>
      </c>
      <c r="P173" s="13">
        <f t="shared" si="141"/>
        <v>2.8200388570161721E-12</v>
      </c>
      <c r="Q173" s="20">
        <f t="shared" si="162"/>
        <v>5.2667878847729083E-12</v>
      </c>
      <c r="R173" s="59">
        <f t="shared" si="109"/>
        <v>293.3333333333386</v>
      </c>
      <c r="S173" s="59">
        <f ca="1">AVERAGE(OFFSET($R$3,0,0,'Données projet'!$E$9+1,1))-AVERAGE(OFFSET($H$3,0,0,'Données projet'!$E$9+1,1))</f>
        <v>250.57528780096658</v>
      </c>
      <c r="T173" s="59">
        <f t="shared" si="142"/>
        <v>277.12386407996132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-9.0949470177292824E-13</v>
      </c>
      <c r="AJ173" s="13">
        <f>AI173*VLOOKUP('Données projet'!$B$10,Paramètres!$A$1:$I$89,3,0)*VLOOKUP('Données projet'!$B$10,Paramètres!$A$1:$I$89,5,0)</f>
        <v>-4.625326255336404E-13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373.70967725072484</v>
      </c>
      <c r="AO173" s="59">
        <f t="shared" si="144"/>
        <v>431.87575082696571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21.141819883414275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1.8432439630326361E-15</v>
      </c>
      <c r="AX173" s="21">
        <f t="shared" si="166"/>
        <v>21.141819883414279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-1.915395841933787E-13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328.34986205643321</v>
      </c>
      <c r="BJ173" s="59">
        <f t="shared" si="146"/>
        <v>251.60894449147008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120.34868687591468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120.34868687591468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2.0395418687257919E-13</v>
      </c>
      <c r="P174" s="13">
        <f t="shared" si="141"/>
        <v>2.8200388570161721E-12</v>
      </c>
      <c r="Q174" s="20">
        <f t="shared" si="162"/>
        <v>5.2667878847729083E-12</v>
      </c>
      <c r="R174" s="59">
        <f t="shared" si="109"/>
        <v>293.3333333333386</v>
      </c>
      <c r="S174" s="59">
        <f ca="1">AVERAGE(OFFSET($R$3,0,0,'Données projet'!$E$9+1,1))-AVERAGE(OFFSET($H$3,0,0,'Données projet'!$E$9+1,1))</f>
        <v>250.57528780096658</v>
      </c>
      <c r="T174" s="59">
        <f t="shared" si="142"/>
        <v>277.12386407996132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-9.0949470177292824E-13</v>
      </c>
      <c r="AJ174" s="13">
        <f>AI174*VLOOKUP('Données projet'!$B$10,Paramètres!$A$1:$I$89,3,0)*VLOOKUP('Données projet'!$B$10,Paramètres!$A$1:$I$89,5,0)</f>
        <v>-4.625326255336404E-13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373.70967725072484</v>
      </c>
      <c r="AO174" s="59">
        <f t="shared" si="144"/>
        <v>431.87575082696571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20.727241690737351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1.303370305641543E-15</v>
      </c>
      <c r="AX174" s="21">
        <f t="shared" si="166"/>
        <v>20.727241690737351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-1.915395841933787E-13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328.34986205643321</v>
      </c>
      <c r="BJ174" s="59">
        <f t="shared" si="146"/>
        <v>251.60894449147008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117.9887225317288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117.9887225317288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2.0395418687257919E-13</v>
      </c>
      <c r="P175" s="13">
        <f t="shared" si="141"/>
        <v>2.8200388570161721E-12</v>
      </c>
      <c r="Q175" s="20">
        <f t="shared" si="162"/>
        <v>5.2667878847729083E-12</v>
      </c>
      <c r="R175" s="59">
        <f t="shared" si="109"/>
        <v>293.3333333333386</v>
      </c>
      <c r="S175" s="59">
        <f ca="1">AVERAGE(OFFSET($R$3,0,0,'Données projet'!$E$9+1,1))-AVERAGE(OFFSET($H$3,0,0,'Données projet'!$E$9+1,1))</f>
        <v>250.57528780096658</v>
      </c>
      <c r="T175" s="59">
        <f t="shared" si="142"/>
        <v>277.12386407996132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-9.0949470177292824E-13</v>
      </c>
      <c r="AJ175" s="13">
        <f>AI175*VLOOKUP('Données projet'!$B$10,Paramètres!$A$1:$I$89,3,0)*VLOOKUP('Données projet'!$B$10,Paramètres!$A$1:$I$89,5,0)</f>
        <v>-4.625326255336404E-13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373.70967725072484</v>
      </c>
      <c r="AO175" s="59">
        <f t="shared" si="144"/>
        <v>431.87575082696571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20.320793123551091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9.2162198151631807E-16</v>
      </c>
      <c r="AX175" s="21">
        <f t="shared" si="166"/>
        <v>20.320793123551091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-1.915395841933787E-13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328.34986205643321</v>
      </c>
      <c r="BJ175" s="59">
        <f t="shared" si="146"/>
        <v>251.60894449147008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115.67503564889628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115.67503564889628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2.0395418687257919E-13</v>
      </c>
      <c r="P176" s="13">
        <f t="shared" si="141"/>
        <v>2.8200388570161721E-12</v>
      </c>
      <c r="Q176" s="20">
        <f t="shared" si="162"/>
        <v>5.2667878847729083E-12</v>
      </c>
      <c r="R176" s="59">
        <f t="shared" si="109"/>
        <v>293.3333333333386</v>
      </c>
      <c r="S176" s="59">
        <f ca="1">AVERAGE(OFFSET($R$3,0,0,'Données projet'!$E$9+1,1))-AVERAGE(OFFSET($H$3,0,0,'Données projet'!$E$9+1,1))</f>
        <v>250.57528780096658</v>
      </c>
      <c r="T176" s="59">
        <f t="shared" si="142"/>
        <v>277.12386407996132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-9.0949470177292824E-13</v>
      </c>
      <c r="AJ176" s="13">
        <f>AI176*VLOOKUP('Données projet'!$B$10,Paramètres!$A$1:$I$89,3,0)*VLOOKUP('Données projet'!$B$10,Paramètres!$A$1:$I$89,5,0)</f>
        <v>-4.625326255336404E-13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373.70967725072484</v>
      </c>
      <c r="AO176" s="59">
        <f t="shared" si="144"/>
        <v>431.87575082696571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19.922314764858207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6.5168515282077148E-16</v>
      </c>
      <c r="AX176" s="21">
        <f t="shared" si="166"/>
        <v>19.922314764858207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-1.915395841933787E-13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328.34986205643321</v>
      </c>
      <c r="BJ176" s="59">
        <f t="shared" si="146"/>
        <v>251.60894449147008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113.40671875462647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113.40671875462647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2.0395418687257919E-13</v>
      </c>
      <c r="P177" s="13">
        <f t="shared" si="141"/>
        <v>2.8200388570161721E-12</v>
      </c>
      <c r="Q177" s="20">
        <f t="shared" si="162"/>
        <v>5.2667878847729083E-12</v>
      </c>
      <c r="R177" s="59">
        <f t="shared" si="109"/>
        <v>293.3333333333386</v>
      </c>
      <c r="S177" s="59">
        <f ca="1">AVERAGE(OFFSET($R$3,0,0,'Données projet'!$E$9+1,1))-AVERAGE(OFFSET($H$3,0,0,'Données projet'!$E$9+1,1))</f>
        <v>250.57528780096658</v>
      </c>
      <c r="T177" s="59">
        <f t="shared" si="142"/>
        <v>277.12386407996132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-9.0949470177292824E-13</v>
      </c>
      <c r="AJ177" s="13">
        <f>AI177*VLOOKUP('Données projet'!$B$10,Paramètres!$A$1:$I$89,3,0)*VLOOKUP('Données projet'!$B$10,Paramètres!$A$1:$I$89,5,0)</f>
        <v>-4.625326255336404E-13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373.70967725072484</v>
      </c>
      <c r="AO177" s="59">
        <f t="shared" si="144"/>
        <v>431.87575082696571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19.53165032373149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4.6081099075815904E-16</v>
      </c>
      <c r="AX177" s="21">
        <f t="shared" si="166"/>
        <v>19.53165032373149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-1.915395841933787E-13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328.34986205643321</v>
      </c>
      <c r="BJ177" s="59">
        <f t="shared" si="146"/>
        <v>251.60894449147008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111.18288217111659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111.18288217111659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2.0395418687257919E-13</v>
      </c>
      <c r="P178" s="13">
        <f t="shared" si="141"/>
        <v>2.8200388570161721E-12</v>
      </c>
      <c r="Q178" s="20">
        <f t="shared" si="162"/>
        <v>5.2667878847729083E-12</v>
      </c>
      <c r="R178" s="59">
        <f t="shared" si="109"/>
        <v>293.3333333333386</v>
      </c>
      <c r="S178" s="59">
        <f ca="1">AVERAGE(OFFSET($R$3,0,0,'Données projet'!$E$9+1,1))-AVERAGE(OFFSET($H$3,0,0,'Données projet'!$E$9+1,1))</f>
        <v>250.57528780096658</v>
      </c>
      <c r="T178" s="59">
        <f t="shared" si="142"/>
        <v>277.12386407996132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-9.0949470177292824E-13</v>
      </c>
      <c r="AJ178" s="13">
        <f>AI178*VLOOKUP('Données projet'!$B$10,Paramètres!$A$1:$I$89,3,0)*VLOOKUP('Données projet'!$B$10,Paramètres!$A$1:$I$89,5,0)</f>
        <v>-4.625326255336404E-13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373.70967725072484</v>
      </c>
      <c r="AO178" s="59">
        <f t="shared" si="144"/>
        <v>431.87575082696571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19.14864657401349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3.2584257641038574E-16</v>
      </c>
      <c r="AX178" s="21">
        <f t="shared" si="166"/>
        <v>19.14864657401349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-1.915395841933787E-13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328.34986205643321</v>
      </c>
      <c r="BJ178" s="59">
        <f t="shared" si="146"/>
        <v>251.60894449147008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109.00265366660295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109.00265366660295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2.0395418687257919E-13</v>
      </c>
      <c r="P179" s="13">
        <f t="shared" si="141"/>
        <v>2.8200388570161721E-12</v>
      </c>
      <c r="Q179" s="20">
        <f t="shared" si="162"/>
        <v>5.2667878847729083E-12</v>
      </c>
      <c r="R179" s="59">
        <f t="shared" si="109"/>
        <v>293.3333333333386</v>
      </c>
      <c r="S179" s="59">
        <f ca="1">AVERAGE(OFFSET($R$3,0,0,'Données projet'!$E$9+1,1))-AVERAGE(OFFSET($H$3,0,0,'Données projet'!$E$9+1,1))</f>
        <v>250.57528780096658</v>
      </c>
      <c r="T179" s="59">
        <f t="shared" si="142"/>
        <v>277.12386407996132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-9.0949470177292824E-13</v>
      </c>
      <c r="AJ179" s="13">
        <f>AI179*VLOOKUP('Données projet'!$B$10,Paramètres!$A$1:$I$89,3,0)*VLOOKUP('Données projet'!$B$10,Paramètres!$A$1:$I$89,5,0)</f>
        <v>-4.625326255336404E-13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373.70967725072484</v>
      </c>
      <c r="AO179" s="59">
        <f t="shared" si="144"/>
        <v>431.87575082696571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18.77315329421824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2.3040549537907952E-16</v>
      </c>
      <c r="AX179" s="21">
        <f t="shared" si="166"/>
        <v>18.77315329421824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-1.915395841933787E-13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328.34986205643321</v>
      </c>
      <c r="BJ179" s="59">
        <f t="shared" si="146"/>
        <v>251.60894449147008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106.86517811325476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106.86517811325476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2.0395418687257919E-13</v>
      </c>
      <c r="P180" s="13">
        <f t="shared" si="141"/>
        <v>2.8200388570161721E-12</v>
      </c>
      <c r="Q180" s="20">
        <f t="shared" si="162"/>
        <v>5.2667878847729083E-12</v>
      </c>
      <c r="R180" s="59">
        <f t="shared" si="109"/>
        <v>293.3333333333386</v>
      </c>
      <c r="S180" s="59">
        <f ca="1">AVERAGE(OFFSET($R$3,0,0,'Données projet'!$E$9+1,1))-AVERAGE(OFFSET($H$3,0,0,'Données projet'!$E$9+1,1))</f>
        <v>250.57528780096658</v>
      </c>
      <c r="T180" s="59">
        <f t="shared" si="142"/>
        <v>277.12386407996132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-9.0949470177292824E-13</v>
      </c>
      <c r="AJ180" s="13">
        <f>AI180*VLOOKUP('Données projet'!$B$10,Paramètres!$A$1:$I$89,3,0)*VLOOKUP('Données projet'!$B$10,Paramètres!$A$1:$I$89,5,0)</f>
        <v>-4.625326255336404E-13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373.70967725072484</v>
      </c>
      <c r="AO180" s="59">
        <f t="shared" si="144"/>
        <v>431.87575082696571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18.405023208611489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1.6292128820519287E-16</v>
      </c>
      <c r="AX180" s="21">
        <f t="shared" si="166"/>
        <v>18.405023208611489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-1.915395841933787E-13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328.34986205643321</v>
      </c>
      <c r="BJ180" s="59">
        <f t="shared" si="146"/>
        <v>251.60894449147008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104.76961715177636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104.76961715177636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2.0395418687257919E-13</v>
      </c>
      <c r="P181" s="13">
        <f t="shared" si="141"/>
        <v>2.8200388570161721E-12</v>
      </c>
      <c r="Q181" s="20">
        <f t="shared" si="162"/>
        <v>5.2667878847729083E-12</v>
      </c>
      <c r="R181" s="59">
        <f t="shared" si="109"/>
        <v>293.3333333333386</v>
      </c>
      <c r="S181" s="59">
        <f ca="1">AVERAGE(OFFSET($R$3,0,0,'Données projet'!$E$9+1,1))-AVERAGE(OFFSET($H$3,0,0,'Données projet'!$E$9+1,1))</f>
        <v>250.57528780096658</v>
      </c>
      <c r="T181" s="59">
        <f t="shared" si="142"/>
        <v>277.12386407996132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-9.0949470177292824E-13</v>
      </c>
      <c r="AJ181" s="13">
        <f>AI181*VLOOKUP('Données projet'!$B$10,Paramètres!$A$1:$I$89,3,0)*VLOOKUP('Données projet'!$B$10,Paramètres!$A$1:$I$89,5,0)</f>
        <v>-4.625326255336404E-13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373.70967725072484</v>
      </c>
      <c r="AO181" s="59">
        <f t="shared" si="144"/>
        <v>431.87575082696571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18.044111929446302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1.1520274768953976E-16</v>
      </c>
      <c r="AX181" s="21">
        <f t="shared" si="166"/>
        <v>18.044111929446302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-1.915395841933787E-13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328.34986205643321</v>
      </c>
      <c r="BJ181" s="59">
        <f t="shared" si="146"/>
        <v>251.60894449147008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102.71514886258657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102.71514886258657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2.0395418687257919E-13</v>
      </c>
      <c r="P182" s="13">
        <f t="shared" si="141"/>
        <v>2.8200388570161721E-12</v>
      </c>
      <c r="Q182" s="20">
        <f t="shared" si="162"/>
        <v>5.2667878847729083E-12</v>
      </c>
      <c r="R182" s="59">
        <f t="shared" si="109"/>
        <v>293.3333333333386</v>
      </c>
      <c r="S182" s="59">
        <f ca="1">AVERAGE(OFFSET($R$3,0,0,'Données projet'!$E$9+1,1))-AVERAGE(OFFSET($H$3,0,0,'Données projet'!$E$9+1,1))</f>
        <v>250.57528780096658</v>
      </c>
      <c r="T182" s="59">
        <f t="shared" si="142"/>
        <v>277.12386407996132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-9.0949470177292824E-13</v>
      </c>
      <c r="AJ182" s="13">
        <f>AI182*VLOOKUP('Données projet'!$B$10,Paramètres!$A$1:$I$89,3,0)*VLOOKUP('Données projet'!$B$10,Paramètres!$A$1:$I$89,5,0)</f>
        <v>-4.625326255336404E-13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373.70967725072484</v>
      </c>
      <c r="AO182" s="59">
        <f t="shared" si="144"/>
        <v>431.87575082696571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17.690277900331402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8.1460644102596435E-17</v>
      </c>
      <c r="AX182" s="21">
        <f t="shared" si="166"/>
        <v>17.690277900331402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-1.915395841933787E-13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328.34986205643321</v>
      </c>
      <c r="BJ182" s="59">
        <f t="shared" si="146"/>
        <v>251.60894449147008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100.70096744344588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100.70096744344588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2.0395418687257919E-13</v>
      </c>
      <c r="P183" s="13">
        <f t="shared" si="141"/>
        <v>2.8200388570161721E-12</v>
      </c>
      <c r="Q183" s="20">
        <f t="shared" si="162"/>
        <v>5.2667878847729083E-12</v>
      </c>
      <c r="R183" s="59">
        <f t="shared" si="109"/>
        <v>293.3333333333386</v>
      </c>
      <c r="S183" s="59">
        <f ca="1">AVERAGE(OFFSET($R$3,0,0,'Données projet'!$E$9+1,1))-AVERAGE(OFFSET($H$3,0,0,'Données projet'!$E$9+1,1))</f>
        <v>250.57528780096658</v>
      </c>
      <c r="T183" s="59">
        <f t="shared" si="142"/>
        <v>277.12386407996132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-9.0949470177292824E-13</v>
      </c>
      <c r="AJ183" s="13">
        <f>AI183*VLOOKUP('Données projet'!$B$10,Paramètres!$A$1:$I$89,3,0)*VLOOKUP('Données projet'!$B$10,Paramètres!$A$1:$I$89,5,0)</f>
        <v>-4.625326255336404E-13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373.70967725072484</v>
      </c>
      <c r="AO183" s="59">
        <f t="shared" si="144"/>
        <v>431.87575082696571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17.343382340709997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5.760137384476988E-17</v>
      </c>
      <c r="AX183" s="21">
        <f t="shared" si="166"/>
        <v>17.343382340709997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-1.915395841933787E-13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328.34986205643321</v>
      </c>
      <c r="BJ183" s="59">
        <f t="shared" si="146"/>
        <v>251.60894449147008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98.72628289340517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98.72628289340517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2.0395418687257919E-13</v>
      </c>
      <c r="P184" s="13">
        <f t="shared" si="141"/>
        <v>2.8200388570161721E-12</v>
      </c>
      <c r="Q184" s="20">
        <f t="shared" si="162"/>
        <v>5.2667878847729083E-12</v>
      </c>
      <c r="R184" s="59">
        <f t="shared" si="109"/>
        <v>293.3333333333386</v>
      </c>
      <c r="S184" s="59">
        <f ca="1">AVERAGE(OFFSET($R$3,0,0,'Données projet'!$E$9+1,1))-AVERAGE(OFFSET($H$3,0,0,'Données projet'!$E$9+1,1))</f>
        <v>250.57528780096658</v>
      </c>
      <c r="T184" s="59">
        <f t="shared" si="142"/>
        <v>277.12386407996132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-9.0949470177292824E-13</v>
      </c>
      <c r="AJ184" s="13">
        <f>AI184*VLOOKUP('Données projet'!$B$10,Paramètres!$A$1:$I$89,3,0)*VLOOKUP('Données projet'!$B$10,Paramètres!$A$1:$I$89,5,0)</f>
        <v>-4.625326255336404E-13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373.70967725072484</v>
      </c>
      <c r="AO184" s="59">
        <f t="shared" si="144"/>
        <v>431.87575082696571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17.00328919142737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4.0730322051298218E-17</v>
      </c>
      <c r="AX184" s="21">
        <f t="shared" si="166"/>
        <v>17.00328919142737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-1.915395841933787E-13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328.34986205643321</v>
      </c>
      <c r="BJ184" s="59">
        <f t="shared" si="146"/>
        <v>251.60894449147008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96.790320702952116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96.790320702952116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2.0395418687257919E-13</v>
      </c>
      <c r="P185" s="13">
        <f t="shared" si="141"/>
        <v>2.8200388570161721E-12</v>
      </c>
      <c r="Q185" s="20">
        <f t="shared" si="162"/>
        <v>5.2667878847729083E-12</v>
      </c>
      <c r="R185" s="59">
        <f t="shared" si="109"/>
        <v>293.3333333333386</v>
      </c>
      <c r="S185" s="59">
        <f ca="1">AVERAGE(OFFSET($R$3,0,0,'Données projet'!$E$9+1,1))-AVERAGE(OFFSET($H$3,0,0,'Données projet'!$E$9+1,1))</f>
        <v>250.57528780096658</v>
      </c>
      <c r="T185" s="59">
        <f t="shared" si="142"/>
        <v>277.12386407996132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-9.0949470177292824E-13</v>
      </c>
      <c r="AJ185" s="13">
        <f>AI185*VLOOKUP('Données projet'!$B$10,Paramètres!$A$1:$I$89,3,0)*VLOOKUP('Données projet'!$B$10,Paramètres!$A$1:$I$89,5,0)</f>
        <v>-4.625326255336404E-13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373.70967725072484</v>
      </c>
      <c r="AO185" s="59">
        <f t="shared" si="144"/>
        <v>431.87575082696571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16.669865061365837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2.880068692238494E-17</v>
      </c>
      <c r="AX185" s="21">
        <f t="shared" si="166"/>
        <v>16.669865061365837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-1.915395841933787E-13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328.34986205643321</v>
      </c>
      <c r="BJ185" s="59">
        <f t="shared" si="146"/>
        <v>251.60894449147008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94.892321550233504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94.892321550233504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2.0395418687257919E-13</v>
      </c>
      <c r="P186" s="13">
        <f t="shared" si="141"/>
        <v>2.8200388570161721E-12</v>
      </c>
      <c r="Q186" s="20">
        <f t="shared" si="162"/>
        <v>5.2667878847729083E-12</v>
      </c>
      <c r="R186" s="59">
        <f t="shared" si="109"/>
        <v>293.3333333333386</v>
      </c>
      <c r="S186" s="59">
        <f ca="1">AVERAGE(OFFSET($R$3,0,0,'Données projet'!$E$9+1,1))-AVERAGE(OFFSET($H$3,0,0,'Données projet'!$E$9+1,1))</f>
        <v>250.57528780096658</v>
      </c>
      <c r="T186" s="59">
        <f t="shared" si="142"/>
        <v>277.12386407996132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-9.0949470177292824E-13</v>
      </c>
      <c r="AJ186" s="13">
        <f>AI186*VLOOKUP('Données projet'!$B$10,Paramètres!$A$1:$I$89,3,0)*VLOOKUP('Données projet'!$B$10,Paramètres!$A$1:$I$89,5,0)</f>
        <v>-4.625326255336404E-13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373.70967725072484</v>
      </c>
      <c r="AO186" s="59">
        <f t="shared" si="144"/>
        <v>431.87575082696571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16.342979175126171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2.0365161025649109E-17</v>
      </c>
      <c r="AX186" s="21">
        <f t="shared" si="166"/>
        <v>16.342979175126171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-1.915395841933787E-13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328.34986205643321</v>
      </c>
      <c r="BJ186" s="59">
        <f t="shared" si="146"/>
        <v>251.60894449147008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93.031541003234537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93.031541003234537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2.0395418687257919E-13</v>
      </c>
      <c r="P187" s="13">
        <f t="shared" si="141"/>
        <v>2.8200388570161721E-12</v>
      </c>
      <c r="Q187" s="20">
        <f t="shared" si="162"/>
        <v>5.2667878847729083E-12</v>
      </c>
      <c r="R187" s="59">
        <f t="shared" si="109"/>
        <v>293.3333333333386</v>
      </c>
      <c r="S187" s="59">
        <f ca="1">AVERAGE(OFFSET($R$3,0,0,'Données projet'!$E$9+1,1))-AVERAGE(OFFSET($H$3,0,0,'Données projet'!$E$9+1,1))</f>
        <v>250.57528780096658</v>
      </c>
      <c r="T187" s="59">
        <f t="shared" si="142"/>
        <v>277.12386407996132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-9.0949470177292824E-13</v>
      </c>
      <c r="AJ187" s="13">
        <f>AI187*VLOOKUP('Données projet'!$B$10,Paramètres!$A$1:$I$89,3,0)*VLOOKUP('Données projet'!$B$10,Paramètres!$A$1:$I$89,5,0)</f>
        <v>-4.625326255336404E-13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373.70967725072484</v>
      </c>
      <c r="AO187" s="59">
        <f t="shared" si="144"/>
        <v>431.87575082696571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16.022503321734963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1.440034346119247E-17</v>
      </c>
      <c r="AX187" s="21">
        <f t="shared" si="166"/>
        <v>16.022503321734963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-1.915395841933787E-13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328.34986205643321</v>
      </c>
      <c r="BJ187" s="59">
        <f t="shared" si="146"/>
        <v>251.60894449147008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91.207249227798144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91.207249227798144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2.0395418687257919E-13</v>
      </c>
      <c r="P188" s="13">
        <f t="shared" si="141"/>
        <v>2.8200388570161721E-12</v>
      </c>
      <c r="Q188" s="20">
        <f t="shared" si="162"/>
        <v>5.2667878847729083E-12</v>
      </c>
      <c r="R188" s="59">
        <f t="shared" si="109"/>
        <v>293.3333333333386</v>
      </c>
      <c r="S188" s="59">
        <f ca="1">AVERAGE(OFFSET($R$3,0,0,'Données projet'!$E$9+1,1))-AVERAGE(OFFSET($H$3,0,0,'Données projet'!$E$9+1,1))</f>
        <v>250.57528780096658</v>
      </c>
      <c r="T188" s="59">
        <f t="shared" si="142"/>
        <v>277.12386407996132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-9.0949470177292824E-13</v>
      </c>
      <c r="AJ188" s="13">
        <f>AI188*VLOOKUP('Données projet'!$B$10,Paramètres!$A$1:$I$89,3,0)*VLOOKUP('Données projet'!$B$10,Paramètres!$A$1:$I$89,5,0)</f>
        <v>-4.625326255336404E-13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373.70967725072484</v>
      </c>
      <c r="AO188" s="59">
        <f t="shared" si="144"/>
        <v>431.87575082696571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15.708311804357786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1.0182580512824554E-17</v>
      </c>
      <c r="AX188" s="21">
        <f t="shared" si="166"/>
        <v>15.708311804357786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-1.915395841933787E-13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328.34986205643321</v>
      </c>
      <c r="BJ188" s="59">
        <f t="shared" si="146"/>
        <v>251.60894449147008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89.418730701369952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89.418730701369952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2.0395418687257919E-13</v>
      </c>
      <c r="P189" s="13">
        <f t="shared" si="141"/>
        <v>2.8200388570161721E-12</v>
      </c>
      <c r="Q189" s="20">
        <f t="shared" si="162"/>
        <v>5.2667878847729083E-12</v>
      </c>
      <c r="R189" s="59">
        <f t="shared" si="109"/>
        <v>293.3333333333386</v>
      </c>
      <c r="S189" s="59">
        <f ca="1">AVERAGE(OFFSET($R$3,0,0,'Données projet'!$E$9+1,1))-AVERAGE(OFFSET($H$3,0,0,'Données projet'!$E$9+1,1))</f>
        <v>250.57528780096658</v>
      </c>
      <c r="T189" s="59">
        <f t="shared" si="142"/>
        <v>277.12386407996132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-9.0949470177292824E-13</v>
      </c>
      <c r="AJ189" s="13">
        <f>AI189*VLOOKUP('Données projet'!$B$10,Paramètres!$A$1:$I$89,3,0)*VLOOKUP('Données projet'!$B$10,Paramètres!$A$1:$I$89,5,0)</f>
        <v>-4.625326255336404E-13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373.70967725072484</v>
      </c>
      <c r="AO189" s="59">
        <f t="shared" si="144"/>
        <v>431.87575082696571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15.400281390998472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7.200171730596235E-18</v>
      </c>
      <c r="AX189" s="21">
        <f t="shared" si="166"/>
        <v>15.400281390998472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-1.915395841933787E-13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328.34986205643321</v>
      </c>
      <c r="BJ189" s="59">
        <f t="shared" si="146"/>
        <v>251.60894449147008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87.665283932356431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87.665283932356431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2.0395418687257919E-13</v>
      </c>
      <c r="P190" s="13">
        <f t="shared" si="141"/>
        <v>2.8200388570161721E-12</v>
      </c>
      <c r="Q190" s="20">
        <f t="shared" si="162"/>
        <v>5.2667878847729083E-12</v>
      </c>
      <c r="R190" s="59">
        <f t="shared" si="109"/>
        <v>293.3333333333386</v>
      </c>
      <c r="S190" s="59">
        <f ca="1">AVERAGE(OFFSET($R$3,0,0,'Données projet'!$E$9+1,1))-AVERAGE(OFFSET($H$3,0,0,'Données projet'!$E$9+1,1))</f>
        <v>250.57528780096658</v>
      </c>
      <c r="T190" s="59">
        <f t="shared" si="142"/>
        <v>277.12386407996132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-9.0949470177292824E-13</v>
      </c>
      <c r="AJ190" s="13">
        <f>AI190*VLOOKUP('Données projet'!$B$10,Paramètres!$A$1:$I$89,3,0)*VLOOKUP('Données projet'!$B$10,Paramètres!$A$1:$I$89,5,0)</f>
        <v>-4.625326255336404E-13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373.70967725072484</v>
      </c>
      <c r="AO190" s="59">
        <f t="shared" si="144"/>
        <v>431.87575082696571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15.098291266165136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5.0912902564122772E-18</v>
      </c>
      <c r="AX190" s="21">
        <f t="shared" si="166"/>
        <v>15.098291266165136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-1.915395841933787E-13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328.34986205643321</v>
      </c>
      <c r="BJ190" s="59">
        <f t="shared" si="146"/>
        <v>251.60894449147008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85.946221184986342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85.946221184986342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2.0395418687257919E-13</v>
      </c>
      <c r="P191" s="13">
        <f t="shared" si="141"/>
        <v>2.8200388570161721E-12</v>
      </c>
      <c r="Q191" s="20">
        <f t="shared" si="162"/>
        <v>5.2667878847729083E-12</v>
      </c>
      <c r="R191" s="59">
        <f t="shared" si="109"/>
        <v>293.3333333333386</v>
      </c>
      <c r="S191" s="59">
        <f ca="1">AVERAGE(OFFSET($R$3,0,0,'Données projet'!$E$9+1,1))-AVERAGE(OFFSET($H$3,0,0,'Données projet'!$E$9+1,1))</f>
        <v>250.57528780096658</v>
      </c>
      <c r="T191" s="59">
        <f t="shared" si="142"/>
        <v>277.12386407996132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-9.0949470177292824E-13</v>
      </c>
      <c r="AJ191" s="13">
        <f>AI191*VLOOKUP('Données projet'!$B$10,Paramètres!$A$1:$I$89,3,0)*VLOOKUP('Données projet'!$B$10,Paramètres!$A$1:$I$89,5,0)</f>
        <v>-4.625326255336404E-13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373.70967725072484</v>
      </c>
      <c r="AO191" s="59">
        <f t="shared" si="144"/>
        <v>431.87575082696571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14.802222983483992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3.6000858652981175E-18</v>
      </c>
      <c r="AX191" s="21">
        <f t="shared" si="166"/>
        <v>14.802222983483992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-1.915395841933787E-13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328.34986205643321</v>
      </c>
      <c r="BJ191" s="59">
        <f t="shared" si="146"/>
        <v>251.60894449147008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84.260868209567434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84.260868209567434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2.0395418687257919E-13</v>
      </c>
      <c r="P192" s="13">
        <f t="shared" si="141"/>
        <v>2.8200388570161721E-12</v>
      </c>
      <c r="Q192" s="20">
        <f t="shared" si="162"/>
        <v>5.2667878847729083E-12</v>
      </c>
      <c r="R192" s="59">
        <f t="shared" si="109"/>
        <v>293.3333333333386</v>
      </c>
      <c r="S192" s="59">
        <f ca="1">AVERAGE(OFFSET($R$3,0,0,'Données projet'!$E$9+1,1))-AVERAGE(OFFSET($H$3,0,0,'Données projet'!$E$9+1,1))</f>
        <v>250.57528780096658</v>
      </c>
      <c r="T192" s="59">
        <f t="shared" si="142"/>
        <v>277.12386407996132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-9.0949470177292824E-13</v>
      </c>
      <c r="AJ192" s="13">
        <f>AI192*VLOOKUP('Données projet'!$B$10,Paramètres!$A$1:$I$89,3,0)*VLOOKUP('Données projet'!$B$10,Paramètres!$A$1:$I$89,5,0)</f>
        <v>-4.625326255336404E-13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373.70967725072484</v>
      </c>
      <c r="AO192" s="59">
        <f t="shared" si="144"/>
        <v>431.87575082696571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14.511960419242403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2.5456451282061386E-18</v>
      </c>
      <c r="AX192" s="21">
        <f t="shared" si="166"/>
        <v>14.511960419242403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-1.915395841933787E-13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328.34986205643321</v>
      </c>
      <c r="BJ192" s="59">
        <f t="shared" si="146"/>
        <v>251.60894449147008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82.608563978032677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82.608563978032677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2.0395418687257919E-13</v>
      </c>
      <c r="P193" s="13">
        <f t="shared" si="141"/>
        <v>2.8200388570161721E-12</v>
      </c>
      <c r="Q193" s="20">
        <f t="shared" si="162"/>
        <v>5.2667878847729083E-12</v>
      </c>
      <c r="R193" s="59">
        <f t="shared" si="109"/>
        <v>293.3333333333386</v>
      </c>
      <c r="S193" s="59">
        <f ca="1">AVERAGE(OFFSET($R$3,0,0,'Données projet'!$E$9+1,1))-AVERAGE(OFFSET($H$3,0,0,'Données projet'!$E$9+1,1))</f>
        <v>250.57528780096658</v>
      </c>
      <c r="T193" s="59">
        <f t="shared" si="142"/>
        <v>277.12386407996132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-9.0949470177292824E-13</v>
      </c>
      <c r="AJ193" s="13">
        <f>AI193*VLOOKUP('Données projet'!$B$10,Paramètres!$A$1:$I$89,3,0)*VLOOKUP('Données projet'!$B$10,Paramètres!$A$1:$I$89,5,0)</f>
        <v>-4.625326255336404E-13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373.70967725072484</v>
      </c>
      <c r="AO193" s="59">
        <f t="shared" si="144"/>
        <v>431.87575082696571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14.22738972684291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1.8000429326490587E-18</v>
      </c>
      <c r="AX193" s="21">
        <f t="shared" si="166"/>
        <v>14.22738972684291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-1.915395841933787E-13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328.34986205643321</v>
      </c>
      <c r="BJ193" s="59">
        <f t="shared" si="146"/>
        <v>251.60894449147008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80.988660424672261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80.988660424672261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2.0395418687257919E-13</v>
      </c>
      <c r="P194" s="13">
        <f t="shared" si="141"/>
        <v>2.8200388570161721E-12</v>
      </c>
      <c r="Q194" s="20">
        <f t="shared" si="162"/>
        <v>5.2667878847729083E-12</v>
      </c>
      <c r="R194" s="59">
        <f t="shared" si="109"/>
        <v>293.3333333333386</v>
      </c>
      <c r="S194" s="59">
        <f ca="1">AVERAGE(OFFSET($R$3,0,0,'Données projet'!$E$9+1,1))-AVERAGE(OFFSET($H$3,0,0,'Données projet'!$E$9+1,1))</f>
        <v>250.57528780096658</v>
      </c>
      <c r="T194" s="59">
        <f t="shared" si="142"/>
        <v>277.12386407996132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-9.0949470177292824E-13</v>
      </c>
      <c r="AJ194" s="13">
        <f>AI194*VLOOKUP('Données projet'!$B$10,Paramètres!$A$1:$I$89,3,0)*VLOOKUP('Données projet'!$B$10,Paramètres!$A$1:$I$89,5,0)</f>
        <v>-4.625326255336404E-13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373.70967725072484</v>
      </c>
      <c r="AO194" s="59">
        <f t="shared" si="144"/>
        <v>431.87575082696571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13.948399292150388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1.2728225641030693E-18</v>
      </c>
      <c r="AX194" s="21">
        <f t="shared" si="166"/>
        <v>13.948399292150388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-1.915395841933787E-13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328.34986205643321</v>
      </c>
      <c r="BJ194" s="59">
        <f t="shared" si="146"/>
        <v>251.60894449147008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79.400522191949634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79.400522191949634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2.0395418687257919E-13</v>
      </c>
      <c r="P195" s="13">
        <f t="shared" si="141"/>
        <v>2.8200388570161721E-12</v>
      </c>
      <c r="Q195" s="20">
        <f t="shared" si="162"/>
        <v>5.2667878847729083E-12</v>
      </c>
      <c r="R195" s="59">
        <f t="shared" ref="R195:R203" si="191">Q195+(I195+J195)*44/12</f>
        <v>293.3333333333386</v>
      </c>
      <c r="S195" s="59">
        <f ca="1">AVERAGE(OFFSET($R$3,0,0,'Données projet'!$E$9+1,1))-AVERAGE(OFFSET($H$3,0,0,'Données projet'!$E$9+1,1))</f>
        <v>250.57528780096658</v>
      </c>
      <c r="T195" s="59">
        <f t="shared" si="142"/>
        <v>277.12386407996132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-9.0949470177292824E-13</v>
      </c>
      <c r="AJ195" s="13">
        <f>AI195*VLOOKUP('Données projet'!$B$10,Paramètres!$A$1:$I$89,3,0)*VLOOKUP('Données projet'!$B$10,Paramètres!$A$1:$I$89,5,0)</f>
        <v>-4.625326255336404E-13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373.70967725072484</v>
      </c>
      <c r="AO195" s="59">
        <f t="shared" si="144"/>
        <v>431.87575082696571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13.674879689714823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9.0002146632452937E-19</v>
      </c>
      <c r="AX195" s="21">
        <f t="shared" si="166"/>
        <v>13.674879689714823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-1.915395841933787E-13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328.34986205643321</v>
      </c>
      <c r="BJ195" s="59">
        <f t="shared" si="146"/>
        <v>251.60894449147008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77.843526381302013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77.843526381302013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2.0395418687257919E-13</v>
      </c>
      <c r="P196" s="13">
        <f t="shared" si="141"/>
        <v>2.8200388570161721E-12</v>
      </c>
      <c r="Q196" s="20">
        <f t="shared" si="162"/>
        <v>5.2667878847729083E-12</v>
      </c>
      <c r="R196" s="59">
        <f t="shared" si="191"/>
        <v>293.3333333333386</v>
      </c>
      <c r="S196" s="59">
        <f ca="1">AVERAGE(OFFSET($R$3,0,0,'Données projet'!$E$9+1,1))-AVERAGE(OFFSET($H$3,0,0,'Données projet'!$E$9+1,1))</f>
        <v>250.57528780096658</v>
      </c>
      <c r="T196" s="59">
        <f t="shared" si="142"/>
        <v>277.12386407996132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-9.0949470177292824E-13</v>
      </c>
      <c r="AJ196" s="13">
        <f>AI196*VLOOKUP('Données projet'!$B$10,Paramètres!$A$1:$I$89,3,0)*VLOOKUP('Données projet'!$B$10,Paramètres!$A$1:$I$89,5,0)</f>
        <v>-4.625326255336404E-13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373.70967725072484</v>
      </c>
      <c r="AO196" s="59">
        <f t="shared" si="144"/>
        <v>431.87575082696571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13.406723639852535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6.3641128205153465E-19</v>
      </c>
      <c r="AX196" s="21">
        <f t="shared" si="166"/>
        <v>13.406723639852535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-1.915395841933787E-13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328.34986205643321</v>
      </c>
      <c r="BJ196" s="59">
        <f t="shared" si="146"/>
        <v>251.60894449147008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76.317062308827531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76.317062308827531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2.0395418687257919E-13</v>
      </c>
      <c r="P197" s="13">
        <f t="shared" ref="P197:P203" si="203">EXP(-1.0587+0.8836*LN(O197)+0.284)</f>
        <v>2.8200388570161721E-12</v>
      </c>
      <c r="Q197" s="20">
        <f t="shared" si="162"/>
        <v>5.2667878847729083E-12</v>
      </c>
      <c r="R197" s="59">
        <f t="shared" si="191"/>
        <v>293.3333333333386</v>
      </c>
      <c r="S197" s="59">
        <f ca="1">AVERAGE(OFFSET($R$3,0,0,'Données projet'!$E$9+1,1))-AVERAGE(OFFSET($H$3,0,0,'Données projet'!$E$9+1,1))</f>
        <v>250.57528780096658</v>
      </c>
      <c r="T197" s="59">
        <f t="shared" ref="T197:T203" si="204">$T$3</f>
        <v>277.12386407996132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-9.0949470177292824E-13</v>
      </c>
      <c r="AJ197" s="13">
        <f>AI197*VLOOKUP('Données projet'!$B$10,Paramètres!$A$1:$I$89,3,0)*VLOOKUP('Données projet'!$B$10,Paramètres!$A$1:$I$89,5,0)</f>
        <v>-4.625326255336404E-13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373.70967725072484</v>
      </c>
      <c r="AO197" s="59">
        <f t="shared" ref="AO197:AO203" si="205">$AO$3</f>
        <v>431.87575082696571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13.143825966569006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4.5001073316226468E-19</v>
      </c>
      <c r="AX197" s="21">
        <f t="shared" si="166"/>
        <v>13.143825966569006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-1.915395841933787E-13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328.34986205643321</v>
      </c>
      <c r="BJ197" s="59">
        <f t="shared" ref="BJ197:BJ203" si="206">$BJ$3</f>
        <v>251.60894449147008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74.820531265763123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74.820531265763123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2.0395418687257919E-13</v>
      </c>
      <c r="P198" s="13">
        <f t="shared" si="203"/>
        <v>2.8200388570161721E-12</v>
      </c>
      <c r="Q198" s="20">
        <f t="shared" si="162"/>
        <v>5.2667878847729083E-12</v>
      </c>
      <c r="R198" s="59">
        <f t="shared" si="191"/>
        <v>293.3333333333386</v>
      </c>
      <c r="S198" s="59">
        <f ca="1">AVERAGE(OFFSET($R$3,0,0,'Données projet'!$E$9+1,1))-AVERAGE(OFFSET($H$3,0,0,'Données projet'!$E$9+1,1))</f>
        <v>250.57528780096658</v>
      </c>
      <c r="T198" s="59">
        <f t="shared" si="204"/>
        <v>277.12386407996132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-9.0949470177292824E-13</v>
      </c>
      <c r="AJ198" s="13">
        <f>AI198*VLOOKUP('Données projet'!$B$10,Paramètres!$A$1:$I$89,3,0)*VLOOKUP('Données projet'!$B$10,Paramètres!$A$1:$I$89,5,0)</f>
        <v>-4.625326255336404E-13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373.70967725072484</v>
      </c>
      <c r="AO198" s="59">
        <f t="shared" si="205"/>
        <v>431.87575082696571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12.88608355630682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3.1820564102576733E-19</v>
      </c>
      <c r="AX198" s="21">
        <f t="shared" si="166"/>
        <v>12.88608355630682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-1.915395841933787E-13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328.34986205643321</v>
      </c>
      <c r="BJ198" s="59">
        <f t="shared" si="206"/>
        <v>251.60894449147008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73.353346283659391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73.353346283659391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2.0395418687257919E-13</v>
      </c>
      <c r="P199" s="13">
        <f t="shared" si="203"/>
        <v>2.8200388570161721E-12</v>
      </c>
      <c r="Q199" s="20">
        <f t="shared" si="162"/>
        <v>5.2667878847729083E-12</v>
      </c>
      <c r="R199" s="59">
        <f t="shared" si="191"/>
        <v>293.3333333333386</v>
      </c>
      <c r="S199" s="59">
        <f ca="1">AVERAGE(OFFSET($R$3,0,0,'Données projet'!$E$9+1,1))-AVERAGE(OFFSET($H$3,0,0,'Données projet'!$E$9+1,1))</f>
        <v>250.57528780096658</v>
      </c>
      <c r="T199" s="59">
        <f t="shared" si="204"/>
        <v>277.12386407996132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-9.0949470177292824E-13</v>
      </c>
      <c r="AJ199" s="13">
        <f>AI199*VLOOKUP('Données projet'!$B$10,Paramètres!$A$1:$I$89,3,0)*VLOOKUP('Données projet'!$B$10,Paramètres!$A$1:$I$89,5,0)</f>
        <v>-4.625326255336404E-13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373.70967725072484</v>
      </c>
      <c r="AO199" s="59">
        <f t="shared" si="205"/>
        <v>431.87575082696571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12.633395317502529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2.2500536658113234E-19</v>
      </c>
      <c r="AX199" s="21">
        <f t="shared" si="166"/>
        <v>12.633395317502529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-1.915395841933787E-13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328.34986205643321</v>
      </c>
      <c r="BJ199" s="59">
        <f t="shared" si="206"/>
        <v>251.60894449147008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71.914931904160241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71.914931904160241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2.0395418687257919E-13</v>
      </c>
      <c r="P200" s="13">
        <f t="shared" si="203"/>
        <v>2.8200388570161721E-12</v>
      </c>
      <c r="Q200" s="20">
        <f t="shared" si="162"/>
        <v>5.2667878847729083E-12</v>
      </c>
      <c r="R200" s="59">
        <f t="shared" si="191"/>
        <v>293.3333333333386</v>
      </c>
      <c r="S200" s="59">
        <f ca="1">AVERAGE(OFFSET($R$3,0,0,'Données projet'!$E$9+1,1))-AVERAGE(OFFSET($H$3,0,0,'Données projet'!$E$9+1,1))</f>
        <v>250.57528780096658</v>
      </c>
      <c r="T200" s="59">
        <f t="shared" si="204"/>
        <v>277.12386407996132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-9.0949470177292824E-13</v>
      </c>
      <c r="AJ200" s="13">
        <f>AI200*VLOOKUP('Données projet'!$B$10,Paramètres!$A$1:$I$89,3,0)*VLOOKUP('Données projet'!$B$10,Paramètres!$A$1:$I$89,5,0)</f>
        <v>-4.625326255336404E-13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373.70967725072484</v>
      </c>
      <c r="AO200" s="59">
        <f t="shared" si="205"/>
        <v>431.87575082696571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12.385662140936583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1.5910282051288366E-19</v>
      </c>
      <c r="AX200" s="21">
        <f t="shared" si="166"/>
        <v>12.385662140936583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-1.915395841933787E-13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328.34986205643321</v>
      </c>
      <c r="BJ200" s="59">
        <f t="shared" si="206"/>
        <v>251.60894449147008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70.504723953296931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70.504723953296931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2.0395418687257919E-13</v>
      </c>
      <c r="P201" s="13">
        <f t="shared" si="203"/>
        <v>2.8200388570161721E-12</v>
      </c>
      <c r="Q201" s="20">
        <f t="shared" si="162"/>
        <v>5.2667878847729083E-12</v>
      </c>
      <c r="R201" s="59">
        <f t="shared" si="191"/>
        <v>293.3333333333386</v>
      </c>
      <c r="S201" s="59">
        <f ca="1">AVERAGE(OFFSET($R$3,0,0,'Données projet'!$E$9+1,1))-AVERAGE(OFFSET($H$3,0,0,'Données projet'!$E$9+1,1))</f>
        <v>250.57528780096658</v>
      </c>
      <c r="T201" s="59">
        <f t="shared" si="204"/>
        <v>277.12386407996132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-9.0949470177292824E-13</v>
      </c>
      <c r="AJ201" s="13">
        <f>AI201*VLOOKUP('Données projet'!$B$10,Paramètres!$A$1:$I$89,3,0)*VLOOKUP('Données projet'!$B$10,Paramètres!$A$1:$I$89,5,0)</f>
        <v>-4.625326255336404E-13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373.70967725072484</v>
      </c>
      <c r="AO201" s="59">
        <f t="shared" si="205"/>
        <v>431.87575082696571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12.142786860860777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1.1250268329056617E-19</v>
      </c>
      <c r="AX201" s="21">
        <f t="shared" si="166"/>
        <v>12.142786860860777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-1.915395841933787E-13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328.34986205643321</v>
      </c>
      <c r="BJ201" s="59">
        <f t="shared" si="206"/>
        <v>251.60894449147008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69.12216932020813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69.12216932020813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2.0395418687257919E-13</v>
      </c>
      <c r="P202" s="13">
        <f t="shared" si="203"/>
        <v>2.8200388570161721E-12</v>
      </c>
      <c r="Q202" s="20">
        <f t="shared" si="162"/>
        <v>5.2667878847729083E-12</v>
      </c>
      <c r="R202" s="59">
        <f t="shared" si="191"/>
        <v>293.3333333333386</v>
      </c>
      <c r="S202" s="59">
        <f ca="1">AVERAGE(OFFSET($R$3,0,0,'Données projet'!$E$9+1,1))-AVERAGE(OFFSET($H$3,0,0,'Données projet'!$E$9+1,1))</f>
        <v>250.57528780096658</v>
      </c>
      <c r="T202" s="59">
        <f t="shared" si="204"/>
        <v>277.12386407996132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-9.0949470177292824E-13</v>
      </c>
      <c r="AJ202" s="13">
        <f>AI202*VLOOKUP('Données projet'!$B$10,Paramètres!$A$1:$I$89,3,0)*VLOOKUP('Données projet'!$B$10,Paramètres!$A$1:$I$89,5,0)</f>
        <v>-4.625326255336404E-13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373.70967725072484</v>
      </c>
      <c r="AO202" s="59">
        <f t="shared" si="205"/>
        <v>431.87575082696571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11.904674216887965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7.9551410256441831E-20</v>
      </c>
      <c r="AX202" s="21">
        <f t="shared" si="166"/>
        <v>11.904674216887965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-1.915395841933787E-13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328.34986205643321</v>
      </c>
      <c r="BJ202" s="59">
        <f t="shared" si="206"/>
        <v>251.60894449147008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67.766725740199149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67.766725740199149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2.0395418687257919E-13</v>
      </c>
      <c r="P203" s="13">
        <f t="shared" si="203"/>
        <v>2.8200388570161721E-12</v>
      </c>
      <c r="Q203" s="20">
        <f t="shared" si="162"/>
        <v>5.2667878847729083E-12</v>
      </c>
      <c r="R203" s="59">
        <f t="shared" si="191"/>
        <v>293.3333333333386</v>
      </c>
      <c r="S203" s="59">
        <f ca="1">AVERAGE(OFFSET($R$3,0,0,'Données projet'!$E$9+1,1))-AVERAGE(OFFSET($H$3,0,0,'Données projet'!$E$9+1,1))</f>
        <v>250.57528780096658</v>
      </c>
      <c r="T203" s="59">
        <f t="shared" si="204"/>
        <v>277.12386407996132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-9.0949470177292824E-13</v>
      </c>
      <c r="AJ203" s="13">
        <f>AI203*VLOOKUP('Données projet'!$B$10,Paramètres!$A$1:$I$89,3,0)*VLOOKUP('Données projet'!$B$10,Paramètres!$A$1:$I$89,5,0)</f>
        <v>-4.625326255336404E-13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373.70967725072484</v>
      </c>
      <c r="AO203" s="59">
        <f t="shared" si="205"/>
        <v>431.87575082696571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11.671230816629087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5.6251341645283086E-20</v>
      </c>
      <c r="AX203" s="21">
        <f t="shared" si="166"/>
        <v>11.671230816629087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-1.915395841933787E-13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328.34986205643321</v>
      </c>
      <c r="BJ203" s="59">
        <f t="shared" si="206"/>
        <v>251.60894449147008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66.437861582055191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66.437861582055191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1.475773161594552</v>
      </c>
      <c r="BA205" s="82">
        <f>EXP(LN('Données projet'!B88)/'Données projet'!A88)</f>
        <v>1.2392705892426346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sqref="A1:L7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2.2410000000000005</v>
      </c>
      <c r="C6" s="147">
        <f ca="1">IF(OR('Données projet'!B9="",'Données projet'!C9="",'Données projet'!C9=0%),0,Calculateur!S3)</f>
        <v>250.57528780096658</v>
      </c>
      <c r="D6" s="147">
        <f>IF(OR('Données projet'!B9="",'Données projet'!C9="",'Données projet'!C9=0%),0,Calculateur!T3)</f>
        <v>277.12386407996132</v>
      </c>
      <c r="E6" s="147">
        <f ca="1">MIN(C6,D6)</f>
        <v>250.57528780096658</v>
      </c>
      <c r="F6" s="147">
        <f ca="1">E6*B6</f>
        <v>561.53921996196618</v>
      </c>
      <c r="G6" s="147">
        <f ca="1">F6*(100%-'Données projet'!$C$24)*(100%-'Données projet'!$C$25)*(100%-'Données projet'!$C$26)*(100%-'Données projet'!$C$27)</f>
        <v>384.09282645398486</v>
      </c>
      <c r="H6" s="148">
        <f>IF(OR('Données projet'!B9="",'Données projet'!C9="",'Données projet'!C9=0%),0,AVERAGE(Calculateur!$AC$3:$AC$33)*B6)</f>
        <v>15.938489761771274</v>
      </c>
      <c r="I6" s="149">
        <f>H6*(100%-'Données projet'!$C$24)*(100%-'Données projet'!$C$25)*(100%-'Données projet'!$C$26)*(100%-'Données projet'!$C$27)</f>
        <v>10.901926997051552</v>
      </c>
      <c r="J6" s="150">
        <f>IF(OR('Données projet'!B9="",'Données projet'!C9="",'Données projet'!C9=0%),0,SUM(Calculateur!$V$3:$V$33)*VLOOKUP('Données projet'!$B$9,Paramètres!$A$1:$I$89,9,0)*B6)</f>
        <v>189.07317000000003</v>
      </c>
      <c r="K6" s="151">
        <f>J6*(100%-'Données projet'!$C$24)*(100%-'Données projet'!$C$25)*(100%-'Données projet'!$C$26)*(100%-'Données projet'!$C$27)</f>
        <v>129.32604828000001</v>
      </c>
      <c r="L6" s="152">
        <f ca="1">G6+I6+K6</f>
        <v>524.32080173103645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Peuplier Koster</v>
      </c>
      <c r="B7" s="154">
        <f>'Données projet'!D10</f>
        <v>2.1580000000000004</v>
      </c>
      <c r="C7" s="147">
        <f ca="1">IF(OR('Données projet'!B10="",'Données projet'!C10="",'Données projet'!C10=0%),0,Calculateur!AN3)</f>
        <v>373.70967725072484</v>
      </c>
      <c r="D7" s="147">
        <f>IF(OR('Données projet'!B10="",'Données projet'!C10="",'Données projet'!C10=0%),0,Calculateur!AO3)</f>
        <v>431.87575082696571</v>
      </c>
      <c r="E7" s="147">
        <f t="shared" ref="E7:E15" ca="1" si="0">MIN(C7,D7)</f>
        <v>373.70967725072484</v>
      </c>
      <c r="F7" s="147">
        <f t="shared" ref="F7:F15" ca="1" si="1">E7*B7</f>
        <v>806.46548350706439</v>
      </c>
      <c r="G7" s="147">
        <f ca="1">F7*(100%-'Données projet'!$C$24)*(100%-'Données projet'!$C$25)*(100%-'Données projet'!$C$26)*(100%-'Données projet'!$C$27)</f>
        <v>551.62239071883209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551.62239071883209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pédonculé</v>
      </c>
      <c r="B8" s="154">
        <f>'Données projet'!D11</f>
        <v>3.9010000000000002</v>
      </c>
      <c r="C8" s="147">
        <f ca="1">IF(OR('Données projet'!B11="",'Données projet'!C11="",'Données projet'!C11=0%),0,Calculateur!BI3)</f>
        <v>328.34986205643321</v>
      </c>
      <c r="D8" s="147">
        <f>IF(OR('Données projet'!B11="",'Données projet'!C11="",'Données projet'!C11=0%),0,Calculateur!BJ3)</f>
        <v>251.60894449147008</v>
      </c>
      <c r="E8" s="147">
        <f t="shared" ca="1" si="0"/>
        <v>251.60894449147008</v>
      </c>
      <c r="F8" s="147">
        <f t="shared" ca="1" si="1"/>
        <v>981.52649246122485</v>
      </c>
      <c r="G8" s="147">
        <f ca="1">F8*(100%-'Données projet'!$C$24)*(100%-'Données projet'!$C$25)*(100%-'Données projet'!$C$26)*(100%-'Données projet'!$C$27)</f>
        <v>671.36412084347785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60.465500000000006</v>
      </c>
      <c r="K8" s="151">
        <f>J8*(100%-'Données projet'!$C$24)*(100%-'Données projet'!$C$25)*(100%-'Données projet'!$C$26)*(100%-'Données projet'!$C$27)</f>
        <v>41.358402000000005</v>
      </c>
      <c r="L8" s="152">
        <f t="shared" ca="1" si="2"/>
        <v>712.7225228434778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2349.5311959302553</v>
      </c>
      <c r="G16" s="166">
        <f t="shared" ca="1" si="3"/>
        <v>1607.0793380162947</v>
      </c>
      <c r="H16" s="167">
        <f t="shared" si="3"/>
        <v>15.938489761771274</v>
      </c>
      <c r="I16" s="167">
        <f t="shared" si="3"/>
        <v>10.901926997051552</v>
      </c>
      <c r="J16" s="168">
        <f t="shared" si="3"/>
        <v>249.53867000000002</v>
      </c>
      <c r="K16" s="168">
        <f t="shared" si="3"/>
        <v>170.68445028000002</v>
      </c>
      <c r="L16" s="169">
        <f t="shared" ca="1" si="3"/>
        <v>1788.6657152933462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25" right="0.25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2.2410000000000005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2.1580000000000004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pédonculé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3.9010000000000002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5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15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25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35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45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55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60</v>
      </c>
      <c r="B65" s="181">
        <f>'Données projet'!D73</f>
        <v>692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pédonculé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6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56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56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56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56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56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56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55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51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47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130</v>
      </c>
      <c r="B96" s="181">
        <f>'Données projet'!D99</f>
        <v>44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140</v>
      </c>
      <c r="B97" s="181">
        <f>'Données projet'!D100</f>
        <v>41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150</v>
      </c>
      <c r="B98" s="181">
        <f>'Données projet'!D101</f>
        <v>333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2023-11-13T14:09:18Z</cp:lastPrinted>
  <dcterms:created xsi:type="dcterms:W3CDTF">2021-02-01T08:22:39Z</dcterms:created>
  <dcterms:modified xsi:type="dcterms:W3CDTF">2023-11-13T14:11:47Z</dcterms:modified>
</cp:coreProperties>
</file>