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forestiersfransylva.sharepoint.com/sites/FransylvaServices/Shared Documents/Financements innovants/CLIENTS 2023-2024/COLLANGE - 14881107 LE/"/>
    </mc:Choice>
  </mc:AlternateContent>
  <xr:revisionPtr revIDLastSave="88" documentId="13_ncr:1_{91C62E09-7A97-40C6-8A6D-8C8B5668C142}" xr6:coauthVersionLast="47" xr6:coauthVersionMax="47" xr10:uidLastSave="{B8D024A6-625A-495A-8998-652432AE8471}"/>
  <bookViews>
    <workbookView xWindow="9518" yWindow="0" windowWidth="9765" windowHeight="11363" tabRatio="866" firstSheet="1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EA4" i="2"/>
  <c r="FR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EA6" i="2" s="1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EB7" i="2" s="1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W7" i="2"/>
  <c r="EV7" i="2"/>
  <c r="EX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G10" i="2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HH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A18" i="2"/>
  <c r="EV18" i="2"/>
  <c r="EW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W21" i="2" s="1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H21" i="2" l="1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Q35" i="2" l="1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EA37" i="2" s="1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W38" i="2"/>
  <c r="EA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H44" i="2"/>
  <c r="EC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HG48" i="2"/>
  <c r="HI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HI52" i="2" l="1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EA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H60" i="2"/>
  <c r="EV60" i="2"/>
  <c r="HI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B62" i="2" l="1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B77" i="2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EB78" i="2"/>
  <c r="HI78" i="2"/>
  <c r="EW78" i="2"/>
  <c r="EV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G82" i="2" l="1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W85" i="2" s="1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EV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FS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I106" i="2" l="1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FS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HH114" i="2"/>
  <c r="EW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EA116" i="2" s="1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FQ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EA121" i="2" s="1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V127" i="2" s="1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G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HI130" i="2"/>
  <c r="EW130" i="2"/>
  <c r="EX130" i="2"/>
  <c r="EB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DY139" i="2"/>
  <c r="EB139" i="2" s="1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FR144" i="2" s="1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H144" i="2" l="1"/>
  <c r="EX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FR146" i="2"/>
  <c r="HG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HG154" i="2"/>
  <c r="EX154" i="2"/>
  <c r="AA154" i="2"/>
  <c r="EV154" i="2"/>
  <c r="EY154" i="2" s="1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AB156" i="2" l="1"/>
  <c r="DH156" i="2"/>
  <c r="EX156" i="2"/>
  <c r="HG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H158" i="2" l="1"/>
  <c r="EV158" i="2"/>
  <c r="HG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FS159" i="2" l="1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FS160" i="2" l="1"/>
  <c r="EC160" i="2"/>
  <c r="H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B161" i="2" l="1"/>
  <c r="FS161" i="2"/>
  <c r="AB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HH162" i="2" l="1"/>
  <c r="EC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HG164" i="2" l="1"/>
  <c r="EX164" i="2"/>
  <c r="EV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X169" i="2" l="1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C173" i="2" l="1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W175" i="2" l="1"/>
  <c r="EA175" i="2"/>
  <c r="FS175" i="2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I177" i="2" l="1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H178" i="2" l="1"/>
  <c r="HG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HG181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Y184" i="2" s="1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HH185" i="2" l="1"/>
  <c r="HG185" i="2"/>
  <c r="EA185" i="2"/>
  <c r="EV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R186" i="2" l="1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B189" i="2" l="1"/>
  <c r="EV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EW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C192" i="2" l="1"/>
  <c r="EW192" i="2"/>
  <c r="HG192" i="2"/>
  <c r="EA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AW194" i="2" l="1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AU195" i="2" l="1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EW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W197" i="2" l="1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H199" i="2" l="1"/>
  <c r="EB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EA201" i="2" l="1"/>
  <c r="EB201" i="2"/>
  <c r="HH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G202" i="2" l="1"/>
  <c r="FR202" i="2"/>
  <c r="EX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35" i="2" a="1"/>
  <c r="FY35" i="2" s="1"/>
  <c r="FY69" i="2" a="1"/>
  <c r="FY69" i="2" s="1"/>
  <c r="FY186" i="2" a="1"/>
  <c r="FY186" i="2" s="1"/>
  <c r="FY78" i="2" a="1"/>
  <c r="FY78" i="2" s="1"/>
  <c r="AH92" i="2" a="1"/>
  <c r="AH92" i="2" s="1"/>
  <c r="FY190" i="2" a="1"/>
  <c r="FY190" i="2" s="1"/>
  <c r="FY104" i="2" a="1"/>
  <c r="FY104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66" i="2" a="1"/>
  <c r="EI166" i="2" s="1"/>
  <c r="EI106" i="2" a="1"/>
  <c r="EI106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196" i="2" a="1"/>
  <c r="FY196" i="2" s="1"/>
  <c r="FY30" i="2" a="1"/>
  <c r="FY30" i="2" s="1"/>
  <c r="FY142" i="2" a="1"/>
  <c r="FY142" i="2" s="1"/>
  <c r="FD188" i="2" a="1"/>
  <c r="FD188" i="2" s="1"/>
  <c r="FD48" i="2" a="1"/>
  <c r="FD48" i="2" s="1"/>
  <c r="FD189" i="2" a="1"/>
  <c r="FD189" i="2" s="1"/>
  <c r="FD167" i="2" a="1"/>
  <c r="FD167" i="2" s="1"/>
  <c r="FD159" i="2" a="1"/>
  <c r="FD159" i="2" s="1"/>
  <c r="FD160" i="2" a="1"/>
  <c r="FD160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90" i="2" l="1" a="1"/>
  <c r="AH90" i="2" s="1"/>
  <c r="FD107" i="2" a="1"/>
  <c r="FD107" i="2" s="1"/>
  <c r="FD44" i="2" a="1"/>
  <c r="FD44" i="2" s="1"/>
  <c r="FY42" i="2" a="1"/>
  <c r="FY42" i="2" s="1"/>
  <c r="EI153" i="2" a="1"/>
  <c r="EI153" i="2" s="1"/>
  <c r="FY34" i="2" a="1"/>
  <c r="FY34" i="2" s="1"/>
  <c r="FY72" i="2" a="1"/>
  <c r="FY72" i="2" s="1"/>
  <c r="FY174" i="2" a="1"/>
  <c r="FY174" i="2" s="1"/>
  <c r="FY173" i="2" a="1"/>
  <c r="FY173" i="2" s="1"/>
  <c r="FY66" i="2" a="1"/>
  <c r="FY66" i="2" s="1"/>
  <c r="FY165" i="2" a="1"/>
  <c r="FY165" i="2" s="1"/>
  <c r="FY109" i="2" a="1"/>
  <c r="FY109" i="2" s="1"/>
  <c r="HG203" i="2"/>
  <c r="FY164" i="2" a="1"/>
  <c r="FY164" i="2" s="1"/>
  <c r="FY99" i="2" a="1"/>
  <c r="FY99" i="2" s="1"/>
  <c r="FY159" i="2" a="1"/>
  <c r="FY159" i="2" s="1"/>
  <c r="FY120" i="2" a="1"/>
  <c r="FY120" i="2" s="1"/>
  <c r="FY146" i="2" a="1"/>
  <c r="FY146" i="2" s="1"/>
  <c r="FY79" i="2" a="1"/>
  <c r="FY79" i="2" s="1"/>
  <c r="FD187" i="2" a="1"/>
  <c r="FD187" i="2" s="1"/>
  <c r="FD131" i="2" a="1"/>
  <c r="FD131" i="2" s="1"/>
  <c r="FD60" i="2" a="1"/>
  <c r="FD60" i="2" s="1"/>
  <c r="FY82" i="2" a="1"/>
  <c r="FY82" i="2" s="1"/>
  <c r="EI178" i="2" a="1"/>
  <c r="EI178" i="2" s="1"/>
  <c r="EI198" i="2" a="1"/>
  <c r="EI198" i="2" s="1"/>
  <c r="FY149" i="2" a="1"/>
  <c r="FY149" i="2" s="1"/>
  <c r="FY178" i="2" a="1"/>
  <c r="FY178" i="2" s="1"/>
  <c r="FY116" i="2" a="1"/>
  <c r="FY116" i="2" s="1"/>
  <c r="FY143" i="2" a="1"/>
  <c r="FY143" i="2" s="1"/>
  <c r="FY71" i="2" a="1"/>
  <c r="FY71" i="2" s="1"/>
  <c r="FY32" i="2" a="1"/>
  <c r="FY32" i="2" s="1"/>
  <c r="FY47" i="2" a="1"/>
  <c r="FY47" i="2" s="1"/>
  <c r="FD194" i="2" a="1"/>
  <c r="FD194" i="2" s="1"/>
  <c r="FD43" i="2" a="1"/>
  <c r="FD43" i="2" s="1"/>
  <c r="FY121" i="2" a="1"/>
  <c r="FY121" i="2" s="1"/>
  <c r="FY182" i="2" a="1"/>
  <c r="FY182" i="2" s="1"/>
  <c r="EI145" i="2" a="1"/>
  <c r="EI145" i="2" s="1"/>
  <c r="FD59" i="2" a="1"/>
  <c r="FD59" i="2" s="1"/>
  <c r="FY24" i="2" a="1"/>
  <c r="FY24" i="2" s="1"/>
  <c r="FY55" i="2" a="1"/>
  <c r="FY55" i="2" s="1"/>
  <c r="FY92" i="2" a="1"/>
  <c r="FY92" i="2" s="1"/>
  <c r="FY191" i="2" a="1"/>
  <c r="FY191" i="2" s="1"/>
  <c r="FY18" i="2" a="1"/>
  <c r="FY18" i="2" s="1"/>
  <c r="FY22" i="2" a="1"/>
  <c r="FY22" i="2" s="1"/>
  <c r="FR203" i="2"/>
  <c r="FD19" i="2" a="1"/>
  <c r="FD19" i="2" s="1"/>
  <c r="FD64" i="2" a="1"/>
  <c r="FD64" i="2" s="1"/>
  <c r="FY167" i="2" a="1"/>
  <c r="FY167" i="2" s="1"/>
  <c r="FY115" i="2" a="1"/>
  <c r="FY115" i="2" s="1"/>
  <c r="EI162" i="2" a="1"/>
  <c r="EI162" i="2" s="1"/>
  <c r="FD144" i="2" a="1"/>
  <c r="FD144" i="2" s="1"/>
  <c r="FY124" i="2" a="1"/>
  <c r="FY124" i="2" s="1"/>
  <c r="FY126" i="2" a="1"/>
  <c r="FY126" i="2" s="1"/>
  <c r="FY111" i="2" a="1"/>
  <c r="FY111" i="2" s="1"/>
  <c r="FY110" i="2" a="1"/>
  <c r="FY110" i="2" s="1"/>
  <c r="FY133" i="2" a="1"/>
  <c r="FY133" i="2" s="1"/>
  <c r="FY90" i="2" a="1"/>
  <c r="FY90" i="2" s="1"/>
  <c r="FY86" i="2" a="1"/>
  <c r="FY86" i="2" s="1"/>
  <c r="EI150" i="2" a="1"/>
  <c r="EI150" i="2" s="1"/>
  <c r="FD21" i="2" a="1"/>
  <c r="FD21" i="2" s="1"/>
  <c r="FY169" i="2" a="1"/>
  <c r="FY169" i="2" s="1"/>
  <c r="FY188" i="2" a="1"/>
  <c r="FY188" i="2" s="1"/>
  <c r="FY73" i="2" a="1"/>
  <c r="FY73" i="2" s="1"/>
  <c r="FY153" i="2" a="1"/>
  <c r="FY153" i="2" s="1"/>
  <c r="FY140" i="2" a="1"/>
  <c r="FY140" i="2" s="1"/>
  <c r="FY57" i="2" a="1"/>
  <c r="FY57" i="2" s="1"/>
  <c r="FD137" i="2" a="1"/>
  <c r="FD137" i="2" s="1"/>
  <c r="FD14" i="2" a="1"/>
  <c r="FD14" i="2" s="1"/>
  <c r="FY80" i="2" a="1"/>
  <c r="FY80" i="2" s="1"/>
  <c r="FY58" i="2" a="1"/>
  <c r="FY58" i="2" s="1"/>
  <c r="EI29" i="2" a="1"/>
  <c r="EI29" i="2" s="1"/>
  <c r="FY172" i="2" a="1"/>
  <c r="FY172" i="2" s="1"/>
  <c r="FY62" i="2" a="1"/>
  <c r="FY62" i="2" s="1"/>
  <c r="FY28" i="2" a="1"/>
  <c r="FY28" i="2" s="1"/>
  <c r="FY152" i="2" a="1"/>
  <c r="FY152" i="2" s="1"/>
  <c r="FY102" i="2" a="1"/>
  <c r="FY102" i="2" s="1"/>
  <c r="FY29" i="2" a="1"/>
  <c r="FY29" i="2" s="1"/>
  <c r="FY54" i="2" a="1"/>
  <c r="FY54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Z8" i="2" s="1"/>
  <c r="FZ9" i="2" s="1"/>
  <c r="FZ10" i="2" s="1"/>
  <c r="FZ11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2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AN192" i="2" l="1"/>
  <c r="AN137" i="2"/>
  <c r="AN136" i="2"/>
  <c r="AN12" i="2"/>
  <c r="AN102" i="2"/>
  <c r="AN123" i="2"/>
  <c r="AN159" i="2"/>
  <c r="AN59" i="2"/>
  <c r="AN42" i="2"/>
  <c r="AN177" i="2"/>
  <c r="AN58" i="2"/>
  <c r="AN147" i="2"/>
  <c r="AN200" i="2"/>
  <c r="AN140" i="2"/>
  <c r="AN39" i="2"/>
  <c r="AN195" i="2"/>
  <c r="AN61" i="2"/>
  <c r="AN84" i="2"/>
  <c r="AN89" i="2"/>
  <c r="AN26" i="2"/>
  <c r="AN23" i="2"/>
  <c r="AN191" i="2"/>
  <c r="AN122" i="2"/>
  <c r="AN66" i="2"/>
  <c r="AN55" i="2"/>
  <c r="AN99" i="2"/>
  <c r="AN80" i="2"/>
  <c r="AN189" i="2"/>
  <c r="AN100" i="2"/>
  <c r="AN68" i="2"/>
  <c r="AN50" i="2"/>
  <c r="AN67" i="2"/>
  <c r="AN10" i="2"/>
  <c r="AN148" i="2"/>
  <c r="AN31" i="2"/>
  <c r="AN43" i="2"/>
  <c r="AN81" i="2"/>
  <c r="AN162" i="2"/>
  <c r="AN169" i="2"/>
  <c r="AN142" i="2"/>
  <c r="AN34" i="2"/>
  <c r="AN184" i="2"/>
  <c r="AN41" i="2"/>
  <c r="AN141" i="2"/>
  <c r="AN76" i="2"/>
  <c r="AN83" i="2"/>
  <c r="AN202" i="2"/>
  <c r="AN17" i="2"/>
  <c r="AN70" i="2"/>
  <c r="AN110" i="2"/>
  <c r="AN18" i="2"/>
  <c r="AN93" i="2"/>
  <c r="AN183" i="2"/>
  <c r="AN168" i="2"/>
  <c r="AN19" i="2"/>
  <c r="AN46" i="2"/>
  <c r="AN74" i="2"/>
  <c r="AN21" i="2"/>
  <c r="AN36" i="2"/>
  <c r="AN124" i="2"/>
  <c r="AN165" i="2"/>
  <c r="AN40" i="2"/>
  <c r="AN190" i="2"/>
  <c r="AN119" i="2"/>
  <c r="AN153" i="2"/>
  <c r="AN156" i="2"/>
  <c r="AN79" i="2"/>
  <c r="AN107" i="2"/>
  <c r="AN78" i="2"/>
  <c r="AN193" i="2"/>
  <c r="AN7" i="2"/>
  <c r="AN4" i="2"/>
  <c r="AN101" i="2"/>
  <c r="AN45" i="2"/>
  <c r="AN75" i="2"/>
  <c r="AN157" i="2"/>
  <c r="AN97" i="2"/>
  <c r="AN62" i="2"/>
  <c r="AN129" i="2"/>
  <c r="AN104" i="2"/>
  <c r="AN174" i="2"/>
  <c r="AN30" i="2"/>
  <c r="AN77" i="2"/>
  <c r="AN163" i="2"/>
  <c r="AN53" i="2"/>
  <c r="AN106" i="2"/>
  <c r="AN178" i="2"/>
  <c r="AN173" i="2"/>
  <c r="AN32" i="2"/>
  <c r="AN196" i="2"/>
  <c r="AN146" i="2"/>
  <c r="AN37" i="2"/>
  <c r="AN38" i="2"/>
  <c r="AN117" i="2"/>
  <c r="AN91" i="2"/>
  <c r="AN115" i="2"/>
  <c r="AN143" i="2"/>
  <c r="AN182" i="2"/>
  <c r="AN20" i="2"/>
  <c r="AN197" i="2"/>
  <c r="AN29" i="2"/>
  <c r="AN98" i="2"/>
  <c r="AN128" i="2"/>
  <c r="AN112" i="2"/>
  <c r="AN194" i="2"/>
  <c r="AN105" i="2"/>
  <c r="AN120" i="2"/>
  <c r="AN158" i="2"/>
  <c r="AN28" i="2"/>
  <c r="AN63" i="2"/>
  <c r="AN85" i="2"/>
  <c r="AN201" i="2"/>
  <c r="AN95" i="2"/>
  <c r="AN52" i="2"/>
  <c r="AN180" i="2"/>
  <c r="AN164" i="2"/>
  <c r="AN116" i="2"/>
  <c r="AN198" i="2"/>
  <c r="AN16" i="2"/>
  <c r="AN90" i="2"/>
  <c r="AN185" i="2"/>
  <c r="AN69" i="2"/>
  <c r="AN144" i="2"/>
  <c r="AN145" i="2"/>
  <c r="AN138" i="2"/>
  <c r="AN114" i="2"/>
  <c r="AN48" i="2"/>
  <c r="AN14" i="2"/>
  <c r="AN170" i="2"/>
  <c r="AN9" i="2"/>
  <c r="AN113" i="2"/>
  <c r="AN3" i="2"/>
  <c r="C7" i="4" s="1"/>
  <c r="E7" i="4" s="1"/>
  <c r="F7" i="4" s="1"/>
  <c r="G7" i="4" s="1"/>
  <c r="L7" i="4" s="1"/>
  <c r="AN131" i="2"/>
  <c r="AN199" i="2"/>
  <c r="AN152" i="2"/>
  <c r="AN64" i="2"/>
  <c r="AN111" i="2"/>
  <c r="AN134" i="2"/>
  <c r="AN133" i="2"/>
  <c r="AN181" i="2"/>
  <c r="AN8" i="2"/>
  <c r="AN15" i="2"/>
  <c r="AN109" i="2"/>
  <c r="AN13" i="2"/>
  <c r="AN135" i="2"/>
  <c r="AN155" i="2"/>
  <c r="AN127" i="2"/>
  <c r="AN82" i="2"/>
  <c r="AN160" i="2"/>
  <c r="AN51" i="2"/>
  <c r="AN22" i="2"/>
  <c r="AN94" i="2"/>
  <c r="AN108" i="2"/>
  <c r="AN187" i="2"/>
  <c r="AN188" i="2"/>
  <c r="AN151" i="2"/>
  <c r="AN186" i="2"/>
  <c r="AN130" i="2"/>
  <c r="AN72" i="2"/>
  <c r="AN65" i="2"/>
  <c r="AN203" i="2"/>
  <c r="AN47" i="2"/>
  <c r="AN118" i="2"/>
  <c r="AN25" i="2"/>
  <c r="AN87" i="2"/>
  <c r="AN57" i="2"/>
  <c r="AN132" i="2"/>
  <c r="AN44" i="2"/>
  <c r="AN150" i="2"/>
  <c r="AN172" i="2"/>
  <c r="AN33" i="2"/>
  <c r="AN126" i="2"/>
  <c r="AN92" i="2"/>
  <c r="AN54" i="2"/>
  <c r="AN86" i="2"/>
  <c r="AN6" i="2"/>
  <c r="AN73" i="2"/>
  <c r="AN60" i="2"/>
  <c r="AN179" i="2"/>
  <c r="AN71" i="2"/>
  <c r="AN154" i="2"/>
  <c r="AN56" i="2"/>
  <c r="AN176" i="2"/>
  <c r="AN96" i="2"/>
  <c r="AN166" i="2"/>
  <c r="AN121" i="2"/>
  <c r="AN24" i="2"/>
  <c r="AN149" i="2"/>
  <c r="AN171" i="2"/>
  <c r="AN139" i="2"/>
  <c r="AN175" i="2"/>
  <c r="AN49" i="2"/>
  <c r="AN35" i="2"/>
  <c r="AN161" i="2"/>
  <c r="AN103" i="2"/>
  <c r="AN5" i="2"/>
  <c r="AN167" i="2"/>
  <c r="AN11" i="2"/>
  <c r="AN27" i="2"/>
  <c r="AN88" i="2"/>
  <c r="AN125" i="2"/>
  <c r="FE196" i="2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<sst xmlns="http://schemas.openxmlformats.org/spreadsheetml/2006/main" count="1172" uniqueCount="325">
  <si>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</si>
  <si>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</si>
  <si>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</si>
  <si>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</si>
  <si>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</si>
  <si>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</si>
  <si>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</si>
  <si>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</si>
  <si>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</si>
  <si>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</si>
  <si>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</si>
  <si>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</si>
  <si>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</si>
  <si>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</si>
  <si>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</si>
  <si>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</si>
  <si>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</si>
  <si>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</si>
  <si>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</si>
  <si>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</si>
  <si>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</si>
  <si>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</si>
  <si>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</si>
  <si>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</si>
  <si>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</si>
  <si>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</si>
  <si>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</si>
  <si>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</si>
  <si>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</si>
  <si>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</si>
  <si>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</si>
  <si>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</si>
  <si>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</si>
  <si>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</si>
  <si>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</si>
  <si>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</si>
  <si>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</si>
  <si>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</si>
  <si>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</si>
  <si>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</si>
  <si>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</si>
  <si>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</si>
  <si>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</si>
  <si>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</si>
  <si>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</si>
  <si>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</si>
  <si>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</si>
  <si>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</si>
  <si>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</si>
  <si>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</si>
  <si>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</si>
  <si>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</si>
  <si>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</si>
  <si>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</si>
  <si>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</si>
  <si>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</si>
  <si>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</si>
  <si>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</si>
  <si>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</si>
  <si>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</si>
  <si>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</si>
  <si>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</si>
  <si>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</si>
  <si>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</si>
  <si>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</si>
  <si>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</si>
  <si>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</si>
  <si>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</si>
  <si>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</si>
  <si>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</si>
  <si>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</si>
  <si>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</si>
  <si>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</si>
  <si>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</si>
  <si>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</si>
  <si>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</si>
  <si>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</si>
  <si>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</si>
  <si>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</si>
  <si>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</si>
  <si>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</si>
  <si>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</si>
  <si>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</si>
  <si>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</si>
  <si>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</si>
  <si>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</si>
  <si>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</si>
  <si>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</si>
  <si>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</si>
  <si>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</si>
  <si>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</si>
  <si>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</si>
  <si>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</si>
  <si>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</si>
  <si>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</si>
  <si>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</si>
  <si>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</si>
  <si>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</si>
  <si>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</si>
  <si>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</si>
  <si>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</si>
  <si>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</si>
  <si>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</si>
  <si>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</si>
  <si>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</si>
  <si>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</si>
  <si>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</si>
  <si>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</si>
  <si>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</si>
  <si>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</si>
  <si>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</si>
  <si>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</si>
  <si>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</si>
  <si>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</si>
  <si>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</si>
  <si>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</si>
  <si>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</si>
  <si>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</si>
  <si>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</si>
  <si>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</si>
  <si>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</si>
  <si>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</si>
  <si>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</si>
  <si>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</si>
  <si>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</si>
  <si>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</si>
  <si>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</si>
  <si>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</si>
  <si>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</si>
  <si>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</si>
  <si>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</si>
  <si>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</si>
  <si>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</si>
  <si>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</si>
  <si>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</si>
  <si>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</si>
  <si>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</si>
  <si>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</si>
  <si>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</si>
  <si>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</si>
  <si>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</si>
  <si>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</si>
  <si>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</si>
  <si>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</si>
  <si>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</si>
  <si>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</si>
  <si>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</si>
  <si>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</si>
  <si>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</si>
  <si>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</si>
  <si>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</si>
  <si>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</si>
  <si>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</si>
  <si>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</si>
  <si>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</si>
  <si>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</si>
  <si>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</si>
  <si>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</si>
  <si>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</si>
  <si>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</si>
  <si>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</si>
  <si>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</si>
  <si>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</si>
  <si>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</si>
  <si>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</si>
  <si>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</si>
  <si>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</si>
  <si>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</si>
  <si>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</si>
  <si>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</si>
  <si>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</si>
  <si>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</si>
  <si>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</si>
  <si>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</si>
  <si>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</si>
  <si>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</si>
  <si>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</si>
  <si>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</si>
  <si>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</si>
  <si>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</si>
  <si>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</si>
  <si>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</si>
  <si>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</si>
  <si>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</si>
  <si>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</si>
  <si>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</si>
  <si>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</si>
  <si>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</si>
  <si>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</si>
  <si>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</si>
  <si>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</si>
  <si>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</si>
  <si>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</si>
  <si>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</si>
  <si>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</si>
  <si>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</si>
  <si>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</si>
  <si>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</si>
  <si>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</si>
  <si>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</si>
  <si>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</si>
  <si>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</si>
  <si>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</si>
  <si>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</si>
  <si>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</si>
  <si>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</si>
  <si>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</si>
  <si>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</si>
  <si>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</si>
  <si>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</si>
  <si>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</si>
  <si>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</si>
  <si>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</si>
  <si>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</si>
  <si>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</si>
  <si>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</si>
  <si>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</si>
  <si>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</si>
  <si>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</si>
  <si>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</si>
  <si>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</si>
  <si>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</si>
  <si>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</si>
  <si>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</si>
  <si>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</si>
  <si>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</si>
  <si>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</si>
  <si>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</si>
  <si>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</si>
  <si>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</si>
  <si>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</si>
  <si>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</si>
  <si>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</si>
  <si>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</si>
  <si>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</si>
  <si>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</si>
  <si>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</si>
  <si>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</si>
  <si>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</si>
  <si>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</si>
  <si>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</si>
  <si>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</si>
  <si>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</si>
  <si>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</si>
  <si>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</si>
  <si>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</si>
  <si>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</si>
  <si>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</si>
  <si>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</si>
  <si>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</si>
  <si>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</si>
  <si>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</si>
  <si>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</si>
  <si>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</si>
  <si>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</si>
  <si>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</si>
  <si>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</si>
  <si>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</si>
  <si>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</si>
  <si>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</si>
  <si>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</si>
  <si>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</si>
  <si>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</si>
  <si>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</si>
  <si>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</si>
  <si>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</si>
  <si>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</si>
  <si>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</si>
  <si>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</si>
  <si>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</si>
  <si>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</si>
  <si>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</si>
  <si>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</si>
  <si>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</si>
  <si>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</si>
  <si>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</si>
  <si>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</si>
  <si>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</si>
  <si>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</si>
  <si>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</si>
  <si>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</si>
  <si>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</si>
  <si>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</si>
  <si>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</si>
  <si>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</si>
  <si>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</si>
  <si>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</si>
  <si>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</si>
  <si>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</si>
  <si>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</si>
  <si>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</si>
  <si>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</si>
  <si>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</si>
  <si>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</si>
  <si>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</si>
  <si>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</si>
  <si>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</si>
  <si>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</si>
  <si>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</si>
  <si>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</si>
  <si>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</si>
  <si>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</si>
  <si>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</si>
  <si>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</si>
  <si>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</si>
  <si>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</si>
  <si>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</si>
  <si>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</si>
  <si>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</si>
  <si>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</si>
  <si>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</si>
  <si>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</si>
  <si>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</si>
  <si>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</si>
  <si>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</si>
  <si>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</si>
  <si>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</si>
  <si>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</si>
  <si>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</si>
  <si>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</si>
  <si>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</si>
  <si>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</si>
  <si>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</si>
  <si>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</si>
  <si>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ONF F2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</si>
</sst>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1.9187539791618089</c:v>
                </c:pt>
                <c:pt idx="2">
                  <c:v>2.3739048046992908</c:v>
                </c:pt>
                <c:pt idx="3">
                  <c:v>2.9374441074345867</c:v>
                </c:pt>
                <c:pt idx="4">
                  <c:v>3.6352780855090621</c:v>
                </c:pt>
                <c:pt idx="5">
                  <c:v>4.4995261026160422</c:v>
                </c:pt>
                <c:pt idx="6">
                  <c:v>5.5700155600904404</c:v>
                </c:pt>
                <c:pt idx="7">
                  <c:v>6.8961374885838422</c:v>
                </c:pt>
                <c:pt idx="8">
                  <c:v>8.5391501371991527</c:v>
                </c:pt>
                <c:pt idx="9">
                  <c:v>10.575039007163371</c:v>
                </c:pt>
                <c:pt idx="10">
                  <c:v>13.098068092351689</c:v>
                </c:pt>
                <c:pt idx="11">
                  <c:v>16.225189803711778</c:v>
                </c:pt>
                <c:pt idx="12">
                  <c:v>20.10152172821854</c:v>
                </c:pt>
                <c:pt idx="13">
                  <c:v>24.907148945397026</c:v>
                </c:pt>
                <c:pt idx="14">
                  <c:v>30.86557350936096</c:v>
                </c:pt>
                <c:pt idx="15">
                  <c:v>38.254210904943911</c:v>
                </c:pt>
                <c:pt idx="16">
                  <c:v>47.417430539824153</c:v>
                </c:pt>
                <c:pt idx="17">
                  <c:v>58.782758290837201</c:v>
                </c:pt>
                <c:pt idx="18">
                  <c:v>72.881009569035243</c:v>
                </c:pt>
                <c:pt idx="19">
                  <c:v>90.371308506742437</c:v>
                </c:pt>
                <c:pt idx="20">
                  <c:v>112.07218166479875</c:v>
                </c:pt>
                <c:pt idx="21">
                  <c:v>139.00020426650113</c:v>
                </c:pt>
                <c:pt idx="22">
                  <c:v>172.4180372740486</c:v>
                </c:pt>
                <c:pt idx="23">
                  <c:v>124.45922680191636</c:v>
                </c:pt>
                <c:pt idx="24">
                  <c:v>145.05150046666205</c:v>
                </c:pt>
                <c:pt idx="25">
                  <c:v>165.57375879185801</c:v>
                </c:pt>
                <c:pt idx="26">
                  <c:v>186.0359113344837</c:v>
                </c:pt>
                <c:pt idx="27">
                  <c:v>206.44550326470099</c:v>
                </c:pt>
                <c:pt idx="28">
                  <c:v>178.8770701672199</c:v>
                </c:pt>
                <c:pt idx="29">
                  <c:v>200.38972394653459</c:v>
                </c:pt>
                <c:pt idx="30">
                  <c:v>221.84883849790182</c:v>
                </c:pt>
                <c:pt idx="31">
                  <c:v>243.26032139995104</c:v>
                </c:pt>
                <c:pt idx="32">
                  <c:v>264.62895421811407</c:v>
                </c:pt>
                <c:pt idx="33">
                  <c:v>285.95868273742298</c:v>
                </c:pt>
                <c:pt idx="34">
                  <c:v>242.58739286352048</c:v>
                </c:pt>
                <c:pt idx="35">
                  <c:v>264.04989736803674</c:v>
                </c:pt>
                <c:pt idx="36">
                  <c:v>285.47306022064532</c:v>
                </c:pt>
                <c:pt idx="37">
                  <c:v>306.860247871995</c:v>
                </c:pt>
                <c:pt idx="38">
                  <c:v>328.21431914917827</c:v>
                </c:pt>
                <c:pt idx="39">
                  <c:v>349.5377305435054</c:v>
                </c:pt>
                <c:pt idx="40">
                  <c:v>370.83261443628663</c:v>
                </c:pt>
                <c:pt idx="41">
                  <c:v>392.10083840438301</c:v>
                </c:pt>
                <c:pt idx="42">
                  <c:v>320.07706003496543</c:v>
                </c:pt>
                <c:pt idx="43">
                  <c:v>340.16115673745094</c:v>
                </c:pt>
                <c:pt idx="44">
                  <c:v>360.2191776827687</c:v>
                </c:pt>
                <c:pt idx="45">
                  <c:v>380.25277835910487</c:v>
                </c:pt>
                <c:pt idx="46">
                  <c:v>400.2634256424567</c:v>
                </c:pt>
                <c:pt idx="47">
                  <c:v>420.25242783490597</c:v>
                </c:pt>
                <c:pt idx="48">
                  <c:v>440.22095868894326</c:v>
                </c:pt>
                <c:pt idx="49">
                  <c:v>460.17007684546002</c:v>
                </c:pt>
                <c:pt idx="50">
                  <c:v>480.10074172574264</c:v>
                </c:pt>
                <c:pt idx="51">
                  <c:v>408.86708705663085</c:v>
                </c:pt>
                <c:pt idx="52">
                  <c:v>426.81319907682013</c:v>
                </c:pt>
                <c:pt idx="53">
                  <c:v>444.74308871435665</c:v>
                </c:pt>
                <c:pt idx="54">
                  <c:v>462.65750170877988</c:v>
                </c:pt>
                <c:pt idx="55">
                  <c:v>480.55712136582889</c:v>
                </c:pt>
                <c:pt idx="56">
                  <c:v>498.44257596300025</c:v>
                </c:pt>
                <c:pt idx="57">
                  <c:v>516.31444503713794</c:v>
                </c:pt>
                <c:pt idx="58">
                  <c:v>534.17326475645041</c:v>
                </c:pt>
                <c:pt idx="59">
                  <c:v>552.01953253702732</c:v>
                </c:pt>
                <c:pt idx="60">
                  <c:v>569.85371103158184</c:v>
                </c:pt>
                <c:pt idx="61">
                  <c:v>496.55887909600943</c:v>
                </c:pt>
                <c:pt idx="62">
                  <c:v>511.6255347374472</c:v>
                </c:pt>
                <c:pt idx="63">
                  <c:v>526.68282208192829</c:v>
                </c:pt>
                <c:pt idx="64">
                  <c:v>541.73104657451711</c:v>
                </c:pt>
                <c:pt idx="65">
                  <c:v>556.77049531447858</c:v>
                </c:pt>
                <c:pt idx="66">
                  <c:v>571.80143863323156</c:v>
                </c:pt>
                <c:pt idx="67">
                  <c:v>586.82413149782394</c:v>
                </c:pt>
                <c:pt idx="68">
                  <c:v>601.83881476328258</c:v>
                </c:pt>
                <c:pt idx="69">
                  <c:v>616.84571629355526</c:v>
                </c:pt>
                <c:pt idx="70">
                  <c:v>631.84505196775149</c:v>
                </c:pt>
                <c:pt idx="71">
                  <c:v>558.52582336493231</c:v>
                </c:pt>
                <c:pt idx="72">
                  <c:v>570.88695865906334</c:v>
                </c:pt>
                <c:pt idx="73">
                  <c:v>583.24250397763637</c:v>
                </c:pt>
                <c:pt idx="74">
                  <c:v>595.59259439382743</c:v>
                </c:pt>
                <c:pt idx="75">
                  <c:v>607.93735892409688</c:v>
                </c:pt>
                <c:pt idx="76">
                  <c:v>620.27692091982669</c:v>
                </c:pt>
                <c:pt idx="77">
                  <c:v>632.61139842618638</c:v>
                </c:pt>
                <c:pt idx="78">
                  <c:v>644.94090451156796</c:v>
                </c:pt>
                <c:pt idx="79">
                  <c:v>657.26554757053043</c:v>
                </c:pt>
                <c:pt idx="80">
                  <c:v>669.58543160285092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8.3056921630164542</c:v>
                </c:pt>
                <c:pt idx="2">
                  <c:v>16.243789003972445</c:v>
                </c:pt>
                <c:pt idx="3">
                  <c:v>24.063171008033788</c:v>
                </c:pt>
                <c:pt idx="4">
                  <c:v>31.8093744244437</c:v>
                </c:pt>
                <c:pt idx="5">
                  <c:v>39.503037774136196</c:v>
                </c:pt>
                <c:pt idx="6">
                  <c:v>47.15593413113433</c:v>
                </c:pt>
                <c:pt idx="7">
                  <c:v>54.775653141048224</c:v>
                </c:pt>
                <c:pt idx="8">
                  <c:v>62.367481291684378</c:v>
                </c:pt>
                <c:pt idx="9">
                  <c:v>69.935304218830069</c:v>
                </c:pt>
                <c:pt idx="10">
                  <c:v>77.482093427802084</c:v>
                </c:pt>
                <c:pt idx="11">
                  <c:v>85.01019173223969</c:v>
                </c:pt>
                <c:pt idx="12">
                  <c:v>92.52149154765074</c:v>
                </c:pt>
                <c:pt idx="13">
                  <c:v>100.01755190137233</c:v>
                </c:pt>
                <c:pt idx="14">
                  <c:v>107.49967834533821</c:v>
                </c:pt>
                <c:pt idx="15">
                  <c:v>114.96897935567303</c:v>
                </c:pt>
                <c:pt idx="16">
                  <c:v>122.42640725013666</c:v>
                </c:pt>
                <c:pt idx="17">
                  <c:v>129.87278857862222</c:v>
                </c:pt>
                <c:pt idx="18">
                  <c:v>137.30884715663467</c:v>
                </c:pt>
                <c:pt idx="19">
                  <c:v>144.73522183347453</c:v>
                </c:pt>
                <c:pt idx="20">
                  <c:v>152.15248041303775</c:v>
                </c:pt>
                <c:pt idx="21">
                  <c:v>159.56113071133535</c:v>
                </c:pt>
                <c:pt idx="22">
                  <c:v>166.96162944814259</c:v>
                </c:pt>
                <c:pt idx="23">
                  <c:v>174.35438947628532</c:v>
                </c:pt>
                <c:pt idx="24">
                  <c:v>181.7397857181835</c:v>
                </c:pt>
                <c:pt idx="25">
                  <c:v>189.1181600850897</c:v>
                </c:pt>
                <c:pt idx="26">
                  <c:v>196.48982558709483</c:v>
                </c:pt>
                <c:pt idx="27">
                  <c:v>203.85506979304003</c:v>
                </c:pt>
                <c:pt idx="28">
                  <c:v>211.21415776343937</c:v>
                </c:pt>
                <c:pt idx="29">
                  <c:v>218.56733455263964</c:v>
                </c:pt>
                <c:pt idx="30">
                  <c:v>225.91482735615861</c:v>
                </c:pt>
                <c:pt idx="31">
                  <c:v>233.25684736366836</c:v>
                </c:pt>
                <c:pt idx="32">
                  <c:v>240.59359136616786</c:v>
                </c:pt>
                <c:pt idx="33">
                  <c:v>247.92524315661532</c:v>
                </c:pt>
                <c:pt idx="34">
                  <c:v>255.25197475601655</c:v>
                </c:pt>
                <c:pt idx="35">
                  <c:v>262.57394749121505</c:v>
                </c:pt>
                <c:pt idx="36">
                  <c:v>269.89131294604289</c:v>
                </c:pt>
                <c:pt idx="37">
                  <c:v>277.20421380381816</c:v>
                </c:pt>
                <c:pt idx="38">
                  <c:v>284.51278459619942</c:v>
                </c:pt>
                <c:pt idx="39">
                  <c:v>291.81715237099615</c:v>
                </c:pt>
                <c:pt idx="40">
                  <c:v>299.11743728955889</c:v>
                </c:pt>
                <c:pt idx="41">
                  <c:v>306.41375316274832</c:v>
                </c:pt>
                <c:pt idx="42">
                  <c:v>313.70620793314299</c:v>
                </c:pt>
                <c:pt idx="43">
                  <c:v>320.99490411002768</c:v>
                </c:pt>
                <c:pt idx="44">
                  <c:v>328.27993916277887</c:v>
                </c:pt>
                <c:pt idx="45">
                  <c:v>335.5614058774795</c:v>
                </c:pt>
                <c:pt idx="46">
                  <c:v>342.83939268093991</c:v>
                </c:pt>
                <c:pt idx="47">
                  <c:v>350.11398393574996</c:v>
                </c:pt>
                <c:pt idx="48">
                  <c:v>357.38526020950985</c:v>
                </c:pt>
                <c:pt idx="49">
                  <c:v>364.65329852099347</c:v>
                </c:pt>
                <c:pt idx="50">
                  <c:v>371.91817256564792</c:v>
                </c:pt>
                <c:pt idx="51">
                  <c:v>379.17995292254449</c:v>
                </c:pt>
                <c:pt idx="52">
                  <c:v>386.43870724463926</c:v>
                </c:pt>
                <c:pt idx="53">
                  <c:v>393.69450043398388</c:v>
                </c:pt>
                <c:pt idx="54">
                  <c:v>400.94739480334033</c:v>
                </c:pt>
                <c:pt idx="55">
                  <c:v>408.19745022548432</c:v>
                </c:pt>
                <c:pt idx="56">
                  <c:v>415.44472427134343</c:v>
                </c:pt>
                <c:pt idx="57">
                  <c:v>422.68927233798996</c:v>
                </c:pt>
                <c:pt idx="58">
                  <c:v>429.93114776739526</c:v>
                </c:pt>
                <c:pt idx="59">
                  <c:v>437.17040195676424</c:v>
                </c:pt>
                <c:pt idx="60">
                  <c:v>444.40708446117736</c:v>
                </c:pt>
                <c:pt idx="61">
                  <c:v>301.78859980380139</c:v>
                </c:pt>
                <c:pt idx="62">
                  <c:v>316.74909882186188</c:v>
                </c:pt>
                <c:pt idx="63">
                  <c:v>331.6939492220003</c:v>
                </c:pt>
                <c:pt idx="64">
                  <c:v>346.6239553389085</c:v>
                </c:pt>
                <c:pt idx="65">
                  <c:v>361.539846559446</c:v>
                </c:pt>
                <c:pt idx="66">
                  <c:v>376.44228717513016</c:v>
                </c:pt>
                <c:pt idx="67">
                  <c:v>391.33188459265767</c:v>
                </c:pt>
                <c:pt idx="68">
                  <c:v>406.20919622941773</c:v>
                </c:pt>
                <c:pt idx="69">
                  <c:v>421.07473534602883</c:v>
                </c:pt>
                <c:pt idx="70">
                  <c:v>344.43823643912452</c:v>
                </c:pt>
                <c:pt idx="71">
                  <c:v>359.03258357048571</c:v>
                </c:pt>
                <c:pt idx="72">
                  <c:v>373.61395480477341</c:v>
                </c:pt>
                <c:pt idx="73">
                  <c:v>388.18292785095059</c:v>
                </c:pt>
                <c:pt idx="74">
                  <c:v>402.74003351764833</c:v>
                </c:pt>
                <c:pt idx="75">
                  <c:v>417.28576111378544</c:v>
                </c:pt>
                <c:pt idx="76">
                  <c:v>431.8205630568612</c:v>
                </c:pt>
                <c:pt idx="77">
                  <c:v>446.34485882845661</c:v>
                </c:pt>
                <c:pt idx="78">
                  <c:v>387.68504212740351</c:v>
                </c:pt>
                <c:pt idx="79">
                  <c:v>402.24404369441692</c:v>
                </c:pt>
                <c:pt idx="80">
                  <c:v>416.79164879683066</c:v>
                </c:pt>
                <c:pt idx="81">
                  <c:v>431.32831117955783</c:v>
                </c:pt>
                <c:pt idx="82">
                  <c:v>445.85445151299149</c:v>
                </c:pt>
                <c:pt idx="83">
                  <c:v>460.37046082542201</c:v>
                </c:pt>
                <c:pt idx="84">
                  <c:v>474.87670348003502</c:v>
                </c:pt>
                <c:pt idx="85">
                  <c:v>489.37351976925379</c:v>
                </c:pt>
                <c:pt idx="86">
                  <c:v>503.86122818572488</c:v>
                </c:pt>
                <c:pt idx="87">
                  <c:v>437.66652036266078</c:v>
                </c:pt>
                <c:pt idx="88">
                  <c:v>452.22167614044662</c:v>
                </c:pt>
                <c:pt idx="89">
                  <c:v>466.76681776608552</c:v>
                </c:pt>
                <c:pt idx="90">
                  <c:v>481.30230117242854</c:v>
                </c:pt>
                <c:pt idx="91">
                  <c:v>495.82845904603795</c:v>
                </c:pt>
                <c:pt idx="92">
                  <c:v>510.34560299616987</c:v>
                </c:pt>
                <c:pt idx="93">
                  <c:v>524.85402546418084</c:v>
                </c:pt>
                <c:pt idx="94">
                  <c:v>539.35400141087905</c:v>
                </c:pt>
                <c:pt idx="95">
                  <c:v>553.84578981304333</c:v>
                </c:pt>
                <c:pt idx="96">
                  <c:v>477.81503001597611</c:v>
                </c:pt>
                <c:pt idx="97">
                  <c:v>492.38159188749614</c:v>
                </c:pt>
                <c:pt idx="98">
                  <c:v>506.93901981766635</c:v>
                </c:pt>
                <c:pt idx="99">
                  <c:v>521.48761296117152</c:v>
                </c:pt>
                <c:pt idx="100">
                  <c:v>536.02765242552857</c:v>
                </c:pt>
                <c:pt idx="101">
                  <c:v>550.55940283000689</c:v>
                </c:pt>
                <c:pt idx="102">
                  <c:v>565.08311369145497</c:v>
                </c:pt>
                <c:pt idx="103">
                  <c:v>579.59902066029906</c:v>
                </c:pt>
                <c:pt idx="104">
                  <c:v>594.10734662633229</c:v>
                </c:pt>
                <c:pt idx="105">
                  <c:v>524.42728878652235</c:v>
                </c:pt>
                <c:pt idx="106">
                  <c:v>539.18721769684169</c:v>
                </c:pt>
                <c:pt idx="107">
                  <c:v>553.93866001674166</c:v>
                </c:pt>
                <c:pt idx="108">
                  <c:v>568.68187348266281</c:v>
                </c:pt>
                <c:pt idx="109">
                  <c:v>583.41710138371138</c:v>
                </c:pt>
                <c:pt idx="110">
                  <c:v>598.14457372350319</c:v>
                </c:pt>
                <c:pt idx="111">
                  <c:v>612.86450826168243</c:v>
                </c:pt>
                <c:pt idx="112">
                  <c:v>627.57711145022802</c:v>
                </c:pt>
                <c:pt idx="113">
                  <c:v>642.2825792774405</c:v>
                </c:pt>
                <c:pt idx="114">
                  <c:v>568.18207427282073</c:v>
                </c:pt>
                <c:pt idx="115">
                  <c:v>583.1744725407691</c:v>
                </c:pt>
                <c:pt idx="116">
                  <c:v>598.15883853648563</c:v>
                </c:pt>
                <c:pt idx="117">
                  <c:v>613.13540171236571</c:v>
                </c:pt>
                <c:pt idx="118">
                  <c:v>628.10437940382712</c:v>
                </c:pt>
                <c:pt idx="119">
                  <c:v>643.06597774867816</c:v>
                </c:pt>
                <c:pt idx="120">
                  <c:v>658.020392516524</c:v>
                </c:pt>
                <c:pt idx="121">
                  <c:v>672.96780985890575</c:v>
                </c:pt>
                <c:pt idx="122">
                  <c:v>687.90840698936972</c:v>
                </c:pt>
                <c:pt idx="123">
                  <c:v>605.19695132921026</c:v>
                </c:pt>
                <c:pt idx="124">
                  <c:v>620.40915446659915</c:v>
                </c:pt>
                <c:pt idx="125">
                  <c:v>635.61363246553321</c:v>
                </c:pt>
                <c:pt idx="126">
                  <c:v>650.81059603610004</c:v>
                </c:pt>
                <c:pt idx="127">
                  <c:v>666.00024525190713</c:v>
                </c:pt>
                <c:pt idx="128">
                  <c:v>681.18277032234562</c:v>
                </c:pt>
                <c:pt idx="129">
                  <c:v>696.35835229247311</c:v>
                </c:pt>
                <c:pt idx="130">
                  <c:v>711.52716367875882</c:v>
                </c:pt>
                <c:pt idx="131">
                  <c:v>726.68936904783868</c:v>
                </c:pt>
                <c:pt idx="132">
                  <c:v>741.84512554449418</c:v>
                </c:pt>
                <c:pt idx="133">
                  <c:v>653.62036176110962</c:v>
                </c:pt>
                <c:pt idx="134">
                  <c:v>669.28793557733968</c:v>
                </c:pt>
                <c:pt idx="135">
                  <c:v>684.94797090998281</c:v>
                </c:pt>
                <c:pt idx="136">
                  <c:v>700.60066426424748</c:v>
                </c:pt>
                <c:pt idx="137">
                  <c:v>716.24620265561543</c:v>
                </c:pt>
                <c:pt idx="138">
                  <c:v>731.88476426965838</c:v>
                </c:pt>
                <c:pt idx="139">
                  <c:v>747.51651906257723</c:v>
                </c:pt>
                <c:pt idx="140">
                  <c:v>763.14162930893906</c:v>
                </c:pt>
                <c:pt idx="141">
                  <c:v>778.76025010226238</c:v>
                </c:pt>
                <c:pt idx="142">
                  <c:v>794.37252981339236</c:v>
                </c:pt>
                <c:pt idx="143">
                  <c:v>809.97861051100574</c:v>
                </c:pt>
                <c:pt idx="144">
                  <c:v>825.57862834804939</c:v>
                </c:pt>
                <c:pt idx="145">
                  <c:v>711.83666917952871</c:v>
                </c:pt>
                <c:pt idx="146">
                  <c:v>727.86433034101958</c:v>
                </c:pt>
                <c:pt idx="147">
                  <c:v>743.88479832061319</c:v>
                </c:pt>
                <c:pt idx="148">
                  <c:v>759.89824972185613</c:v>
                </c:pt>
                <c:pt idx="149">
                  <c:v>775.904853104891</c:v>
                </c:pt>
                <c:pt idx="150">
                  <c:v>791.90476951455923</c:v>
                </c:pt>
                <c:pt idx="151">
                  <c:v>807.89815296364668</c:v>
                </c:pt>
                <c:pt idx="152">
                  <c:v>823.88515087591293</c:v>
                </c:pt>
                <c:pt idx="153">
                  <c:v>839.8659044929808</c:v>
                </c:pt>
                <c:pt idx="154">
                  <c:v>855.84054924867905</c:v>
                </c:pt>
                <c:pt idx="155">
                  <c:v>871.80921511401391</c:v>
                </c:pt>
                <c:pt idx="156">
                  <c:v>887.77202691557977</c:v>
                </c:pt>
                <c:pt idx="157">
                  <c:v>764.45806346280631</c:v>
                </c:pt>
                <c:pt idx="158">
                  <c:v>780.80146292138977</c:v>
                </c:pt>
                <c:pt idx="159">
                  <c:v>797.13793918329975</c:v>
                </c:pt>
                <c:pt idx="160">
                  <c:v>813.46765398238688</c:v>
                </c:pt>
                <c:pt idx="161">
                  <c:v>829.79076203620934</c:v>
                </c:pt>
                <c:pt idx="162">
                  <c:v>846.10741148525494</c:v>
                </c:pt>
                <c:pt idx="163">
                  <c:v>862.41774429655925</c:v>
                </c:pt>
                <c:pt idx="164">
                  <c:v>878.72189663523716</c:v>
                </c:pt>
                <c:pt idx="165">
                  <c:v>895.0199992070369</c:v>
                </c:pt>
                <c:pt idx="166">
                  <c:v>911.31217757467437</c:v>
                </c:pt>
                <c:pt idx="167">
                  <c:v>927.59855245039887</c:v>
                </c:pt>
                <c:pt idx="168">
                  <c:v>943.879239966966</c:v>
                </c:pt>
                <c:pt idx="169">
                  <c:v>808.6725777976294</c:v>
                </c:pt>
                <c:pt idx="170">
                  <c:v>825.01886738881649</c:v>
                </c:pt>
                <c:pt idx="171">
                  <c:v>841.35863877127156</c:v>
                </c:pt>
                <c:pt idx="172">
                  <c:v>857.69203623567989</c:v>
                </c:pt>
                <c:pt idx="173">
                  <c:v>874.01919813493544</c:v>
                </c:pt>
                <c:pt idx="174">
                  <c:v>890.34025723710477</c:v>
                </c:pt>
                <c:pt idx="175">
                  <c:v>906.65534105119139</c:v>
                </c:pt>
                <c:pt idx="176">
                  <c:v>922.96457212826181</c:v>
                </c:pt>
                <c:pt idx="177">
                  <c:v>939.26806834020806</c:v>
                </c:pt>
                <c:pt idx="178">
                  <c:v>955.56594313817016</c:v>
                </c:pt>
                <c:pt idx="179">
                  <c:v>971.85830579243668</c:v>
                </c:pt>
                <c:pt idx="180">
                  <c:v>988.145261615442</c:v>
                </c:pt>
                <c:pt idx="181">
                  <c:v>624.85927956155399</c:v>
                </c:pt>
                <c:pt idx="182">
                  <c:v>635.11356363549817</c:v>
                </c:pt>
                <c:pt idx="183">
                  <c:v>645.36442647554566</c:v>
                </c:pt>
                <c:pt idx="184">
                  <c:v>655.61193007140548</c:v>
                </c:pt>
                <c:pt idx="185">
                  <c:v>445.27372254357095</c:v>
                </c:pt>
                <c:pt idx="186">
                  <c:v>451.90957876828219</c:v>
                </c:pt>
                <c:pt idx="187">
                  <c:v>458.54335148038626</c:v>
                </c:pt>
                <c:pt idx="188">
                  <c:v>465.17507509285309</c:v>
                </c:pt>
                <c:pt idx="189">
                  <c:v>313.55288913052675</c:v>
                </c:pt>
                <c:pt idx="190">
                  <c:v>317.8336225639469</c:v>
                </c:pt>
                <c:pt idx="191">
                  <c:v>322.11307915685478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opLeftCell="A12" zoomScale="80" zoomScaleNormal="80" workbookViewId="0">
      <selection activeCell="B18" sqref="B18:M31"/>
    </sheetView>
  </sheetViews>
  <sheetFormatPr baseColWidth="10" defaultRowHeight="14.25" x14ac:dyDescent="0.45"/>
  <cols>
    <col min="1" max="1" width="6.59765625" customWidth="1"/>
    <col min="2" max="13" width="15.9296875" customWidth="1"/>
  </cols>
  <sheetData>
    <row r="12" spans="2:13" ht="15" customHeight="1" x14ac:dyDescent="0.4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4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4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4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4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4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4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4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4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4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4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4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4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4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4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4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4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4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4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38" zoomScale="80" zoomScaleNormal="80" workbookViewId="0">
      <selection activeCell="B78" sqref="B78"/>
    </sheetView>
  </sheetViews>
  <sheetFormatPr baseColWidth="10" defaultColWidth="11.46484375" defaultRowHeight="14.25" x14ac:dyDescent="0.45"/>
  <cols>
    <col min="1" max="1" width="13.59765625" style="23" customWidth="1"/>
    <col min="2" max="2" width="36.06640625" style="23" customWidth="1"/>
    <col min="3" max="3" width="14.9296875" style="23" bestFit="1" customWidth="1"/>
    <col min="4" max="4" width="16.46484375" style="23" customWidth="1"/>
    <col min="5" max="5" width="23.33203125" style="23" customWidth="1"/>
    <col min="6" max="6" width="28.9296875" style="23" bestFit="1" customWidth="1"/>
    <col min="7" max="8" width="14.59765625" style="23" customWidth="1"/>
    <col min="9" max="9" width="17" style="23" customWidth="1"/>
    <col min="10" max="10" width="13.9296875" style="23" customWidth="1"/>
    <col min="11" max="16384" width="11.46484375" style="23"/>
  </cols>
  <sheetData>
    <row r="1" spans="1:38" x14ac:dyDescent="0.45">
      <c r="A1" s="4"/>
      <c r="B1" s="4"/>
      <c r="C1" s="262" t="s">
        <v>190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4.65" thickBot="1" x14ac:dyDescent="0.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5.9" thickBot="1" x14ac:dyDescent="0.5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5" x14ac:dyDescent="0.4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5" x14ac:dyDescent="0.45">
      <c r="A5" s="268" t="s">
        <v>231</v>
      </c>
      <c r="B5" s="268"/>
      <c r="C5" s="24">
        <v>1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4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5" x14ac:dyDescent="0.4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4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45">
      <c r="A9" s="30" t="s">
        <v>165</v>
      </c>
      <c r="B9" s="31" t="s">
        <v>35</v>
      </c>
      <c r="C9" s="32">
        <v>0.89</v>
      </c>
      <c r="D9" s="33">
        <f t="shared" ref="D9:D18" si="0">C9*$C$5</f>
        <v>0.89</v>
      </c>
      <c r="E9" s="34">
        <v>80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45">
      <c r="A10" s="30" t="s">
        <v>166</v>
      </c>
      <c r="B10" s="31" t="s">
        <v>12</v>
      </c>
      <c r="C10" s="32">
        <v>0.11</v>
      </c>
      <c r="D10" s="33">
        <f t="shared" si="0"/>
        <v>0.11</v>
      </c>
      <c r="E10" s="34">
        <v>191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45">
      <c r="A11" s="30" t="s">
        <v>167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45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4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4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4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4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4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4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45">
      <c r="A19" s="78"/>
      <c r="B19" s="36" t="s">
        <v>175</v>
      </c>
      <c r="C19" s="37">
        <f>SUM(C9:C18)</f>
        <v>1</v>
      </c>
      <c r="D19" s="38">
        <f>SUM(D9:D18)</f>
        <v>1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4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4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6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4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4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4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45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4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4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4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4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4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45">
      <c r="A32" s="46" t="s">
        <v>165</v>
      </c>
      <c r="B32" s="47" t="str">
        <f>IF(B9="","",B9)</f>
        <v>Pin laricio</v>
      </c>
      <c r="C32" s="23" t="s">
        <v>324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4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45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28.5" x14ac:dyDescent="0.4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45">
      <c r="A36" s="50">
        <v>22</v>
      </c>
      <c r="B36" s="60">
        <v>129.56</v>
      </c>
      <c r="C36" s="60">
        <v>1</v>
      </c>
      <c r="D36" s="60">
        <v>52.620000000000005</v>
      </c>
      <c r="E36" s="51">
        <v>0.25</v>
      </c>
      <c r="F36" s="51">
        <v>0.37</v>
      </c>
      <c r="G36" s="51">
        <v>0.38</v>
      </c>
      <c r="H36" s="51">
        <v>0</v>
      </c>
      <c r="I36" s="49">
        <f>IFERROR(B36/A36,"")</f>
        <v>5.8890909090909096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45">
      <c r="A37" s="50">
        <v>27</v>
      </c>
      <c r="B37" s="60">
        <v>155.85</v>
      </c>
      <c r="C37" s="60">
        <v>2</v>
      </c>
      <c r="D37" s="60">
        <v>37.929999999999993</v>
      </c>
      <c r="E37" s="51">
        <v>0.25</v>
      </c>
      <c r="F37" s="51">
        <v>0.37</v>
      </c>
      <c r="G37" s="51">
        <v>0.38</v>
      </c>
      <c r="H37" s="51">
        <v>0</v>
      </c>
      <c r="I37" s="53">
        <f t="shared" ref="I37:I55" si="1">IF(A37&lt;&gt;0,(B37-(B36-D36))/(A37-A36),"")</f>
        <v>15.782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45">
      <c r="A38" s="50">
        <v>33</v>
      </c>
      <c r="B38" s="60">
        <v>217.65</v>
      </c>
      <c r="C38" s="60">
        <v>3</v>
      </c>
      <c r="D38" s="60">
        <v>50.460000000000008</v>
      </c>
      <c r="E38" s="51">
        <v>0.25</v>
      </c>
      <c r="F38" s="51">
        <v>0.37</v>
      </c>
      <c r="G38" s="51">
        <v>0.38</v>
      </c>
      <c r="H38" s="51">
        <v>0</v>
      </c>
      <c r="I38" s="53">
        <f t="shared" si="1"/>
        <v>16.621666666666666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45">
      <c r="A39" s="50">
        <v>41</v>
      </c>
      <c r="B39" s="60">
        <v>300.74</v>
      </c>
      <c r="C39" s="60">
        <v>4</v>
      </c>
      <c r="D39" s="60">
        <v>72.16</v>
      </c>
      <c r="E39" s="51">
        <v>0.6</v>
      </c>
      <c r="F39" s="51">
        <v>0.2</v>
      </c>
      <c r="G39" s="51">
        <v>0.2</v>
      </c>
      <c r="H39" s="51">
        <v>0</v>
      </c>
      <c r="I39" s="49">
        <f t="shared" si="1"/>
        <v>16.693750000000001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45">
      <c r="A40" s="50">
        <v>50</v>
      </c>
      <c r="B40" s="60">
        <v>370.01</v>
      </c>
      <c r="C40" s="60">
        <v>5</v>
      </c>
      <c r="D40" s="60">
        <v>70.20999999999998</v>
      </c>
      <c r="E40" s="51">
        <v>0.6</v>
      </c>
      <c r="F40" s="51">
        <v>0.2</v>
      </c>
      <c r="G40" s="51">
        <v>0.2</v>
      </c>
      <c r="H40" s="51">
        <v>0</v>
      </c>
      <c r="I40" s="49">
        <f t="shared" si="1"/>
        <v>15.714444444444442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45">
      <c r="A41" s="50">
        <v>60</v>
      </c>
      <c r="B41" s="60">
        <v>440.94</v>
      </c>
      <c r="C41" s="60">
        <v>6</v>
      </c>
      <c r="D41" s="60">
        <v>69.839999999999975</v>
      </c>
      <c r="E41" s="51">
        <v>0.6</v>
      </c>
      <c r="F41" s="51">
        <v>0.2</v>
      </c>
      <c r="G41" s="51">
        <v>0.2</v>
      </c>
      <c r="H41" s="51">
        <v>0</v>
      </c>
      <c r="I41" s="53">
        <f t="shared" si="1"/>
        <v>14.113999999999999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45">
      <c r="A42" s="50">
        <v>70</v>
      </c>
      <c r="B42" s="60">
        <v>490.07</v>
      </c>
      <c r="C42" s="60">
        <v>7</v>
      </c>
      <c r="D42" s="60">
        <v>67.88</v>
      </c>
      <c r="E42" s="51">
        <v>0.6</v>
      </c>
      <c r="F42" s="51">
        <v>0.2</v>
      </c>
      <c r="G42" s="51">
        <v>0.2</v>
      </c>
      <c r="H42" s="51">
        <v>0</v>
      </c>
      <c r="I42" s="53">
        <f t="shared" si="1"/>
        <v>11.896999999999997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45">
      <c r="A43" s="50">
        <v>80</v>
      </c>
      <c r="B43" s="60">
        <v>520.03</v>
      </c>
      <c r="C43" s="60">
        <v>8</v>
      </c>
      <c r="D43" s="60">
        <v>520.03</v>
      </c>
      <c r="E43" s="51">
        <v>0.6</v>
      </c>
      <c r="F43" s="51">
        <v>0.2</v>
      </c>
      <c r="G43" s="51">
        <v>0.2</v>
      </c>
      <c r="H43" s="51">
        <v>0</v>
      </c>
      <c r="I43" s="49">
        <f t="shared" si="1"/>
        <v>9.7839999999999971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4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4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4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4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4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4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4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4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4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4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4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4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4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4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45">
      <c r="A58" s="46" t="s">
        <v>166</v>
      </c>
      <c r="B58" s="52" t="str">
        <f>IF(B10="","",B10)</f>
        <v>Chêne pubescent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4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45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28.5" x14ac:dyDescent="0.4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45">
      <c r="A62" s="50">
        <v>60</v>
      </c>
      <c r="B62" s="60">
        <v>201.62</v>
      </c>
      <c r="C62" s="60">
        <v>1</v>
      </c>
      <c r="D62" s="60">
        <v>72.87</v>
      </c>
      <c r="E62" s="51">
        <v>0</v>
      </c>
      <c r="F62" s="51">
        <v>0.8</v>
      </c>
      <c r="G62" s="51">
        <v>0.2</v>
      </c>
      <c r="H62" s="51">
        <v>0</v>
      </c>
      <c r="I62" s="53">
        <f>IFERROR(B62/A62,"")</f>
        <v>3.3603333333333336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45">
      <c r="A63" s="50">
        <v>69</v>
      </c>
      <c r="B63" s="60">
        <v>190.79</v>
      </c>
      <c r="C63" s="60">
        <v>2</v>
      </c>
      <c r="D63" s="60">
        <v>42.22</v>
      </c>
      <c r="E63" s="51">
        <v>0</v>
      </c>
      <c r="F63" s="51">
        <v>0.8</v>
      </c>
      <c r="G63" s="51">
        <v>0.2</v>
      </c>
      <c r="H63" s="51">
        <v>0</v>
      </c>
      <c r="I63" s="49">
        <f>IF(A63&lt;&gt;0,(B63-(B62-D62))/(A63-A62),"")</f>
        <v>6.8933333333333326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45">
      <c r="A64" s="50">
        <v>77</v>
      </c>
      <c r="B64" s="60">
        <v>202.52</v>
      </c>
      <c r="C64" s="60">
        <v>3</v>
      </c>
      <c r="D64" s="60">
        <v>33.950000000000017</v>
      </c>
      <c r="E64" s="51">
        <v>0</v>
      </c>
      <c r="F64" s="51">
        <v>0.8</v>
      </c>
      <c r="G64" s="51">
        <v>0.2</v>
      </c>
      <c r="H64" s="51">
        <v>0</v>
      </c>
      <c r="I64" s="49">
        <f>IF(A64&lt;&gt;0,(B64-(B63-D63))/(A64-A63),"")</f>
        <v>6.7437500000000021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45">
      <c r="A65" s="50">
        <v>86</v>
      </c>
      <c r="B65" s="60">
        <v>229.27</v>
      </c>
      <c r="C65" s="60">
        <v>4</v>
      </c>
      <c r="D65" s="60">
        <v>37.54000000000002</v>
      </c>
      <c r="E65" s="51">
        <v>0.35</v>
      </c>
      <c r="F65" s="51">
        <v>0.2</v>
      </c>
      <c r="G65" s="51">
        <v>0.1</v>
      </c>
      <c r="H65" s="51">
        <v>0.35</v>
      </c>
      <c r="I65" s="49">
        <f>IF(A65&lt;&gt;0,(B65-(B64-D64))/(A65-A64),"")</f>
        <v>6.7444444444444462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45">
      <c r="A66" s="50">
        <v>95</v>
      </c>
      <c r="B66" s="60">
        <v>252.57</v>
      </c>
      <c r="C66" s="60">
        <v>5</v>
      </c>
      <c r="D66" s="60">
        <v>42.199999999999989</v>
      </c>
      <c r="E66" s="51">
        <v>0.35</v>
      </c>
      <c r="F66" s="51">
        <v>0.2</v>
      </c>
      <c r="G66" s="51">
        <v>0.1</v>
      </c>
      <c r="H66" s="51">
        <v>0.35</v>
      </c>
      <c r="I66" s="49">
        <f t="shared" ref="I66:I81" si="2">IF(A66&lt;&gt;0,(B66-(B65-D65))/(A66-A65),"")</f>
        <v>6.7600000000000007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45">
      <c r="A67" s="50">
        <v>104</v>
      </c>
      <c r="B67" s="60">
        <v>271.37</v>
      </c>
      <c r="C67" s="60">
        <v>6</v>
      </c>
      <c r="D67" s="60">
        <v>39.400000000000006</v>
      </c>
      <c r="E67" s="51">
        <v>0.35</v>
      </c>
      <c r="F67" s="51">
        <v>0.2</v>
      </c>
      <c r="G67" s="51">
        <v>0.1</v>
      </c>
      <c r="H67" s="51">
        <v>0.35</v>
      </c>
      <c r="I67" s="49">
        <f t="shared" si="2"/>
        <v>6.7777777777777777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45">
      <c r="A68" s="50">
        <v>113</v>
      </c>
      <c r="B68" s="60">
        <v>293.89999999999998</v>
      </c>
      <c r="C68" s="60">
        <v>7</v>
      </c>
      <c r="D68" s="60">
        <v>41.639999999999986</v>
      </c>
      <c r="E68" s="51">
        <v>0.35</v>
      </c>
      <c r="F68" s="51">
        <v>0.2</v>
      </c>
      <c r="G68" s="51">
        <v>0.1</v>
      </c>
      <c r="H68" s="51">
        <v>0.35</v>
      </c>
      <c r="I68" s="49">
        <f t="shared" si="2"/>
        <v>6.8811111111111085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45">
      <c r="A69" s="50">
        <v>122</v>
      </c>
      <c r="B69" s="50">
        <v>315.27</v>
      </c>
      <c r="C69" s="50">
        <v>8</v>
      </c>
      <c r="D69" s="50">
        <v>45.829999999999984</v>
      </c>
      <c r="E69" s="51">
        <v>0.35</v>
      </c>
      <c r="F69" s="51">
        <v>0.2</v>
      </c>
      <c r="G69" s="51">
        <v>0.1</v>
      </c>
      <c r="H69" s="51">
        <v>0.35</v>
      </c>
      <c r="I69" s="49">
        <f t="shared" si="2"/>
        <v>7.0011111111111104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45">
      <c r="A70" s="50">
        <v>132</v>
      </c>
      <c r="B70" s="50">
        <v>340.57</v>
      </c>
      <c r="C70" s="50">
        <v>9</v>
      </c>
      <c r="D70" s="50">
        <v>48.699999999999989</v>
      </c>
      <c r="E70" s="51">
        <v>0.35</v>
      </c>
      <c r="F70" s="51">
        <v>0.2</v>
      </c>
      <c r="G70" s="51">
        <v>0.1</v>
      </c>
      <c r="H70" s="51">
        <v>0.35</v>
      </c>
      <c r="I70" s="49">
        <f t="shared" si="2"/>
        <v>7.1129999999999995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45">
      <c r="A71" s="50">
        <v>144</v>
      </c>
      <c r="B71" s="50">
        <v>379.92</v>
      </c>
      <c r="C71" s="50">
        <v>10</v>
      </c>
      <c r="D71" s="50">
        <v>60.949999999999989</v>
      </c>
      <c r="E71" s="51">
        <v>0.35</v>
      </c>
      <c r="F71" s="51">
        <v>0.2</v>
      </c>
      <c r="G71" s="51">
        <v>0.1</v>
      </c>
      <c r="H71" s="51">
        <v>0.35</v>
      </c>
      <c r="I71" s="49">
        <f t="shared" si="2"/>
        <v>7.3375000000000012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45">
      <c r="A72" s="50">
        <v>156</v>
      </c>
      <c r="B72" s="50">
        <v>409.2</v>
      </c>
      <c r="C72" s="50">
        <v>11</v>
      </c>
      <c r="D72" s="50">
        <v>65.69</v>
      </c>
      <c r="E72" s="51">
        <v>0.5</v>
      </c>
      <c r="F72" s="51">
        <v>0.2</v>
      </c>
      <c r="G72" s="51">
        <v>0</v>
      </c>
      <c r="H72" s="51">
        <v>0.3</v>
      </c>
      <c r="I72" s="49">
        <f t="shared" si="2"/>
        <v>7.5191666666666634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45">
      <c r="A73" s="50">
        <v>168</v>
      </c>
      <c r="B73" s="50">
        <v>435.65</v>
      </c>
      <c r="C73" s="50">
        <v>12</v>
      </c>
      <c r="D73" s="50">
        <v>71.37</v>
      </c>
      <c r="E73" s="51">
        <v>0.5</v>
      </c>
      <c r="F73" s="51">
        <v>0.2</v>
      </c>
      <c r="G73" s="51">
        <v>0</v>
      </c>
      <c r="H73" s="51">
        <v>0.3</v>
      </c>
      <c r="I73" s="49">
        <f t="shared" si="2"/>
        <v>7.6783333333333319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45">
      <c r="A74" s="50">
        <v>180</v>
      </c>
      <c r="B74" s="50">
        <v>456.54</v>
      </c>
      <c r="C74" s="50">
        <v>13</v>
      </c>
      <c r="D74" s="50">
        <v>175.59000000000003</v>
      </c>
      <c r="E74" s="51">
        <v>0.5</v>
      </c>
      <c r="F74" s="51">
        <v>0.2</v>
      </c>
      <c r="G74" s="51">
        <v>0</v>
      </c>
      <c r="H74" s="51">
        <v>0.3</v>
      </c>
      <c r="I74" s="49">
        <f t="shared" si="2"/>
        <v>7.688333333333337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45">
      <c r="A75" s="50">
        <v>184</v>
      </c>
      <c r="B75" s="50">
        <v>300.14</v>
      </c>
      <c r="C75" s="50">
        <v>14</v>
      </c>
      <c r="D75" s="50">
        <v>101.19999999999999</v>
      </c>
      <c r="E75" s="51">
        <v>0.5</v>
      </c>
      <c r="F75" s="51">
        <v>0.2</v>
      </c>
      <c r="G75" s="51">
        <v>0</v>
      </c>
      <c r="H75" s="51">
        <v>0.3</v>
      </c>
      <c r="I75" s="49">
        <f t="shared" si="2"/>
        <v>4.7974999999999994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45">
      <c r="A76" s="50">
        <v>188</v>
      </c>
      <c r="B76" s="50">
        <v>211.27</v>
      </c>
      <c r="C76" s="50">
        <v>15</v>
      </c>
      <c r="D76" s="50">
        <v>72.180000000000007</v>
      </c>
      <c r="E76" s="51">
        <v>0.5</v>
      </c>
      <c r="F76" s="51">
        <v>0.2</v>
      </c>
      <c r="G76" s="51">
        <v>0</v>
      </c>
      <c r="H76" s="51">
        <v>0.3</v>
      </c>
      <c r="I76" s="49">
        <f t="shared" si="2"/>
        <v>3.0825000000000031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45">
      <c r="A77" s="50">
        <v>191</v>
      </c>
      <c r="B77" s="50">
        <v>145.01</v>
      </c>
      <c r="C77" s="50">
        <v>16</v>
      </c>
      <c r="D77" s="50">
        <v>145.01</v>
      </c>
      <c r="E77" s="51">
        <v>0.45</v>
      </c>
      <c r="F77" s="51">
        <v>0.05</v>
      </c>
      <c r="G77" s="51">
        <v>0.05</v>
      </c>
      <c r="H77" s="51">
        <v>0.45</v>
      </c>
      <c r="I77" s="49">
        <f t="shared" si="2"/>
        <v>1.9733333333333292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4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4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4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4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4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4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45">
      <c r="A84" s="46" t="s">
        <v>167</v>
      </c>
      <c r="B84" s="52" t="str">
        <f>IF(B11="","",B11)</f>
        <v/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4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45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28.5" x14ac:dyDescent="0.4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45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45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45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45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45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45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45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45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45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4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4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4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4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4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4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4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4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4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4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4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4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4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45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4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45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28.5" x14ac:dyDescent="0.4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45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45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45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45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45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45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45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4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4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4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4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4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4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4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4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4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4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4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4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4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4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4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45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4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45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28.5" x14ac:dyDescent="0.4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4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4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4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4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4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4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4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4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4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4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4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4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4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4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4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4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4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4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4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4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4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4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4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4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45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28.5" x14ac:dyDescent="0.4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4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4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4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4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4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4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4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4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4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4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4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4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4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4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4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4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4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4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4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4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4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4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4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4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45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28.5" x14ac:dyDescent="0.4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4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4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4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4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4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4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4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4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4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4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4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4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4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4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4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4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4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4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4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4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4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4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4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4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45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28.5" x14ac:dyDescent="0.4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4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4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4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4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4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4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4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4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4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4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4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4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4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4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4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4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4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4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4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4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4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4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4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4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45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28.5" x14ac:dyDescent="0.4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4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4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4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4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4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4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4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4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4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4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4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4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4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4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4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4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4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4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4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4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4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4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4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4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45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28.5" x14ac:dyDescent="0.4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4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4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4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4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4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4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4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4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4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4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4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4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4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4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4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4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4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4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4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4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4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4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4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4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4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4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4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4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4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4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4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4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4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4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4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4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4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4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4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4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4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4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4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4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4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4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4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4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4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4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4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4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4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4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4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4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4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4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4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4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4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4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4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4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4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4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4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4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4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4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4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4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4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4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4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4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4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4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4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4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4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4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4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4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4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4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4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4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4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4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4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4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4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4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4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4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4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4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4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4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4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4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4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4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4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4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4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4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4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4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4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4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4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4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4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4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4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4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4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4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4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4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4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4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4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4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4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4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4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4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4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4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4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4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4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4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4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4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4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4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4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4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4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4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4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4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4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4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4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4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4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4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4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4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4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4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4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4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3" zoomScaleNormal="100" workbookViewId="0">
      <selection activeCell="F9" sqref="F9"/>
    </sheetView>
  </sheetViews>
  <sheetFormatPr baseColWidth="10" defaultColWidth="11.46484375" defaultRowHeight="14.25" x14ac:dyDescent="0.45"/>
  <cols>
    <col min="1" max="1" width="5.9296875" style="1" customWidth="1"/>
    <col min="2" max="2" width="14.06640625" style="1" customWidth="1"/>
    <col min="3" max="3" width="62.0664062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6484375" style="1"/>
    <col min="11" max="11" width="12.53125" style="1" customWidth="1"/>
    <col min="12" max="16384" width="11.46484375" style="1"/>
  </cols>
  <sheetData>
    <row r="1" spans="1:38" ht="14.65" thickBot="1" x14ac:dyDescent="0.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5.9" thickBot="1" x14ac:dyDescent="0.8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4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4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4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4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4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45">
      <c r="A8" s="105">
        <v>1</v>
      </c>
      <c r="B8" s="61">
        <v>0.76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45">
      <c r="A9" s="105">
        <v>2</v>
      </c>
      <c r="B9" s="61">
        <v>0.24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4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4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4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4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4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45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4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45">
      <c r="A17" s="23"/>
      <c r="B17" s="61">
        <v>0.76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4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45">
      <c r="A19" s="23"/>
      <c r="B19" s="106">
        <f>SUM(B16:B18)</f>
        <v>0.76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4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4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4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4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4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4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4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4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4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4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4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4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4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4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4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4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4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4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4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4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4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4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4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4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4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4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4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4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4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4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4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4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4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4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4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4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4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4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4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4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4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4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4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4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4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4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4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4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4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4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4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4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4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4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4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4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4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4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4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4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4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4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4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4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4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4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4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4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4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4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4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4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4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4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4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4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4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4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4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4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4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4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4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45">
      <c r="C104" s="4"/>
      <c r="F104" s="4"/>
    </row>
    <row r="105" spans="3:35" x14ac:dyDescent="0.45">
      <c r="C105" s="4"/>
      <c r="F105" s="4"/>
    </row>
    <row r="106" spans="3:35" x14ac:dyDescent="0.45">
      <c r="C106" s="4"/>
      <c r="F106" s="4"/>
    </row>
    <row r="107" spans="3:35" x14ac:dyDescent="0.45">
      <c r="C107" s="4"/>
      <c r="F107" s="4"/>
    </row>
    <row r="108" spans="3:35" x14ac:dyDescent="0.45">
      <c r="C108" s="4"/>
      <c r="F108" s="4"/>
    </row>
    <row r="109" spans="3:35" x14ac:dyDescent="0.45">
      <c r="C109" s="4"/>
      <c r="F109" s="4"/>
    </row>
    <row r="110" spans="3:35" x14ac:dyDescent="0.45">
      <c r="C110" s="4"/>
      <c r="F110" s="4"/>
    </row>
    <row r="111" spans="3:35" x14ac:dyDescent="0.45">
      <c r="C111" s="4"/>
      <c r="F111" s="4"/>
    </row>
    <row r="112" spans="3:35" x14ac:dyDescent="0.45">
      <c r="C112" s="4"/>
      <c r="F112" s="4"/>
    </row>
    <row r="113" spans="3:6" x14ac:dyDescent="0.45">
      <c r="C113" s="4"/>
      <c r="F113" s="4"/>
    </row>
    <row r="114" spans="3:6" x14ac:dyDescent="0.45">
      <c r="C114" s="4"/>
      <c r="F114" s="4"/>
    </row>
    <row r="115" spans="3:6" x14ac:dyDescent="0.45">
      <c r="C115" s="4"/>
      <c r="F115" s="4"/>
    </row>
    <row r="116" spans="3:6" x14ac:dyDescent="0.45">
      <c r="C116" s="4"/>
      <c r="F116" s="4"/>
    </row>
    <row r="117" spans="3:6" x14ac:dyDescent="0.45">
      <c r="C117" s="4"/>
      <c r="F117" s="4"/>
    </row>
    <row r="118" spans="3:6" x14ac:dyDescent="0.45">
      <c r="C118" s="4"/>
      <c r="F118" s="4"/>
    </row>
    <row r="119" spans="3:6" x14ac:dyDescent="0.45">
      <c r="C119" s="4"/>
      <c r="F119" s="4"/>
    </row>
    <row r="120" spans="3:6" x14ac:dyDescent="0.45">
      <c r="C120" s="4"/>
      <c r="F120" s="4"/>
    </row>
    <row r="121" spans="3:6" x14ac:dyDescent="0.45">
      <c r="C121" s="4"/>
      <c r="F121" s="4"/>
    </row>
    <row r="122" spans="3:6" x14ac:dyDescent="0.45">
      <c r="C122" s="4"/>
      <c r="F122" s="4"/>
    </row>
    <row r="123" spans="3:6" x14ac:dyDescent="0.45">
      <c r="C123" s="4"/>
      <c r="F123" s="4"/>
    </row>
    <row r="124" spans="3:6" x14ac:dyDescent="0.45">
      <c r="C124" s="4"/>
      <c r="F124" s="4"/>
    </row>
    <row r="125" spans="3:6" x14ac:dyDescent="0.45">
      <c r="C125" s="4"/>
      <c r="F125" s="4"/>
    </row>
    <row r="126" spans="3:6" x14ac:dyDescent="0.45">
      <c r="C126" s="4"/>
      <c r="F126" s="4"/>
    </row>
    <row r="127" spans="3:6" x14ac:dyDescent="0.45">
      <c r="C127" s="4"/>
      <c r="F127" s="4"/>
    </row>
    <row r="128" spans="3:6" x14ac:dyDescent="0.45">
      <c r="C128" s="4"/>
      <c r="F128" s="4"/>
    </row>
    <row r="129" spans="3:6" x14ac:dyDescent="0.45">
      <c r="C129" s="4"/>
      <c r="F129" s="4"/>
    </row>
    <row r="130" spans="3:6" x14ac:dyDescent="0.45">
      <c r="C130" s="4"/>
      <c r="F130" s="4"/>
    </row>
    <row r="131" spans="3:6" x14ac:dyDescent="0.45">
      <c r="C131" s="4"/>
      <c r="F131" s="4"/>
    </row>
    <row r="132" spans="3:6" x14ac:dyDescent="0.45">
      <c r="F132" s="4"/>
    </row>
    <row r="133" spans="3:6" x14ac:dyDescent="0.45">
      <c r="F133" s="4"/>
    </row>
    <row r="134" spans="3:6" x14ac:dyDescent="0.45">
      <c r="F134" s="4"/>
    </row>
    <row r="135" spans="3:6" x14ac:dyDescent="0.45">
      <c r="F135" s="4"/>
    </row>
    <row r="136" spans="3:6" x14ac:dyDescent="0.45">
      <c r="F136" s="4"/>
    </row>
    <row r="137" spans="3:6" x14ac:dyDescent="0.45">
      <c r="F137" s="4"/>
    </row>
    <row r="138" spans="3:6" x14ac:dyDescent="0.45">
      <c r="F138" s="4"/>
    </row>
    <row r="139" spans="3:6" x14ac:dyDescent="0.45">
      <c r="F139" s="4"/>
    </row>
    <row r="140" spans="3:6" x14ac:dyDescent="0.45">
      <c r="F140" s="4"/>
    </row>
    <row r="141" spans="3:6" x14ac:dyDescent="0.45">
      <c r="F141" s="4"/>
    </row>
    <row r="142" spans="3:6" x14ac:dyDescent="0.45">
      <c r="F142" s="4"/>
    </row>
    <row r="143" spans="3:6" x14ac:dyDescent="0.45">
      <c r="F143" s="4"/>
    </row>
    <row r="144" spans="3:6" x14ac:dyDescent="0.45">
      <c r="F144" s="4"/>
    </row>
    <row r="145" spans="6:6" x14ac:dyDescent="0.45">
      <c r="F145" s="4"/>
    </row>
    <row r="146" spans="6:6" x14ac:dyDescent="0.45">
      <c r="F146" s="4"/>
    </row>
    <row r="147" spans="6:6" x14ac:dyDescent="0.45">
      <c r="F147" s="4"/>
    </row>
    <row r="148" spans="6:6" x14ac:dyDescent="0.45">
      <c r="F148" s="4"/>
    </row>
    <row r="149" spans="6:6" x14ac:dyDescent="0.45">
      <c r="F149" s="4"/>
    </row>
    <row r="150" spans="6:6" x14ac:dyDescent="0.45">
      <c r="F150" s="4"/>
    </row>
    <row r="151" spans="6:6" x14ac:dyDescent="0.45">
      <c r="F151" s="4"/>
    </row>
    <row r="152" spans="6:6" x14ac:dyDescent="0.45">
      <c r="F152" s="4"/>
    </row>
    <row r="153" spans="6:6" x14ac:dyDescent="0.45">
      <c r="F153" s="4"/>
    </row>
    <row r="154" spans="6:6" x14ac:dyDescent="0.45">
      <c r="F154" s="4"/>
    </row>
    <row r="155" spans="6:6" x14ac:dyDescent="0.45">
      <c r="F155" s="4"/>
    </row>
    <row r="156" spans="6:6" x14ac:dyDescent="0.45">
      <c r="F156" s="4"/>
    </row>
    <row r="157" spans="6:6" x14ac:dyDescent="0.45">
      <c r="F157" s="4"/>
    </row>
    <row r="158" spans="6:6" x14ac:dyDescent="0.45">
      <c r="F158" s="4"/>
    </row>
    <row r="159" spans="6:6" x14ac:dyDescent="0.45">
      <c r="F159" s="4"/>
    </row>
    <row r="160" spans="6:6" x14ac:dyDescent="0.45">
      <c r="F160" s="4"/>
    </row>
    <row r="161" spans="6:6" x14ac:dyDescent="0.45">
      <c r="F161" s="4"/>
    </row>
    <row r="162" spans="6:6" x14ac:dyDescent="0.45">
      <c r="F162" s="4"/>
    </row>
    <row r="163" spans="6:6" x14ac:dyDescent="0.4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6484375" defaultRowHeight="14.25" x14ac:dyDescent="0.45"/>
  <cols>
    <col min="1" max="1" width="6.9296875" style="4" bestFit="1" customWidth="1"/>
    <col min="2" max="4" width="11.46484375" style="4"/>
    <col min="5" max="5" width="9.53125" style="4" customWidth="1"/>
    <col min="6" max="7" width="11.46484375" style="4"/>
    <col min="8" max="8" width="10.59765625" style="4" customWidth="1"/>
    <col min="9" max="9" width="9.46484375" style="4" customWidth="1"/>
    <col min="10" max="11" width="10.53125" style="4" bestFit="1" customWidth="1"/>
    <col min="12" max="12" width="14" style="4" bestFit="1" customWidth="1"/>
    <col min="13" max="13" width="14" style="4" customWidth="1"/>
    <col min="14" max="23" width="11.46484375" style="4"/>
    <col min="24" max="24" width="11.59765625" style="4" bestFit="1" customWidth="1"/>
    <col min="25" max="25" width="14.53125" style="4" bestFit="1" customWidth="1"/>
    <col min="26" max="26" width="12.46484375" style="4" bestFit="1" customWidth="1"/>
    <col min="27" max="27" width="9.59765625" style="4" bestFit="1" customWidth="1"/>
    <col min="28" max="28" width="11" style="4" bestFit="1" customWidth="1"/>
    <col min="29" max="29" width="9.46484375" style="4" bestFit="1" customWidth="1"/>
    <col min="30" max="31" width="9.46484375" style="4" customWidth="1"/>
    <col min="32" max="32" width="11.46484375" style="4"/>
    <col min="33" max="34" width="14" style="4" bestFit="1" customWidth="1"/>
    <col min="35" max="35" width="10.53125" style="4" bestFit="1" customWidth="1"/>
    <col min="36" max="36" width="9.46484375" style="4" bestFit="1" customWidth="1"/>
    <col min="37" max="38" width="10.53125" style="4" bestFit="1" customWidth="1"/>
    <col min="39" max="41" width="10.53125" style="4" customWidth="1"/>
    <col min="42" max="42" width="9" style="4" bestFit="1" customWidth="1"/>
    <col min="43" max="43" width="10.53125" style="4" bestFit="1" customWidth="1"/>
    <col min="44" max="44" width="9.33203125" style="4" bestFit="1" customWidth="1"/>
    <col min="45" max="45" width="11.59765625" style="4" bestFit="1" customWidth="1"/>
    <col min="46" max="46" width="8.46484375" style="4" bestFit="1" customWidth="1"/>
    <col min="47" max="47" width="9.46484375" style="4" bestFit="1" customWidth="1"/>
    <col min="48" max="48" width="9.59765625" style="4" bestFit="1" customWidth="1"/>
    <col min="49" max="49" width="11" style="4" bestFit="1" customWidth="1"/>
    <col min="50" max="50" width="9.46484375" style="4" bestFit="1" customWidth="1"/>
    <col min="51" max="52" width="9.46484375" style="4" customWidth="1"/>
    <col min="53" max="53" width="10.53125" style="4" bestFit="1" customWidth="1"/>
    <col min="54" max="54" width="14.33203125" style="4" customWidth="1"/>
    <col min="55" max="55" width="14" style="4" customWidth="1"/>
    <col min="56" max="56" width="10.53125" style="4" bestFit="1" customWidth="1"/>
    <col min="57" max="57" width="9.46484375" style="4" bestFit="1" customWidth="1"/>
    <col min="58" max="59" width="10.53125" style="4" bestFit="1" customWidth="1"/>
    <col min="60" max="62" width="10.53125" style="4" customWidth="1"/>
    <col min="63" max="63" width="9" style="4" bestFit="1" customWidth="1"/>
    <col min="64" max="64" width="10.53125" style="4" bestFit="1" customWidth="1"/>
    <col min="65" max="65" width="9.33203125" style="4" bestFit="1" customWidth="1"/>
    <col min="66" max="66" width="11.59765625" style="4" bestFit="1" customWidth="1"/>
    <col min="67" max="67" width="8.46484375" style="4" bestFit="1" customWidth="1"/>
    <col min="68" max="68" width="9.46484375" style="4" bestFit="1" customWidth="1"/>
    <col min="69" max="69" width="9.59765625" style="4" bestFit="1" customWidth="1"/>
    <col min="70" max="70" width="11" style="4" bestFit="1" customWidth="1"/>
    <col min="71" max="71" width="9.46484375" style="4" bestFit="1" customWidth="1"/>
    <col min="72" max="73" width="9.46484375" style="4" customWidth="1"/>
    <col min="74" max="74" width="10.53125" style="4" bestFit="1" customWidth="1"/>
    <col min="75" max="75" width="14" style="4" bestFit="1" customWidth="1"/>
    <col min="76" max="76" width="13.9296875" style="4" customWidth="1"/>
    <col min="77" max="77" width="10.53125" style="4" bestFit="1" customWidth="1"/>
    <col min="78" max="78" width="9.46484375" style="4" bestFit="1" customWidth="1"/>
    <col min="79" max="80" width="10.53125" style="4" bestFit="1" customWidth="1"/>
    <col min="81" max="83" width="10.53125" style="4" customWidth="1"/>
    <col min="84" max="84" width="11.46484375" style="4"/>
    <col min="85" max="85" width="10.53125" style="4" bestFit="1" customWidth="1"/>
    <col min="86" max="86" width="9.33203125" style="4" bestFit="1" customWidth="1"/>
    <col min="87" max="87" width="11.59765625" style="4" bestFit="1" customWidth="1"/>
    <col min="88" max="88" width="8.46484375" style="4" bestFit="1" customWidth="1"/>
    <col min="89" max="89" width="9.46484375" style="4" bestFit="1" customWidth="1"/>
    <col min="90" max="90" width="9.59765625" style="4" bestFit="1" customWidth="1"/>
    <col min="91" max="91" width="11" style="4" bestFit="1" customWidth="1"/>
    <col min="92" max="92" width="9.46484375" style="4" bestFit="1" customWidth="1"/>
    <col min="93" max="94" width="9.46484375" style="4" customWidth="1"/>
    <col min="95" max="95" width="11.46484375" style="4"/>
    <col min="96" max="97" width="14" style="4" customWidth="1"/>
    <col min="98" max="98" width="10.53125" style="4" bestFit="1" customWidth="1"/>
    <col min="99" max="99" width="9.46484375" style="4" bestFit="1" customWidth="1"/>
    <col min="100" max="101" width="10.53125" style="4" bestFit="1" customWidth="1"/>
    <col min="102" max="104" width="10.53125" style="4" customWidth="1"/>
    <col min="105" max="105" width="9" style="4" bestFit="1" customWidth="1"/>
    <col min="106" max="106" width="10.53125" style="4" bestFit="1" customWidth="1"/>
    <col min="107" max="107" width="9.33203125" style="4" bestFit="1" customWidth="1"/>
    <col min="108" max="108" width="11.59765625" style="4" bestFit="1" customWidth="1"/>
    <col min="109" max="109" width="8.46484375" style="4" bestFit="1" customWidth="1"/>
    <col min="110" max="110" width="9.46484375" style="4" bestFit="1" customWidth="1"/>
    <col min="111" max="111" width="9.59765625" style="4" bestFit="1" customWidth="1"/>
    <col min="112" max="112" width="11" style="4" bestFit="1" customWidth="1"/>
    <col min="113" max="113" width="9.46484375" style="4" bestFit="1" customWidth="1"/>
    <col min="114" max="115" width="9.46484375" style="4" customWidth="1"/>
    <col min="116" max="116" width="10.53125" style="4" bestFit="1" customWidth="1"/>
    <col min="117" max="117" width="14.33203125" style="4" customWidth="1"/>
    <col min="118" max="118" width="14" style="4" bestFit="1" customWidth="1"/>
    <col min="119" max="119" width="10.53125" style="4" bestFit="1" customWidth="1"/>
    <col min="120" max="120" width="9.46484375" style="4" bestFit="1" customWidth="1"/>
    <col min="121" max="122" width="10.53125" style="4" bestFit="1" customWidth="1"/>
    <col min="123" max="125" width="10.53125" style="4" customWidth="1"/>
    <col min="126" max="126" width="9" style="4" bestFit="1" customWidth="1"/>
    <col min="127" max="127" width="10.53125" style="4" bestFit="1" customWidth="1"/>
    <col min="128" max="128" width="9.33203125" style="4" bestFit="1" customWidth="1"/>
    <col min="129" max="129" width="11.59765625" style="4" bestFit="1" customWidth="1"/>
    <col min="130" max="130" width="8.46484375" style="4" bestFit="1" customWidth="1"/>
    <col min="131" max="131" width="9.46484375" style="4" bestFit="1" customWidth="1"/>
    <col min="132" max="132" width="9.59765625" style="4" bestFit="1" customWidth="1"/>
    <col min="133" max="133" width="11" style="4" bestFit="1" customWidth="1"/>
    <col min="134" max="134" width="9.46484375" style="4" bestFit="1" customWidth="1"/>
    <col min="135" max="136" width="9.46484375" style="4" customWidth="1"/>
    <col min="137" max="137" width="10.53125" style="4" bestFit="1" customWidth="1"/>
    <col min="138" max="139" width="14" style="4" customWidth="1"/>
    <col min="140" max="140" width="10.53125" style="4" bestFit="1" customWidth="1"/>
    <col min="141" max="141" width="9.46484375" style="4" bestFit="1" customWidth="1"/>
    <col min="142" max="143" width="10.53125" style="4" bestFit="1" customWidth="1"/>
    <col min="144" max="146" width="10.53125" style="4" customWidth="1"/>
    <col min="147" max="147" width="9" style="4" bestFit="1" customWidth="1"/>
    <col min="148" max="148" width="10.53125" style="4" bestFit="1" customWidth="1"/>
    <col min="149" max="149" width="9.33203125" style="4" bestFit="1" customWidth="1"/>
    <col min="150" max="150" width="11.59765625" style="4" bestFit="1" customWidth="1"/>
    <col min="151" max="151" width="8.46484375" style="4" bestFit="1" customWidth="1"/>
    <col min="152" max="152" width="9.46484375" style="4" bestFit="1" customWidth="1"/>
    <col min="153" max="153" width="9.59765625" style="4" bestFit="1" customWidth="1"/>
    <col min="154" max="154" width="11" style="4" bestFit="1" customWidth="1"/>
    <col min="155" max="155" width="9.46484375" style="4" bestFit="1" customWidth="1"/>
    <col min="156" max="157" width="9.46484375" style="4" customWidth="1"/>
    <col min="158" max="158" width="11.46484375" style="4"/>
    <col min="159" max="160" width="14" style="4" bestFit="1" customWidth="1"/>
    <col min="161" max="161" width="10.53125" style="4" bestFit="1" customWidth="1"/>
    <col min="162" max="162" width="9.46484375" style="4" bestFit="1" customWidth="1"/>
    <col min="163" max="164" width="10.53125" style="4" bestFit="1" customWidth="1"/>
    <col min="165" max="167" width="10.53125" style="4" customWidth="1"/>
    <col min="168" max="168" width="9" style="4" bestFit="1" customWidth="1"/>
    <col min="169" max="169" width="10.53125" style="4" bestFit="1" customWidth="1"/>
    <col min="170" max="170" width="9.33203125" style="4" bestFit="1" customWidth="1"/>
    <col min="171" max="171" width="11.59765625" style="4" bestFit="1" customWidth="1"/>
    <col min="172" max="172" width="8.06640625" style="4" bestFit="1" customWidth="1"/>
    <col min="173" max="173" width="9.46484375" style="4" bestFit="1" customWidth="1"/>
    <col min="174" max="174" width="9.59765625" style="4" bestFit="1" customWidth="1"/>
    <col min="175" max="175" width="11" style="4" bestFit="1" customWidth="1"/>
    <col min="176" max="176" width="9.46484375" style="4" bestFit="1" customWidth="1"/>
    <col min="177" max="178" width="9.46484375" style="4" customWidth="1"/>
    <col min="179" max="179" width="10.53125" style="4" bestFit="1" customWidth="1"/>
    <col min="180" max="181" width="14" style="4" bestFit="1" customWidth="1"/>
    <col min="182" max="182" width="10.53125" style="4" bestFit="1" customWidth="1"/>
    <col min="183" max="183" width="9.46484375" style="4" bestFit="1" customWidth="1"/>
    <col min="184" max="185" width="10.53125" style="4" bestFit="1" customWidth="1"/>
    <col min="186" max="188" width="10.53125" style="4" customWidth="1"/>
    <col min="189" max="189" width="9" style="4" bestFit="1" customWidth="1"/>
    <col min="190" max="190" width="10.53125" style="4" bestFit="1" customWidth="1"/>
    <col min="191" max="191" width="9.33203125" style="4" bestFit="1" customWidth="1"/>
    <col min="192" max="192" width="11.46484375" style="4"/>
    <col min="193" max="193" width="8.46484375" style="4" bestFit="1" customWidth="1"/>
    <col min="194" max="194" width="9.46484375" style="4" bestFit="1" customWidth="1"/>
    <col min="195" max="195" width="9.59765625" style="4" bestFit="1" customWidth="1"/>
    <col min="196" max="196" width="11" style="4" bestFit="1" customWidth="1"/>
    <col min="197" max="197" width="9.46484375" style="4" bestFit="1" customWidth="1"/>
    <col min="198" max="199" width="9.46484375" style="4" customWidth="1"/>
    <col min="200" max="200" width="10.53125" style="4" bestFit="1" customWidth="1"/>
    <col min="201" max="201" width="14" style="4" customWidth="1"/>
    <col min="202" max="202" width="14.33203125" style="4" customWidth="1"/>
    <col min="203" max="203" width="10.53125" style="4" bestFit="1" customWidth="1"/>
    <col min="204" max="204" width="9.46484375" style="4" bestFit="1" customWidth="1"/>
    <col min="205" max="206" width="10.53125" style="4" bestFit="1" customWidth="1"/>
    <col min="207" max="209" width="10.53125" style="4" customWidth="1"/>
    <col min="210" max="210" width="9" style="4" bestFit="1" customWidth="1"/>
    <col min="211" max="211" width="10.53125" style="4" bestFit="1" customWidth="1"/>
    <col min="212" max="212" width="9.33203125" style="4" bestFit="1" customWidth="1"/>
    <col min="213" max="213" width="11.59765625" style="4" bestFit="1" customWidth="1"/>
    <col min="214" max="214" width="8.46484375" style="4" bestFit="1" customWidth="1"/>
    <col min="215" max="215" width="9.46484375" style="4" bestFit="1" customWidth="1"/>
    <col min="216" max="216" width="9.59765625" style="4" bestFit="1" customWidth="1"/>
    <col min="217" max="217" width="11" style="4" bestFit="1" customWidth="1"/>
    <col min="218" max="218" width="9.46484375" style="4" bestFit="1" customWidth="1"/>
    <col min="219" max="16384" width="11.46484375" style="4"/>
  </cols>
  <sheetData>
    <row r="1" spans="1:218" ht="25.9" thickBot="1" x14ac:dyDescent="0.8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Pin laricio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Chêne pubescent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/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7.4" thickBot="1" x14ac:dyDescent="0.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4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329.62068845923676</v>
      </c>
      <c r="T3" s="59">
        <f>IF('Données projet'!E9&gt;30,$R$33-$H$33,LOOKUP('Données projet'!$E$9,$A$3:$A$203,R3:R203)-LOOKUP('Données projet'!$E$9,$A$3:$A$203,$H$3:$H$203))</f>
        <v>243.22501652129546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486.4870616281359</v>
      </c>
      <c r="AO3" s="59">
        <f>IF('Données projet'!E10&gt;30,$AM$33-$H$33,LOOKUP('Données projet'!$E$10,$A$3:$A$203,AM3:AM203)-LOOKUP('Données projet'!$E$10,$A$3:$A$203,$H$3:$H$203))</f>
        <v>247.29100537955225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4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0.21340799999999996</v>
      </c>
      <c r="D4" s="11">
        <f>IFERROR(EXP(-1.0587+0.8836*LN(C4)+0.284),0)</f>
        <v>0.11771793513389536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0.6134543640375324</v>
      </c>
      <c r="H4" s="67">
        <f t="shared" ref="H4:H67" si="1">(B4+E4+F4)*44/12+(C4+D4)*0.475*44/12</f>
        <v>257.2433776703582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5.8890909090909096</v>
      </c>
      <c r="N4" s="13">
        <f>IF('Données projet'!$A$36&gt;35,N3+M4-V3,IF(A4&lt;'Données projet'!$A$36,$K$205^A4,IF(A4='Données projet'!$A$36,'Données projet'!$B$36,N3+M4-V3)))</f>
        <v>1.2474449991725556</v>
      </c>
      <c r="O4" s="13">
        <f>N4*VLOOKUP('Données projet'!$B$9,Paramètres!$A$1:$I$89,3,0)*VLOOKUP('Données projet'!$B$9,Paramètres!$A$1:$I$89,5,0)</f>
        <v>0.74597210950518822</v>
      </c>
      <c r="P4" s="13">
        <f>EXP(-1.0587+0.8836*LN(O4)+0.284)</f>
        <v>0.35570481632934337</v>
      </c>
      <c r="Q4" s="20">
        <f t="shared" ref="Q4:Q34" si="2">(O4+P4)*0.475*44/12</f>
        <v>1.9187539791618089</v>
      </c>
      <c r="R4" s="59">
        <f t="shared" si="0"/>
        <v>259.80764286805066</v>
      </c>
      <c r="S4" s="59">
        <f ca="1">AVERAGE(OFFSET($R$3,0,0,'Données projet'!$E$9+1,1))-AVERAGE(OFFSET($H$3,0,0,'Données projet'!$E$9+1,1))</f>
        <v>329.62068845923676</v>
      </c>
      <c r="T4" s="59">
        <f>$T$3</f>
        <v>243.22501652129546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3.3603333333333336</v>
      </c>
      <c r="AI4" s="13">
        <f>IF('Données projet'!$A$62&gt;35,AI3+AH4-AQ3,IF(A4&lt;'Données projet'!$A$62,$AF$205^A4,IF(A4='Données projet'!$A$62,'Données projet'!$B$62,AI3+AH4-AQ3)))</f>
        <v>3.3603333333333336</v>
      </c>
      <c r="AJ4" s="13">
        <f>AI4*VLOOKUP('Données projet'!$B$10,Paramètres!$A$1:$I$89,3,0)*VLOOKUP('Données projet'!$B$10,Paramètres!$A$1:$I$89,5,0)</f>
        <v>3.4073780000000005</v>
      </c>
      <c r="AK4" s="13">
        <f>EXP(-1.0587+0.8836*LN(AJ4)+0.284)</f>
        <v>1.361440466803705</v>
      </c>
      <c r="AL4" s="20">
        <f t="shared" ref="AL4:AL67" si="4">(AJ4+AK4)*0.475*44/12</f>
        <v>8.3056921630164542</v>
      </c>
      <c r="AM4" s="59">
        <f t="shared" ref="AM4:AM67" si="5">AL4+(AD4+AE4)*44/12</f>
        <v>266.19458105190529</v>
      </c>
      <c r="AN4" s="59">
        <f ca="1">AVERAGE(OFFSET($AM$3,0,0,'Données projet'!$E$10+1,1))-AVERAGE(OFFSET($H$3,0,0,'Données projet'!$E$10+1,1))</f>
        <v>486.4870616281359</v>
      </c>
      <c r="AO4" s="59">
        <f>$AO$3</f>
        <v>247.29100537955225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4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0.42681599999999992</v>
      </c>
      <c r="D5" s="11">
        <f t="shared" ref="D5:D68" si="32">IFERROR(EXP(-1.0587+0.8836*LN(C5)+0.284),0)</f>
        <v>0.21718645657040395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1.1930992879620115</v>
      </c>
      <c r="H5" s="67">
        <f t="shared" si="1"/>
        <v>257.78830427852682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5.8890909090909096</v>
      </c>
      <c r="N5" s="13">
        <f>IF('Données projet'!$A$36&gt;35,N4+M5-V4,IF(A5&lt;'Données projet'!$A$36,$K$205^A5,IF(A5='Données projet'!$A$36,'Données projet'!$B$36,N4+M5-V4)))</f>
        <v>1.5561190259606172</v>
      </c>
      <c r="O5" s="13">
        <f>N5*VLOOKUP('Données projet'!$B$9,Paramètres!$A$1:$I$89,3,0)*VLOOKUP('Données projet'!$B$9,Paramètres!$A$1:$I$89,5,0)</f>
        <v>0.93055917752444917</v>
      </c>
      <c r="P5" s="13">
        <f t="shared" ref="P5:P68" si="33">EXP(-1.0587+0.8836*LN(O5)+0.284)</f>
        <v>0.43244836584356472</v>
      </c>
      <c r="Q5" s="20">
        <f t="shared" si="2"/>
        <v>2.3739048046992908</v>
      </c>
      <c r="R5" s="59">
        <f t="shared" si="0"/>
        <v>261.48501591581044</v>
      </c>
      <c r="S5" s="59">
        <f ca="1">AVERAGE(OFFSET($R$3,0,0,'Données projet'!$E$9+1,1))-AVERAGE(OFFSET($H$3,0,0,'Données projet'!$E$9+1,1))</f>
        <v>329.62068845923676</v>
      </c>
      <c r="T5" s="59">
        <f t="shared" ref="T5:T68" si="34">$T$3</f>
        <v>243.22501652129546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3.3603333333333336</v>
      </c>
      <c r="AI5" s="13">
        <f>IF('Données projet'!$A$62&gt;35,AI4+AH5-AQ4,IF(A5&lt;'Données projet'!$A$62,$AF$205^A5,IF(A5='Données projet'!$A$62,'Données projet'!$B$62,AI4+AH5-AQ4)))</f>
        <v>6.7206666666666672</v>
      </c>
      <c r="AJ5" s="13">
        <f>AI5*VLOOKUP('Données projet'!$B$10,Paramètres!$A$1:$I$89,3,0)*VLOOKUP('Données projet'!$B$10,Paramètres!$A$1:$I$89,5,0)</f>
        <v>6.8147560000000009</v>
      </c>
      <c r="AK5" s="13">
        <f t="shared" ref="AK5:AK68" si="35">EXP(-1.0587+0.8836*LN(AJ5)+0.284)</f>
        <v>2.5118214185487715</v>
      </c>
      <c r="AL5" s="20">
        <f t="shared" si="4"/>
        <v>16.243789003972445</v>
      </c>
      <c r="AM5" s="59">
        <f t="shared" si="5"/>
        <v>275.35490011508358</v>
      </c>
      <c r="AN5" s="59">
        <f ca="1">AVERAGE(OFFSET($AM$3,0,0,'Données projet'!$E$10+1,1))-AVERAGE(OFFSET($H$3,0,0,'Données projet'!$E$10+1,1))</f>
        <v>486.4870616281359</v>
      </c>
      <c r="AO5" s="59">
        <f t="shared" ref="AO5:AO68" si="36">$AO$3</f>
        <v>247.29100537955225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4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0.6402239999999999</v>
      </c>
      <c r="D6" s="11">
        <f t="shared" si="32"/>
        <v>0.31076133344591889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1.7618254598577023</v>
      </c>
      <c r="H6" s="67">
        <f t="shared" si="1"/>
        <v>258.32296612241834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5.8890909090909096</v>
      </c>
      <c r="N6" s="13">
        <f>IF('Données projet'!$A$36&gt;35,N5+M6-V5,IF(A6&lt;'Données projet'!$A$36,$K$205^A6,IF(A6='Données projet'!$A$36,'Données projet'!$B$36,N5+M6-V5)))</f>
        <v>1.9411728970518403</v>
      </c>
      <c r="O6" s="13">
        <f>N6*VLOOKUP('Données projet'!$B$9,Paramètres!$A$1:$I$89,3,0)*VLOOKUP('Données projet'!$B$9,Paramètres!$A$1:$I$89,5,0)</f>
        <v>1.1608213924370006</v>
      </c>
      <c r="P6" s="13">
        <f t="shared" si="33"/>
        <v>0.52574938695127893</v>
      </c>
      <c r="Q6" s="20">
        <f t="shared" si="2"/>
        <v>2.9374441074345867</v>
      </c>
      <c r="R6" s="59">
        <f t="shared" si="0"/>
        <v>263.27077744076792</v>
      </c>
      <c r="S6" s="59">
        <f ca="1">AVERAGE(OFFSET($R$3,0,0,'Données projet'!$E$9+1,1))-AVERAGE(OFFSET($H$3,0,0,'Données projet'!$E$9+1,1))</f>
        <v>329.62068845923676</v>
      </c>
      <c r="T6" s="59">
        <f t="shared" si="34"/>
        <v>243.22501652129546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3.3603333333333336</v>
      </c>
      <c r="AI6" s="13">
        <f>IF('Données projet'!$A$62&gt;35,AI5+AH6-AQ5,IF(A6&lt;'Données projet'!$A$62,$AF$205^A6,IF(A6='Données projet'!$A$62,'Données projet'!$B$62,AI5+AH6-AQ5)))</f>
        <v>10.081000000000001</v>
      </c>
      <c r="AJ6" s="13">
        <f>AI6*VLOOKUP('Données projet'!$B$10,Paramètres!$A$1:$I$89,3,0)*VLOOKUP('Données projet'!$B$10,Paramètres!$A$1:$I$89,5,0)</f>
        <v>10.222134000000002</v>
      </c>
      <c r="AK6" s="13">
        <f t="shared" si="35"/>
        <v>3.594040741454803</v>
      </c>
      <c r="AL6" s="20">
        <f t="shared" si="4"/>
        <v>24.063171008033788</v>
      </c>
      <c r="AM6" s="59">
        <f t="shared" si="5"/>
        <v>284.39650434136712</v>
      </c>
      <c r="AN6" s="59">
        <f ca="1">AVERAGE(OFFSET($AM$3,0,0,'Données projet'!$E$10+1,1))-AVERAGE(OFFSET($H$3,0,0,'Données projet'!$E$10+1,1))</f>
        <v>486.4870616281359</v>
      </c>
      <c r="AO6" s="59">
        <f t="shared" si="36"/>
        <v>247.29100537955225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4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0.85363199999999984</v>
      </c>
      <c r="D7" s="11">
        <f t="shared" si="32"/>
        <v>0.4007032306840555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2.3238210589515131</v>
      </c>
      <c r="H7" s="67">
        <f t="shared" si="1"/>
        <v>258.85130052677476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5.8890909090909096</v>
      </c>
      <c r="N7" s="13">
        <f>IF('Données projet'!$A$36&gt;35,N6+M7-V6,IF(A7&lt;'Données projet'!$A$36,$K$205^A7,IF(A7='Données projet'!$A$36,'Données projet'!$B$36,N6+M7-V6)))</f>
        <v>2.4215064229566203</v>
      </c>
      <c r="O7" s="13">
        <f>N7*VLOOKUP('Données projet'!$B$9,Paramètres!$A$1:$I$89,3,0)*VLOOKUP('Données projet'!$B$9,Paramètres!$A$1:$I$89,5,0)</f>
        <v>1.4480608409280591</v>
      </c>
      <c r="P7" s="13">
        <f t="shared" si="33"/>
        <v>0.63918016510585218</v>
      </c>
      <c r="Q7" s="20">
        <f t="shared" si="2"/>
        <v>3.6352780855090621</v>
      </c>
      <c r="R7" s="59">
        <f t="shared" si="0"/>
        <v>265.19083364106461</v>
      </c>
      <c r="S7" s="59">
        <f ca="1">AVERAGE(OFFSET($R$3,0,0,'Données projet'!$E$9+1,1))-AVERAGE(OFFSET($H$3,0,0,'Données projet'!$E$9+1,1))</f>
        <v>329.62068845923676</v>
      </c>
      <c r="T7" s="59">
        <f t="shared" si="34"/>
        <v>243.22501652129546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3.3603333333333336</v>
      </c>
      <c r="AI7" s="13">
        <f>IF('Données projet'!$A$62&gt;35,AI6+AH7-AQ6,IF(A7&lt;'Données projet'!$A$62,$AF$205^A7,IF(A7='Données projet'!$A$62,'Données projet'!$B$62,AI6+AH7-AQ6)))</f>
        <v>13.441333333333334</v>
      </c>
      <c r="AJ7" s="13">
        <f>AI7*VLOOKUP('Données projet'!$B$10,Paramètres!$A$1:$I$89,3,0)*VLOOKUP('Données projet'!$B$10,Paramètres!$A$1:$I$89,5,0)</f>
        <v>13.629512000000002</v>
      </c>
      <c r="AK7" s="13">
        <f t="shared" si="35"/>
        <v>4.6342436503982958</v>
      </c>
      <c r="AL7" s="20">
        <f t="shared" si="4"/>
        <v>31.8093744244437</v>
      </c>
      <c r="AM7" s="59">
        <f t="shared" si="5"/>
        <v>293.36492997999926</v>
      </c>
      <c r="AN7" s="59">
        <f ca="1">AVERAGE(OFFSET($AM$3,0,0,'Données projet'!$E$10+1,1))-AVERAGE(OFFSET($H$3,0,0,'Données projet'!$E$10+1,1))</f>
        <v>486.4870616281359</v>
      </c>
      <c r="AO7" s="59">
        <f t="shared" si="36"/>
        <v>247.29100537955225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4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1.0670399999999998</v>
      </c>
      <c r="D8" s="11">
        <f t="shared" si="32"/>
        <v>0.48803675573769262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2.8809843053666722</v>
      </c>
      <c r="H8" s="67">
        <f t="shared" si="1"/>
        <v>259.37509201624317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5.8890909090909096</v>
      </c>
      <c r="N8" s="13">
        <f>IF('Données projet'!$A$36&gt;35,N7+M8-V7,IF(A8&lt;'Données projet'!$A$36,$K$205^A8,IF(A8='Données projet'!$A$36,'Données projet'!$B$36,N7+M8-V7)))</f>
        <v>3.0206960777814591</v>
      </c>
      <c r="O8" s="13">
        <f>N8*VLOOKUP('Données projet'!$B$9,Paramètres!$A$1:$I$89,3,0)*VLOOKUP('Données projet'!$B$9,Paramètres!$A$1:$I$89,5,0)</f>
        <v>1.8063762545133126</v>
      </c>
      <c r="P8" s="13">
        <f t="shared" si="33"/>
        <v>0.77708370871120902</v>
      </c>
      <c r="Q8" s="20">
        <f t="shared" si="2"/>
        <v>4.4995261026160422</v>
      </c>
      <c r="R8" s="59">
        <f t="shared" si="0"/>
        <v>267.27730388039379</v>
      </c>
      <c r="S8" s="59">
        <f ca="1">AVERAGE(OFFSET($R$3,0,0,'Données projet'!$E$9+1,1))-AVERAGE(OFFSET($H$3,0,0,'Données projet'!$E$9+1,1))</f>
        <v>329.62068845923676</v>
      </c>
      <c r="T8" s="59">
        <f t="shared" si="34"/>
        <v>243.22501652129546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3.3603333333333336</v>
      </c>
      <c r="AI8" s="13">
        <f>IF('Données projet'!$A$62&gt;35,AI7+AH8-AQ7,IF(A8&lt;'Données projet'!$A$62,$AF$205^A8,IF(A8='Données projet'!$A$62,'Données projet'!$B$62,AI7+AH8-AQ7)))</f>
        <v>16.801666666666669</v>
      </c>
      <c r="AJ8" s="13">
        <f>AI8*VLOOKUP('Données projet'!$B$10,Paramètres!$A$1:$I$89,3,0)*VLOOKUP('Données projet'!$B$10,Paramètres!$A$1:$I$89,5,0)</f>
        <v>17.036890000000003</v>
      </c>
      <c r="AK8" s="13">
        <f t="shared" si="35"/>
        <v>5.6442800138581015</v>
      </c>
      <c r="AL8" s="20">
        <f t="shared" si="4"/>
        <v>39.503037774136196</v>
      </c>
      <c r="AM8" s="59">
        <f t="shared" si="5"/>
        <v>302.28081555191397</v>
      </c>
      <c r="AN8" s="59">
        <f ca="1">AVERAGE(OFFSET($AM$3,0,0,'Données projet'!$E$10+1,1))-AVERAGE(OFFSET($H$3,0,0,'Données projet'!$E$10+1,1))</f>
        <v>486.4870616281359</v>
      </c>
      <c r="AO8" s="59">
        <f t="shared" si="36"/>
        <v>247.29100537955225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4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1.2804479999999998</v>
      </c>
      <c r="D9" s="11">
        <f t="shared" si="32"/>
        <v>0.57334638747650846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3.4343980231143738</v>
      </c>
      <c r="H9" s="67">
        <f t="shared" si="1"/>
        <v>259.89535855818826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5.8890909090909096</v>
      </c>
      <c r="N9" s="13">
        <f>IF('Données projet'!$A$36&gt;35,N8+M9-V8,IF(A9&lt;'Données projet'!$A$36,$K$205^A9,IF(A9='Données projet'!$A$36,'Données projet'!$B$36,N8+M9-V8)))</f>
        <v>3.7681522162486343</v>
      </c>
      <c r="O9" s="13">
        <f>N9*VLOOKUP('Données projet'!$B$9,Paramètres!$A$1:$I$89,3,0)*VLOOKUP('Données projet'!$B$9,Paramètres!$A$1:$I$89,5,0)</f>
        <v>2.2533550253166834</v>
      </c>
      <c r="P9" s="13">
        <f t="shared" si="33"/>
        <v>0.94474003310844989</v>
      </c>
      <c r="Q9" s="20">
        <f t="shared" si="2"/>
        <v>5.5700155600904404</v>
      </c>
      <c r="R9" s="59">
        <f t="shared" si="0"/>
        <v>269.57001556009044</v>
      </c>
      <c r="S9" s="59">
        <f ca="1">AVERAGE(OFFSET($R$3,0,0,'Données projet'!$E$9+1,1))-AVERAGE(OFFSET($H$3,0,0,'Données projet'!$E$9+1,1))</f>
        <v>329.62068845923676</v>
      </c>
      <c r="T9" s="59">
        <f t="shared" si="34"/>
        <v>243.22501652129546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3.3603333333333336</v>
      </c>
      <c r="AI9" s="13">
        <f>IF('Données projet'!$A$62&gt;35,AI8+AH9-AQ8,IF(A9&lt;'Données projet'!$A$62,$AF$205^A9,IF(A9='Données projet'!$A$62,'Données projet'!$B$62,AI8+AH9-AQ8)))</f>
        <v>20.162000000000003</v>
      </c>
      <c r="AJ9" s="13">
        <f>AI9*VLOOKUP('Données projet'!$B$10,Paramètres!$A$1:$I$89,3,0)*VLOOKUP('Données projet'!$B$10,Paramètres!$A$1:$I$89,5,0)</f>
        <v>20.444268000000005</v>
      </c>
      <c r="AK9" s="13">
        <f t="shared" si="35"/>
        <v>6.6309094915603763</v>
      </c>
      <c r="AL9" s="20">
        <f t="shared" si="4"/>
        <v>47.15593413113433</v>
      </c>
      <c r="AM9" s="59">
        <f t="shared" si="5"/>
        <v>311.15593413113436</v>
      </c>
      <c r="AN9" s="59">
        <f ca="1">AVERAGE(OFFSET($AM$3,0,0,'Données projet'!$E$10+1,1))-AVERAGE(OFFSET($H$3,0,0,'Données projet'!$E$10+1,1))</f>
        <v>486.4870616281359</v>
      </c>
      <c r="AO9" s="59">
        <f t="shared" si="36"/>
        <v>247.29100537955225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4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1.4938559999999999</v>
      </c>
      <c r="D10" s="11">
        <f t="shared" si="32"/>
        <v>0.65700891682857976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3.984760266966632</v>
      </c>
      <c r="H10" s="67">
        <f t="shared" si="1"/>
        <v>260.41275639680981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5.8890909090909096</v>
      </c>
      <c r="N10" s="13">
        <f>IF('Données projet'!$A$36&gt;35,N9+M10-V9,IF(A10&lt;'Données projet'!$A$36,$K$205^A10,IF(A10='Données projet'!$A$36,'Données projet'!$B$36,N9+M10-V9)))</f>
        <v>4.7005626382803412</v>
      </c>
      <c r="O10" s="13">
        <f>N10*VLOOKUP('Données projet'!$B$9,Paramètres!$A$1:$I$89,3,0)*VLOOKUP('Données projet'!$B$9,Paramètres!$A$1:$I$89,5,0)</f>
        <v>2.8109364576916445</v>
      </c>
      <c r="P10" s="13">
        <f t="shared" si="33"/>
        <v>1.1485683204426194</v>
      </c>
      <c r="Q10" s="20">
        <f t="shared" si="2"/>
        <v>6.8961374885838422</v>
      </c>
      <c r="R10" s="59">
        <f t="shared" si="0"/>
        <v>272.11835971080609</v>
      </c>
      <c r="S10" s="59">
        <f ca="1">AVERAGE(OFFSET($R$3,0,0,'Données projet'!$E$9+1,1))-AVERAGE(OFFSET($H$3,0,0,'Données projet'!$E$9+1,1))</f>
        <v>329.62068845923676</v>
      </c>
      <c r="T10" s="59">
        <f t="shared" si="34"/>
        <v>243.22501652129546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3.3603333333333336</v>
      </c>
      <c r="AI10" s="13">
        <f>IF('Données projet'!$A$62&gt;35,AI9+AH10-AQ9,IF(A10&lt;'Données projet'!$A$62,$AF$205^A10,IF(A10='Données projet'!$A$62,'Données projet'!$B$62,AI9+AH10-AQ9)))</f>
        <v>23.522333333333336</v>
      </c>
      <c r="AJ10" s="13">
        <f>AI10*VLOOKUP('Données projet'!$B$10,Paramètres!$A$1:$I$89,3,0)*VLOOKUP('Données projet'!$B$10,Paramètres!$A$1:$I$89,5,0)</f>
        <v>23.851646000000006</v>
      </c>
      <c r="AK10" s="13">
        <f t="shared" si="35"/>
        <v>7.5984897747645288</v>
      </c>
      <c r="AL10" s="20">
        <f t="shared" si="4"/>
        <v>54.775653141048224</v>
      </c>
      <c r="AM10" s="59">
        <f t="shared" si="5"/>
        <v>319.99787536327045</v>
      </c>
      <c r="AN10" s="59">
        <f ca="1">AVERAGE(OFFSET($AM$3,0,0,'Données projet'!$E$10+1,1))-AVERAGE(OFFSET($H$3,0,0,'Données projet'!$E$10+1,1))</f>
        <v>486.4870616281359</v>
      </c>
      <c r="AO10" s="59">
        <f t="shared" si="36"/>
        <v>247.29100537955225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4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1.7072639999999999</v>
      </c>
      <c r="D11" s="11">
        <f t="shared" si="32"/>
        <v>0.7392867935510089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4.5325572596313428</v>
      </c>
      <c r="H11" s="67">
        <f t="shared" si="1"/>
        <v>260.92774263210134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5.8890909090909096</v>
      </c>
      <c r="N11" s="13">
        <f>IF('Données projet'!$A$36&gt;35,N10+M11-V10,IF(A11&lt;'Données projet'!$A$36,$K$205^A11,IF(A11='Données projet'!$A$36,'Données projet'!$B$36,N10+M11-V10)))</f>
        <v>5.8636933564201668</v>
      </c>
      <c r="O11" s="13">
        <f>N11*VLOOKUP('Données projet'!$B$9,Paramètres!$A$1:$I$89,3,0)*VLOOKUP('Données projet'!$B$9,Paramètres!$A$1:$I$89,5,0)</f>
        <v>3.5064886271392601</v>
      </c>
      <c r="P11" s="13">
        <f t="shared" si="33"/>
        <v>1.3963726956545126</v>
      </c>
      <c r="Q11" s="20">
        <f t="shared" si="2"/>
        <v>8.5391501371991527</v>
      </c>
      <c r="R11" s="59">
        <f t="shared" si="0"/>
        <v>274.98359458164362</v>
      </c>
      <c r="S11" s="59">
        <f ca="1">AVERAGE(OFFSET($R$3,0,0,'Données projet'!$E$9+1,1))-AVERAGE(OFFSET($H$3,0,0,'Données projet'!$E$9+1,1))</f>
        <v>329.62068845923676</v>
      </c>
      <c r="T11" s="59">
        <f t="shared" si="34"/>
        <v>243.22501652129546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3.3603333333333336</v>
      </c>
      <c r="AI11" s="13">
        <f>IF('Données projet'!$A$62&gt;35,AI10+AH11-AQ10,IF(A11&lt;'Données projet'!$A$62,$AF$205^A11,IF(A11='Données projet'!$A$62,'Données projet'!$B$62,AI10+AH11-AQ10)))</f>
        <v>26.882666666666669</v>
      </c>
      <c r="AJ11" s="13">
        <f>AI11*VLOOKUP('Données projet'!$B$10,Paramètres!$A$1:$I$89,3,0)*VLOOKUP('Données projet'!$B$10,Paramètres!$A$1:$I$89,5,0)</f>
        <v>27.259024000000004</v>
      </c>
      <c r="AK11" s="13">
        <f t="shared" si="35"/>
        <v>8.5500561674742812</v>
      </c>
      <c r="AL11" s="20">
        <f t="shared" si="4"/>
        <v>62.367481291684378</v>
      </c>
      <c r="AM11" s="59">
        <f t="shared" si="5"/>
        <v>328.81192573612884</v>
      </c>
      <c r="AN11" s="59">
        <f ca="1">AVERAGE(OFFSET($AM$3,0,0,'Données projet'!$E$10+1,1))-AVERAGE(OFFSET($H$3,0,0,'Données projet'!$E$10+1,1))</f>
        <v>486.4870616281359</v>
      </c>
      <c r="AO11" s="59">
        <f t="shared" si="36"/>
        <v>247.29100537955225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4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1.9206719999999999</v>
      </c>
      <c r="D12" s="11">
        <f t="shared" si="32"/>
        <v>0.82037292155389441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5.078146380984057</v>
      </c>
      <c r="H12" s="67">
        <f t="shared" si="1"/>
        <v>261.44065323837305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5.8890909090909096</v>
      </c>
      <c r="N12" s="13">
        <f>IF('Données projet'!$A$36&gt;35,N11+M12-V11,IF(A12&lt;'Données projet'!$A$36,$K$205^A12,IF(A12='Données projet'!$A$36,'Données projet'!$B$36,N11+M12-V11)))</f>
        <v>7.3146349541476745</v>
      </c>
      <c r="O12" s="13">
        <f>N12*VLOOKUP('Données projet'!$B$9,Paramètres!$A$1:$I$89,3,0)*VLOOKUP('Données projet'!$B$9,Paramètres!$A$1:$I$89,5,0)</f>
        <v>4.3741517025803098</v>
      </c>
      <c r="P12" s="13">
        <f t="shared" si="33"/>
        <v>1.6976410288053578</v>
      </c>
      <c r="Q12" s="20">
        <f t="shared" si="2"/>
        <v>10.575039007163371</v>
      </c>
      <c r="R12" s="59">
        <f t="shared" si="0"/>
        <v>278.24170567383004</v>
      </c>
      <c r="S12" s="59">
        <f ca="1">AVERAGE(OFFSET($R$3,0,0,'Données projet'!$E$9+1,1))-AVERAGE(OFFSET($H$3,0,0,'Données projet'!$E$9+1,1))</f>
        <v>329.62068845923676</v>
      </c>
      <c r="T12" s="59">
        <f t="shared" si="34"/>
        <v>243.22501652129546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3.3603333333333336</v>
      </c>
      <c r="AI12" s="13">
        <f>IF('Données projet'!$A$62&gt;35,AI11+AH12-AQ11,IF(A12&lt;'Données projet'!$A$62,$AF$205^A12,IF(A12='Données projet'!$A$62,'Données projet'!$B$62,AI11+AH12-AQ11)))</f>
        <v>30.243000000000002</v>
      </c>
      <c r="AJ12" s="13">
        <f>AI12*VLOOKUP('Données projet'!$B$10,Paramètres!$A$1:$I$89,3,0)*VLOOKUP('Données projet'!$B$10,Paramètres!$A$1:$I$89,5,0)</f>
        <v>30.666402000000005</v>
      </c>
      <c r="AK12" s="13">
        <f t="shared" si="35"/>
        <v>9.4878396567445336</v>
      </c>
      <c r="AL12" s="20">
        <f t="shared" si="4"/>
        <v>69.935304218830069</v>
      </c>
      <c r="AM12" s="59">
        <f t="shared" si="5"/>
        <v>337.60197088549677</v>
      </c>
      <c r="AN12" s="59">
        <f ca="1">AVERAGE(OFFSET($AM$3,0,0,'Données projet'!$E$10+1,1))-AVERAGE(OFFSET($H$3,0,0,'Données projet'!$E$10+1,1))</f>
        <v>486.4870616281359</v>
      </c>
      <c r="AO12" s="59">
        <f t="shared" si="36"/>
        <v>247.29100537955225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4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2.13408</v>
      </c>
      <c r="D13" s="11">
        <f t="shared" si="32"/>
        <v>0.9004148223821955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5.6218009340975419</v>
      </c>
      <c r="H13" s="67">
        <f t="shared" si="1"/>
        <v>261.95174514898235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5.8890909090909096</v>
      </c>
      <c r="N13" s="13">
        <f>IF('Données projet'!$A$36&gt;35,N12+M13-V12,IF(A13&lt;'Données projet'!$A$36,$K$205^A13,IF(A13='Données projet'!$A$36,'Données projet'!$B$36,N12+M13-V12)))</f>
        <v>9.1246047943242932</v>
      </c>
      <c r="O13" s="13">
        <f>N13*VLOOKUP('Données projet'!$B$9,Paramètres!$A$1:$I$89,3,0)*VLOOKUP('Données projet'!$B$9,Paramètres!$A$1:$I$89,5,0)</f>
        <v>5.456513667005928</v>
      </c>
      <c r="P13" s="13">
        <f t="shared" si="33"/>
        <v>2.0639082042007839</v>
      </c>
      <c r="Q13" s="20">
        <f t="shared" si="2"/>
        <v>13.098068092351689</v>
      </c>
      <c r="R13" s="59">
        <f t="shared" si="0"/>
        <v>281.98695698124055</v>
      </c>
      <c r="S13" s="59">
        <f ca="1">AVERAGE(OFFSET($R$3,0,0,'Données projet'!$E$9+1,1))-AVERAGE(OFFSET($H$3,0,0,'Données projet'!$E$9+1,1))</f>
        <v>329.62068845923676</v>
      </c>
      <c r="T13" s="59">
        <f t="shared" si="34"/>
        <v>243.22501652129546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3.3603333333333336</v>
      </c>
      <c r="AI13" s="13">
        <f>IF('Données projet'!$A$62&gt;35,AI12+AH13-AQ12,IF(A13&lt;'Données projet'!$A$62,$AF$205^A13,IF(A13='Données projet'!$A$62,'Données projet'!$B$62,AI12+AH13-AQ12)))</f>
        <v>33.603333333333339</v>
      </c>
      <c r="AJ13" s="13">
        <f>AI13*VLOOKUP('Données projet'!$B$10,Paramètres!$A$1:$I$89,3,0)*VLOOKUP('Données projet'!$B$10,Paramètres!$A$1:$I$89,5,0)</f>
        <v>34.073780000000006</v>
      </c>
      <c r="AK13" s="13">
        <f t="shared" si="35"/>
        <v>10.413546370029898</v>
      </c>
      <c r="AL13" s="20">
        <f t="shared" si="4"/>
        <v>77.482093427802084</v>
      </c>
      <c r="AM13" s="59">
        <f t="shared" si="5"/>
        <v>346.37098231669097</v>
      </c>
      <c r="AN13" s="59">
        <f ca="1">AVERAGE(OFFSET($AM$3,0,0,'Données projet'!$E$10+1,1))-AVERAGE(OFFSET($H$3,0,0,'Données projet'!$E$10+1,1))</f>
        <v>486.4870616281359</v>
      </c>
      <c r="AO13" s="59">
        <f t="shared" si="36"/>
        <v>247.29100537955225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4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2.3474879999999998</v>
      </c>
      <c r="D14" s="11">
        <f t="shared" si="32"/>
        <v>0.97952880593637315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6.1637363983663329</v>
      </c>
      <c r="H14" s="67">
        <f t="shared" si="1"/>
        <v>262.46122093700586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5.8890909090909096</v>
      </c>
      <c r="N14" s="13">
        <f>IF('Données projet'!$A$36&gt;35,N13+M14-V13,IF(A14&lt;'Données projet'!$A$36,$K$205^A14,IF(A14='Données projet'!$A$36,'Données projet'!$B$36,N13+M14-V13)))</f>
        <v>11.382442620105763</v>
      </c>
      <c r="O14" s="13">
        <f>N14*VLOOKUP('Données projet'!$B$9,Paramètres!$A$1:$I$89,3,0)*VLOOKUP('Données projet'!$B$9,Paramètres!$A$1:$I$89,5,0)</f>
        <v>6.8067006868232474</v>
      </c>
      <c r="P14" s="13">
        <f t="shared" si="33"/>
        <v>2.5091977650686839</v>
      </c>
      <c r="Q14" s="20">
        <f t="shared" si="2"/>
        <v>16.225189803711778</v>
      </c>
      <c r="R14" s="59">
        <f t="shared" si="0"/>
        <v>286.33630091482291</v>
      </c>
      <c r="S14" s="59">
        <f ca="1">AVERAGE(OFFSET($R$3,0,0,'Données projet'!$E$9+1,1))-AVERAGE(OFFSET($H$3,0,0,'Données projet'!$E$9+1,1))</f>
        <v>329.62068845923676</v>
      </c>
      <c r="T14" s="59">
        <f t="shared" si="34"/>
        <v>243.22501652129546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3.3603333333333336</v>
      </c>
      <c r="AI14" s="13">
        <f>IF('Données projet'!$A$62&gt;35,AI13+AH14-AQ13,IF(A14&lt;'Données projet'!$A$62,$AF$205^A14,IF(A14='Données projet'!$A$62,'Données projet'!$B$62,AI13+AH14-AQ13)))</f>
        <v>36.963666666666676</v>
      </c>
      <c r="AJ14" s="13">
        <f>AI14*VLOOKUP('Données projet'!$B$10,Paramètres!$A$1:$I$89,3,0)*VLOOKUP('Données projet'!$B$10,Paramètres!$A$1:$I$89,5,0)</f>
        <v>37.481158000000008</v>
      </c>
      <c r="AK14" s="13">
        <f t="shared" si="35"/>
        <v>11.32852146348689</v>
      </c>
      <c r="AL14" s="20">
        <f t="shared" si="4"/>
        <v>85.01019173223969</v>
      </c>
      <c r="AM14" s="59">
        <f t="shared" si="5"/>
        <v>355.1213028433508</v>
      </c>
      <c r="AN14" s="59">
        <f ca="1">AVERAGE(OFFSET($AM$3,0,0,'Données projet'!$E$10+1,1))-AVERAGE(OFFSET($H$3,0,0,'Données projet'!$E$10+1,1))</f>
        <v>486.4870616281359</v>
      </c>
      <c r="AO14" s="59">
        <f t="shared" si="36"/>
        <v>247.29100537955225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4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2.5608959999999996</v>
      </c>
      <c r="D15" s="11">
        <f t="shared" si="32"/>
        <v>1.0578088219252995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6.7041268279879231</v>
      </c>
      <c r="H15" s="67">
        <f t="shared" si="1"/>
        <v>262.96924423151989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5.8890909090909096</v>
      </c>
      <c r="N15" s="13">
        <f>IF('Données projet'!$A$36&gt;35,N14+M15-V14,IF(A15&lt;'Données projet'!$A$36,$K$205^A15,IF(A15='Données projet'!$A$36,'Données projet'!$B$36,N14+M15-V14)))</f>
        <v>14.198971124819497</v>
      </c>
      <c r="O15" s="13">
        <f>N15*VLOOKUP('Données projet'!$B$9,Paramètres!$A$1:$I$89,3,0)*VLOOKUP('Données projet'!$B$9,Paramètres!$A$1:$I$89,5,0)</f>
        <v>8.49098473264206</v>
      </c>
      <c r="P15" s="13">
        <f t="shared" si="33"/>
        <v>3.0505588433685857</v>
      </c>
      <c r="Q15" s="20">
        <f t="shared" si="2"/>
        <v>20.10152172821854</v>
      </c>
      <c r="R15" s="59">
        <f t="shared" si="0"/>
        <v>291.43485506155184</v>
      </c>
      <c r="S15" s="59">
        <f ca="1">AVERAGE(OFFSET($R$3,0,0,'Données projet'!$E$9+1,1))-AVERAGE(OFFSET($H$3,0,0,'Données projet'!$E$9+1,1))</f>
        <v>329.62068845923676</v>
      </c>
      <c r="T15" s="59">
        <f t="shared" si="34"/>
        <v>243.22501652129546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3.3603333333333336</v>
      </c>
      <c r="AI15" s="13">
        <f>IF('Données projet'!$A$62&gt;35,AI14+AH15-AQ14,IF(A15&lt;'Données projet'!$A$62,$AF$205^A15,IF(A15='Données projet'!$A$62,'Données projet'!$B$62,AI14+AH15-AQ14)))</f>
        <v>40.324000000000012</v>
      </c>
      <c r="AJ15" s="13">
        <f>AI15*VLOOKUP('Données projet'!$B$10,Paramètres!$A$1:$I$89,3,0)*VLOOKUP('Données projet'!$B$10,Paramètres!$A$1:$I$89,5,0)</f>
        <v>40.888536000000016</v>
      </c>
      <c r="AK15" s="13">
        <f t="shared" si="35"/>
        <v>12.2338514914741</v>
      </c>
      <c r="AL15" s="20">
        <f t="shared" si="4"/>
        <v>92.52149154765074</v>
      </c>
      <c r="AM15" s="59">
        <f t="shared" si="5"/>
        <v>363.85482488098404</v>
      </c>
      <c r="AN15" s="59">
        <f ca="1">AVERAGE(OFFSET($AM$3,0,0,'Données projet'!$E$10+1,1))-AVERAGE(OFFSET($H$3,0,0,'Données projet'!$E$10+1,1))</f>
        <v>486.4870616281359</v>
      </c>
      <c r="AO15" s="59">
        <f t="shared" si="36"/>
        <v>247.29100537955225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4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2.7743039999999994</v>
      </c>
      <c r="D16" s="11">
        <f t="shared" si="32"/>
        <v>1.135332268871569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7.2431156139094321</v>
      </c>
      <c r="H16" s="67">
        <f t="shared" si="1"/>
        <v>263.47594983495134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5.8890909090909096</v>
      </c>
      <c r="N16" s="13">
        <f>IF('Données projet'!$A$36&gt;35,N15+M16-V15,IF(A16&lt;'Données projet'!$A$36,$K$205^A16,IF(A16='Données projet'!$A$36,'Données projet'!$B$36,N15+M16-V15)))</f>
        <v>17.712435523051596</v>
      </c>
      <c r="O16" s="13">
        <f>N16*VLOOKUP('Données projet'!$B$9,Paramètres!$A$1:$I$89,3,0)*VLOOKUP('Données projet'!$B$9,Paramètres!$A$1:$I$89,5,0)</f>
        <v>10.592036442784856</v>
      </c>
      <c r="P16" s="13">
        <f t="shared" si="33"/>
        <v>3.708718932562717</v>
      </c>
      <c r="Q16" s="20">
        <f t="shared" si="2"/>
        <v>24.907148945397026</v>
      </c>
      <c r="R16" s="59">
        <f t="shared" si="0"/>
        <v>297.46270450095255</v>
      </c>
      <c r="S16" s="59">
        <f ca="1">AVERAGE(OFFSET($R$3,0,0,'Données projet'!$E$9+1,1))-AVERAGE(OFFSET($H$3,0,0,'Données projet'!$E$9+1,1))</f>
        <v>329.62068845923676</v>
      </c>
      <c r="T16" s="59">
        <f t="shared" si="34"/>
        <v>243.22501652129546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3.3603333333333336</v>
      </c>
      <c r="AI16" s="13">
        <f>IF('Données projet'!$A$62&gt;35,AI15+AH16-AQ15,IF(A16&lt;'Données projet'!$A$62,$AF$205^A16,IF(A16='Données projet'!$A$62,'Données projet'!$B$62,AI15+AH16-AQ15)))</f>
        <v>43.684333333333349</v>
      </c>
      <c r="AJ16" s="13">
        <f>AI16*VLOOKUP('Données projet'!$B$10,Paramètres!$A$1:$I$89,3,0)*VLOOKUP('Données projet'!$B$10,Paramètres!$A$1:$I$89,5,0)</f>
        <v>44.295914000000018</v>
      </c>
      <c r="AK16" s="13">
        <f t="shared" si="35"/>
        <v>13.130431589304674</v>
      </c>
      <c r="AL16" s="20">
        <f t="shared" si="4"/>
        <v>100.01755190137233</v>
      </c>
      <c r="AM16" s="59">
        <f t="shared" si="5"/>
        <v>372.57310745692786</v>
      </c>
      <c r="AN16" s="59">
        <f ca="1">AVERAGE(OFFSET($AM$3,0,0,'Données projet'!$E$10+1,1))-AVERAGE(OFFSET($H$3,0,0,'Données projet'!$E$10+1,1))</f>
        <v>486.4870616281359</v>
      </c>
      <c r="AO16" s="59">
        <f t="shared" si="36"/>
        <v>247.29100537955225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4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2.9877119999999993</v>
      </c>
      <c r="D17" s="11">
        <f t="shared" si="32"/>
        <v>1.2121639614121271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7.7808228337740433</v>
      </c>
      <c r="H17" s="67">
        <f t="shared" si="1"/>
        <v>263.98145063279281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5.8890909090909096</v>
      </c>
      <c r="N17" s="13">
        <f>IF('Données projet'!$A$36&gt;35,N16+M17-V16,IF(A17&lt;'Données projet'!$A$36,$K$205^A17,IF(A17='Données projet'!$A$36,'Données projet'!$B$36,N16+M17-V16)))</f>
        <v>22.095289116397044</v>
      </c>
      <c r="O17" s="13">
        <f>N17*VLOOKUP('Données projet'!$B$9,Paramètres!$A$1:$I$89,3,0)*VLOOKUP('Données projet'!$B$9,Paramètres!$A$1:$I$89,5,0)</f>
        <v>13.212982891605433</v>
      </c>
      <c r="P17" s="13">
        <f t="shared" si="33"/>
        <v>4.508877496544403</v>
      </c>
      <c r="Q17" s="20">
        <f t="shared" si="2"/>
        <v>30.86557350936096</v>
      </c>
      <c r="R17" s="59">
        <f t="shared" si="0"/>
        <v>304.64335128713873</v>
      </c>
      <c r="S17" s="59">
        <f ca="1">AVERAGE(OFFSET($R$3,0,0,'Données projet'!$E$9+1,1))-AVERAGE(OFFSET($H$3,0,0,'Données projet'!$E$9+1,1))</f>
        <v>329.62068845923676</v>
      </c>
      <c r="T17" s="59">
        <f t="shared" si="34"/>
        <v>243.22501652129546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3.3603333333333336</v>
      </c>
      <c r="AI17" s="13">
        <f>IF('Données projet'!$A$62&gt;35,AI16+AH17-AQ16,IF(A17&lt;'Données projet'!$A$62,$AF$205^A17,IF(A17='Données projet'!$A$62,'Données projet'!$B$62,AI16+AH17-AQ16)))</f>
        <v>47.044666666666686</v>
      </c>
      <c r="AJ17" s="13">
        <f>AI17*VLOOKUP('Données projet'!$B$10,Paramètres!$A$1:$I$89,3,0)*VLOOKUP('Données projet'!$B$10,Paramètres!$A$1:$I$89,5,0)</f>
        <v>47.703292000000019</v>
      </c>
      <c r="AK17" s="13">
        <f t="shared" si="35"/>
        <v>14.019011356175028</v>
      </c>
      <c r="AL17" s="20">
        <f t="shared" si="4"/>
        <v>107.49967834533821</v>
      </c>
      <c r="AM17" s="59">
        <f t="shared" si="5"/>
        <v>381.277456123116</v>
      </c>
      <c r="AN17" s="59">
        <f ca="1">AVERAGE(OFFSET($AM$3,0,0,'Données projet'!$E$10+1,1))-AVERAGE(OFFSET($H$3,0,0,'Données projet'!$E$10+1,1))</f>
        <v>486.4870616281359</v>
      </c>
      <c r="AO17" s="59">
        <f t="shared" si="36"/>
        <v>247.29100537955225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4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3.2011199999999991</v>
      </c>
      <c r="D18" s="11">
        <f t="shared" si="32"/>
        <v>1.2883589302782132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8.3173504392522659</v>
      </c>
      <c r="H18" s="67">
        <f t="shared" si="1"/>
        <v>264.48584247023456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5.8890909090909096</v>
      </c>
      <c r="N18" s="13">
        <f>IF('Données projet'!$A$36&gt;35,N17+M18-V17,IF(A18&lt;'Données projet'!$A$36,$K$205^A18,IF(A18='Données projet'!$A$36,'Données projet'!$B$36,N17+M18-V17)))</f>
        <v>27.562657913521289</v>
      </c>
      <c r="O18" s="13">
        <f>N18*VLOOKUP('Données projet'!$B$9,Paramètres!$A$1:$I$89,3,0)*VLOOKUP('Données projet'!$B$9,Paramètres!$A$1:$I$89,5,0)</f>
        <v>16.482469432285733</v>
      </c>
      <c r="P18" s="13">
        <f t="shared" si="33"/>
        <v>5.4816708002179473</v>
      </c>
      <c r="Q18" s="20">
        <f t="shared" si="2"/>
        <v>38.254210904943911</v>
      </c>
      <c r="R18" s="59">
        <f t="shared" si="0"/>
        <v>313.25421090494393</v>
      </c>
      <c r="S18" s="59">
        <f ca="1">AVERAGE(OFFSET($R$3,0,0,'Données projet'!$E$9+1,1))-AVERAGE(OFFSET($H$3,0,0,'Données projet'!$E$9+1,1))</f>
        <v>329.62068845923676</v>
      </c>
      <c r="T18" s="59">
        <f t="shared" si="34"/>
        <v>243.22501652129546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3.3603333333333336</v>
      </c>
      <c r="AI18" s="13">
        <f>IF('Données projet'!$A$62&gt;35,AI17+AH18-AQ17,IF(A18&lt;'Données projet'!$A$62,$AF$205^A18,IF(A18='Données projet'!$A$62,'Données projet'!$B$62,AI17+AH18-AQ17)))</f>
        <v>50.405000000000022</v>
      </c>
      <c r="AJ18" s="13">
        <f>AI18*VLOOKUP('Données projet'!$B$10,Paramètres!$A$1:$I$89,3,0)*VLOOKUP('Données projet'!$B$10,Paramètres!$A$1:$I$89,5,0)</f>
        <v>51.11067000000002</v>
      </c>
      <c r="AK18" s="13">
        <f t="shared" si="35"/>
        <v>14.900227237706996</v>
      </c>
      <c r="AL18" s="20">
        <f t="shared" si="4"/>
        <v>114.96897935567303</v>
      </c>
      <c r="AM18" s="59">
        <f t="shared" si="5"/>
        <v>389.96897935567301</v>
      </c>
      <c r="AN18" s="59">
        <f ca="1">AVERAGE(OFFSET($AM$3,0,0,'Données projet'!$E$10+1,1))-AVERAGE(OFFSET($H$3,0,0,'Données projet'!$E$10+1,1))</f>
        <v>486.4870616281359</v>
      </c>
      <c r="AO18" s="59">
        <f t="shared" si="36"/>
        <v>247.29100537955225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4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3.4145279999999989</v>
      </c>
      <c r="D19" s="11">
        <f t="shared" si="32"/>
        <v>1.3639644536578968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8.8527860194083114</v>
      </c>
      <c r="H19" s="67">
        <f t="shared" si="1"/>
        <v>264.98920769012085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5.8890909090909096</v>
      </c>
      <c r="N19" s="13">
        <f>IF('Données projet'!$A$36&gt;35,N18+M19-V18,IF(A19&lt;'Données projet'!$A$36,$K$205^A19,IF(A19='Données projet'!$A$36,'Données projet'!$B$36,N18+M19-V18)))</f>
        <v>34.382899778126003</v>
      </c>
      <c r="O19" s="13">
        <f>N19*VLOOKUP('Données projet'!$B$9,Paramètres!$A$1:$I$89,3,0)*VLOOKUP('Données projet'!$B$9,Paramètres!$A$1:$I$89,5,0)</f>
        <v>20.560974067319354</v>
      </c>
      <c r="P19" s="13">
        <f t="shared" si="33"/>
        <v>6.6643449029146105</v>
      </c>
      <c r="Q19" s="20">
        <f t="shared" si="2"/>
        <v>47.417430539824153</v>
      </c>
      <c r="R19" s="59">
        <f t="shared" si="0"/>
        <v>323.63965276204635</v>
      </c>
      <c r="S19" s="59">
        <f ca="1">AVERAGE(OFFSET($R$3,0,0,'Données projet'!$E$9+1,1))-AVERAGE(OFFSET($H$3,0,0,'Données projet'!$E$9+1,1))</f>
        <v>329.62068845923676</v>
      </c>
      <c r="T19" s="59">
        <f t="shared" si="34"/>
        <v>243.22501652129546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3.3603333333333336</v>
      </c>
      <c r="AI19" s="13">
        <f>IF('Données projet'!$A$62&gt;35,AI18+AH19-AQ18,IF(A19&lt;'Données projet'!$A$62,$AF$205^A19,IF(A19='Données projet'!$A$62,'Données projet'!$B$62,AI18+AH19-AQ18)))</f>
        <v>53.765333333333359</v>
      </c>
      <c r="AJ19" s="13">
        <f>AI19*VLOOKUP('Données projet'!$B$10,Paramètres!$A$1:$I$89,3,0)*VLOOKUP('Données projet'!$B$10,Paramètres!$A$1:$I$89,5,0)</f>
        <v>54.518048000000029</v>
      </c>
      <c r="AK19" s="13">
        <f t="shared" si="35"/>
        <v>15.774626019217196</v>
      </c>
      <c r="AL19" s="20">
        <f t="shared" si="4"/>
        <v>122.42640725013666</v>
      </c>
      <c r="AM19" s="59">
        <f t="shared" si="5"/>
        <v>398.64862947235889</v>
      </c>
      <c r="AN19" s="59">
        <f ca="1">AVERAGE(OFFSET($AM$3,0,0,'Données projet'!$E$10+1,1))-AVERAGE(OFFSET($H$3,0,0,'Données projet'!$E$10+1,1))</f>
        <v>486.4870616281359</v>
      </c>
      <c r="AO19" s="59">
        <f t="shared" si="36"/>
        <v>247.29100537955225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4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3.6279359999999987</v>
      </c>
      <c r="D20" s="11">
        <f t="shared" si="32"/>
        <v>1.4390215659442636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9.3872055958546348</v>
      </c>
      <c r="H20" s="67">
        <f t="shared" si="1"/>
        <v>265.49161776068627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5.8890909090909096</v>
      </c>
      <c r="N20" s="13">
        <f>IF('Données projet'!$A$36&gt;35,N19+M20-V19,IF(A20&lt;'Données projet'!$A$36,$K$205^A20,IF(A20='Données projet'!$A$36,'Données projet'!$B$36,N19+M20-V19)))</f>
        <v>42.890776385274457</v>
      </c>
      <c r="O20" s="13">
        <f>N20*VLOOKUP('Données projet'!$B$9,Paramètres!$A$1:$I$89,3,0)*VLOOKUP('Données projet'!$B$9,Paramètres!$A$1:$I$89,5,0)</f>
        <v>25.648684278394128</v>
      </c>
      <c r="P20" s="13">
        <f t="shared" si="33"/>
        <v>8.1021817259143134</v>
      </c>
      <c r="Q20" s="20">
        <f t="shared" si="2"/>
        <v>58.782758290837201</v>
      </c>
      <c r="R20" s="59">
        <f t="shared" si="0"/>
        <v>336.22720273528165</v>
      </c>
      <c r="S20" s="59">
        <f ca="1">AVERAGE(OFFSET($R$3,0,0,'Données projet'!$E$9+1,1))-AVERAGE(OFFSET($H$3,0,0,'Données projet'!$E$9+1,1))</f>
        <v>329.62068845923676</v>
      </c>
      <c r="T20" s="59">
        <f t="shared" si="34"/>
        <v>243.22501652129546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3.3603333333333336</v>
      </c>
      <c r="AI20" s="13">
        <f>IF('Données projet'!$A$62&gt;35,AI19+AH20-AQ19,IF(A20&lt;'Données projet'!$A$62,$AF$205^A20,IF(A20='Données projet'!$A$62,'Données projet'!$B$62,AI19+AH20-AQ19)))</f>
        <v>57.125666666666696</v>
      </c>
      <c r="AJ20" s="13">
        <f>AI20*VLOOKUP('Données projet'!$B$10,Paramètres!$A$1:$I$89,3,0)*VLOOKUP('Données projet'!$B$10,Paramètres!$A$1:$I$89,5,0)</f>
        <v>57.925426000000037</v>
      </c>
      <c r="AK20" s="13">
        <f t="shared" si="35"/>
        <v>16.64268227480698</v>
      </c>
      <c r="AL20" s="20">
        <f t="shared" si="4"/>
        <v>129.87278857862222</v>
      </c>
      <c r="AM20" s="59">
        <f t="shared" si="5"/>
        <v>407.31723302306671</v>
      </c>
      <c r="AN20" s="59">
        <f ca="1">AVERAGE(OFFSET($AM$3,0,0,'Données projet'!$E$10+1,1))-AVERAGE(OFFSET($H$3,0,0,'Données projet'!$E$10+1,1))</f>
        <v>486.4870616281359</v>
      </c>
      <c r="AO20" s="59">
        <f t="shared" si="36"/>
        <v>247.29100537955225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4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3.8413439999999985</v>
      </c>
      <c r="D21" s="11">
        <f t="shared" si="32"/>
        <v>1.5135662012414737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9.9206757412473596</v>
      </c>
      <c r="H21" s="67">
        <f t="shared" si="1"/>
        <v>265.99313526716224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5.8890909090909096</v>
      </c>
      <c r="N21" s="13">
        <f>IF('Données projet'!$A$36&gt;35,N20+M21-V20,IF(A21&lt;'Données projet'!$A$36,$K$205^A21,IF(A21='Données projet'!$A$36,'Données projet'!$B$36,N20+M21-V20)))</f>
        <v>53.503884512438958</v>
      </c>
      <c r="O21" s="13">
        <f>N21*VLOOKUP('Données projet'!$B$9,Paramètres!$A$1:$I$89,3,0)*VLOOKUP('Données projet'!$B$9,Paramètres!$A$1:$I$89,5,0)</f>
        <v>31.995322938438498</v>
      </c>
      <c r="P21" s="13">
        <f t="shared" si="33"/>
        <v>9.8502327949788757</v>
      </c>
      <c r="Q21" s="20">
        <f t="shared" si="2"/>
        <v>72.881009569035243</v>
      </c>
      <c r="R21" s="59">
        <f t="shared" si="0"/>
        <v>351.54767623570194</v>
      </c>
      <c r="S21" s="59">
        <f ca="1">AVERAGE(OFFSET($R$3,0,0,'Données projet'!$E$9+1,1))-AVERAGE(OFFSET($H$3,0,0,'Données projet'!$E$9+1,1))</f>
        <v>329.62068845923676</v>
      </c>
      <c r="T21" s="59">
        <f t="shared" si="34"/>
        <v>243.22501652129546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3.3603333333333336</v>
      </c>
      <c r="AI21" s="13">
        <f>IF('Données projet'!$A$62&gt;35,AI20+AH21-AQ20,IF(A21&lt;'Données projet'!$A$62,$AF$205^A21,IF(A21='Données projet'!$A$62,'Données projet'!$B$62,AI20+AH21-AQ20)))</f>
        <v>60.486000000000033</v>
      </c>
      <c r="AJ21" s="13">
        <f>AI21*VLOOKUP('Données projet'!$B$10,Paramètres!$A$1:$I$89,3,0)*VLOOKUP('Données projet'!$B$10,Paramètres!$A$1:$I$89,5,0)</f>
        <v>61.332804000000031</v>
      </c>
      <c r="AK21" s="13">
        <f t="shared" si="35"/>
        <v>17.504811592326099</v>
      </c>
      <c r="AL21" s="20">
        <f t="shared" si="4"/>
        <v>137.30884715663467</v>
      </c>
      <c r="AM21" s="59">
        <f t="shared" si="5"/>
        <v>415.97551382330136</v>
      </c>
      <c r="AN21" s="59">
        <f ca="1">AVERAGE(OFFSET($AM$3,0,0,'Données projet'!$E$10+1,1))-AVERAGE(OFFSET($H$3,0,0,'Données projet'!$E$10+1,1))</f>
        <v>486.4870616281359</v>
      </c>
      <c r="AO21" s="59">
        <f t="shared" si="36"/>
        <v>247.29100537955225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4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4.0547519999999988</v>
      </c>
      <c r="D22" s="11">
        <f t="shared" si="32"/>
        <v>1.5876300754731894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10.453255213508223</v>
      </c>
      <c r="H22" s="67">
        <f t="shared" si="1"/>
        <v>266.49381544811581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5.8890909090909096</v>
      </c>
      <c r="N22" s="13">
        <f>IF('Données projet'!$A$36&gt;35,N21+M22-V21,IF(A22&lt;'Données projet'!$A$36,$K$205^A22,IF(A22='Données projet'!$A$36,'Données projet'!$B$36,N21+M22-V21)))</f>
        <v>66.743153171347927</v>
      </c>
      <c r="O22" s="13">
        <f>N22*VLOOKUP('Données projet'!$B$9,Paramètres!$A$1:$I$89,3,0)*VLOOKUP('Données projet'!$B$9,Paramètres!$A$1:$I$89,5,0)</f>
        <v>39.912405596466066</v>
      </c>
      <c r="P22" s="13">
        <f t="shared" si="33"/>
        <v>11.975427038984135</v>
      </c>
      <c r="Q22" s="20">
        <f t="shared" si="2"/>
        <v>90.371308506742437</v>
      </c>
      <c r="R22" s="59">
        <f t="shared" si="0"/>
        <v>370.26019739563128</v>
      </c>
      <c r="S22" s="59">
        <f ca="1">AVERAGE(OFFSET($R$3,0,0,'Données projet'!$E$9+1,1))-AVERAGE(OFFSET($H$3,0,0,'Données projet'!$E$9+1,1))</f>
        <v>329.62068845923676</v>
      </c>
      <c r="T22" s="59">
        <f t="shared" si="34"/>
        <v>243.22501652129546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3.3603333333333336</v>
      </c>
      <c r="AI22" s="13">
        <f>IF('Données projet'!$A$62&gt;35,AI21+AH22-AQ21,IF(A22&lt;'Données projet'!$A$62,$AF$205^A22,IF(A22='Données projet'!$A$62,'Données projet'!$B$62,AI21+AH22-AQ21)))</f>
        <v>63.846333333333369</v>
      </c>
      <c r="AJ22" s="13">
        <f>AI22*VLOOKUP('Données projet'!$B$10,Paramètres!$A$1:$I$89,3,0)*VLOOKUP('Données projet'!$B$10,Paramètres!$A$1:$I$89,5,0)</f>
        <v>64.740182000000047</v>
      </c>
      <c r="AK22" s="13">
        <f t="shared" si="35"/>
        <v>18.361380775200633</v>
      </c>
      <c r="AL22" s="20">
        <f t="shared" si="4"/>
        <v>144.73522183347453</v>
      </c>
      <c r="AM22" s="59">
        <f t="shared" si="5"/>
        <v>424.62411072236341</v>
      </c>
      <c r="AN22" s="59">
        <f ca="1">AVERAGE(OFFSET($AM$3,0,0,'Données projet'!$E$10+1,1))-AVERAGE(OFFSET($H$3,0,0,'Données projet'!$E$10+1,1))</f>
        <v>486.4870616281359</v>
      </c>
      <c r="AO22" s="59">
        <f t="shared" si="36"/>
        <v>247.29100537955225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4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4.2681599999999991</v>
      </c>
      <c r="D23" s="11">
        <f t="shared" si="32"/>
        <v>1.6612413774861587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10.984996236184884</v>
      </c>
      <c r="H23" s="67">
        <f t="shared" si="1"/>
        <v>266.99370739912172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5.8890909090909096</v>
      </c>
      <c r="N23" s="13">
        <f>IF('Données projet'!$A$36&gt;35,N22+M23-V22,IF(A23&lt;'Données projet'!$A$36,$K$205^A23,IF(A23='Données projet'!$A$36,'Données projet'!$B$36,N22+M23-V22)))</f>
        <v>83.25841265260587</v>
      </c>
      <c r="O23" s="13">
        <f>N23*VLOOKUP('Données projet'!$B$9,Paramètres!$A$1:$I$89,3,0)*VLOOKUP('Données projet'!$B$9,Paramètres!$A$1:$I$89,5,0)</f>
        <v>49.788530766258319</v>
      </c>
      <c r="P23" s="13">
        <f t="shared" si="33"/>
        <v>14.559133347501747</v>
      </c>
      <c r="Q23" s="20">
        <f t="shared" si="2"/>
        <v>112.07218166479875</v>
      </c>
      <c r="R23" s="59">
        <f t="shared" si="0"/>
        <v>393.18329277590988</v>
      </c>
      <c r="S23" s="59">
        <f ca="1">AVERAGE(OFFSET($R$3,0,0,'Données projet'!$E$9+1,1))-AVERAGE(OFFSET($H$3,0,0,'Données projet'!$E$9+1,1))</f>
        <v>329.62068845923676</v>
      </c>
      <c r="T23" s="59">
        <f t="shared" si="34"/>
        <v>243.22501652129546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3.3603333333333336</v>
      </c>
      <c r="AI23" s="13">
        <f>IF('Données projet'!$A$62&gt;35,AI22+AH23-AQ22,IF(A23&lt;'Données projet'!$A$62,$AF$205^A23,IF(A23='Données projet'!$A$62,'Données projet'!$B$62,AI22+AH23-AQ22)))</f>
        <v>67.206666666666706</v>
      </c>
      <c r="AJ23" s="13">
        <f>AI23*VLOOKUP('Données projet'!$B$10,Paramètres!$A$1:$I$89,3,0)*VLOOKUP('Données projet'!$B$10,Paramètres!$A$1:$I$89,5,0)</f>
        <v>68.147560000000055</v>
      </c>
      <c r="AK23" s="13">
        <f t="shared" si="35"/>
        <v>19.212715835236935</v>
      </c>
      <c r="AL23" s="20">
        <f t="shared" si="4"/>
        <v>152.15248041303775</v>
      </c>
      <c r="AM23" s="59">
        <f t="shared" si="5"/>
        <v>433.26359152414886</v>
      </c>
      <c r="AN23" s="59">
        <f ca="1">AVERAGE(OFFSET($AM$3,0,0,'Données projet'!$E$10+1,1))-AVERAGE(OFFSET($H$3,0,0,'Données projet'!$E$10+1,1))</f>
        <v>486.4870616281359</v>
      </c>
      <c r="AO23" s="59">
        <f t="shared" si="36"/>
        <v>247.29100537955225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4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4.4815679999999993</v>
      </c>
      <c r="D24" s="11">
        <f t="shared" si="32"/>
        <v>1.7344253180050837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11.515945515462048</v>
      </c>
      <c r="H24" s="67">
        <f t="shared" si="1"/>
        <v>267.49285502885886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5.8890909090909096</v>
      </c>
      <c r="N24" s="13">
        <f>IF('Données projet'!$A$36&gt;35,N23+M24-V23,IF(A24&lt;'Données projet'!$A$36,$K$205^A24,IF(A24='Données projet'!$A$36,'Données projet'!$B$36,N23+M24-V23)))</f>
        <v>103.86029050253822</v>
      </c>
      <c r="O24" s="13">
        <f>N24*VLOOKUP('Données projet'!$B$9,Paramètres!$A$1:$I$89,3,0)*VLOOKUP('Données projet'!$B$9,Paramètres!$A$1:$I$89,5,0)</f>
        <v>62.108453720517858</v>
      </c>
      <c r="P24" s="13">
        <f t="shared" si="33"/>
        <v>17.700276001875135</v>
      </c>
      <c r="Q24" s="20">
        <f t="shared" si="2"/>
        <v>139.00020426650113</v>
      </c>
      <c r="R24" s="59">
        <f t="shared" si="0"/>
        <v>421.33353759983447</v>
      </c>
      <c r="S24" s="59">
        <f ca="1">AVERAGE(OFFSET($R$3,0,0,'Données projet'!$E$9+1,1))-AVERAGE(OFFSET($H$3,0,0,'Données projet'!$E$9+1,1))</f>
        <v>329.62068845923676</v>
      </c>
      <c r="T24" s="59">
        <f t="shared" si="34"/>
        <v>243.22501652129546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3.3603333333333336</v>
      </c>
      <c r="AI24" s="13">
        <f>IF('Données projet'!$A$62&gt;35,AI23+AH24-AQ23,IF(A24&lt;'Données projet'!$A$62,$AF$205^A24,IF(A24='Données projet'!$A$62,'Données projet'!$B$62,AI23+AH24-AQ23)))</f>
        <v>70.567000000000036</v>
      </c>
      <c r="AJ24" s="13">
        <f>AI24*VLOOKUP('Données projet'!$B$10,Paramètres!$A$1:$I$89,3,0)*VLOOKUP('Données projet'!$B$10,Paramètres!$A$1:$I$89,5,0)</f>
        <v>71.55493800000005</v>
      </c>
      <c r="AK24" s="13">
        <f t="shared" si="35"/>
        <v>20.059108341436531</v>
      </c>
      <c r="AL24" s="20">
        <f t="shared" si="4"/>
        <v>159.56113071133535</v>
      </c>
      <c r="AM24" s="59">
        <f t="shared" si="5"/>
        <v>441.89446404466867</v>
      </c>
      <c r="AN24" s="59">
        <f ca="1">AVERAGE(OFFSET($AM$3,0,0,'Données projet'!$E$10+1,1))-AVERAGE(OFFSET($H$3,0,0,'Données projet'!$E$10+1,1))</f>
        <v>486.4870616281359</v>
      </c>
      <c r="AO24" s="59">
        <f t="shared" si="36"/>
        <v>247.29100537955225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4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4.6949759999999996</v>
      </c>
      <c r="D25" s="11">
        <f t="shared" si="32"/>
        <v>1.8072045710620341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12.046145057967559</v>
      </c>
      <c r="H25" s="67">
        <f t="shared" si="1"/>
        <v>267.99129782793307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>
        <f>VLOOKUP(A25,'Données projet'!$A$35:$I$55,2,0)</f>
        <v>129.56</v>
      </c>
      <c r="L25" s="12">
        <f>VLOOKUP(A25,'Données projet'!$A$35:$I$55,9,0)</f>
        <v>5.8890909090909096</v>
      </c>
      <c r="M25" s="12">
        <f t="array" ref="M25">INDEX(L:L,MIN(IF(ISNUMBER(L25:L221),ROW(L25:L221),"")))</f>
        <v>5.8890909090909096</v>
      </c>
      <c r="N25" s="13">
        <f>IF('Données projet'!$A$36&gt;35,N24+M25-V24,IF(A25&lt;'Données projet'!$A$36,$K$205^A25,IF(A25='Données projet'!$A$36,'Données projet'!$B$36,N24+M25-V24)))</f>
        <v>129.56</v>
      </c>
      <c r="O25" s="13">
        <f>N25*VLOOKUP('Données projet'!$B$9,Paramètres!$A$1:$I$89,3,0)*VLOOKUP('Données projet'!$B$9,Paramètres!$A$1:$I$89,5,0)</f>
        <v>77.476880000000008</v>
      </c>
      <c r="P25" s="13">
        <f t="shared" si="33"/>
        <v>21.519122262611628</v>
      </c>
      <c r="Q25" s="20">
        <f t="shared" si="2"/>
        <v>172.4180372740486</v>
      </c>
      <c r="R25" s="59">
        <f t="shared" si="0"/>
        <v>455.97359282960417</v>
      </c>
      <c r="S25" s="59">
        <f ca="1">AVERAGE(OFFSET($R$3,0,0,'Données projet'!$E$9+1,1))-AVERAGE(OFFSET($H$3,0,0,'Données projet'!$E$9+1,1))</f>
        <v>329.62068845923676</v>
      </c>
      <c r="T25" s="59">
        <f t="shared" si="34"/>
        <v>243.22501652129546</v>
      </c>
      <c r="U25" s="15">
        <f>IF(ISNA(VLOOKUP(A25,'Données projet'!$A$35:$I$55,3,0)),0,VLOOKUP(A25,'Données projet'!$A$35:$I$55,3,0))</f>
        <v>1</v>
      </c>
      <c r="V25" s="15">
        <f>IF(ISNA(VLOOKUP(A25,'Données projet'!$A$35:$I$55,4,0)),0,VLOOKUP(A25,'Données projet'!$A$35:$I$55,4,0))</f>
        <v>52.620000000000005</v>
      </c>
      <c r="W25" s="16">
        <f>IF(ISNA(VLOOKUP(A25,'Données projet'!$A$35:$I$55,5,0)),0%,VLOOKUP(A25,'Données projet'!$A$35:$I$55,5,0)*VLOOKUP('Données projet'!$B$9,Paramètres!$A$1:$I$89,7,0))</f>
        <v>0.1125</v>
      </c>
      <c r="X25" s="16">
        <f>IF(ISNA(VLOOKUP(A25,'Données projet'!$A$35:$I$55,6,0)),0%,VLOOKUP(A25,'Données projet'!$A$35:$I$55,6,0)*VLOOKUP('Données projet'!$B$9,Paramètres!$A$1:$I$89,7,0))</f>
        <v>0.16650000000000001</v>
      </c>
      <c r="Y25" s="16">
        <f>IF(ISNA(VLOOKUP(A25,'Données projet'!$A$35:$I$55,7,0)),0%,VLOOKUP(A25,'Données projet'!$A$35:$I$55,7,0))</f>
        <v>0.38</v>
      </c>
      <c r="Z25" s="21">
        <f>EXP(-LN(2)/35)*Z24+(1-EXP(-LN(2)/35))/(LN(2)/35)*V25*W25*VLOOKUP('Données projet'!$B$9,Paramètres!$A$1:$I$89,3,0)*0.475*44/12</f>
        <v>4.6960521011827554</v>
      </c>
      <c r="AA25" s="21">
        <f>EXP(-LN(2)/25)*AA24+(1-EXP(-LN(2)/25))/(LN(2)/25)*Calculateur!V25*Calculateur!X25*VLOOKUP('Données projet'!$B$9,Paramètres!$A$1:$I$89,3,0)*0.475*44/12</f>
        <v>6.9227916929919147</v>
      </c>
      <c r="AB25" s="21">
        <f>EXP(-LN(2)/2)*AB24+(1-EXP(-LN(2)/2))/(LN(2)/2)*V25*Y25*VLOOKUP('Données projet'!$B$9,Paramètres!$A$1:$I$89,3,0)*0.475*44/12</f>
        <v>13.538519148795281</v>
      </c>
      <c r="AC25" s="22">
        <f t="shared" si="3"/>
        <v>25.15736294296995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3.3603333333333336</v>
      </c>
      <c r="AI25" s="13">
        <f>IF('Données projet'!$A$62&gt;35,AI24+AH25-AQ24,IF(A25&lt;'Données projet'!$A$62,$AF$205^A25,IF(A25='Données projet'!$A$62,'Données projet'!$B$62,AI24+AH25-AQ24)))</f>
        <v>73.927333333333365</v>
      </c>
      <c r="AJ25" s="13">
        <f>AI25*VLOOKUP('Données projet'!$B$10,Paramètres!$A$1:$I$89,3,0)*VLOOKUP('Données projet'!$B$10,Paramètres!$A$1:$I$89,5,0)</f>
        <v>74.962316000000044</v>
      </c>
      <c r="AK25" s="13">
        <f t="shared" si="35"/>
        <v>20.900820525249284</v>
      </c>
      <c r="AL25" s="20">
        <f t="shared" si="4"/>
        <v>166.96162944814259</v>
      </c>
      <c r="AM25" s="59">
        <f t="shared" si="5"/>
        <v>450.51718500369816</v>
      </c>
      <c r="AN25" s="59">
        <f ca="1">AVERAGE(OFFSET($AM$3,0,0,'Données projet'!$E$10+1,1))-AVERAGE(OFFSET($H$3,0,0,'Données projet'!$E$10+1,1))</f>
        <v>486.4870616281359</v>
      </c>
      <c r="AO25" s="59">
        <f t="shared" si="36"/>
        <v>247.29100537955225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4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4.9083839999999999</v>
      </c>
      <c r="D26" s="11">
        <f t="shared" si="32"/>
        <v>1.8795996328972104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12.575632835683253</v>
      </c>
      <c r="H26" s="67">
        <f t="shared" si="1"/>
        <v>268.48907149396268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15.782</v>
      </c>
      <c r="N26" s="13">
        <f>IF('Données projet'!$A$36&gt;35,N25+M26-V25,IF(A26&lt;'Données projet'!$A$36,$K$205^A26,IF(A26='Données projet'!$A$36,'Données projet'!$B$36,N25+M26-V25)))</f>
        <v>92.722000000000008</v>
      </c>
      <c r="O26" s="13">
        <f>N26*VLOOKUP('Données projet'!$B$9,Paramètres!$A$1:$I$89,3,0)*VLOOKUP('Données projet'!$B$9,Paramètres!$A$1:$I$89,5,0)</f>
        <v>55.447756000000005</v>
      </c>
      <c r="P26" s="13">
        <f t="shared" si="33"/>
        <v>16.012087139856263</v>
      </c>
      <c r="Q26" s="20">
        <f t="shared" si="2"/>
        <v>124.45922680191636</v>
      </c>
      <c r="R26" s="59">
        <f t="shared" si="0"/>
        <v>409.23700457969414</v>
      </c>
      <c r="S26" s="59">
        <f ca="1">AVERAGE(OFFSET($R$3,0,0,'Données projet'!$E$9+1,1))-AVERAGE(OFFSET($H$3,0,0,'Données projet'!$E$9+1,1))</f>
        <v>329.62068845923676</v>
      </c>
      <c r="T26" s="59">
        <f t="shared" si="34"/>
        <v>243.22501652129546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4.6039653837875161</v>
      </c>
      <c r="AA26" s="21">
        <f>EXP(-LN(2)/25)*AA25+(1-EXP(-LN(2)/25))/(LN(2)/25)*Calculateur!V26*Calculateur!X26*VLOOKUP('Données projet'!$B$9,Paramètres!$A$1:$I$89,3,0)*0.475*44/12</f>
        <v>6.733487590093258</v>
      </c>
      <c r="AB26" s="21">
        <f>EXP(-LN(2)/2)*AB25+(1-EXP(-LN(2)/2))/(LN(2)/2)*V26*Y26*VLOOKUP('Données projet'!$B$9,Paramètres!$A$1:$I$89,3,0)*0.475*44/12</f>
        <v>9.5731786973370685</v>
      </c>
      <c r="AC26" s="22">
        <f t="shared" si="3"/>
        <v>20.910631671217843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3.3603333333333336</v>
      </c>
      <c r="AI26" s="13">
        <f>IF('Données projet'!$A$62&gt;35,AI25+AH26-AQ25,IF(A26&lt;'Données projet'!$A$62,$AF$205^A26,IF(A26='Données projet'!$A$62,'Données projet'!$B$62,AI25+AH26-AQ25)))</f>
        <v>77.287666666666695</v>
      </c>
      <c r="AJ26" s="13">
        <f>AI26*VLOOKUP('Données projet'!$B$10,Paramètres!$A$1:$I$89,3,0)*VLOOKUP('Données projet'!$B$10,Paramètres!$A$1:$I$89,5,0)</f>
        <v>78.369694000000038</v>
      </c>
      <c r="AK26" s="13">
        <f t="shared" si="35"/>
        <v>21.738089431359974</v>
      </c>
      <c r="AL26" s="20">
        <f t="shared" si="4"/>
        <v>174.35438947628532</v>
      </c>
      <c r="AM26" s="59">
        <f t="shared" si="5"/>
        <v>459.13216725406312</v>
      </c>
      <c r="AN26" s="59">
        <f ca="1">AVERAGE(OFFSET($AM$3,0,0,'Données projet'!$E$10+1,1))-AVERAGE(OFFSET($H$3,0,0,'Données projet'!$E$10+1,1))</f>
        <v>486.4870616281359</v>
      </c>
      <c r="AO26" s="59">
        <f t="shared" si="36"/>
        <v>247.29100537955225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4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5.1217920000000001</v>
      </c>
      <c r="D27" s="11">
        <f t="shared" si="32"/>
        <v>1.9516291166809472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13.104443331956283</v>
      </c>
      <c r="H27" s="67">
        <f t="shared" si="1"/>
        <v>268.98620844488602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15.782</v>
      </c>
      <c r="N27" s="13">
        <f>IF('Données projet'!$A$36&gt;35,N26+M27-V26,IF(A27&lt;'Données projet'!$A$36,$K$205^A27,IF(A27='Données projet'!$A$36,'Données projet'!$B$36,N26+M27-V26)))</f>
        <v>108.504</v>
      </c>
      <c r="O27" s="13">
        <f>N27*VLOOKUP('Données projet'!$B$9,Paramètres!$A$1:$I$89,3,0)*VLOOKUP('Données projet'!$B$9,Paramètres!$A$1:$I$89,5,0)</f>
        <v>64.88539200000001</v>
      </c>
      <c r="P27" s="13">
        <f t="shared" si="33"/>
        <v>18.397766162676771</v>
      </c>
      <c r="Q27" s="20">
        <f t="shared" si="2"/>
        <v>145.05150046666205</v>
      </c>
      <c r="R27" s="59">
        <f t="shared" si="0"/>
        <v>431.05150046666205</v>
      </c>
      <c r="S27" s="59">
        <f ca="1">AVERAGE(OFFSET($R$3,0,0,'Données projet'!$E$9+1,1))-AVERAGE(OFFSET($H$3,0,0,'Données projet'!$E$9+1,1))</f>
        <v>329.62068845923676</v>
      </c>
      <c r="T27" s="59">
        <f t="shared" si="34"/>
        <v>243.22501652129546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4.5136844307530462</v>
      </c>
      <c r="AA27" s="21">
        <f>EXP(-LN(2)/25)*AA26+(1-EXP(-LN(2)/25))/(LN(2)/25)*Calculateur!V27*Calculateur!X27*VLOOKUP('Données projet'!$B$9,Paramètres!$A$1:$I$89,3,0)*0.475*44/12</f>
        <v>6.5493600178434352</v>
      </c>
      <c r="AB27" s="21">
        <f>EXP(-LN(2)/2)*AB26+(1-EXP(-LN(2)/2))/(LN(2)/2)*V27*Y27*VLOOKUP('Données projet'!$B$9,Paramètres!$A$1:$I$89,3,0)*0.475*44/12</f>
        <v>6.7692595743976414</v>
      </c>
      <c r="AC27" s="22">
        <f t="shared" si="3"/>
        <v>17.832304022994123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3.3603333333333336</v>
      </c>
      <c r="AI27" s="13">
        <f>IF('Données projet'!$A$62&gt;35,AI26+AH27-AQ26,IF(A27&lt;'Données projet'!$A$62,$AF$205^A27,IF(A27='Données projet'!$A$62,'Données projet'!$B$62,AI26+AH27-AQ26)))</f>
        <v>80.648000000000025</v>
      </c>
      <c r="AJ27" s="13">
        <f>AI27*VLOOKUP('Données projet'!$B$10,Paramètres!$A$1:$I$89,3,0)*VLOOKUP('Données projet'!$B$10,Paramètres!$A$1:$I$89,5,0)</f>
        <v>81.777072000000032</v>
      </c>
      <c r="AK27" s="13">
        <f t="shared" si="35"/>
        <v>22.571130326229738</v>
      </c>
      <c r="AL27" s="20">
        <f t="shared" si="4"/>
        <v>181.7397857181835</v>
      </c>
      <c r="AM27" s="59">
        <f t="shared" si="5"/>
        <v>467.7397857181835</v>
      </c>
      <c r="AN27" s="59">
        <f ca="1">AVERAGE(OFFSET($AM$3,0,0,'Données projet'!$E$10+1,1))-AVERAGE(OFFSET($H$3,0,0,'Données projet'!$E$10+1,1))</f>
        <v>486.4870616281359</v>
      </c>
      <c r="AO27" s="59">
        <f t="shared" si="36"/>
        <v>247.29100537955225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4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5.3352000000000004</v>
      </c>
      <c r="D28" s="11">
        <f t="shared" si="32"/>
        <v>2.0233099967312582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13.632607993944227</v>
      </c>
      <c r="H28" s="67">
        <f t="shared" si="1"/>
        <v>269.48273824430697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15.782</v>
      </c>
      <c r="N28" s="13">
        <f>IF('Données projet'!$A$36&gt;35,N27+M28-V27,IF(A28&lt;'Données projet'!$A$36,$K$205^A28,IF(A28='Données projet'!$A$36,'Données projet'!$B$36,N27+M28-V27)))</f>
        <v>124.286</v>
      </c>
      <c r="O28" s="13">
        <f>N28*VLOOKUP('Données projet'!$B$9,Paramètres!$A$1:$I$89,3,0)*VLOOKUP('Données projet'!$B$9,Paramètres!$A$1:$I$89,5,0)</f>
        <v>74.323028000000008</v>
      </c>
      <c r="P28" s="13">
        <f t="shared" si="33"/>
        <v>20.743244990540482</v>
      </c>
      <c r="Q28" s="20">
        <f t="shared" si="2"/>
        <v>165.57375879185801</v>
      </c>
      <c r="R28" s="59">
        <f t="shared" si="0"/>
        <v>452.79598101408021</v>
      </c>
      <c r="S28" s="59">
        <f ca="1">AVERAGE(OFFSET($R$3,0,0,'Données projet'!$E$9+1,1))-AVERAGE(OFFSET($H$3,0,0,'Données projet'!$E$9+1,1))</f>
        <v>329.62068845923676</v>
      </c>
      <c r="T28" s="59">
        <f t="shared" si="34"/>
        <v>243.22501652129546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4.4251738321416383</v>
      </c>
      <c r="AA28" s="21">
        <f>EXP(-LN(2)/25)*AA27+(1-EXP(-LN(2)/25))/(LN(2)/25)*Calculateur!V28*Calculateur!X28*VLOOKUP('Données projet'!$B$9,Paramètres!$A$1:$I$89,3,0)*0.475*44/12</f>
        <v>6.370267423739632</v>
      </c>
      <c r="AB28" s="21">
        <f>EXP(-LN(2)/2)*AB27+(1-EXP(-LN(2)/2))/(LN(2)/2)*V28*Y28*VLOOKUP('Données projet'!$B$9,Paramètres!$A$1:$I$89,3,0)*0.475*44/12</f>
        <v>4.7865893486685351</v>
      </c>
      <c r="AC28" s="22">
        <f t="shared" si="3"/>
        <v>15.582030604549805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3.3603333333333336</v>
      </c>
      <c r="AI28" s="13">
        <f>IF('Données projet'!$A$62&gt;35,AI27+AH28-AQ27,IF(A28&lt;'Données projet'!$A$62,$AF$205^A28,IF(A28='Données projet'!$A$62,'Données projet'!$B$62,AI27+AH28-AQ27)))</f>
        <v>84.008333333333354</v>
      </c>
      <c r="AJ28" s="13">
        <f>AI28*VLOOKUP('Données projet'!$B$10,Paramètres!$A$1:$I$89,3,0)*VLOOKUP('Données projet'!$B$10,Paramètres!$A$1:$I$89,5,0)</f>
        <v>85.184450000000027</v>
      </c>
      <c r="AK28" s="13">
        <f t="shared" si="35"/>
        <v>23.400139522539501</v>
      </c>
      <c r="AL28" s="20">
        <f t="shared" si="4"/>
        <v>189.1181600850897</v>
      </c>
      <c r="AM28" s="59">
        <f t="shared" si="5"/>
        <v>476.34038230731193</v>
      </c>
      <c r="AN28" s="59">
        <f ca="1">AVERAGE(OFFSET($AM$3,0,0,'Données projet'!$E$10+1,1))-AVERAGE(OFFSET($H$3,0,0,'Données projet'!$E$10+1,1))</f>
        <v>486.4870616281359</v>
      </c>
      <c r="AO28" s="59">
        <f t="shared" si="36"/>
        <v>247.29100537955225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4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5.5486080000000007</v>
      </c>
      <c r="D29" s="11">
        <f t="shared" si="32"/>
        <v>2.0946578125566697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14.160155610631305</v>
      </c>
      <c r="H29" s="67">
        <f t="shared" si="1"/>
        <v>269.97868795686958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15.782</v>
      </c>
      <c r="N29" s="13">
        <f>IF('Données projet'!$A$36&gt;35,N28+M29-V28,IF(A29&lt;'Données projet'!$A$36,$K$205^A29,IF(A29='Données projet'!$A$36,'Données projet'!$B$36,N28+M29-V28)))</f>
        <v>140.06800000000001</v>
      </c>
      <c r="O29" s="13">
        <f>N29*VLOOKUP('Données projet'!$B$9,Paramètres!$A$1:$I$89,3,0)*VLOOKUP('Données projet'!$B$9,Paramètres!$A$1:$I$89,5,0)</f>
        <v>83.76066400000002</v>
      </c>
      <c r="P29" s="13">
        <f t="shared" si="33"/>
        <v>23.054213321234659</v>
      </c>
      <c r="Q29" s="20">
        <f t="shared" si="2"/>
        <v>186.0359113344837</v>
      </c>
      <c r="R29" s="59">
        <f t="shared" si="0"/>
        <v>474.48035577892813</v>
      </c>
      <c r="S29" s="59">
        <f ca="1">AVERAGE(OFFSET($R$3,0,0,'Données projet'!$E$9+1,1))-AVERAGE(OFFSET($H$3,0,0,'Données projet'!$E$9+1,1))</f>
        <v>329.62068845923676</v>
      </c>
      <c r="T29" s="59">
        <f t="shared" si="34"/>
        <v>243.22501652129546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4.3383988723828653</v>
      </c>
      <c r="AA29" s="21">
        <f>EXP(-LN(2)/25)*AA28+(1-EXP(-LN(2)/25))/(LN(2)/25)*Calculateur!V29*Calculateur!X29*VLOOKUP('Données projet'!$B$9,Paramètres!$A$1:$I$89,3,0)*0.475*44/12</f>
        <v>6.1960721260396676</v>
      </c>
      <c r="AB29" s="21">
        <f>EXP(-LN(2)/2)*AB28+(1-EXP(-LN(2)/2))/(LN(2)/2)*V29*Y29*VLOOKUP('Données projet'!$B$9,Paramètres!$A$1:$I$89,3,0)*0.475*44/12</f>
        <v>3.3846297871988211</v>
      </c>
      <c r="AC29" s="22">
        <f t="shared" si="3"/>
        <v>13.919100785621353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3.3603333333333336</v>
      </c>
      <c r="AI29" s="13">
        <f>IF('Données projet'!$A$62&gt;35,AI28+AH29-AQ28,IF(A29&lt;'Données projet'!$A$62,$AF$205^A29,IF(A29='Données projet'!$A$62,'Données projet'!$B$62,AI28+AH29-AQ28)))</f>
        <v>87.368666666666684</v>
      </c>
      <c r="AJ29" s="13">
        <f>AI29*VLOOKUP('Données projet'!$B$10,Paramètres!$A$1:$I$89,3,0)*VLOOKUP('Données projet'!$B$10,Paramètres!$A$1:$I$89,5,0)</f>
        <v>88.591828000000021</v>
      </c>
      <c r="AK29" s="13">
        <f t="shared" si="35"/>
        <v>24.225296739001799</v>
      </c>
      <c r="AL29" s="20">
        <f t="shared" si="4"/>
        <v>196.48982558709483</v>
      </c>
      <c r="AM29" s="59">
        <f t="shared" si="5"/>
        <v>484.93427003153931</v>
      </c>
      <c r="AN29" s="59">
        <f ca="1">AVERAGE(OFFSET($AM$3,0,0,'Données projet'!$E$10+1,1))-AVERAGE(OFFSET($H$3,0,0,'Données projet'!$E$10+1,1))</f>
        <v>486.4870616281359</v>
      </c>
      <c r="AO29" s="59">
        <f t="shared" si="36"/>
        <v>247.29100537955225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4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5.7620160000000009</v>
      </c>
      <c r="D30" s="11">
        <f t="shared" si="32"/>
        <v>2.1656868406248977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14.687112631052445</v>
      </c>
      <c r="H30" s="67">
        <f t="shared" si="1"/>
        <v>270.47408244742172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>
        <f>VLOOKUP(A30,'Données projet'!$A$35:$I$55,2,0)</f>
        <v>155.85</v>
      </c>
      <c r="L30" s="12">
        <f>VLOOKUP(A30,'Données projet'!$A$35:$I$55,9,0)</f>
        <v>15.782</v>
      </c>
      <c r="M30" s="12">
        <f t="array" ref="M30">INDEX(L:L,MIN(IF(ISNUMBER(L30:L226),ROW(L30:L226),"")))</f>
        <v>15.782</v>
      </c>
      <c r="N30" s="13">
        <f>IF('Données projet'!$A$36&gt;35,N29+M30-V29,IF(A30&lt;'Données projet'!$A$36,$K$205^A30,IF(A30='Données projet'!$A$36,'Données projet'!$B$36,N29+M30-V29)))</f>
        <v>155.85000000000002</v>
      </c>
      <c r="O30" s="13">
        <f>N30*VLOOKUP('Données projet'!$B$9,Paramètres!$A$1:$I$89,3,0)*VLOOKUP('Données projet'!$B$9,Paramètres!$A$1:$I$89,5,0)</f>
        <v>93.198300000000032</v>
      </c>
      <c r="P30" s="13">
        <f t="shared" si="33"/>
        <v>25.335003309876146</v>
      </c>
      <c r="Q30" s="20">
        <f t="shared" si="2"/>
        <v>206.44550326470099</v>
      </c>
      <c r="R30" s="59">
        <f t="shared" si="0"/>
        <v>496.1121699313677</v>
      </c>
      <c r="S30" s="59">
        <f ca="1">AVERAGE(OFFSET($R$3,0,0,'Données projet'!$E$9+1,1))-AVERAGE(OFFSET($H$3,0,0,'Données projet'!$E$9+1,1))</f>
        <v>329.62068845923676</v>
      </c>
      <c r="T30" s="59">
        <f t="shared" si="34"/>
        <v>243.22501652129546</v>
      </c>
      <c r="U30" s="15">
        <f>IF(ISNA(VLOOKUP(A30,'Données projet'!$A$35:$I$55,3,0)),0,VLOOKUP(A30,'Données projet'!$A$35:$I$55,3,0))</f>
        <v>2</v>
      </c>
      <c r="V30" s="15">
        <f>IF(ISNA(VLOOKUP(A30,'Données projet'!$A$35:$I$55,4,0)),0,VLOOKUP(A30,'Données projet'!$A$35:$I$55,4,0))</f>
        <v>37.929999999999993</v>
      </c>
      <c r="W30" s="16">
        <f>IF(ISNA(VLOOKUP(A30,'Données projet'!$A$35:$I$55,5,0)),0%,VLOOKUP(A30,'Données projet'!$A$35:$I$55,5,0)*VLOOKUP('Données projet'!$B$9,Paramètres!$A$1:$I$89,7,0))</f>
        <v>0.1125</v>
      </c>
      <c r="X30" s="16">
        <f>IF(ISNA(VLOOKUP(A30,'Données projet'!$A$35:$I$55,6,0)),0%,VLOOKUP(A30,'Données projet'!$A$35:$I$55,6,0)*VLOOKUP('Données projet'!$B$9,Paramètres!$A$1:$I$89,7,0))</f>
        <v>0.16650000000000001</v>
      </c>
      <c r="Y30" s="16">
        <f>IF(ISNA(VLOOKUP(A30,'Données projet'!$A$35:$I$55,7,0)),0%,VLOOKUP(A30,'Données projet'!$A$35:$I$55,7,0))</f>
        <v>0.38</v>
      </c>
      <c r="Z30" s="21">
        <f>EXP(-LN(2)/35)*Z29+(1-EXP(-LN(2)/35))/(LN(2)/35)*V30*W30*VLOOKUP('Données projet'!$B$9,Paramètres!$A$1:$I$89,3,0)*0.475*44/12</f>
        <v>7.6383740951040968</v>
      </c>
      <c r="AA30" s="21">
        <f>EXP(-LN(2)/25)*AA29+(1-EXP(-LN(2)/25))/(LN(2)/25)*Calculateur!V30*Calculateur!X30*VLOOKUP('Données projet'!$B$9,Paramètres!$A$1:$I$89,3,0)*0.475*44/12</f>
        <v>11.016786329451062</v>
      </c>
      <c r="AB30" s="21">
        <f>EXP(-LN(2)/2)*AB29+(1-EXP(-LN(2)/2))/(LN(2)/2)*V30*Y30*VLOOKUP('Données projet'!$B$9,Paramètres!$A$1:$I$89,3,0)*0.475*44/12</f>
        <v>12.152246238640709</v>
      </c>
      <c r="AC30" s="22">
        <f t="shared" si="3"/>
        <v>30.80740666319587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3.3603333333333336</v>
      </c>
      <c r="AI30" s="13">
        <f>IF('Données projet'!$A$62&gt;35,AI29+AH30-AQ29,IF(A30&lt;'Données projet'!$A$62,$AF$205^A30,IF(A30='Données projet'!$A$62,'Données projet'!$B$62,AI29+AH30-AQ29)))</f>
        <v>90.729000000000013</v>
      </c>
      <c r="AJ30" s="13">
        <f>AI30*VLOOKUP('Données projet'!$B$10,Paramètres!$A$1:$I$89,3,0)*VLOOKUP('Données projet'!$B$10,Paramètres!$A$1:$I$89,5,0)</f>
        <v>91.999206000000029</v>
      </c>
      <c r="AK30" s="13">
        <f t="shared" si="35"/>
        <v>25.046767086912915</v>
      </c>
      <c r="AL30" s="20">
        <f t="shared" si="4"/>
        <v>203.85506979304003</v>
      </c>
      <c r="AM30" s="59">
        <f t="shared" si="5"/>
        <v>493.52173645970674</v>
      </c>
      <c r="AN30" s="59">
        <f ca="1">AVERAGE(OFFSET($AM$3,0,0,'Données projet'!$E$10+1,1))-AVERAGE(OFFSET($H$3,0,0,'Données projet'!$E$10+1,1))</f>
        <v>486.4870616281359</v>
      </c>
      <c r="AO30" s="59">
        <f t="shared" si="36"/>
        <v>247.29100537955225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4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5.9754240000000012</v>
      </c>
      <c r="D31" s="11">
        <f t="shared" si="32"/>
        <v>2.2364102399689467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15.213503434047736</v>
      </c>
      <c r="H31" s="67">
        <f t="shared" si="1"/>
        <v>270.96894463461263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16.621666666666666</v>
      </c>
      <c r="N31" s="13">
        <f>IF('Données projet'!$A$36&gt;35,N30+M31-V30,IF(A31&lt;'Données projet'!$A$36,$K$205^A31,IF(A31='Données projet'!$A$36,'Données projet'!$B$36,N30+M31-V30)))</f>
        <v>134.54166666666669</v>
      </c>
      <c r="O31" s="13">
        <f>N31*VLOOKUP('Données projet'!$B$9,Paramètres!$A$1:$I$89,3,0)*VLOOKUP('Données projet'!$B$9,Paramètres!$A$1:$I$89,5,0)</f>
        <v>80.455916666666681</v>
      </c>
      <c r="P31" s="13">
        <f t="shared" si="33"/>
        <v>22.248621228387805</v>
      </c>
      <c r="Q31" s="20">
        <f t="shared" si="2"/>
        <v>178.8770701672199</v>
      </c>
      <c r="R31" s="59">
        <f t="shared" si="0"/>
        <v>469.76595905610873</v>
      </c>
      <c r="S31" s="59">
        <f ca="1">AVERAGE(OFFSET($R$3,0,0,'Données projet'!$E$9+1,1))-AVERAGE(OFFSET($H$3,0,0,'Données projet'!$E$9+1,1))</f>
        <v>329.62068845923676</v>
      </c>
      <c r="T31" s="59">
        <f t="shared" si="34"/>
        <v>243.22501652129546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7.4885902380472702</v>
      </c>
      <c r="AA31" s="21">
        <f>EXP(-LN(2)/25)*AA30+(1-EXP(-LN(2)/25))/(LN(2)/25)*Calculateur!V31*Calculateur!X31*VLOOKUP('Données projet'!$B$9,Paramètres!$A$1:$I$89,3,0)*0.475*44/12</f>
        <v>10.715531727924608</v>
      </c>
      <c r="AB31" s="21">
        <f>EXP(-LN(2)/2)*AB30+(1-EXP(-LN(2)/2))/(LN(2)/2)*V31*Y31*VLOOKUP('Données projet'!$B$9,Paramètres!$A$1:$I$89,3,0)*0.475*44/12</f>
        <v>8.5929357219915623</v>
      </c>
      <c r="AC31" s="22">
        <f t="shared" si="3"/>
        <v>26.797057687963441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3.3603333333333336</v>
      </c>
      <c r="AI31" s="13">
        <f>IF('Données projet'!$A$62&gt;35,AI30+AH31-AQ30,IF(A31&lt;'Données projet'!$A$62,$AF$205^A31,IF(A31='Données projet'!$A$62,'Données projet'!$B$62,AI30+AH31-AQ30)))</f>
        <v>94.089333333333343</v>
      </c>
      <c r="AJ31" s="13">
        <f>AI31*VLOOKUP('Données projet'!$B$10,Paramètres!$A$1:$I$89,3,0)*VLOOKUP('Données projet'!$B$10,Paramètres!$A$1:$I$89,5,0)</f>
        <v>95.406584000000024</v>
      </c>
      <c r="AK31" s="13">
        <f t="shared" si="35"/>
        <v>25.864702754127851</v>
      </c>
      <c r="AL31" s="20">
        <f t="shared" si="4"/>
        <v>211.21415776343937</v>
      </c>
      <c r="AM31" s="59">
        <f t="shared" si="5"/>
        <v>502.1030466523282</v>
      </c>
      <c r="AN31" s="59">
        <f ca="1">AVERAGE(OFFSET($AM$3,0,0,'Données projet'!$E$10+1,1))-AVERAGE(OFFSET($H$3,0,0,'Données projet'!$E$10+1,1))</f>
        <v>486.4870616281359</v>
      </c>
      <c r="AO31" s="59">
        <f t="shared" si="36"/>
        <v>247.29100537955225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4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6.1888320000000014</v>
      </c>
      <c r="D32" s="11">
        <f t="shared" si="32"/>
        <v>2.3068401764078184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15.739350558397641</v>
      </c>
      <c r="H32" s="67">
        <f t="shared" si="1"/>
        <v>271.46329570724362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16.621666666666666</v>
      </c>
      <c r="N32" s="13">
        <f>IF('Données projet'!$A$36&gt;35,N31+M32-V31,IF(A32&lt;'Données projet'!$A$36,$K$205^A32,IF(A32='Données projet'!$A$36,'Données projet'!$B$36,N31+M32-V31)))</f>
        <v>151.16333333333336</v>
      </c>
      <c r="O32" s="13">
        <f>N32*VLOOKUP('Données projet'!$B$9,Paramètres!$A$1:$I$89,3,0)*VLOOKUP('Données projet'!$B$9,Paramètres!$A$1:$I$89,5,0)</f>
        <v>90.395673333333363</v>
      </c>
      <c r="P32" s="13">
        <f t="shared" si="33"/>
        <v>24.660627497212822</v>
      </c>
      <c r="Q32" s="20">
        <f t="shared" si="2"/>
        <v>200.38972394653459</v>
      </c>
      <c r="R32" s="59">
        <f t="shared" si="0"/>
        <v>492.50083505764576</v>
      </c>
      <c r="S32" s="59">
        <f ca="1">AVERAGE(OFFSET($R$3,0,0,'Données projet'!$E$9+1,1))-AVERAGE(OFFSET($H$3,0,0,'Données projet'!$E$9+1,1))</f>
        <v>329.62068845923676</v>
      </c>
      <c r="T32" s="59">
        <f t="shared" si="34"/>
        <v>243.22501652129546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7.3417435510681965</v>
      </c>
      <c r="AA32" s="21">
        <f>EXP(-LN(2)/25)*AA31+(1-EXP(-LN(2)/25))/(LN(2)/25)*Calculateur!V32*Calculateur!X32*VLOOKUP('Données projet'!$B$9,Paramètres!$A$1:$I$89,3,0)*0.475*44/12</f>
        <v>10.422514949319186</v>
      </c>
      <c r="AB32" s="21">
        <f>EXP(-LN(2)/2)*AB31+(1-EXP(-LN(2)/2))/(LN(2)/2)*V32*Y32*VLOOKUP('Données projet'!$B$9,Paramètres!$A$1:$I$89,3,0)*0.475*44/12</f>
        <v>6.0761231193203562</v>
      </c>
      <c r="AC32" s="22">
        <f t="shared" si="3"/>
        <v>23.840381619707742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3.3603333333333336</v>
      </c>
      <c r="AI32" s="13">
        <f>IF('Données projet'!$A$62&gt;35,AI31+AH32-AQ31,IF(A32&lt;'Données projet'!$A$62,$AF$205^A32,IF(A32='Données projet'!$A$62,'Données projet'!$B$62,AI31+AH32-AQ31)))</f>
        <v>97.449666666666673</v>
      </c>
      <c r="AJ32" s="13">
        <f>AI32*VLOOKUP('Données projet'!$B$10,Paramètres!$A$1:$I$89,3,0)*VLOOKUP('Données projet'!$B$10,Paramètres!$A$1:$I$89,5,0)</f>
        <v>98.813962000000018</v>
      </c>
      <c r="AK32" s="13">
        <f t="shared" si="35"/>
        <v>26.679244441706949</v>
      </c>
      <c r="AL32" s="20">
        <f t="shared" si="4"/>
        <v>218.56733455263964</v>
      </c>
      <c r="AM32" s="59">
        <f t="shared" si="5"/>
        <v>510.67844566375078</v>
      </c>
      <c r="AN32" s="59">
        <f ca="1">AVERAGE(OFFSET($AM$3,0,0,'Données projet'!$E$10+1,1))-AVERAGE(OFFSET($H$3,0,0,'Données projet'!$E$10+1,1))</f>
        <v>486.4870616281359</v>
      </c>
      <c r="AO32" s="59">
        <f t="shared" si="36"/>
        <v>247.29100537955225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4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6.4022400000000017</v>
      </c>
      <c r="D33" s="11">
        <f t="shared" si="32"/>
        <v>2.3769879291519485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16.264674900323612</v>
      </c>
      <c r="H33" s="67">
        <f t="shared" si="1"/>
        <v>271.95715530993965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16.621666666666666</v>
      </c>
      <c r="N33" s="13">
        <f>IF('Données projet'!$A$36&gt;35,N32+M33-V32,IF(A33&lt;'Données projet'!$A$36,$K$205^A33,IF(A33='Données projet'!$A$36,'Données projet'!$B$36,N32+M33-V32)))</f>
        <v>167.78500000000003</v>
      </c>
      <c r="O33" s="13">
        <f>N33*VLOOKUP('Données projet'!$B$9,Paramètres!$A$1:$I$89,3,0)*VLOOKUP('Données projet'!$B$9,Paramètres!$A$1:$I$89,5,0)</f>
        <v>100.33543000000002</v>
      </c>
      <c r="P33" s="13">
        <f t="shared" si="33"/>
        <v>27.041893539465132</v>
      </c>
      <c r="Q33" s="20">
        <f t="shared" si="2"/>
        <v>221.84883849790182</v>
      </c>
      <c r="R33" s="59">
        <f t="shared" si="0"/>
        <v>515.18217183123511</v>
      </c>
      <c r="S33" s="59">
        <f ca="1">AVERAGE(OFFSET($R$3,0,0,'Données projet'!$E$9+1,1))-AVERAGE(OFFSET($H$3,0,0,'Données projet'!$E$9+1,1))</f>
        <v>329.62068845923676</v>
      </c>
      <c r="T33" s="59">
        <f t="shared" si="34"/>
        <v>243.22501652129546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7.1977764380531477</v>
      </c>
      <c r="AA33" s="21">
        <f>EXP(-LN(2)/25)*AA32+(1-EXP(-LN(2)/25))/(LN(2)/25)*Calculateur!V33*Calculateur!X33*VLOOKUP('Données projet'!$B$9,Paramètres!$A$1:$I$89,3,0)*0.475*44/12</f>
        <v>10.137510729933814</v>
      </c>
      <c r="AB33" s="21">
        <f>EXP(-LN(2)/2)*AB32+(1-EXP(-LN(2)/2))/(LN(2)/2)*V33*Y33*VLOOKUP('Données projet'!$B$9,Paramètres!$A$1:$I$89,3,0)*0.475*44/12</f>
        <v>4.296467860995782</v>
      </c>
      <c r="AC33" s="22">
        <f t="shared" si="3"/>
        <v>21.631755028982745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3.3603333333333336</v>
      </c>
      <c r="AI33" s="13">
        <f>IF('Données projet'!$A$62&gt;35,AI32+AH33-AQ32,IF(A33&lt;'Données projet'!$A$62,$AF$205^A33,IF(A33='Données projet'!$A$62,'Données projet'!$B$62,AI32+AH33-AQ32)))</f>
        <v>100.81</v>
      </c>
      <c r="AJ33" s="13">
        <f>AI33*VLOOKUP('Données projet'!$B$10,Paramètres!$A$1:$I$89,3,0)*VLOOKUP('Données projet'!$B$10,Paramètres!$A$1:$I$89,5,0)</f>
        <v>102.22134</v>
      </c>
      <c r="AK33" s="13">
        <f t="shared" si="35"/>
        <v>27.490522596837476</v>
      </c>
      <c r="AL33" s="20">
        <f t="shared" si="4"/>
        <v>225.91482735615861</v>
      </c>
      <c r="AM33" s="59">
        <f t="shared" si="5"/>
        <v>519.2481606894919</v>
      </c>
      <c r="AN33" s="59">
        <f ca="1">AVERAGE(OFFSET($AM$3,0,0,'Données projet'!$E$10+1,1))-AVERAGE(OFFSET($H$3,0,0,'Données projet'!$E$10+1,1))</f>
        <v>486.4870616281359</v>
      </c>
      <c r="AO33" s="59">
        <f t="shared" si="36"/>
        <v>247.29100537955225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4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6.615648000000002</v>
      </c>
      <c r="D34" s="11">
        <f t="shared" si="32"/>
        <v>2.446863982795302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16.78949588391551</v>
      </c>
      <c r="H34" s="67">
        <f t="shared" si="1"/>
        <v>272.45054170336851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16.621666666666666</v>
      </c>
      <c r="N34" s="13">
        <f>IF('Données projet'!$A$36&gt;35,N33+M34-V33,IF(A34&lt;'Données projet'!$A$36,$K$205^A34,IF(A34='Données projet'!$A$36,'Données projet'!$B$36,N33+M34-V33)))</f>
        <v>184.40666666666669</v>
      </c>
      <c r="O34" s="13">
        <f>N34*VLOOKUP('Données projet'!$B$9,Paramètres!$A$1:$I$89,3,0)*VLOOKUP('Données projet'!$B$9,Paramètres!$A$1:$I$89,5,0)</f>
        <v>110.27518666666668</v>
      </c>
      <c r="P34" s="13">
        <f t="shared" si="33"/>
        <v>29.395811266319566</v>
      </c>
      <c r="Q34" s="20">
        <f t="shared" si="2"/>
        <v>243.26032139995104</v>
      </c>
      <c r="R34" s="59">
        <f t="shared" si="0"/>
        <v>536.59365473328432</v>
      </c>
      <c r="S34" s="59">
        <f ca="1">AVERAGE(OFFSET($R$3,0,0,'Données projet'!$E$9+1,1))-AVERAGE(OFFSET($H$3,0,0,'Données projet'!$E$9+1,1))</f>
        <v>329.62068845923676</v>
      </c>
      <c r="T34" s="59">
        <f t="shared" si="34"/>
        <v>243.22501652129546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7.0566324323130551</v>
      </c>
      <c r="AA34" s="21">
        <f>EXP(-LN(2)/25)*AA33+(1-EXP(-LN(2)/25))/(LN(2)/25)*Calculateur!V34*Calculateur!X34*VLOOKUP('Données projet'!$B$9,Paramètres!$A$1:$I$89,3,0)*0.475*44/12</f>
        <v>9.860299965915253</v>
      </c>
      <c r="AB34" s="21">
        <f>EXP(-LN(2)/2)*AB33+(1-EXP(-LN(2)/2))/(LN(2)/2)*V34*Y34*VLOOKUP('Données projet'!$B$9,Paramètres!$A$1:$I$89,3,0)*0.475*44/12</f>
        <v>3.0380615596601785</v>
      </c>
      <c r="AC34" s="22">
        <f t="shared" si="3"/>
        <v>19.954993957888487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3.3603333333333336</v>
      </c>
      <c r="AI34" s="13">
        <f>IF('Données projet'!$A$62&gt;35,AI33+AH34-AQ33,IF(A34&lt;'Données projet'!$A$62,$AF$205^A34,IF(A34='Données projet'!$A$62,'Données projet'!$B$62,AI33+AH34-AQ33)))</f>
        <v>104.17033333333333</v>
      </c>
      <c r="AJ34" s="13">
        <f>AI34*VLOOKUP('Données projet'!$B$10,Paramètres!$A$1:$I$89,3,0)*VLOOKUP('Données projet'!$B$10,Paramètres!$A$1:$I$89,5,0)</f>
        <v>105.62871800000001</v>
      </c>
      <c r="AK34" s="13">
        <f t="shared" si="35"/>
        <v>28.298658476747377</v>
      </c>
      <c r="AL34" s="20">
        <f t="shared" si="4"/>
        <v>233.25684736366836</v>
      </c>
      <c r="AM34" s="59">
        <f t="shared" si="5"/>
        <v>526.59018069700164</v>
      </c>
      <c r="AN34" s="59">
        <f ca="1">AVERAGE(OFFSET($AM$3,0,0,'Données projet'!$E$10+1,1))-AVERAGE(OFFSET($H$3,0,0,'Données projet'!$E$10+1,1))</f>
        <v>486.4870616281359</v>
      </c>
      <c r="AO34" s="59">
        <f t="shared" si="36"/>
        <v>247.29100537955225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4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6.8290560000000022</v>
      </c>
      <c r="D35" s="11">
        <f t="shared" si="32"/>
        <v>2.5164781071040778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17.313831608950714</v>
      </c>
      <c r="H35" s="67">
        <f t="shared" si="1"/>
        <v>272.94347190320627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16.621666666666666</v>
      </c>
      <c r="N35" s="13">
        <f>IF('Données projet'!$A$36&gt;35,N34+M35-V34,IF(A35&lt;'Données projet'!$A$36,$K$205^A35,IF(A35='Données projet'!$A$36,'Données projet'!$B$36,N34+M35-V34)))</f>
        <v>201.02833333333336</v>
      </c>
      <c r="O35" s="13">
        <f>N35*VLOOKUP('Données projet'!$B$9,Paramètres!$A$1:$I$89,3,0)*VLOOKUP('Données projet'!$B$9,Paramètres!$A$1:$I$89,5,0)</f>
        <v>120.21494333333335</v>
      </c>
      <c r="P35" s="13">
        <f t="shared" si="33"/>
        <v>31.725126074196275</v>
      </c>
      <c r="Q35" s="20">
        <f t="shared" ref="Q35:Q66" si="53">(O35+P35)*0.475*44/12</f>
        <v>264.62895421811407</v>
      </c>
      <c r="R35" s="59">
        <f t="shared" si="0"/>
        <v>557.96228755144739</v>
      </c>
      <c r="S35" s="59">
        <f ca="1">AVERAGE(OFFSET($R$3,0,0,'Données projet'!$E$9+1,1))-AVERAGE(OFFSET($H$3,0,0,'Données projet'!$E$9+1,1))</f>
        <v>329.62068845923676</v>
      </c>
      <c r="T35" s="59">
        <f t="shared" si="34"/>
        <v>243.22501652129546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6.9182561744361832</v>
      </c>
      <c r="AA35" s="21">
        <f>EXP(-LN(2)/25)*AA34+(1-EXP(-LN(2)/25))/(LN(2)/25)*Calculateur!V35*Calculateur!X35*VLOOKUP('Données projet'!$B$9,Paramètres!$A$1:$I$89,3,0)*0.475*44/12</f>
        <v>9.5906695448166612</v>
      </c>
      <c r="AB35" s="21">
        <f>EXP(-LN(2)/2)*AB34+(1-EXP(-LN(2)/2))/(LN(2)/2)*V35*Y35*VLOOKUP('Données projet'!$B$9,Paramètres!$A$1:$I$89,3,0)*0.475*44/12</f>
        <v>2.1482339304978915</v>
      </c>
      <c r="AC35" s="22">
        <f t="shared" si="3"/>
        <v>18.657159649750735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3.3603333333333336</v>
      </c>
      <c r="AI35" s="13">
        <f>IF('Données projet'!$A$62&gt;35,AI34+AH35-AQ34,IF(A35&lt;'Données projet'!$A$62,$AF$205^A35,IF(A35='Données projet'!$A$62,'Données projet'!$B$62,AI34+AH35-AQ34)))</f>
        <v>107.53066666666666</v>
      </c>
      <c r="AJ35" s="13">
        <f>AI35*VLOOKUP('Données projet'!$B$10,Paramètres!$A$1:$I$89,3,0)*VLOOKUP('Données projet'!$B$10,Paramètres!$A$1:$I$89,5,0)</f>
        <v>109.036096</v>
      </c>
      <c r="AK35" s="13">
        <f t="shared" si="35"/>
        <v>29.103765071483942</v>
      </c>
      <c r="AL35" s="20">
        <f t="shared" si="4"/>
        <v>240.59359136616786</v>
      </c>
      <c r="AM35" s="59">
        <f t="shared" si="5"/>
        <v>533.92692469950111</v>
      </c>
      <c r="AN35" s="59">
        <f ca="1">AVERAGE(OFFSET($AM$3,0,0,'Données projet'!$E$10+1,1))-AVERAGE(OFFSET($H$3,0,0,'Données projet'!$E$10+1,1))</f>
        <v>486.4870616281359</v>
      </c>
      <c r="AO35" s="59">
        <f t="shared" si="36"/>
        <v>247.29100537955225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4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7.0424640000000025</v>
      </c>
      <c r="D36" s="11">
        <f t="shared" si="32"/>
        <v>2.5858394265516482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17.837698979716741</v>
      </c>
      <c r="H36" s="67">
        <f t="shared" si="1"/>
        <v>273.43596180124416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>
        <f>VLOOKUP(A36,'Données projet'!$A$35:$I$55,2,0)</f>
        <v>217.65</v>
      </c>
      <c r="L36" s="12">
        <f>VLOOKUP(A36,'Données projet'!$A$35:$I$55,9,0)</f>
        <v>16.621666666666666</v>
      </c>
      <c r="M36" s="12">
        <f t="array" ref="M36">INDEX(L:L,MIN(IF(ISNUMBER(L36:L232),ROW(L36:L232),"")))</f>
        <v>16.621666666666666</v>
      </c>
      <c r="N36" s="13">
        <f>IF('Données projet'!$A$36&gt;35,N35+M36-V35,IF(A36&lt;'Données projet'!$A$36,$K$205^A36,IF(A36='Données projet'!$A$36,'Données projet'!$B$36,N35+M36-V35)))</f>
        <v>217.65000000000003</v>
      </c>
      <c r="O36" s="13">
        <f>N36*VLOOKUP('Données projet'!$B$9,Paramètres!$A$1:$I$89,3,0)*VLOOKUP('Données projet'!$B$9,Paramètres!$A$1:$I$89,5,0)</f>
        <v>130.15470000000002</v>
      </c>
      <c r="P36" s="13">
        <f t="shared" si="33"/>
        <v>34.032103485601695</v>
      </c>
      <c r="Q36" s="20">
        <f t="shared" si="53"/>
        <v>285.95868273742298</v>
      </c>
      <c r="R36" s="59">
        <f t="shared" si="0"/>
        <v>579.29201607075629</v>
      </c>
      <c r="S36" s="59">
        <f ca="1">AVERAGE(OFFSET($R$3,0,0,'Données projet'!$E$9+1,1))-AVERAGE(OFFSET($H$3,0,0,'Données projet'!$E$9+1,1))</f>
        <v>329.62068845923676</v>
      </c>
      <c r="T36" s="59">
        <f t="shared" si="34"/>
        <v>243.22501652129546</v>
      </c>
      <c r="U36" s="15">
        <f>IF(ISNA(VLOOKUP(A36,'Données projet'!$A$35:$I$55,3,0)),0,VLOOKUP(A36,'Données projet'!$A$35:$I$55,3,0))</f>
        <v>3</v>
      </c>
      <c r="V36" s="15">
        <f>IF(ISNA(VLOOKUP(A36,'Données projet'!$A$35:$I$55,4,0)),0,VLOOKUP(A36,'Données projet'!$A$35:$I$55,4,0))</f>
        <v>50.460000000000008</v>
      </c>
      <c r="W36" s="16">
        <f>IF(ISNA(VLOOKUP(A36,'Données projet'!$A$35:$I$55,5,0)),0%,VLOOKUP(A36,'Données projet'!$A$35:$I$55,5,0)*VLOOKUP('Données projet'!$B$9,Paramètres!$A$1:$I$89,7,0))</f>
        <v>0.1125</v>
      </c>
      <c r="X36" s="16">
        <f>IF(ISNA(VLOOKUP(A36,'Données projet'!$A$35:$I$55,6,0)),0%,VLOOKUP(A36,'Données projet'!$A$35:$I$55,6,0)*VLOOKUP('Données projet'!$B$9,Paramètres!$A$1:$I$89,7,0))</f>
        <v>0.16650000000000001</v>
      </c>
      <c r="Y36" s="16">
        <f>IF(ISNA(VLOOKUP(A36,'Données projet'!$A$35:$I$55,7,0)),0%,VLOOKUP(A36,'Données projet'!$A$35:$I$55,7,0))</f>
        <v>0.38</v>
      </c>
      <c r="Z36" s="21">
        <f>EXP(-LN(2)/35)*Z35+(1-EXP(-LN(2)/35))/(LN(2)/35)*V36*W36*VLOOKUP('Données projet'!$B$9,Paramètres!$A$1:$I$89,3,0)*0.475*44/12</f>
        <v>11.285877104480107</v>
      </c>
      <c r="AA36" s="21">
        <f>EXP(-LN(2)/25)*AA35+(1-EXP(-LN(2)/25))/(LN(2)/25)*Calculateur!V36*Calculateur!X36*VLOOKUP('Données projet'!$B$9,Paramètres!$A$1:$I$89,3,0)*0.475*44/12</f>
        <v>15.967029985418133</v>
      </c>
      <c r="AB36" s="21">
        <f>EXP(-LN(2)/2)*AB35+(1-EXP(-LN(2)/2))/(LN(2)/2)*V36*Y36*VLOOKUP('Données projet'!$B$9,Paramètres!$A$1:$I$89,3,0)*0.475*44/12</f>
        <v>14.501806839279157</v>
      </c>
      <c r="AC36" s="22">
        <f t="shared" si="3"/>
        <v>41.754713929177399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3.3603333333333336</v>
      </c>
      <c r="AI36" s="13">
        <f>IF('Données projet'!$A$62&gt;35,AI35+AH36-AQ35,IF(A36&lt;'Données projet'!$A$62,$AF$205^A36,IF(A36='Données projet'!$A$62,'Données projet'!$B$62,AI35+AH36-AQ35)))</f>
        <v>110.89099999999999</v>
      </c>
      <c r="AJ36" s="13">
        <f>AI36*VLOOKUP('Données projet'!$B$10,Paramètres!$A$1:$I$89,3,0)*VLOOKUP('Données projet'!$B$10,Paramètres!$A$1:$I$89,5,0)</f>
        <v>112.44347399999999</v>
      </c>
      <c r="AK36" s="13">
        <f t="shared" si="35"/>
        <v>29.905947908104487</v>
      </c>
      <c r="AL36" s="20">
        <f t="shared" si="4"/>
        <v>247.92524315661532</v>
      </c>
      <c r="AM36" s="59">
        <f t="shared" si="5"/>
        <v>541.25857648994861</v>
      </c>
      <c r="AN36" s="59">
        <f ca="1">AVERAGE(OFFSET($AM$3,0,0,'Données projet'!$E$10+1,1))-AVERAGE(OFFSET($H$3,0,0,'Données projet'!$E$10+1,1))</f>
        <v>486.4870616281359</v>
      </c>
      <c r="AO36" s="59">
        <f t="shared" si="36"/>
        <v>247.29100537955225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4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7.2558720000000028</v>
      </c>
      <c r="D37" s="11">
        <f t="shared" si="32"/>
        <v>2.6549564811882083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18.361113817780264</v>
      </c>
      <c r="H37" s="67">
        <f t="shared" si="1"/>
        <v>273.92802627140281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16.693750000000001</v>
      </c>
      <c r="N37" s="13">
        <f>IF('Données projet'!$A$36&gt;35,N36+M37-V36,IF(A37&lt;'Données projet'!$A$36,$K$205^A37,IF(A37='Données projet'!$A$36,'Données projet'!$B$36,N36+M37-V36)))</f>
        <v>183.88375000000002</v>
      </c>
      <c r="O37" s="13">
        <f>N37*VLOOKUP('Données projet'!$B$9,Paramètres!$A$1:$I$89,3,0)*VLOOKUP('Données projet'!$B$9,Paramètres!$A$1:$I$89,5,0)</f>
        <v>109.96248250000002</v>
      </c>
      <c r="P37" s="13">
        <f t="shared" si="33"/>
        <v>29.322144981447174</v>
      </c>
      <c r="Q37" s="20">
        <f t="shared" si="53"/>
        <v>242.58739286352048</v>
      </c>
      <c r="R37" s="59">
        <f t="shared" si="0"/>
        <v>535.92072619685382</v>
      </c>
      <c r="S37" s="59">
        <f ca="1">AVERAGE(OFFSET($R$3,0,0,'Données projet'!$E$9+1,1))-AVERAGE(OFFSET($H$3,0,0,'Données projet'!$E$9+1,1))</f>
        <v>329.62068845923676</v>
      </c>
      <c r="T37" s="59">
        <f t="shared" si="34"/>
        <v>243.22501652129546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11.064567938166578</v>
      </c>
      <c r="AA37" s="21">
        <f>EXP(-LN(2)/25)*AA36+(1-EXP(-LN(2)/25))/(LN(2)/25)*Calculateur!V37*Calculateur!X37*VLOOKUP('Données projet'!$B$9,Paramètres!$A$1:$I$89,3,0)*0.475*44/12</f>
        <v>15.530410710797261</v>
      </c>
      <c r="AB37" s="21">
        <f>EXP(-LN(2)/2)*AB36+(1-EXP(-LN(2)/2))/(LN(2)/2)*V37*Y37*VLOOKUP('Données projet'!$B$9,Paramètres!$A$1:$I$89,3,0)*0.475*44/12</f>
        <v>10.254325955511746</v>
      </c>
      <c r="AC37" s="22">
        <f t="shared" si="3"/>
        <v>36.849304604475584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3.3603333333333336</v>
      </c>
      <c r="AI37" s="13">
        <f>IF('Données projet'!$A$62&gt;35,AI36+AH37-AQ36,IF(A37&lt;'Données projet'!$A$62,$AF$205^A37,IF(A37='Données projet'!$A$62,'Données projet'!$B$62,AI36+AH37-AQ36)))</f>
        <v>114.25133333333332</v>
      </c>
      <c r="AJ37" s="13">
        <f>AI37*VLOOKUP('Données projet'!$B$10,Paramètres!$A$1:$I$89,3,0)*VLOOKUP('Données projet'!$B$10,Paramètres!$A$1:$I$89,5,0)</f>
        <v>115.85085199999999</v>
      </c>
      <c r="AK37" s="13">
        <f t="shared" si="35"/>
        <v>30.705305754650677</v>
      </c>
      <c r="AL37" s="20">
        <f t="shared" si="4"/>
        <v>255.25197475601655</v>
      </c>
      <c r="AM37" s="59">
        <f t="shared" si="5"/>
        <v>548.58530808934984</v>
      </c>
      <c r="AN37" s="59">
        <f ca="1">AVERAGE(OFFSET($AM$3,0,0,'Données projet'!$E$10+1,1))-AVERAGE(OFFSET($H$3,0,0,'Données projet'!$E$10+1,1))</f>
        <v>486.4870616281359</v>
      </c>
      <c r="AO37" s="59">
        <f t="shared" si="36"/>
        <v>247.29100537955225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4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7.469280000000003</v>
      </c>
      <c r="D38" s="11">
        <f t="shared" si="32"/>
        <v>2.7238372801480639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18.884090961116421</v>
      </c>
      <c r="H38" s="67">
        <f t="shared" si="1"/>
        <v>274.41967926292455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16.693750000000001</v>
      </c>
      <c r="N38" s="13">
        <f>IF('Données projet'!$A$36&gt;35,N37+M38-V37,IF(A38&lt;'Données projet'!$A$36,$K$205^A38,IF(A38='Données projet'!$A$36,'Données projet'!$B$36,N37+M38-V37)))</f>
        <v>200.57750000000001</v>
      </c>
      <c r="O38" s="13">
        <f>N38*VLOOKUP('Données projet'!$B$9,Paramètres!$A$1:$I$89,3,0)*VLOOKUP('Données projet'!$B$9,Paramètres!$A$1:$I$89,5,0)</f>
        <v>119.94534500000002</v>
      </c>
      <c r="P38" s="13">
        <f t="shared" si="33"/>
        <v>31.662251574949313</v>
      </c>
      <c r="Q38" s="20">
        <f t="shared" si="53"/>
        <v>264.04989736803674</v>
      </c>
      <c r="R38" s="59">
        <f t="shared" si="0"/>
        <v>557.38323070137005</v>
      </c>
      <c r="S38" s="59">
        <f ca="1">AVERAGE(OFFSET($R$3,0,0,'Données projet'!$E$9+1,1))-AVERAGE(OFFSET($H$3,0,0,'Données projet'!$E$9+1,1))</f>
        <v>329.62068845923676</v>
      </c>
      <c r="T38" s="59">
        <f t="shared" si="34"/>
        <v>243.22501652129546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10.847598509619193</v>
      </c>
      <c r="AA38" s="21">
        <f>EXP(-LN(2)/25)*AA37+(1-EXP(-LN(2)/25))/(LN(2)/25)*Calculateur!V38*Calculateur!X38*VLOOKUP('Données projet'!$B$9,Paramètres!$A$1:$I$89,3,0)*0.475*44/12</f>
        <v>15.105730813201706</v>
      </c>
      <c r="AB38" s="21">
        <f>EXP(-LN(2)/2)*AB37+(1-EXP(-LN(2)/2))/(LN(2)/2)*V38*Y38*VLOOKUP('Données projet'!$B$9,Paramètres!$A$1:$I$89,3,0)*0.475*44/12</f>
        <v>7.2509034196395792</v>
      </c>
      <c r="AC38" s="22">
        <f t="shared" si="3"/>
        <v>33.204232742460476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3.3603333333333336</v>
      </c>
      <c r="AI38" s="13">
        <f>IF('Données projet'!$A$62&gt;35,AI37+AH38-AQ37,IF(A38&lt;'Données projet'!$A$62,$AF$205^A38,IF(A38='Données projet'!$A$62,'Données projet'!$B$62,AI37+AH38-AQ37)))</f>
        <v>117.61166666666665</v>
      </c>
      <c r="AJ38" s="13">
        <f>AI38*VLOOKUP('Données projet'!$B$10,Paramètres!$A$1:$I$89,3,0)*VLOOKUP('Données projet'!$B$10,Paramètres!$A$1:$I$89,5,0)</f>
        <v>119.25823</v>
      </c>
      <c r="AK38" s="13">
        <f t="shared" si="35"/>
        <v>31.501931238975171</v>
      </c>
      <c r="AL38" s="20">
        <f t="shared" si="4"/>
        <v>262.57394749121505</v>
      </c>
      <c r="AM38" s="59">
        <f t="shared" si="5"/>
        <v>555.90728082454837</v>
      </c>
      <c r="AN38" s="59">
        <f ca="1">AVERAGE(OFFSET($AM$3,0,0,'Données projet'!$E$10+1,1))-AVERAGE(OFFSET($H$3,0,0,'Données projet'!$E$10+1,1))</f>
        <v>486.4870616281359</v>
      </c>
      <c r="AO38" s="59">
        <f t="shared" si="36"/>
        <v>247.29100537955225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4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7.6826880000000033</v>
      </c>
      <c r="D39" s="11">
        <f t="shared" si="32"/>
        <v>2.7924893488699181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19.406644351590593</v>
      </c>
      <c r="H39" s="67">
        <f t="shared" si="1"/>
        <v>274.91093388261515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16.693750000000001</v>
      </c>
      <c r="N39" s="13">
        <f>IF('Données projet'!$A$36&gt;35,N38+M39-V38,IF(A39&lt;'Données projet'!$A$36,$K$205^A39,IF(A39='Données projet'!$A$36,'Données projet'!$B$36,N38+M39-V38)))</f>
        <v>217.27125000000001</v>
      </c>
      <c r="O39" s="13">
        <f>N39*VLOOKUP('Données projet'!$B$9,Paramètres!$A$1:$I$89,3,0)*VLOOKUP('Données projet'!$B$9,Paramètres!$A$1:$I$89,5,0)</f>
        <v>129.92820750000001</v>
      </c>
      <c r="P39" s="13">
        <f t="shared" si="33"/>
        <v>33.97976966017913</v>
      </c>
      <c r="Q39" s="20">
        <f t="shared" si="53"/>
        <v>285.47306022064532</v>
      </c>
      <c r="R39" s="59">
        <f t="shared" si="0"/>
        <v>578.80639355397864</v>
      </c>
      <c r="S39" s="59">
        <f ca="1">AVERAGE(OFFSET($R$3,0,0,'Données projet'!$E$9+1,1))-AVERAGE(OFFSET($H$3,0,0,'Données projet'!$E$9+1,1))</f>
        <v>329.62068845923676</v>
      </c>
      <c r="T39" s="59">
        <f t="shared" si="34"/>
        <v>243.22501652129546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10.634883719227338</v>
      </c>
      <c r="AA39" s="21">
        <f>EXP(-LN(2)/25)*AA38+(1-EXP(-LN(2)/25))/(LN(2)/25)*Calculateur!V39*Calculateur!X39*VLOOKUP('Données projet'!$B$9,Paramètres!$A$1:$I$89,3,0)*0.475*44/12</f>
        <v>14.692663809738846</v>
      </c>
      <c r="AB39" s="21">
        <f>EXP(-LN(2)/2)*AB38+(1-EXP(-LN(2)/2))/(LN(2)/2)*V39*Y39*VLOOKUP('Données projet'!$B$9,Paramètres!$A$1:$I$89,3,0)*0.475*44/12</f>
        <v>5.1271629777558738</v>
      </c>
      <c r="AC39" s="22">
        <f t="shared" si="3"/>
        <v>30.454710506722058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3.3603333333333336</v>
      </c>
      <c r="AI39" s="13">
        <f>IF('Données projet'!$A$62&gt;35,AI38+AH39-AQ38,IF(A39&lt;'Données projet'!$A$62,$AF$205^A39,IF(A39='Données projet'!$A$62,'Données projet'!$B$62,AI38+AH39-AQ38)))</f>
        <v>120.97199999999998</v>
      </c>
      <c r="AJ39" s="13">
        <f>AI39*VLOOKUP('Données projet'!$B$10,Paramètres!$A$1:$I$89,3,0)*VLOOKUP('Données projet'!$B$10,Paramètres!$A$1:$I$89,5,0)</f>
        <v>122.66560799999998</v>
      </c>
      <c r="AK39" s="13">
        <f t="shared" si="35"/>
        <v>32.295911394857214</v>
      </c>
      <c r="AL39" s="20">
        <f t="shared" si="4"/>
        <v>269.89131294604289</v>
      </c>
      <c r="AM39" s="59">
        <f t="shared" si="5"/>
        <v>563.2246462793762</v>
      </c>
      <c r="AN39" s="59">
        <f ca="1">AVERAGE(OFFSET($AM$3,0,0,'Données projet'!$E$10+1,1))-AVERAGE(OFFSET($H$3,0,0,'Données projet'!$E$10+1,1))</f>
        <v>486.4870616281359</v>
      </c>
      <c r="AO39" s="59">
        <f t="shared" si="36"/>
        <v>247.29100537955225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4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7.8960960000000036</v>
      </c>
      <c r="D40" s="11">
        <f t="shared" si="32"/>
        <v>2.8609197709229637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19.928787112446763</v>
      </c>
      <c r="H40" s="67">
        <f t="shared" si="1"/>
        <v>275.40180246769086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16.693750000000001</v>
      </c>
      <c r="N40" s="13">
        <f>IF('Données projet'!$A$36&gt;35,N39+M40-V39,IF(A40&lt;'Données projet'!$A$36,$K$205^A40,IF(A40='Données projet'!$A$36,'Données projet'!$B$36,N39+M40-V39)))</f>
        <v>233.965</v>
      </c>
      <c r="O40" s="13">
        <f>N40*VLOOKUP('Données projet'!$B$9,Paramètres!$A$1:$I$89,3,0)*VLOOKUP('Données projet'!$B$9,Paramètres!$A$1:$I$89,5,0)</f>
        <v>139.91107000000002</v>
      </c>
      <c r="P40" s="13">
        <f t="shared" si="33"/>
        <v>36.276632127461212</v>
      </c>
      <c r="Q40" s="20">
        <f t="shared" si="53"/>
        <v>306.860247871995</v>
      </c>
      <c r="R40" s="59">
        <f t="shared" si="0"/>
        <v>600.19358120532831</v>
      </c>
      <c r="S40" s="59">
        <f ca="1">AVERAGE(OFFSET($R$3,0,0,'Données projet'!$E$9+1,1))-AVERAGE(OFFSET($H$3,0,0,'Données projet'!$E$9+1,1))</f>
        <v>329.62068845923676</v>
      </c>
      <c r="T40" s="59">
        <f t="shared" si="34"/>
        <v>243.22501652129546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10.426340136131856</v>
      </c>
      <c r="AA40" s="21">
        <f>EXP(-LN(2)/25)*AA39+(1-EXP(-LN(2)/25))/(LN(2)/25)*Calculateur!V40*Calculateur!X40*VLOOKUP('Données projet'!$B$9,Paramètres!$A$1:$I$89,3,0)*0.475*44/12</f>
        <v>14.290892145207929</v>
      </c>
      <c r="AB40" s="21">
        <f>EXP(-LN(2)/2)*AB39+(1-EXP(-LN(2)/2))/(LN(2)/2)*V40*Y40*VLOOKUP('Données projet'!$B$9,Paramètres!$A$1:$I$89,3,0)*0.475*44/12</f>
        <v>3.6254517098197905</v>
      </c>
      <c r="AC40" s="22">
        <f t="shared" si="3"/>
        <v>28.342683991159575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3.3603333333333336</v>
      </c>
      <c r="AI40" s="13">
        <f>IF('Données projet'!$A$62&gt;35,AI39+AH40-AQ39,IF(A40&lt;'Données projet'!$A$62,$AF$205^A40,IF(A40='Données projet'!$A$62,'Données projet'!$B$62,AI39+AH40-AQ39)))</f>
        <v>124.33233333333331</v>
      </c>
      <c r="AJ40" s="13">
        <f>AI40*VLOOKUP('Données projet'!$B$10,Paramètres!$A$1:$I$89,3,0)*VLOOKUP('Données projet'!$B$10,Paramètres!$A$1:$I$89,5,0)</f>
        <v>126.07298599999999</v>
      </c>
      <c r="AK40" s="13">
        <f t="shared" si="35"/>
        <v>33.08732814573294</v>
      </c>
      <c r="AL40" s="20">
        <f t="shared" si="4"/>
        <v>277.20421380381816</v>
      </c>
      <c r="AM40" s="59">
        <f t="shared" si="5"/>
        <v>570.53754713715148</v>
      </c>
      <c r="AN40" s="59">
        <f ca="1">AVERAGE(OFFSET($AM$3,0,0,'Données projet'!$E$10+1,1))-AVERAGE(OFFSET($H$3,0,0,'Données projet'!$E$10+1,1))</f>
        <v>486.4870616281359</v>
      </c>
      <c r="AO40" s="59">
        <f t="shared" si="36"/>
        <v>247.29100537955225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4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8.1095040000000029</v>
      </c>
      <c r="D41" s="11">
        <f t="shared" si="32"/>
        <v>2.9291352251840594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20.450531617183106</v>
      </c>
      <c r="H41" s="67">
        <f t="shared" si="1"/>
        <v>275.89229665052892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16.693750000000001</v>
      </c>
      <c r="N41" s="13">
        <f>IF('Données projet'!$A$36&gt;35,N40+M41-V40,IF(A41&lt;'Données projet'!$A$36,$K$205^A41,IF(A41='Données projet'!$A$36,'Données projet'!$B$36,N40+M41-V40)))</f>
        <v>250.65875</v>
      </c>
      <c r="O41" s="13">
        <f>N41*VLOOKUP('Données projet'!$B$9,Paramètres!$A$1:$I$89,3,0)*VLOOKUP('Données projet'!$B$9,Paramètres!$A$1:$I$89,5,0)</f>
        <v>149.89393250000001</v>
      </c>
      <c r="P41" s="13">
        <f t="shared" si="33"/>
        <v>38.554480408619099</v>
      </c>
      <c r="Q41" s="20">
        <f t="shared" si="53"/>
        <v>328.21431914917827</v>
      </c>
      <c r="R41" s="59">
        <f t="shared" si="0"/>
        <v>621.54765248251158</v>
      </c>
      <c r="S41" s="59">
        <f ca="1">AVERAGE(OFFSET($R$3,0,0,'Données projet'!$E$9+1,1))-AVERAGE(OFFSET($H$3,0,0,'Données projet'!$E$9+1,1))</f>
        <v>329.62068845923676</v>
      </c>
      <c r="T41" s="59">
        <f t="shared" si="34"/>
        <v>243.22501652129546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10.221885965501851</v>
      </c>
      <c r="AA41" s="21">
        <f>EXP(-LN(2)/25)*AA40+(1-EXP(-LN(2)/25))/(LN(2)/25)*Calculateur!V41*Calculateur!X41*VLOOKUP('Données projet'!$B$9,Paramètres!$A$1:$I$89,3,0)*0.475*44/12</f>
        <v>13.900106947971862</v>
      </c>
      <c r="AB41" s="21">
        <f>EXP(-LN(2)/2)*AB40+(1-EXP(-LN(2)/2))/(LN(2)/2)*V41*Y41*VLOOKUP('Données projet'!$B$9,Paramètres!$A$1:$I$89,3,0)*0.475*44/12</f>
        <v>2.5635814888779374</v>
      </c>
      <c r="AC41" s="22">
        <f t="shared" si="3"/>
        <v>26.685574402351648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3.3603333333333336</v>
      </c>
      <c r="AI41" s="13">
        <f>IF('Données projet'!$A$62&gt;35,AI40+AH41-AQ40,IF(A41&lt;'Données projet'!$A$62,$AF$205^A41,IF(A41='Données projet'!$A$62,'Données projet'!$B$62,AI40+AH41-AQ40)))</f>
        <v>127.69266666666664</v>
      </c>
      <c r="AJ41" s="13">
        <f>AI41*VLOOKUP('Données projet'!$B$10,Paramètres!$A$1:$I$89,3,0)*VLOOKUP('Données projet'!$B$10,Paramètres!$A$1:$I$89,5,0)</f>
        <v>129.48036399999998</v>
      </c>
      <c r="AK41" s="13">
        <f t="shared" si="35"/>
        <v>33.876258734659984</v>
      </c>
      <c r="AL41" s="20">
        <f t="shared" si="4"/>
        <v>284.51278459619942</v>
      </c>
      <c r="AM41" s="59">
        <f t="shared" si="5"/>
        <v>577.84611792953274</v>
      </c>
      <c r="AN41" s="59">
        <f ca="1">AVERAGE(OFFSET($AM$3,0,0,'Données projet'!$E$10+1,1))-AVERAGE(OFFSET($H$3,0,0,'Données projet'!$E$10+1,1))</f>
        <v>486.4870616281359</v>
      </c>
      <c r="AO41" s="59">
        <f t="shared" si="36"/>
        <v>247.29100537955225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4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8.3229120000000023</v>
      </c>
      <c r="D42" s="11">
        <f t="shared" si="32"/>
        <v>2.9971420189914642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20.971889550973664</v>
      </c>
      <c r="H42" s="67">
        <f t="shared" si="1"/>
        <v>276.38242741641017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16.693750000000001</v>
      </c>
      <c r="N42" s="13">
        <f>IF('Données projet'!$A$36&gt;35,N41+M42-V41,IF(A42&lt;'Données projet'!$A$36,$K$205^A42,IF(A42='Données projet'!$A$36,'Données projet'!$B$36,N41+M42-V41)))</f>
        <v>267.35250000000002</v>
      </c>
      <c r="O42" s="13">
        <f>N42*VLOOKUP('Données projet'!$B$9,Paramètres!$A$1:$I$89,3,0)*VLOOKUP('Données projet'!$B$9,Paramètres!$A$1:$I$89,5,0)</f>
        <v>159.87679500000002</v>
      </c>
      <c r="P42" s="13">
        <f t="shared" si="33"/>
        <v>40.814724929285397</v>
      </c>
      <c r="Q42" s="20">
        <f t="shared" si="53"/>
        <v>349.5377305435054</v>
      </c>
      <c r="R42" s="59">
        <f t="shared" si="0"/>
        <v>642.87106387683866</v>
      </c>
      <c r="S42" s="59">
        <f ca="1">AVERAGE(OFFSET($R$3,0,0,'Données projet'!$E$9+1,1))-AVERAGE(OFFSET($H$3,0,0,'Données projet'!$E$9+1,1))</f>
        <v>329.62068845923676</v>
      </c>
      <c r="T42" s="59">
        <f t="shared" si="34"/>
        <v>243.22501652129546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10.021441016453171</v>
      </c>
      <c r="AA42" s="21">
        <f>EXP(-LN(2)/25)*AA41+(1-EXP(-LN(2)/25))/(LN(2)/25)*Calculateur!V42*Calculateur!X42*VLOOKUP('Données projet'!$B$9,Paramètres!$A$1:$I$89,3,0)*0.475*44/12</f>
        <v>13.520007792504716</v>
      </c>
      <c r="AB42" s="21">
        <f>EXP(-LN(2)/2)*AB41+(1-EXP(-LN(2)/2))/(LN(2)/2)*V42*Y42*VLOOKUP('Données projet'!$B$9,Paramètres!$A$1:$I$89,3,0)*0.475*44/12</f>
        <v>1.8127258549098955</v>
      </c>
      <c r="AC42" s="22">
        <f t="shared" si="3"/>
        <v>25.354174663867784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3.3603333333333336</v>
      </c>
      <c r="AI42" s="13">
        <f>IF('Données projet'!$A$62&gt;35,AI41+AH42-AQ41,IF(A42&lt;'Données projet'!$A$62,$AF$205^A42,IF(A42='Données projet'!$A$62,'Données projet'!$B$62,AI41+AH42-AQ41)))</f>
        <v>131.05299999999997</v>
      </c>
      <c r="AJ42" s="13">
        <f>AI42*VLOOKUP('Données projet'!$B$10,Paramètres!$A$1:$I$89,3,0)*VLOOKUP('Données projet'!$B$10,Paramètres!$A$1:$I$89,5,0)</f>
        <v>132.88774199999997</v>
      </c>
      <c r="AK42" s="13">
        <f t="shared" si="35"/>
        <v>34.662776107749004</v>
      </c>
      <c r="AL42" s="20">
        <f t="shared" si="4"/>
        <v>291.81715237099615</v>
      </c>
      <c r="AM42" s="59">
        <f t="shared" si="5"/>
        <v>585.15048570432941</v>
      </c>
      <c r="AN42" s="59">
        <f ca="1">AVERAGE(OFFSET($AM$3,0,0,'Données projet'!$E$10+1,1))-AVERAGE(OFFSET($H$3,0,0,'Données projet'!$E$10+1,1))</f>
        <v>486.4870616281359</v>
      </c>
      <c r="AO42" s="59">
        <f t="shared" si="36"/>
        <v>247.29100537955225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4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8.5363200000000017</v>
      </c>
      <c r="D43" s="11">
        <f t="shared" si="32"/>
        <v>3.0649461178024713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21.492871965613006</v>
      </c>
      <c r="H43" s="67">
        <f t="shared" si="1"/>
        <v>276.87220515517265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16.693750000000001</v>
      </c>
      <c r="N43" s="13">
        <f>IF('Données projet'!$A$36&gt;35,N42+M43-V42,IF(A43&lt;'Données projet'!$A$36,$K$205^A43,IF(A43='Données projet'!$A$36,'Données projet'!$B$36,N42+M43-V42)))</f>
        <v>284.04625000000004</v>
      </c>
      <c r="O43" s="13">
        <f>N43*VLOOKUP('Données projet'!$B$9,Paramètres!$A$1:$I$89,3,0)*VLOOKUP('Données projet'!$B$9,Paramètres!$A$1:$I$89,5,0)</f>
        <v>169.85965750000003</v>
      </c>
      <c r="P43" s="13">
        <f t="shared" si="33"/>
        <v>43.058590023226742</v>
      </c>
      <c r="Q43" s="20">
        <f t="shared" si="53"/>
        <v>370.83261443628663</v>
      </c>
      <c r="R43" s="59">
        <f t="shared" si="0"/>
        <v>664.16594776961995</v>
      </c>
      <c r="S43" s="59">
        <f ca="1">AVERAGE(OFFSET($R$3,0,0,'Données projet'!$E$9+1,1))-AVERAGE(OFFSET($H$3,0,0,'Données projet'!$E$9+1,1))</f>
        <v>329.62068845923676</v>
      </c>
      <c r="T43" s="59">
        <f t="shared" si="34"/>
        <v>243.22501652129546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9.8249266705959872</v>
      </c>
      <c r="AA43" s="21">
        <f>EXP(-LN(2)/25)*AA42+(1-EXP(-LN(2)/25))/(LN(2)/25)*Calculateur!V43*Calculateur!X43*VLOOKUP('Données projet'!$B$9,Paramètres!$A$1:$I$89,3,0)*0.475*44/12</f>
        <v>13.150302468432365</v>
      </c>
      <c r="AB43" s="21">
        <f>EXP(-LN(2)/2)*AB42+(1-EXP(-LN(2)/2))/(LN(2)/2)*V43*Y43*VLOOKUP('Données projet'!$B$9,Paramètres!$A$1:$I$89,3,0)*0.475*44/12</f>
        <v>1.2817907444389689</v>
      </c>
      <c r="AC43" s="22">
        <f t="shared" si="3"/>
        <v>24.257019883467319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3.3603333333333336</v>
      </c>
      <c r="AI43" s="13">
        <f>IF('Données projet'!$A$62&gt;35,AI42+AH43-AQ42,IF(A43&lt;'Données projet'!$A$62,$AF$205^A43,IF(A43='Données projet'!$A$62,'Données projet'!$B$62,AI42+AH43-AQ42)))</f>
        <v>134.4133333333333</v>
      </c>
      <c r="AJ43" s="13">
        <f>AI43*VLOOKUP('Données projet'!$B$10,Paramètres!$A$1:$I$89,3,0)*VLOOKUP('Données projet'!$B$10,Paramètres!$A$1:$I$89,5,0)</f>
        <v>136.29511999999997</v>
      </c>
      <c r="AK43" s="13">
        <f t="shared" si="35"/>
        <v>35.44694925716302</v>
      </c>
      <c r="AL43" s="20">
        <f t="shared" si="4"/>
        <v>299.11743728955889</v>
      </c>
      <c r="AM43" s="59">
        <f t="shared" si="5"/>
        <v>592.45077062289215</v>
      </c>
      <c r="AN43" s="59">
        <f ca="1">AVERAGE(OFFSET($AM$3,0,0,'Données projet'!$E$10+1,1))-AVERAGE(OFFSET($H$3,0,0,'Données projet'!$E$10+1,1))</f>
        <v>486.4870616281359</v>
      </c>
      <c r="AO43" s="59">
        <f t="shared" si="36"/>
        <v>247.29100537955225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4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8.7497280000000011</v>
      </c>
      <c r="D44" s="11">
        <f t="shared" si="32"/>
        <v>3.1325531718018271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22.013489328811811</v>
      </c>
      <c r="H44" s="67">
        <f t="shared" si="1"/>
        <v>277.36163970755484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>
        <f>VLOOKUP(A44,'Données projet'!$A$35:$I$55,2,0)</f>
        <v>300.74</v>
      </c>
      <c r="L44" s="12">
        <f>VLOOKUP(A44,'Données projet'!$A$35:$I$55,9,0)</f>
        <v>16.693750000000001</v>
      </c>
      <c r="M44" s="12">
        <f t="array" ref="M44">INDEX(L:L,MIN(IF(ISNUMBER(L44:L240),ROW(L44:L240),"")))</f>
        <v>16.693750000000001</v>
      </c>
      <c r="N44" s="13">
        <f>IF('Données projet'!$A$36&gt;35,N43+M44-V43,IF(A44&lt;'Données projet'!$A$36,$K$205^A44,IF(A44='Données projet'!$A$36,'Données projet'!$B$36,N43+M44-V43)))</f>
        <v>300.74000000000007</v>
      </c>
      <c r="O44" s="13">
        <f>N44*VLOOKUP('Données projet'!$B$9,Paramètres!$A$1:$I$89,3,0)*VLOOKUP('Données projet'!$B$9,Paramètres!$A$1:$I$89,5,0)</f>
        <v>179.84252000000006</v>
      </c>
      <c r="P44" s="13">
        <f t="shared" si="33"/>
        <v>45.287147983377729</v>
      </c>
      <c r="Q44" s="20">
        <f t="shared" si="53"/>
        <v>392.10083840438301</v>
      </c>
      <c r="R44" s="59">
        <f t="shared" si="0"/>
        <v>685.43417173771627</v>
      </c>
      <c r="S44" s="59">
        <f ca="1">AVERAGE(OFFSET($R$3,0,0,'Données projet'!$E$9+1,1))-AVERAGE(OFFSET($H$3,0,0,'Données projet'!$E$9+1,1))</f>
        <v>329.62068845923676</v>
      </c>
      <c r="T44" s="59">
        <f t="shared" si="34"/>
        <v>243.22501652129546</v>
      </c>
      <c r="U44" s="15">
        <f>IF(ISNA(VLOOKUP(A44,'Données projet'!$A$35:$I$55,3,0)),0,VLOOKUP(A44,'Données projet'!$A$35:$I$55,3,0))</f>
        <v>4</v>
      </c>
      <c r="V44" s="15">
        <f>IF(ISNA(VLOOKUP(A44,'Données projet'!$A$35:$I$55,4,0)),0,VLOOKUP(A44,'Données projet'!$A$35:$I$55,4,0))</f>
        <v>72.16</v>
      </c>
      <c r="W44" s="16">
        <f>IF(ISNA(VLOOKUP(A44,'Données projet'!$A$35:$I$55,5,0)),0%,VLOOKUP(A44,'Données projet'!$A$35:$I$55,5,0)*VLOOKUP('Données projet'!$B$9,Paramètres!$A$1:$I$89,7,0))</f>
        <v>0.27</v>
      </c>
      <c r="X44" s="16">
        <f>IF(ISNA(VLOOKUP(A44,'Données projet'!$A$35:$I$55,6,0)),0%,VLOOKUP(A44,'Données projet'!$A$35:$I$55,6,0)*VLOOKUP('Données projet'!$B$9,Paramètres!$A$1:$I$89,7,0))</f>
        <v>9.0000000000000011E-2</v>
      </c>
      <c r="Y44" s="16">
        <f>IF(ISNA(VLOOKUP(A44,'Données projet'!$A$35:$I$55,7,0)),0%,VLOOKUP(A44,'Données projet'!$A$35:$I$55,7,0))</f>
        <v>0.2</v>
      </c>
      <c r="Z44" s="21">
        <f>EXP(-LN(2)/35)*Z43+(1-EXP(-LN(2)/35))/(LN(2)/35)*V44*W44*VLOOKUP('Données projet'!$B$9,Paramètres!$A$1:$I$89,3,0)*0.475*44/12</f>
        <v>25.088006768934498</v>
      </c>
      <c r="AA44" s="21">
        <f>EXP(-LN(2)/25)*AA43+(1-EXP(-LN(2)/25))/(LN(2)/25)*Calculateur!V44*Calculateur!X44*VLOOKUP('Données projet'!$B$9,Paramètres!$A$1:$I$89,3,0)*0.475*44/12</f>
        <v>17.922335348103143</v>
      </c>
      <c r="AB44" s="21">
        <f>EXP(-LN(2)/2)*AB43+(1-EXP(-LN(2)/2))/(LN(2)/2)*V44*Y44*VLOOKUP('Données projet'!$B$9,Paramètres!$A$1:$I$89,3,0)*0.475*44/12</f>
        <v>10.677908085160318</v>
      </c>
      <c r="AC44" s="22">
        <f t="shared" si="3"/>
        <v>53.688250202197956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3.3603333333333336</v>
      </c>
      <c r="AI44" s="13">
        <f>IF('Données projet'!$A$62&gt;35,AI43+AH44-AQ43,IF(A44&lt;'Données projet'!$A$62,$AF$205^A44,IF(A44='Données projet'!$A$62,'Données projet'!$B$62,AI43+AH44-AQ43)))</f>
        <v>137.77366666666663</v>
      </c>
      <c r="AJ44" s="13">
        <f>AI44*VLOOKUP('Données projet'!$B$10,Paramètres!$A$1:$I$89,3,0)*VLOOKUP('Données projet'!$B$10,Paramètres!$A$1:$I$89,5,0)</f>
        <v>139.70249799999996</v>
      </c>
      <c r="AK44" s="13">
        <f t="shared" si="35"/>
        <v>36.228843528850774</v>
      </c>
      <c r="AL44" s="20">
        <f t="shared" si="4"/>
        <v>306.41375316274832</v>
      </c>
      <c r="AM44" s="59">
        <f t="shared" si="5"/>
        <v>599.74708649608169</v>
      </c>
      <c r="AN44" s="59">
        <f ca="1">AVERAGE(OFFSET($AM$3,0,0,'Données projet'!$E$10+1,1))-AVERAGE(OFFSET($H$3,0,0,'Données projet'!$E$10+1,1))</f>
        <v>486.4870616281359</v>
      </c>
      <c r="AO44" s="59">
        <f t="shared" si="36"/>
        <v>247.29100537955225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4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8.9631360000000004</v>
      </c>
      <c r="D45" s="11">
        <f t="shared" si="32"/>
        <v>3.1999685398410969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22.533751568547718</v>
      </c>
      <c r="H45" s="67">
        <f t="shared" si="1"/>
        <v>277.85074040688994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15.714444444444442</v>
      </c>
      <c r="N45" s="13">
        <f>IF('Données projet'!$A$36&gt;35,N44+M45-V44,IF(A45&lt;'Données projet'!$A$36,$K$205^A45,IF(A45='Données projet'!$A$36,'Données projet'!$B$36,N44+M45-V44)))</f>
        <v>244.29444444444451</v>
      </c>
      <c r="O45" s="13">
        <f>N45*VLOOKUP('Données projet'!$B$9,Paramètres!$A$1:$I$89,3,0)*VLOOKUP('Données projet'!$B$9,Paramètres!$A$1:$I$89,5,0)</f>
        <v>146.08807777777784</v>
      </c>
      <c r="P45" s="13">
        <f t="shared" si="33"/>
        <v>37.688224634642516</v>
      </c>
      <c r="Q45" s="20">
        <f t="shared" si="53"/>
        <v>320.07706003496543</v>
      </c>
      <c r="R45" s="59">
        <f t="shared" si="0"/>
        <v>613.41039336829874</v>
      </c>
      <c r="S45" s="59">
        <f ca="1">AVERAGE(OFFSET($R$3,0,0,'Données projet'!$E$9+1,1))-AVERAGE(OFFSET($H$3,0,0,'Données projet'!$E$9+1,1))</f>
        <v>329.62068845923676</v>
      </c>
      <c r="T45" s="59">
        <f t="shared" si="34"/>
        <v>243.22501652129546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24.596046258368858</v>
      </c>
      <c r="AA45" s="21">
        <f>EXP(-LN(2)/25)*AA44+(1-EXP(-LN(2)/25))/(LN(2)/25)*Calculateur!V45*Calculateur!X45*VLOOKUP('Données projet'!$B$9,Paramètres!$A$1:$I$89,3,0)*0.475*44/12</f>
        <v>17.43224814551461</v>
      </c>
      <c r="AB45" s="21">
        <f>EXP(-LN(2)/2)*AB44+(1-EXP(-LN(2)/2))/(LN(2)/2)*V45*Y45*VLOOKUP('Données projet'!$B$9,Paramètres!$A$1:$I$89,3,0)*0.475*44/12</f>
        <v>7.5504212159035244</v>
      </c>
      <c r="AC45" s="22">
        <f t="shared" si="3"/>
        <v>49.57871561978699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3.3603333333333336</v>
      </c>
      <c r="AI45" s="13">
        <f>IF('Données projet'!$A$62&gt;35,AI44+AH45-AQ44,IF(A45&lt;'Données projet'!$A$62,$AF$205^A45,IF(A45='Données projet'!$A$62,'Données projet'!$B$62,AI44+AH45-AQ44)))</f>
        <v>141.13399999999996</v>
      </c>
      <c r="AJ45" s="13">
        <f>AI45*VLOOKUP('Données projet'!$B$10,Paramètres!$A$1:$I$89,3,0)*VLOOKUP('Données projet'!$B$10,Paramètres!$A$1:$I$89,5,0)</f>
        <v>143.10987599999996</v>
      </c>
      <c r="AK45" s="13">
        <f t="shared" si="35"/>
        <v>37.008520899412304</v>
      </c>
      <c r="AL45" s="20">
        <f t="shared" si="4"/>
        <v>313.70620793314299</v>
      </c>
      <c r="AM45" s="59">
        <f t="shared" si="5"/>
        <v>607.03954126647636</v>
      </c>
      <c r="AN45" s="59">
        <f ca="1">AVERAGE(OFFSET($AM$3,0,0,'Données projet'!$E$10+1,1))-AVERAGE(OFFSET($H$3,0,0,'Données projet'!$E$10+1,1))</f>
        <v>486.4870616281359</v>
      </c>
      <c r="AO45" s="59">
        <f t="shared" si="36"/>
        <v>247.29100537955225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0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4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9.1765439999999998</v>
      </c>
      <c r="D46" s="11">
        <f t="shared" si="32"/>
        <v>3.2671973110338675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23.053668113073272</v>
      </c>
      <c r="H46" s="67">
        <f t="shared" si="1"/>
        <v>278.33951611671733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15.714444444444442</v>
      </c>
      <c r="N46" s="13">
        <f>IF('Données projet'!$A$36&gt;35,N45+M46-V45,IF(A46&lt;'Données projet'!$A$36,$K$205^A46,IF(A46='Données projet'!$A$36,'Données projet'!$B$36,N45+M46-V45)))</f>
        <v>260.00888888888898</v>
      </c>
      <c r="O46" s="13">
        <f>N46*VLOOKUP('Données projet'!$B$9,Paramètres!$A$1:$I$89,3,0)*VLOOKUP('Données projet'!$B$9,Paramètres!$A$1:$I$89,5,0)</f>
        <v>155.48531555555562</v>
      </c>
      <c r="P46" s="13">
        <f t="shared" si="33"/>
        <v>39.822525633411466</v>
      </c>
      <c r="Q46" s="20">
        <f t="shared" si="53"/>
        <v>340.16115673745094</v>
      </c>
      <c r="R46" s="59">
        <f t="shared" si="0"/>
        <v>633.4944900707842</v>
      </c>
      <c r="S46" s="59">
        <f ca="1">AVERAGE(OFFSET($R$3,0,0,'Données projet'!$E$9+1,1))-AVERAGE(OFFSET($H$3,0,0,'Données projet'!$E$9+1,1))</f>
        <v>329.62068845923676</v>
      </c>
      <c r="T46" s="59">
        <f t="shared" si="34"/>
        <v>243.22501652129546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24.113732793349126</v>
      </c>
      <c r="AA46" s="21">
        <f>EXP(-LN(2)/25)*AA45+(1-EXP(-LN(2)/25))/(LN(2)/25)*Calculateur!V46*Calculateur!X46*VLOOKUP('Données projet'!$B$9,Paramètres!$A$1:$I$89,3,0)*0.475*44/12</f>
        <v>16.955562403253424</v>
      </c>
      <c r="AB46" s="21">
        <f>EXP(-LN(2)/2)*AB45+(1-EXP(-LN(2)/2))/(LN(2)/2)*V46*Y46*VLOOKUP('Données projet'!$B$9,Paramètres!$A$1:$I$89,3,0)*0.475*44/12</f>
        <v>5.33895404258016</v>
      </c>
      <c r="AC46" s="22">
        <f t="shared" si="3"/>
        <v>46.408249239182716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3.3603333333333336</v>
      </c>
      <c r="AI46" s="13">
        <f>IF('Données projet'!$A$62&gt;35,AI45+AH46-AQ45,IF(A46&lt;'Données projet'!$A$62,$AF$205^A46,IF(A46='Données projet'!$A$62,'Données projet'!$B$62,AI45+AH46-AQ45)))</f>
        <v>144.49433333333329</v>
      </c>
      <c r="AJ46" s="13">
        <f>AI46*VLOOKUP('Données projet'!$B$10,Paramètres!$A$1:$I$89,3,0)*VLOOKUP('Données projet'!$B$10,Paramètres!$A$1:$I$89,5,0)</f>
        <v>146.51725399999995</v>
      </c>
      <c r="AK46" s="13">
        <f t="shared" si="35"/>
        <v>37.786040225853256</v>
      </c>
      <c r="AL46" s="20">
        <f t="shared" si="4"/>
        <v>320.99490411002768</v>
      </c>
      <c r="AM46" s="59">
        <f t="shared" si="5"/>
        <v>614.32823744336099</v>
      </c>
      <c r="AN46" s="59">
        <f ca="1">AVERAGE(OFFSET($AM$3,0,0,'Données projet'!$E$10+1,1))-AVERAGE(OFFSET($H$3,0,0,'Données projet'!$E$10+1,1))</f>
        <v>486.4870616281359</v>
      </c>
      <c r="AO46" s="59">
        <f t="shared" si="36"/>
        <v>247.29100537955225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0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4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9.3899519999999992</v>
      </c>
      <c r="D47" s="11">
        <f t="shared" si="32"/>
        <v>3.3342443242855047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23.573247927097356</v>
      </c>
      <c r="H47" s="67">
        <f t="shared" si="1"/>
        <v>278.82797526479726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15.714444444444442</v>
      </c>
      <c r="N47" s="13">
        <f>IF('Données projet'!$A$36&gt;35,N46+M47-V46,IF(A47&lt;'Données projet'!$A$36,$K$205^A47,IF(A47='Données projet'!$A$36,'Données projet'!$B$36,N46+M47-V46)))</f>
        <v>275.72333333333341</v>
      </c>
      <c r="O47" s="13">
        <f>N47*VLOOKUP('Données projet'!$B$9,Paramètres!$A$1:$I$89,3,0)*VLOOKUP('Données projet'!$B$9,Paramètres!$A$1:$I$89,5,0)</f>
        <v>164.88255333333339</v>
      </c>
      <c r="P47" s="13">
        <f t="shared" si="33"/>
        <v>41.941854905576896</v>
      </c>
      <c r="Q47" s="20">
        <f t="shared" si="53"/>
        <v>360.2191776827687</v>
      </c>
      <c r="R47" s="59">
        <f t="shared" si="0"/>
        <v>653.55251101610202</v>
      </c>
      <c r="S47" s="59">
        <f ca="1">AVERAGE(OFFSET($R$3,0,0,'Données projet'!$E$9+1,1))-AVERAGE(OFFSET($H$3,0,0,'Données projet'!$E$9+1,1))</f>
        <v>329.62068845923676</v>
      </c>
      <c r="T47" s="59">
        <f t="shared" si="34"/>
        <v>243.22501652129546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23.640877201196265</v>
      </c>
      <c r="AA47" s="21">
        <f>EXP(-LN(2)/25)*AA46+(1-EXP(-LN(2)/25))/(LN(2)/25)*Calculateur!V47*Calculateur!X47*VLOOKUP('Données projet'!$B$9,Paramètres!$A$1:$I$89,3,0)*0.475*44/12</f>
        <v>16.491911657682184</v>
      </c>
      <c r="AB47" s="21">
        <f>EXP(-LN(2)/2)*AB46+(1-EXP(-LN(2)/2))/(LN(2)/2)*V47*Y47*VLOOKUP('Données projet'!$B$9,Paramètres!$A$1:$I$89,3,0)*0.475*44/12</f>
        <v>3.7752106079517627</v>
      </c>
      <c r="AC47" s="22">
        <f t="shared" si="3"/>
        <v>43.907999466830212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3.3603333333333336</v>
      </c>
      <c r="AI47" s="13">
        <f>IF('Données projet'!$A$62&gt;35,AI46+AH47-AQ46,IF(A47&lt;'Données projet'!$A$62,$AF$205^A47,IF(A47='Données projet'!$A$62,'Données projet'!$B$62,AI46+AH47-AQ46)))</f>
        <v>147.85466666666662</v>
      </c>
      <c r="AJ47" s="13">
        <f>AI47*VLOOKUP('Données projet'!$B$10,Paramètres!$A$1:$I$89,3,0)*VLOOKUP('Données projet'!$B$10,Paramètres!$A$1:$I$89,5,0)</f>
        <v>149.92463199999995</v>
      </c>
      <c r="AK47" s="13">
        <f t="shared" si="35"/>
        <v>38.561457471452059</v>
      </c>
      <c r="AL47" s="20">
        <f t="shared" si="4"/>
        <v>328.27993916277887</v>
      </c>
      <c r="AM47" s="59">
        <f t="shared" si="5"/>
        <v>621.61327249611213</v>
      </c>
      <c r="AN47" s="59">
        <f ca="1">AVERAGE(OFFSET($AM$3,0,0,'Données projet'!$E$10+1,1))-AVERAGE(OFFSET($H$3,0,0,'Données projet'!$E$10+1,1))</f>
        <v>486.4870616281359</v>
      </c>
      <c r="AO47" s="59">
        <f t="shared" si="36"/>
        <v>247.29100537955225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0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4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9.6033599999999986</v>
      </c>
      <c r="D48" s="11">
        <f t="shared" si="32"/>
        <v>3.4011141859974159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24.092499544584683</v>
      </c>
      <c r="H48" s="67">
        <f t="shared" si="1"/>
        <v>279.31612587394551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15.714444444444442</v>
      </c>
      <c r="N48" s="13">
        <f>IF('Données projet'!$A$36&gt;35,N47+M48-V47,IF(A48&lt;'Données projet'!$A$36,$K$205^A48,IF(A48='Données projet'!$A$36,'Données projet'!$B$36,N47+M48-V47)))</f>
        <v>291.43777777777785</v>
      </c>
      <c r="O48" s="13">
        <f>N48*VLOOKUP('Données projet'!$B$9,Paramètres!$A$1:$I$89,3,0)*VLOOKUP('Données projet'!$B$9,Paramètres!$A$1:$I$89,5,0)</f>
        <v>174.27979111111117</v>
      </c>
      <c r="P48" s="13">
        <f t="shared" si="33"/>
        <v>44.047162970671543</v>
      </c>
      <c r="Q48" s="20">
        <f t="shared" si="53"/>
        <v>380.25277835910487</v>
      </c>
      <c r="R48" s="59">
        <f t="shared" si="0"/>
        <v>673.58611169243818</v>
      </c>
      <c r="S48" s="59">
        <f ca="1">AVERAGE(OFFSET($R$3,0,0,'Données projet'!$E$9+1,1))-AVERAGE(OFFSET($H$3,0,0,'Données projet'!$E$9+1,1))</f>
        <v>329.62068845923676</v>
      </c>
      <c r="T48" s="59">
        <f t="shared" si="34"/>
        <v>243.22501652129546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23.17729401879209</v>
      </c>
      <c r="AA48" s="21">
        <f>EXP(-LN(2)/25)*AA47+(1-EXP(-LN(2)/25))/(LN(2)/25)*Calculateur!V48*Calculateur!X48*VLOOKUP('Données projet'!$B$9,Paramètres!$A$1:$I$89,3,0)*0.475*44/12</f>
        <v>16.040939466130922</v>
      </c>
      <c r="AB48" s="21">
        <f>EXP(-LN(2)/2)*AB47+(1-EXP(-LN(2)/2))/(LN(2)/2)*V48*Y48*VLOOKUP('Données projet'!$B$9,Paramètres!$A$1:$I$89,3,0)*0.475*44/12</f>
        <v>2.6694770212900805</v>
      </c>
      <c r="AC48" s="22">
        <f t="shared" si="3"/>
        <v>41.887710506213089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3.3603333333333336</v>
      </c>
      <c r="AI48" s="13">
        <f>IF('Données projet'!$A$62&gt;35,AI47+AH48-AQ47,IF(A48&lt;'Données projet'!$A$62,$AF$205^A48,IF(A48='Données projet'!$A$62,'Données projet'!$B$62,AI47+AH48-AQ47)))</f>
        <v>151.21499999999995</v>
      </c>
      <c r="AJ48" s="13">
        <f>AI48*VLOOKUP('Données projet'!$B$10,Paramètres!$A$1:$I$89,3,0)*VLOOKUP('Données projet'!$B$10,Paramètres!$A$1:$I$89,5,0)</f>
        <v>153.33200999999997</v>
      </c>
      <c r="AK48" s="13">
        <f t="shared" si="35"/>
        <v>39.334825910514574</v>
      </c>
      <c r="AL48" s="20">
        <f t="shared" si="4"/>
        <v>335.5614058774795</v>
      </c>
      <c r="AM48" s="59">
        <f t="shared" si="5"/>
        <v>628.89473921081276</v>
      </c>
      <c r="AN48" s="59">
        <f ca="1">AVERAGE(OFFSET($AM$3,0,0,'Données projet'!$E$10+1,1))-AVERAGE(OFFSET($H$3,0,0,'Données projet'!$E$10+1,1))</f>
        <v>486.4870616281359</v>
      </c>
      <c r="AO48" s="59">
        <f t="shared" si="36"/>
        <v>247.29100537955225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0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4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9.8167679999999979</v>
      </c>
      <c r="D49" s="11">
        <f t="shared" si="32"/>
        <v>3.4678112861532382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24.611431098557574</v>
      </c>
      <c r="H49" s="67">
        <f t="shared" si="1"/>
        <v>279.80397559005024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15.714444444444442</v>
      </c>
      <c r="N49" s="13">
        <f>IF('Données projet'!$A$36&gt;35,N48+M49-V48,IF(A49&lt;'Données projet'!$A$36,$K$205^A49,IF(A49='Données projet'!$A$36,'Données projet'!$B$36,N48+M49-V48)))</f>
        <v>307.15222222222229</v>
      </c>
      <c r="O49" s="13">
        <f>N49*VLOOKUP('Données projet'!$B$9,Paramètres!$A$1:$I$89,3,0)*VLOOKUP('Données projet'!$B$9,Paramètres!$A$1:$I$89,5,0)</f>
        <v>183.67702888888894</v>
      </c>
      <c r="P49" s="13">
        <f t="shared" si="33"/>
        <v>46.139292054148385</v>
      </c>
      <c r="Q49" s="20">
        <f t="shared" si="53"/>
        <v>400.2634256424567</v>
      </c>
      <c r="R49" s="59">
        <f t="shared" si="0"/>
        <v>693.59675897578995</v>
      </c>
      <c r="S49" s="59">
        <f ca="1">AVERAGE(OFFSET($R$3,0,0,'Données projet'!$E$9+1,1))-AVERAGE(OFFSET($H$3,0,0,'Données projet'!$E$9+1,1))</f>
        <v>329.62068845923676</v>
      </c>
      <c r="T49" s="59">
        <f t="shared" si="34"/>
        <v>243.22501652129546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22.72280141983704</v>
      </c>
      <c r="AA49" s="21">
        <f>EXP(-LN(2)/25)*AA48+(1-EXP(-LN(2)/25))/(LN(2)/25)*Calculateur!V49*Calculateur!X49*VLOOKUP('Données projet'!$B$9,Paramètres!$A$1:$I$89,3,0)*0.475*44/12</f>
        <v>15.602299132873227</v>
      </c>
      <c r="AB49" s="21">
        <f>EXP(-LN(2)/2)*AB48+(1-EXP(-LN(2)/2))/(LN(2)/2)*V49*Y49*VLOOKUP('Données projet'!$B$9,Paramètres!$A$1:$I$89,3,0)*0.475*44/12</f>
        <v>1.8876053039758818</v>
      </c>
      <c r="AC49" s="22">
        <f t="shared" si="3"/>
        <v>40.212705856686149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3.3603333333333336</v>
      </c>
      <c r="AI49" s="13">
        <f>IF('Données projet'!$A$62&gt;35,AI48+AH49-AQ48,IF(A49&lt;'Données projet'!$A$62,$AF$205^A49,IF(A49='Données projet'!$A$62,'Données projet'!$B$62,AI48+AH49-AQ48)))</f>
        <v>154.57533333333328</v>
      </c>
      <c r="AJ49" s="13">
        <f>AI49*VLOOKUP('Données projet'!$B$10,Paramètres!$A$1:$I$89,3,0)*VLOOKUP('Données projet'!$B$10,Paramètres!$A$1:$I$89,5,0)</f>
        <v>156.73938799999993</v>
      </c>
      <c r="AK49" s="13">
        <f t="shared" si="35"/>
        <v>40.106196314415328</v>
      </c>
      <c r="AL49" s="20">
        <f t="shared" si="4"/>
        <v>342.83939268093991</v>
      </c>
      <c r="AM49" s="59">
        <f t="shared" si="5"/>
        <v>636.17272601427317</v>
      </c>
      <c r="AN49" s="59">
        <f ca="1">AVERAGE(OFFSET($AM$3,0,0,'Données projet'!$E$10+1,1))-AVERAGE(OFFSET($H$3,0,0,'Données projet'!$E$10+1,1))</f>
        <v>486.4870616281359</v>
      </c>
      <c r="AO49" s="59">
        <f t="shared" si="36"/>
        <v>247.29100537955225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0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4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10.030175999999997</v>
      </c>
      <c r="D50" s="11">
        <f t="shared" si="32"/>
        <v>3.5343398129667642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25.130050348233155</v>
      </c>
      <c r="H50" s="67">
        <f t="shared" si="1"/>
        <v>280.29153170758377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15.714444444444442</v>
      </c>
      <c r="N50" s="13">
        <f>IF('Données projet'!$A$36&gt;35,N49+M50-V49,IF(A50&lt;'Données projet'!$A$36,$K$205^A50,IF(A50='Données projet'!$A$36,'Données projet'!$B$36,N49+M50-V49)))</f>
        <v>322.86666666666673</v>
      </c>
      <c r="O50" s="13">
        <f>N50*VLOOKUP('Données projet'!$B$9,Paramètres!$A$1:$I$89,3,0)*VLOOKUP('Données projet'!$B$9,Paramètres!$A$1:$I$89,5,0)</f>
        <v>193.07426666666672</v>
      </c>
      <c r="P50" s="13">
        <f t="shared" si="33"/>
        <v>48.218993334236252</v>
      </c>
      <c r="Q50" s="20">
        <f t="shared" si="53"/>
        <v>420.25242783490597</v>
      </c>
      <c r="R50" s="59">
        <f t="shared" si="0"/>
        <v>713.58576116823929</v>
      </c>
      <c r="S50" s="59">
        <f ca="1">AVERAGE(OFFSET($R$3,0,0,'Données projet'!$E$9+1,1))-AVERAGE(OFFSET($H$3,0,0,'Données projet'!$E$9+1,1))</f>
        <v>329.62068845923676</v>
      </c>
      <c r="T50" s="59">
        <f t="shared" si="34"/>
        <v>243.22501652129546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22.277221143534387</v>
      </c>
      <c r="AA50" s="21">
        <f>EXP(-LN(2)/25)*AA49+(1-EXP(-LN(2)/25))/(LN(2)/25)*Calculateur!V50*Calculateur!X50*VLOOKUP('Données projet'!$B$9,Paramètres!$A$1:$I$89,3,0)*0.475*44/12</f>
        <v>15.175653442595557</v>
      </c>
      <c r="AB50" s="21">
        <f>EXP(-LN(2)/2)*AB49+(1-EXP(-LN(2)/2))/(LN(2)/2)*V50*Y50*VLOOKUP('Données projet'!$B$9,Paramètres!$A$1:$I$89,3,0)*0.475*44/12</f>
        <v>1.3347385106450405</v>
      </c>
      <c r="AC50" s="22">
        <f t="shared" si="3"/>
        <v>38.787613096774983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3.3603333333333336</v>
      </c>
      <c r="AI50" s="13">
        <f>IF('Données projet'!$A$62&gt;35,AI49+AH50-AQ49,IF(A50&lt;'Données projet'!$A$62,$AF$205^A50,IF(A50='Données projet'!$A$62,'Données projet'!$B$62,AI49+AH50-AQ49)))</f>
        <v>157.93566666666661</v>
      </c>
      <c r="AJ50" s="13">
        <f>AI50*VLOOKUP('Données projet'!$B$10,Paramètres!$A$1:$I$89,3,0)*VLOOKUP('Données projet'!$B$10,Paramètres!$A$1:$I$89,5,0)</f>
        <v>160.14676599999996</v>
      </c>
      <c r="AK50" s="13">
        <f t="shared" si="35"/>
        <v>40.875617121004808</v>
      </c>
      <c r="AL50" s="20">
        <f t="shared" si="4"/>
        <v>350.11398393574996</v>
      </c>
      <c r="AM50" s="59">
        <f t="shared" si="5"/>
        <v>643.44731726908321</v>
      </c>
      <c r="AN50" s="59">
        <f ca="1">AVERAGE(OFFSET($AM$3,0,0,'Données projet'!$E$10+1,1))-AVERAGE(OFFSET($H$3,0,0,'Données projet'!$E$10+1,1))</f>
        <v>486.4870616281359</v>
      </c>
      <c r="AO50" s="59">
        <f t="shared" si="36"/>
        <v>247.29100537955225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0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4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10.243583999999997</v>
      </c>
      <c r="D51" s="11">
        <f t="shared" si="32"/>
        <v>3.600703766248063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25.648364703785877</v>
      </c>
      <c r="H51" s="67">
        <f t="shared" si="1"/>
        <v>280.77880119288204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15.714444444444442</v>
      </c>
      <c r="N51" s="13">
        <f>IF('Données projet'!$A$36&gt;35,N50+M51-V50,IF(A51&lt;'Données projet'!$A$36,$K$205^A51,IF(A51='Données projet'!$A$36,'Données projet'!$B$36,N50+M51-V50)))</f>
        <v>338.58111111111117</v>
      </c>
      <c r="O51" s="13">
        <f>N51*VLOOKUP('Données projet'!$B$9,Paramètres!$A$1:$I$89,3,0)*VLOOKUP('Données projet'!$B$9,Paramètres!$A$1:$I$89,5,0)</f>
        <v>202.47150444444449</v>
      </c>
      <c r="P51" s="13">
        <f t="shared" si="33"/>
        <v>50.28694073581002</v>
      </c>
      <c r="Q51" s="20">
        <f t="shared" si="53"/>
        <v>440.22095868894326</v>
      </c>
      <c r="R51" s="59">
        <f t="shared" si="0"/>
        <v>733.55429202227651</v>
      </c>
      <c r="S51" s="59">
        <f ca="1">AVERAGE(OFFSET($R$3,0,0,'Données projet'!$E$9+1,1))-AVERAGE(OFFSET($H$3,0,0,'Données projet'!$E$9+1,1))</f>
        <v>329.62068845923676</v>
      </c>
      <c r="T51" s="59">
        <f t="shared" si="34"/>
        <v>243.22501652129546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21.840378424672895</v>
      </c>
      <c r="AA51" s="21">
        <f>EXP(-LN(2)/25)*AA50+(1-EXP(-LN(2)/25))/(LN(2)/25)*Calculateur!V51*Calculateur!X51*VLOOKUP('Données projet'!$B$9,Paramètres!$A$1:$I$89,3,0)*0.475*44/12</f>
        <v>14.760674401154851</v>
      </c>
      <c r="AB51" s="21">
        <f>EXP(-LN(2)/2)*AB50+(1-EXP(-LN(2)/2))/(LN(2)/2)*V51*Y51*VLOOKUP('Données projet'!$B$9,Paramètres!$A$1:$I$89,3,0)*0.475*44/12</f>
        <v>0.943802651987941</v>
      </c>
      <c r="AC51" s="22">
        <f t="shared" si="3"/>
        <v>37.544855477815695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3.3603333333333336</v>
      </c>
      <c r="AI51" s="13">
        <f>IF('Données projet'!$A$62&gt;35,AI50+AH51-AQ50,IF(A51&lt;'Données projet'!$A$62,$AF$205^A51,IF(A51='Données projet'!$A$62,'Données projet'!$B$62,AI50+AH51-AQ50)))</f>
        <v>161.29599999999994</v>
      </c>
      <c r="AJ51" s="13">
        <f>AI51*VLOOKUP('Données projet'!$B$10,Paramètres!$A$1:$I$89,3,0)*VLOOKUP('Données projet'!$B$10,Paramètres!$A$1:$I$89,5,0)</f>
        <v>163.55414399999992</v>
      </c>
      <c r="AK51" s="13">
        <f t="shared" si="35"/>
        <v>41.64313458919235</v>
      </c>
      <c r="AL51" s="20">
        <f t="shared" si="4"/>
        <v>357.38526020950985</v>
      </c>
      <c r="AM51" s="59">
        <f t="shared" si="5"/>
        <v>650.71859354284311</v>
      </c>
      <c r="AN51" s="59">
        <f ca="1">AVERAGE(OFFSET($AM$3,0,0,'Données projet'!$E$10+1,1))-AVERAGE(OFFSET($H$3,0,0,'Données projet'!$E$10+1,1))</f>
        <v>486.4870616281359</v>
      </c>
      <c r="AO51" s="59">
        <f t="shared" si="36"/>
        <v>247.29100537955225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0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4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10.456991999999996</v>
      </c>
      <c r="D52" s="11">
        <f t="shared" si="32"/>
        <v>3.6669069696243124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26.166381248988191</v>
      </c>
      <c r="H52" s="67">
        <f t="shared" si="1"/>
        <v>281.26579070542903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15.714444444444442</v>
      </c>
      <c r="N52" s="13">
        <f>IF('Données projet'!$A$36&gt;35,N51+M52-V51,IF(A52&lt;'Données projet'!$A$36,$K$205^A52,IF(A52='Données projet'!$A$36,'Données projet'!$B$36,N51+M52-V51)))</f>
        <v>354.29555555555561</v>
      </c>
      <c r="O52" s="13">
        <f>N52*VLOOKUP('Données projet'!$B$9,Paramètres!$A$1:$I$89,3,0)*VLOOKUP('Données projet'!$B$9,Paramètres!$A$1:$I$89,5,0)</f>
        <v>211.86874222222229</v>
      </c>
      <c r="P52" s="13">
        <f t="shared" si="33"/>
        <v>52.343742090960504</v>
      </c>
      <c r="Q52" s="20">
        <f t="shared" si="53"/>
        <v>460.17007684546002</v>
      </c>
      <c r="R52" s="59">
        <f t="shared" si="0"/>
        <v>753.50341017879327</v>
      </c>
      <c r="S52" s="59">
        <f ca="1">AVERAGE(OFFSET($R$3,0,0,'Données projet'!$E$9+1,1))-AVERAGE(OFFSET($H$3,0,0,'Données projet'!$E$9+1,1))</f>
        <v>329.62068845923676</v>
      </c>
      <c r="T52" s="59">
        <f t="shared" si="34"/>
        <v>243.22501652129546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21.412101925080528</v>
      </c>
      <c r="AA52" s="21">
        <f>EXP(-LN(2)/25)*AA51+(1-EXP(-LN(2)/25))/(LN(2)/25)*Calculateur!V52*Calculateur!X52*VLOOKUP('Données projet'!$B$9,Paramètres!$A$1:$I$89,3,0)*0.475*44/12</f>
        <v>14.357042983425142</v>
      </c>
      <c r="AB52" s="21">
        <f>EXP(-LN(2)/2)*AB51+(1-EXP(-LN(2)/2))/(LN(2)/2)*V52*Y52*VLOOKUP('Données projet'!$B$9,Paramètres!$A$1:$I$89,3,0)*0.475*44/12</f>
        <v>0.66736925532252034</v>
      </c>
      <c r="AC52" s="22">
        <f t="shared" si="3"/>
        <v>36.436514163828186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3.3603333333333336</v>
      </c>
      <c r="AI52" s="13">
        <f>IF('Données projet'!$A$62&gt;35,AI51+AH52-AQ51,IF(A52&lt;'Données projet'!$A$62,$AF$205^A52,IF(A52='Données projet'!$A$62,'Données projet'!$B$62,AI51+AH52-AQ51)))</f>
        <v>164.65633333333327</v>
      </c>
      <c r="AJ52" s="13">
        <f>AI52*VLOOKUP('Données projet'!$B$10,Paramètres!$A$1:$I$89,3,0)*VLOOKUP('Données projet'!$B$10,Paramètres!$A$1:$I$89,5,0)</f>
        <v>166.96152199999995</v>
      </c>
      <c r="AK52" s="13">
        <f t="shared" si="35"/>
        <v>42.408792940283384</v>
      </c>
      <c r="AL52" s="20">
        <f t="shared" si="4"/>
        <v>364.65329852099347</v>
      </c>
      <c r="AM52" s="59">
        <f t="shared" si="5"/>
        <v>657.98663185432679</v>
      </c>
      <c r="AN52" s="59">
        <f ca="1">AVERAGE(OFFSET($AM$3,0,0,'Données projet'!$E$10+1,1))-AVERAGE(OFFSET($H$3,0,0,'Données projet'!$E$10+1,1))</f>
        <v>486.4870616281359</v>
      </c>
      <c r="AO52" s="59">
        <f t="shared" si="36"/>
        <v>247.29100537955225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0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4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10.670399999999995</v>
      </c>
      <c r="D53" s="11">
        <f t="shared" si="32"/>
        <v>3.7329530817348457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26.684106761950869</v>
      </c>
      <c r="H53" s="67">
        <f t="shared" si="1"/>
        <v>281.75250661735487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370.01</v>
      </c>
      <c r="L53" s="12">
        <f>VLOOKUP(A53,'Données projet'!$A$35:$I$55,9,0)</f>
        <v>15.714444444444442</v>
      </c>
      <c r="M53" s="12">
        <f t="array" ref="M53">INDEX(L:L,MIN(IF(ISNUMBER(L53:L249),ROW(L53:L249),"")))</f>
        <v>15.714444444444442</v>
      </c>
      <c r="N53" s="13">
        <f>IF('Données projet'!$A$36&gt;35,N52+M53-V52,IF(A53&lt;'Données projet'!$A$36,$K$205^A53,IF(A53='Données projet'!$A$36,'Données projet'!$B$36,N52+M53-V52)))</f>
        <v>370.01000000000005</v>
      </c>
      <c r="O53" s="13">
        <f>N53*VLOOKUP('Données projet'!$B$9,Paramètres!$A$1:$I$89,3,0)*VLOOKUP('Données projet'!$B$9,Paramètres!$A$1:$I$89,5,0)</f>
        <v>221.26598000000004</v>
      </c>
      <c r="P53" s="13">
        <f t="shared" si="33"/>
        <v>54.389948263584252</v>
      </c>
      <c r="Q53" s="20">
        <f t="shared" si="53"/>
        <v>480.10074172574264</v>
      </c>
      <c r="R53" s="59">
        <f t="shared" si="0"/>
        <v>773.43407505907589</v>
      </c>
      <c r="S53" s="59">
        <f ca="1">AVERAGE(OFFSET($R$3,0,0,'Données projet'!$E$9+1,1))-AVERAGE(OFFSET($H$3,0,0,'Données projet'!$E$9+1,1))</f>
        <v>329.62068845923676</v>
      </c>
      <c r="T53" s="59">
        <f t="shared" si="34"/>
        <v>243.22501652129546</v>
      </c>
      <c r="U53" s="15">
        <f>IF(ISNA(VLOOKUP(A53,'Données projet'!$A$35:$I$55,3,0)),0,VLOOKUP(A53,'Données projet'!$A$35:$I$55,3,0))</f>
        <v>5</v>
      </c>
      <c r="V53" s="15">
        <f>IF(ISNA(VLOOKUP(A53,'Données projet'!$A$35:$I$55,4,0)),0,VLOOKUP(A53,'Données projet'!$A$35:$I$55,4,0))</f>
        <v>70.20999999999998</v>
      </c>
      <c r="W53" s="16">
        <f>IF(ISNA(VLOOKUP(A53,'Données projet'!$A$35:$I$55,5,0)),0%,VLOOKUP(A53,'Données projet'!$A$35:$I$55,5,0)*VLOOKUP('Données projet'!$B$9,Paramètres!$A$1:$I$89,7,0))</f>
        <v>0.27</v>
      </c>
      <c r="X53" s="16">
        <f>IF(ISNA(VLOOKUP(A53,'Données projet'!$A$35:$I$55,6,0)),0%,VLOOKUP(A53,'Données projet'!$A$35:$I$55,6,0)*VLOOKUP('Données projet'!$B$9,Paramètres!$A$1:$I$89,7,0))</f>
        <v>9.0000000000000011E-2</v>
      </c>
      <c r="Y53" s="16">
        <f>IF(ISNA(VLOOKUP(A53,'Données projet'!$A$35:$I$55,7,0)),0%,VLOOKUP(A53,'Données projet'!$A$35:$I$55,7,0))</f>
        <v>0.2</v>
      </c>
      <c r="Z53" s="21">
        <f>EXP(-LN(2)/35)*Z52+(1-EXP(-LN(2)/35))/(LN(2)/35)*V53*W53*VLOOKUP('Données projet'!$B$9,Paramètres!$A$1:$I$89,3,0)*0.475*44/12</f>
        <v>36.030299745055871</v>
      </c>
      <c r="AA53" s="21">
        <f>EXP(-LN(2)/25)*AA52+(1-EXP(-LN(2)/25))/(LN(2)/25)*Calculateur!V53*Calculateur!X53*VLOOKUP('Données projet'!$B$9,Paramètres!$A$1:$I$89,3,0)*0.475*44/12</f>
        <v>18.9574040357579</v>
      </c>
      <c r="AB53" s="21">
        <f>EXP(-LN(2)/2)*AB52+(1-EXP(-LN(2)/2))/(LN(2)/2)*V53*Y53*VLOOKUP('Données projet'!$B$9,Paramètres!$A$1:$I$89,3,0)*0.475*44/12</f>
        <v>9.9793872672702157</v>
      </c>
      <c r="AC53" s="22">
        <f t="shared" si="3"/>
        <v>64.967091048083986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3.3603333333333336</v>
      </c>
      <c r="AI53" s="13">
        <f>IF('Données projet'!$A$62&gt;35,AI52+AH53-AQ52,IF(A53&lt;'Données projet'!$A$62,$AF$205^A53,IF(A53='Données projet'!$A$62,'Données projet'!$B$62,AI52+AH53-AQ52)))</f>
        <v>168.01666666666659</v>
      </c>
      <c r="AJ53" s="13">
        <f>AI53*VLOOKUP('Données projet'!$B$10,Paramètres!$A$1:$I$89,3,0)*VLOOKUP('Données projet'!$B$10,Paramètres!$A$1:$I$89,5,0)</f>
        <v>170.36889999999994</v>
      </c>
      <c r="AK53" s="13">
        <f t="shared" si="35"/>
        <v>43.172634487453415</v>
      </c>
      <c r="AL53" s="20">
        <f t="shared" si="4"/>
        <v>371.91817256564792</v>
      </c>
      <c r="AM53" s="59">
        <f t="shared" si="5"/>
        <v>665.25150589898124</v>
      </c>
      <c r="AN53" s="59">
        <f ca="1">AVERAGE(OFFSET($AM$3,0,0,'Données projet'!$E$10+1,1))-AVERAGE(OFFSET($H$3,0,0,'Données projet'!$E$10+1,1))</f>
        <v>486.4870616281359</v>
      </c>
      <c r="AO53" s="59">
        <f t="shared" si="36"/>
        <v>247.29100537955225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0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0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4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10.883807999999995</v>
      </c>
      <c r="D54" s="11">
        <f t="shared" si="32"/>
        <v>3.7988456065052927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27.201547734157163</v>
      </c>
      <c r="H54" s="67">
        <f t="shared" si="1"/>
        <v>282.23895503133008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14.113999999999999</v>
      </c>
      <c r="N54" s="13">
        <f>IF('Données projet'!$A$36&gt;35,N53+M54-V53,IF(A54&lt;'Données projet'!$A$36,$K$205^A54,IF(A54='Données projet'!$A$36,'Données projet'!$B$36,N53+M54-V53)))</f>
        <v>313.91400000000004</v>
      </c>
      <c r="O54" s="13">
        <f>N54*VLOOKUP('Données projet'!$B$9,Paramètres!$A$1:$I$89,3,0)*VLOOKUP('Données projet'!$B$9,Paramètres!$A$1:$I$89,5,0)</f>
        <v>187.72057200000006</v>
      </c>
      <c r="P54" s="13">
        <f t="shared" si="33"/>
        <v>47.035650233472225</v>
      </c>
      <c r="Q54" s="20">
        <f t="shared" si="53"/>
        <v>408.86708705663085</v>
      </c>
      <c r="R54" s="59">
        <f t="shared" si="0"/>
        <v>702.20042038996417</v>
      </c>
      <c r="S54" s="59">
        <f ca="1">AVERAGE(OFFSET($R$3,0,0,'Données projet'!$E$9+1,1))-AVERAGE(OFFSET($H$3,0,0,'Données projet'!$E$9+1,1))</f>
        <v>329.62068845923676</v>
      </c>
      <c r="T54" s="59">
        <f t="shared" si="34"/>
        <v>243.22501652129546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35.323767543368191</v>
      </c>
      <c r="AA54" s="21">
        <f>EXP(-LN(2)/25)*AA53+(1-EXP(-LN(2)/25))/(LN(2)/25)*Calculateur!V54*Calculateur!X54*VLOOKUP('Données projet'!$B$9,Paramètres!$A$1:$I$89,3,0)*0.475*44/12</f>
        <v>18.439012825473551</v>
      </c>
      <c r="AB54" s="21">
        <f>EXP(-LN(2)/2)*AB53+(1-EXP(-LN(2)/2))/(LN(2)/2)*V54*Y54*VLOOKUP('Données projet'!$B$9,Paramètres!$A$1:$I$89,3,0)*0.475*44/12</f>
        <v>7.0564924087734591</v>
      </c>
      <c r="AC54" s="22">
        <f t="shared" si="3"/>
        <v>60.819272777615204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3.3603333333333336</v>
      </c>
      <c r="AI54" s="13">
        <f>IF('Données projet'!$A$62&gt;35,AI53+AH54-AQ53,IF(A54&lt;'Données projet'!$A$62,$AF$205^A54,IF(A54='Données projet'!$A$62,'Données projet'!$B$62,AI53+AH54-AQ53)))</f>
        <v>171.37699999999992</v>
      </c>
      <c r="AJ54" s="13">
        <f>AI54*VLOOKUP('Données projet'!$B$10,Paramètres!$A$1:$I$89,3,0)*VLOOKUP('Données projet'!$B$10,Paramètres!$A$1:$I$89,5,0)</f>
        <v>173.77627799999993</v>
      </c>
      <c r="AK54" s="13">
        <f t="shared" si="35"/>
        <v>43.934699754571064</v>
      </c>
      <c r="AL54" s="20">
        <f t="shared" si="4"/>
        <v>379.17995292254449</v>
      </c>
      <c r="AM54" s="59">
        <f t="shared" si="5"/>
        <v>672.5132862558778</v>
      </c>
      <c r="AN54" s="59">
        <f ca="1">AVERAGE(OFFSET($AM$3,0,0,'Données projet'!$E$10+1,1))-AVERAGE(OFFSET($H$3,0,0,'Données projet'!$E$10+1,1))</f>
        <v>486.4870616281359</v>
      </c>
      <c r="AO54" s="59">
        <f t="shared" si="36"/>
        <v>247.29100537955225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0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0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4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11.097215999999994</v>
      </c>
      <c r="D55" s="11">
        <f t="shared" si="32"/>
        <v>3.8645879025931422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27.71871038796202</v>
      </c>
      <c r="H55" s="67">
        <f t="shared" si="1"/>
        <v>282.72514179701642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14.113999999999999</v>
      </c>
      <c r="N55" s="13">
        <f>IF('Données projet'!$A$36&gt;35,N54+M55-V54,IF(A55&lt;'Données projet'!$A$36,$K$205^A55,IF(A55='Données projet'!$A$36,'Données projet'!$B$36,N54+M55-V54)))</f>
        <v>328.02800000000002</v>
      </c>
      <c r="O55" s="13">
        <f>N55*VLOOKUP('Données projet'!$B$9,Paramètres!$A$1:$I$89,3,0)*VLOOKUP('Données projet'!$B$9,Paramètres!$A$1:$I$89,5,0)</f>
        <v>196.16074400000002</v>
      </c>
      <c r="P55" s="13">
        <f t="shared" si="33"/>
        <v>48.899465996260361</v>
      </c>
      <c r="Q55" s="20">
        <f t="shared" si="53"/>
        <v>426.81319907682013</v>
      </c>
      <c r="R55" s="59">
        <f t="shared" si="0"/>
        <v>720.14653241015344</v>
      </c>
      <c r="S55" s="59">
        <f ca="1">AVERAGE(OFFSET($R$3,0,0,'Données projet'!$E$9+1,1))-AVERAGE(OFFSET($H$3,0,0,'Données projet'!$E$9+1,1))</f>
        <v>329.62068845923676</v>
      </c>
      <c r="T55" s="59">
        <f t="shared" si="34"/>
        <v>243.22501652129546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34.631090007213515</v>
      </c>
      <c r="AA55" s="21">
        <f>EXP(-LN(2)/25)*AA54+(1-EXP(-LN(2)/25))/(LN(2)/25)*Calculateur!V55*Calculateur!X55*VLOOKUP('Données projet'!$B$9,Paramètres!$A$1:$I$89,3,0)*0.475*44/12</f>
        <v>17.934797050095433</v>
      </c>
      <c r="AB55" s="21">
        <f>EXP(-LN(2)/2)*AB54+(1-EXP(-LN(2)/2))/(LN(2)/2)*V55*Y55*VLOOKUP('Données projet'!$B$9,Paramètres!$A$1:$I$89,3,0)*0.475*44/12</f>
        <v>4.9896936336351088</v>
      </c>
      <c r="AC55" s="22">
        <f t="shared" si="3"/>
        <v>57.555580690944055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3.3603333333333336</v>
      </c>
      <c r="AI55" s="13">
        <f>IF('Données projet'!$A$62&gt;35,AI54+AH55-AQ54,IF(A55&lt;'Données projet'!$A$62,$AF$205^A55,IF(A55='Données projet'!$A$62,'Données projet'!$B$62,AI54+AH55-AQ54)))</f>
        <v>174.73733333333325</v>
      </c>
      <c r="AJ55" s="13">
        <f>AI55*VLOOKUP('Données projet'!$B$10,Paramètres!$A$1:$I$89,3,0)*VLOOKUP('Données projet'!$B$10,Paramètres!$A$1:$I$89,5,0)</f>
        <v>177.18365599999993</v>
      </c>
      <c r="AK55" s="13">
        <f t="shared" si="35"/>
        <v>44.695027585438865</v>
      </c>
      <c r="AL55" s="20">
        <f t="shared" si="4"/>
        <v>386.43870724463926</v>
      </c>
      <c r="AM55" s="59">
        <f t="shared" si="5"/>
        <v>679.77204057797258</v>
      </c>
      <c r="AN55" s="59">
        <f ca="1">AVERAGE(OFFSET($AM$3,0,0,'Données projet'!$E$10+1,1))-AVERAGE(OFFSET($H$3,0,0,'Données projet'!$E$10+1,1))</f>
        <v>486.4870616281359</v>
      </c>
      <c r="AO55" s="59">
        <f t="shared" si="36"/>
        <v>247.29100537955225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0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0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4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11.310623999999994</v>
      </c>
      <c r="D56" s="11">
        <f t="shared" si="32"/>
        <v>3.9301831920861701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28.235600692706999</v>
      </c>
      <c r="H56" s="67">
        <f t="shared" si="1"/>
        <v>283.21107252621675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14.113999999999999</v>
      </c>
      <c r="N56" s="13">
        <f>IF('Données projet'!$A$36&gt;35,N55+M56-V55,IF(A56&lt;'Données projet'!$A$36,$K$205^A56,IF(A56='Données projet'!$A$36,'Données projet'!$B$36,N55+M56-V55)))</f>
        <v>342.142</v>
      </c>
      <c r="O56" s="13">
        <f>N56*VLOOKUP('Données projet'!$B$9,Paramètres!$A$1:$I$89,3,0)*VLOOKUP('Données projet'!$B$9,Paramètres!$A$1:$I$89,5,0)</f>
        <v>204.60091600000001</v>
      </c>
      <c r="P56" s="13">
        <f t="shared" si="33"/>
        <v>50.753967472357871</v>
      </c>
      <c r="Q56" s="20">
        <f t="shared" si="53"/>
        <v>444.74308871435665</v>
      </c>
      <c r="R56" s="59">
        <f t="shared" si="0"/>
        <v>738.0764220476899</v>
      </c>
      <c r="S56" s="59">
        <f ca="1">AVERAGE(OFFSET($R$3,0,0,'Données projet'!$E$9+1,1))-AVERAGE(OFFSET($H$3,0,0,'Données projet'!$E$9+1,1))</f>
        <v>329.62068845923676</v>
      </c>
      <c r="T56" s="59">
        <f t="shared" si="34"/>
        <v>243.22501652129546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33.951995455051254</v>
      </c>
      <c r="AA56" s="21">
        <f>EXP(-LN(2)/25)*AA55+(1-EXP(-LN(2)/25))/(LN(2)/25)*Calculateur!V56*Calculateur!X56*VLOOKUP('Données projet'!$B$9,Paramètres!$A$1:$I$89,3,0)*0.475*44/12</f>
        <v>17.444369081610589</v>
      </c>
      <c r="AB56" s="21">
        <f>EXP(-LN(2)/2)*AB55+(1-EXP(-LN(2)/2))/(LN(2)/2)*V56*Y56*VLOOKUP('Données projet'!$B$9,Paramètres!$A$1:$I$89,3,0)*0.475*44/12</f>
        <v>3.5282462043867304</v>
      </c>
      <c r="AC56" s="22">
        <f t="shared" si="3"/>
        <v>54.924610741048575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3.3603333333333336</v>
      </c>
      <c r="AI56" s="13">
        <f>IF('Données projet'!$A$62&gt;35,AI55+AH56-AQ55,IF(A56&lt;'Données projet'!$A$62,$AF$205^A56,IF(A56='Données projet'!$A$62,'Données projet'!$B$62,AI55+AH56-AQ55)))</f>
        <v>178.09766666666658</v>
      </c>
      <c r="AJ56" s="13">
        <f>AI56*VLOOKUP('Données projet'!$B$10,Paramètres!$A$1:$I$89,3,0)*VLOOKUP('Données projet'!$B$10,Paramètres!$A$1:$I$89,5,0)</f>
        <v>180.59103399999992</v>
      </c>
      <c r="AK56" s="13">
        <f t="shared" si="35"/>
        <v>45.453655244392749</v>
      </c>
      <c r="AL56" s="20">
        <f t="shared" si="4"/>
        <v>393.69450043398388</v>
      </c>
      <c r="AM56" s="59">
        <f t="shared" si="5"/>
        <v>687.02783376731713</v>
      </c>
      <c r="AN56" s="59">
        <f ca="1">AVERAGE(OFFSET($AM$3,0,0,'Données projet'!$E$10+1,1))-AVERAGE(OFFSET($H$3,0,0,'Données projet'!$E$10+1,1))</f>
        <v>486.4870616281359</v>
      </c>
      <c r="AO56" s="59">
        <f t="shared" si="36"/>
        <v>247.29100537955225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0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0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4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11.524031999999993</v>
      </c>
      <c r="D57" s="11">
        <f t="shared" si="32"/>
        <v>3.9956345685258352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28.752224379584693</v>
      </c>
      <c r="H57" s="67">
        <f t="shared" si="1"/>
        <v>283.69675260684915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14.113999999999999</v>
      </c>
      <c r="N57" s="13">
        <f>IF('Données projet'!$A$36&gt;35,N56+M57-V56,IF(A57&lt;'Données projet'!$A$36,$K$205^A57,IF(A57='Données projet'!$A$36,'Données projet'!$B$36,N56+M57-V56)))</f>
        <v>356.25599999999997</v>
      </c>
      <c r="O57" s="13">
        <f>N57*VLOOKUP('Données projet'!$B$9,Paramètres!$A$1:$I$89,3,0)*VLOOKUP('Données projet'!$B$9,Paramètres!$A$1:$I$89,5,0)</f>
        <v>213.041088</v>
      </c>
      <c r="P57" s="13">
        <f t="shared" si="33"/>
        <v>52.599582837576946</v>
      </c>
      <c r="Q57" s="20">
        <f t="shared" si="53"/>
        <v>462.65750170877988</v>
      </c>
      <c r="R57" s="59">
        <f t="shared" si="0"/>
        <v>755.99083504211319</v>
      </c>
      <c r="S57" s="59">
        <f ca="1">AVERAGE(OFFSET($R$3,0,0,'Données projet'!$E$9+1,1))-AVERAGE(OFFSET($H$3,0,0,'Données projet'!$E$9+1,1))</f>
        <v>329.62068845923676</v>
      </c>
      <c r="T57" s="59">
        <f t="shared" si="34"/>
        <v>243.22501652129546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33.286217532850117</v>
      </c>
      <c r="AA57" s="21">
        <f>EXP(-LN(2)/25)*AA56+(1-EXP(-LN(2)/25))/(LN(2)/25)*Calculateur!V57*Calculateur!X57*VLOOKUP('Données projet'!$B$9,Paramètres!$A$1:$I$89,3,0)*0.475*44/12</f>
        <v>16.967351891714447</v>
      </c>
      <c r="AB57" s="21">
        <f>EXP(-LN(2)/2)*AB56+(1-EXP(-LN(2)/2))/(LN(2)/2)*V57*Y57*VLOOKUP('Données projet'!$B$9,Paramètres!$A$1:$I$89,3,0)*0.475*44/12</f>
        <v>2.4948468168175548</v>
      </c>
      <c r="AC57" s="22">
        <f t="shared" si="3"/>
        <v>52.748416241382117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3.3603333333333336</v>
      </c>
      <c r="AI57" s="13">
        <f>IF('Données projet'!$A$62&gt;35,AI56+AH57-AQ56,IF(A57&lt;'Données projet'!$A$62,$AF$205^A57,IF(A57='Données projet'!$A$62,'Données projet'!$B$62,AI56+AH57-AQ56)))</f>
        <v>181.45799999999991</v>
      </c>
      <c r="AJ57" s="13">
        <f>AI57*VLOOKUP('Données projet'!$B$10,Paramètres!$A$1:$I$89,3,0)*VLOOKUP('Données projet'!$B$10,Paramètres!$A$1:$I$89,5,0)</f>
        <v>183.99841199999992</v>
      </c>
      <c r="AK57" s="13">
        <f t="shared" si="35"/>
        <v>46.210618509095013</v>
      </c>
      <c r="AL57" s="20">
        <f t="shared" si="4"/>
        <v>400.94739480334033</v>
      </c>
      <c r="AM57" s="59">
        <f t="shared" si="5"/>
        <v>694.28072813667359</v>
      </c>
      <c r="AN57" s="59">
        <f ca="1">AVERAGE(OFFSET($AM$3,0,0,'Données projet'!$E$10+1,1))-AVERAGE(OFFSET($H$3,0,0,'Données projet'!$E$10+1,1))</f>
        <v>486.4870616281359</v>
      </c>
      <c r="AO57" s="59">
        <f t="shared" si="36"/>
        <v>247.29100537955225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0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0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4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11.737439999999992</v>
      </c>
      <c r="D58" s="11">
        <f t="shared" si="32"/>
        <v>4.0609450043195316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29.268586955370907</v>
      </c>
      <c r="H58" s="67">
        <f t="shared" si="1"/>
        <v>284.18218721585652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14.113999999999999</v>
      </c>
      <c r="N58" s="13">
        <f>IF('Données projet'!$A$36&gt;35,N57+M58-V57,IF(A58&lt;'Données projet'!$A$36,$K$205^A58,IF(A58='Données projet'!$A$36,'Données projet'!$B$36,N57+M58-V57)))</f>
        <v>370.36999999999995</v>
      </c>
      <c r="O58" s="13">
        <f>N58*VLOOKUP('Données projet'!$B$9,Paramètres!$A$1:$I$89,3,0)*VLOOKUP('Données projet'!$B$9,Paramètres!$A$1:$I$89,5,0)</f>
        <v>221.48125999999999</v>
      </c>
      <c r="P58" s="13">
        <f t="shared" si="33"/>
        <v>54.436704420571644</v>
      </c>
      <c r="Q58" s="20">
        <f t="shared" si="53"/>
        <v>480.55712136582889</v>
      </c>
      <c r="R58" s="59">
        <f t="shared" si="0"/>
        <v>773.89045469916221</v>
      </c>
      <c r="S58" s="59">
        <f ca="1">AVERAGE(OFFSET($R$3,0,0,'Données projet'!$E$9+1,1))-AVERAGE(OFFSET($H$3,0,0,'Données projet'!$E$9+1,1))</f>
        <v>329.62068845923676</v>
      </c>
      <c r="T58" s="59">
        <f t="shared" si="34"/>
        <v>243.22501652129546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32.633495109618906</v>
      </c>
      <c r="AA58" s="21">
        <f>EXP(-LN(2)/25)*AA57+(1-EXP(-LN(2)/25))/(LN(2)/25)*Calculateur!V58*Calculateur!X58*VLOOKUP('Données projet'!$B$9,Paramètres!$A$1:$I$89,3,0)*0.475*44/12</f>
        <v>16.503378761961258</v>
      </c>
      <c r="AB58" s="21">
        <f>EXP(-LN(2)/2)*AB57+(1-EXP(-LN(2)/2))/(LN(2)/2)*V58*Y58*VLOOKUP('Données projet'!$B$9,Paramètres!$A$1:$I$89,3,0)*0.475*44/12</f>
        <v>1.7641231021933654</v>
      </c>
      <c r="AC58" s="22">
        <f t="shared" si="3"/>
        <v>50.90099697377353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3.3603333333333336</v>
      </c>
      <c r="AI58" s="13">
        <f>IF('Données projet'!$A$62&gt;35,AI57+AH58-AQ57,IF(A58&lt;'Données projet'!$A$62,$AF$205^A58,IF(A58='Données projet'!$A$62,'Données projet'!$B$62,AI57+AH58-AQ57)))</f>
        <v>184.81833333333324</v>
      </c>
      <c r="AJ58" s="13">
        <f>AI58*VLOOKUP('Données projet'!$B$10,Paramètres!$A$1:$I$89,3,0)*VLOOKUP('Données projet'!$B$10,Paramètres!$A$1:$I$89,5,0)</f>
        <v>187.40578999999991</v>
      </c>
      <c r="AK58" s="13">
        <f t="shared" si="35"/>
        <v>46.96595175625901</v>
      </c>
      <c r="AL58" s="20">
        <f t="shared" si="4"/>
        <v>408.19745022548432</v>
      </c>
      <c r="AM58" s="59">
        <f t="shared" si="5"/>
        <v>701.53078355881757</v>
      </c>
      <c r="AN58" s="59">
        <f ca="1">AVERAGE(OFFSET($AM$3,0,0,'Données projet'!$E$10+1,1))-AVERAGE(OFFSET($H$3,0,0,'Données projet'!$E$10+1,1))</f>
        <v>486.4870616281359</v>
      </c>
      <c r="AO58" s="59">
        <f t="shared" si="36"/>
        <v>247.29100537955225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0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0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4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11.950847999999992</v>
      </c>
      <c r="D59" s="11">
        <f t="shared" si="32"/>
        <v>4.1261173575985168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29.784693715129876</v>
      </c>
      <c r="H59" s="67">
        <f t="shared" si="1"/>
        <v>284.66738133115075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14.113999999999999</v>
      </c>
      <c r="N59" s="13">
        <f>IF('Données projet'!$A$36&gt;35,N58+M59-V58,IF(A59&lt;'Données projet'!$A$36,$K$205^A59,IF(A59='Données projet'!$A$36,'Données projet'!$B$36,N58+M59-V58)))</f>
        <v>384.48399999999992</v>
      </c>
      <c r="O59" s="13">
        <f>N59*VLOOKUP('Données projet'!$B$9,Paramètres!$A$1:$I$89,3,0)*VLOOKUP('Données projet'!$B$9,Paramètres!$A$1:$I$89,5,0)</f>
        <v>229.92143199999998</v>
      </c>
      <c r="P59" s="13">
        <f t="shared" si="33"/>
        <v>56.265692954832708</v>
      </c>
      <c r="Q59" s="20">
        <f t="shared" si="53"/>
        <v>498.44257596300025</v>
      </c>
      <c r="R59" s="59">
        <f t="shared" si="0"/>
        <v>791.77590929633357</v>
      </c>
      <c r="S59" s="59">
        <f ca="1">AVERAGE(OFFSET($R$3,0,0,'Données projet'!$E$9+1,1))-AVERAGE(OFFSET($H$3,0,0,'Données projet'!$E$9+1,1))</f>
        <v>329.62068845923676</v>
      </c>
      <c r="T59" s="59">
        <f t="shared" si="34"/>
        <v>243.22501652129546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31.993572174985893</v>
      </c>
      <c r="AA59" s="21">
        <f>EXP(-LN(2)/25)*AA58+(1-EXP(-LN(2)/25))/(LN(2)/25)*Calculateur!V59*Calculateur!X59*VLOOKUP('Données projet'!$B$9,Paramètres!$A$1:$I$89,3,0)*0.475*44/12</f>
        <v>16.052093001840458</v>
      </c>
      <c r="AB59" s="21">
        <f>EXP(-LN(2)/2)*AB58+(1-EXP(-LN(2)/2))/(LN(2)/2)*V59*Y59*VLOOKUP('Données projet'!$B$9,Paramètres!$A$1:$I$89,3,0)*0.475*44/12</f>
        <v>1.2474234084087776</v>
      </c>
      <c r="AC59" s="22">
        <f t="shared" si="3"/>
        <v>49.293088585235125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3.3603333333333336</v>
      </c>
      <c r="AI59" s="13">
        <f>IF('Données projet'!$A$62&gt;35,AI58+AH59-AQ58,IF(A59&lt;'Données projet'!$A$62,$AF$205^A59,IF(A59='Données projet'!$A$62,'Données projet'!$B$62,AI58+AH59-AQ58)))</f>
        <v>188.17866666666657</v>
      </c>
      <c r="AJ59" s="13">
        <f>AI59*VLOOKUP('Données projet'!$B$10,Paramètres!$A$1:$I$89,3,0)*VLOOKUP('Données projet'!$B$10,Paramètres!$A$1:$I$89,5,0)</f>
        <v>190.81316799999991</v>
      </c>
      <c r="AK59" s="13">
        <f t="shared" si="35"/>
        <v>47.719688040962872</v>
      </c>
      <c r="AL59" s="20">
        <f t="shared" si="4"/>
        <v>415.44472427134343</v>
      </c>
      <c r="AM59" s="59">
        <f t="shared" si="5"/>
        <v>708.77805760467675</v>
      </c>
      <c r="AN59" s="59">
        <f ca="1">AVERAGE(OFFSET($AM$3,0,0,'Données projet'!$E$10+1,1))-AVERAGE(OFFSET($H$3,0,0,'Données projet'!$E$10+1,1))</f>
        <v>486.4870616281359</v>
      </c>
      <c r="AO59" s="59">
        <f t="shared" si="36"/>
        <v>247.29100537955225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0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0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4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12.164255999999991</v>
      </c>
      <c r="D60" s="11">
        <f t="shared" si="32"/>
        <v>4.191154378572107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30.300549753986203</v>
      </c>
      <c r="H60" s="67">
        <f t="shared" si="1"/>
        <v>285.15233974267977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14.113999999999999</v>
      </c>
      <c r="N60" s="13">
        <f>IF('Données projet'!$A$36&gt;35,N59+M60-V59,IF(A60&lt;'Données projet'!$A$36,$K$205^A60,IF(A60='Données projet'!$A$36,'Données projet'!$B$36,N59+M60-V59)))</f>
        <v>398.5979999999999</v>
      </c>
      <c r="O60" s="13">
        <f>N60*VLOOKUP('Données projet'!$B$9,Paramètres!$A$1:$I$89,3,0)*VLOOKUP('Données projet'!$B$9,Paramètres!$A$1:$I$89,5,0)</f>
        <v>238.36160399999994</v>
      </c>
      <c r="P60" s="13">
        <f t="shared" si="33"/>
        <v>58.086881188787437</v>
      </c>
      <c r="Q60" s="20">
        <f t="shared" si="53"/>
        <v>516.31444503713794</v>
      </c>
      <c r="R60" s="59">
        <f t="shared" si="0"/>
        <v>809.64777837047131</v>
      </c>
      <c r="S60" s="59">
        <f ca="1">AVERAGE(OFFSET($R$3,0,0,'Données projet'!$E$9+1,1))-AVERAGE(OFFSET($H$3,0,0,'Données projet'!$E$9+1,1))</f>
        <v>329.62068845923676</v>
      </c>
      <c r="T60" s="59">
        <f t="shared" si="34"/>
        <v>243.22501652129546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31.366197738786585</v>
      </c>
      <c r="AA60" s="21">
        <f>EXP(-LN(2)/25)*AA59+(1-EXP(-LN(2)/25))/(LN(2)/25)*Calculateur!V60*Calculateur!X60*VLOOKUP('Données projet'!$B$9,Paramètres!$A$1:$I$89,3,0)*0.475*44/12</f>
        <v>15.613147674562248</v>
      </c>
      <c r="AB60" s="21">
        <f>EXP(-LN(2)/2)*AB59+(1-EXP(-LN(2)/2))/(LN(2)/2)*V60*Y60*VLOOKUP('Données projet'!$B$9,Paramètres!$A$1:$I$89,3,0)*0.475*44/12</f>
        <v>0.88206155109668294</v>
      </c>
      <c r="AC60" s="22">
        <f t="shared" si="3"/>
        <v>47.861406964445514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3.3603333333333336</v>
      </c>
      <c r="AI60" s="13">
        <f>IF('Données projet'!$A$62&gt;35,AI59+AH60-AQ59,IF(A60&lt;'Données projet'!$A$62,$AF$205^A60,IF(A60='Données projet'!$A$62,'Données projet'!$B$62,AI59+AH60-AQ59)))</f>
        <v>191.5389999999999</v>
      </c>
      <c r="AJ60" s="13">
        <f>AI60*VLOOKUP('Données projet'!$B$10,Paramètres!$A$1:$I$89,3,0)*VLOOKUP('Données projet'!$B$10,Paramètres!$A$1:$I$89,5,0)</f>
        <v>194.22054599999993</v>
      </c>
      <c r="AK60" s="13">
        <f t="shared" si="35"/>
        <v>48.471859170137883</v>
      </c>
      <c r="AL60" s="20">
        <f t="shared" si="4"/>
        <v>422.68927233798996</v>
      </c>
      <c r="AM60" s="59">
        <f t="shared" si="5"/>
        <v>716.02260567132328</v>
      </c>
      <c r="AN60" s="59">
        <f ca="1">AVERAGE(OFFSET($AM$3,0,0,'Données projet'!$E$10+1,1))-AVERAGE(OFFSET($H$3,0,0,'Données projet'!$E$10+1,1))</f>
        <v>486.4870616281359</v>
      </c>
      <c r="AO60" s="59">
        <f t="shared" si="36"/>
        <v>247.29100537955225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0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0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4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12.37766399999999</v>
      </c>
      <c r="D61" s="11">
        <f t="shared" si="32"/>
        <v>4.256058715423376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30.816159978047505</v>
      </c>
      <c r="H61" s="67">
        <f t="shared" si="1"/>
        <v>285.63706706269573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14.113999999999999</v>
      </c>
      <c r="N61" s="13">
        <f>IF('Données projet'!$A$36&gt;35,N60+M61-V60,IF(A61&lt;'Données projet'!$A$36,$K$205^A61,IF(A61='Données projet'!$A$36,'Données projet'!$B$36,N60+M61-V60)))</f>
        <v>412.71199999999988</v>
      </c>
      <c r="O61" s="13">
        <f>N61*VLOOKUP('Données projet'!$B$9,Paramètres!$A$1:$I$89,3,0)*VLOOKUP('Données projet'!$B$9,Paramètres!$A$1:$I$89,5,0)</f>
        <v>246.80177599999993</v>
      </c>
      <c r="P61" s="13">
        <f t="shared" si="33"/>
        <v>59.900576970210864</v>
      </c>
      <c r="Q61" s="20">
        <f t="shared" si="53"/>
        <v>534.17326475645041</v>
      </c>
      <c r="R61" s="59">
        <f t="shared" si="0"/>
        <v>827.50659808978367</v>
      </c>
      <c r="S61" s="59">
        <f ca="1">AVERAGE(OFFSET($R$3,0,0,'Données projet'!$E$9+1,1))-AVERAGE(OFFSET($H$3,0,0,'Données projet'!$E$9+1,1))</f>
        <v>329.62068845923676</v>
      </c>
      <c r="T61" s="59">
        <f t="shared" si="34"/>
        <v>243.22501652129546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30.751125732620523</v>
      </c>
      <c r="AA61" s="21">
        <f>EXP(-LN(2)/25)*AA60+(1-EXP(-LN(2)/25))/(LN(2)/25)*Calculateur!V61*Calculateur!X61*VLOOKUP('Données projet'!$B$9,Paramètres!$A$1:$I$89,3,0)*0.475*44/12</f>
        <v>15.186205330341592</v>
      </c>
      <c r="AB61" s="21">
        <f>EXP(-LN(2)/2)*AB60+(1-EXP(-LN(2)/2))/(LN(2)/2)*V61*Y61*VLOOKUP('Données projet'!$B$9,Paramètres!$A$1:$I$89,3,0)*0.475*44/12</f>
        <v>0.62371170420438893</v>
      </c>
      <c r="AC61" s="22">
        <f t="shared" si="3"/>
        <v>46.561042767166505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3.3603333333333336</v>
      </c>
      <c r="AI61" s="13">
        <f>IF('Données projet'!$A$62&gt;35,AI60+AH61-AQ60,IF(A61&lt;'Données projet'!$A$62,$AF$205^A61,IF(A61='Données projet'!$A$62,'Données projet'!$B$62,AI60+AH61-AQ60)))</f>
        <v>194.89933333333323</v>
      </c>
      <c r="AJ61" s="13">
        <f>AI61*VLOOKUP('Données projet'!$B$10,Paramètres!$A$1:$I$89,3,0)*VLOOKUP('Données projet'!$B$10,Paramètres!$A$1:$I$89,5,0)</f>
        <v>197.62792399999992</v>
      </c>
      <c r="AK61" s="13">
        <f t="shared" si="35"/>
        <v>49.222495770753348</v>
      </c>
      <c r="AL61" s="20">
        <f t="shared" si="4"/>
        <v>429.93114776739526</v>
      </c>
      <c r="AM61" s="59">
        <f t="shared" si="5"/>
        <v>723.26448110072852</v>
      </c>
      <c r="AN61" s="59">
        <f ca="1">AVERAGE(OFFSET($AM$3,0,0,'Données projet'!$E$10+1,1))-AVERAGE(OFFSET($H$3,0,0,'Données projet'!$E$10+1,1))</f>
        <v>486.4870616281359</v>
      </c>
      <c r="AO61" s="59">
        <f t="shared" si="36"/>
        <v>247.29100537955225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0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0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4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12.59107199999999</v>
      </c>
      <c r="D62" s="11">
        <f t="shared" si="32"/>
        <v>4.3208329197866924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31.331529114552165</v>
      </c>
      <c r="H62" s="67">
        <f t="shared" si="1"/>
        <v>286.12156773529517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14.113999999999999</v>
      </c>
      <c r="N62" s="13">
        <f>IF('Données projet'!$A$36&gt;35,N61+M62-V61,IF(A62&lt;'Données projet'!$A$36,$K$205^A62,IF(A62='Données projet'!$A$36,'Données projet'!$B$36,N61+M62-V61)))</f>
        <v>426.82599999999985</v>
      </c>
      <c r="O62" s="13">
        <f>N62*VLOOKUP('Données projet'!$B$9,Paramètres!$A$1:$I$89,3,0)*VLOOKUP('Données projet'!$B$9,Paramètres!$A$1:$I$89,5,0)</f>
        <v>255.24194799999992</v>
      </c>
      <c r="P62" s="13">
        <f t="shared" si="33"/>
        <v>61.707065896857912</v>
      </c>
      <c r="Q62" s="20">
        <f t="shared" si="53"/>
        <v>552.01953253702732</v>
      </c>
      <c r="R62" s="59">
        <f t="shared" si="0"/>
        <v>845.35286587036057</v>
      </c>
      <c r="S62" s="59">
        <f ca="1">AVERAGE(OFFSET($R$3,0,0,'Données projet'!$E$9+1,1))-AVERAGE(OFFSET($H$3,0,0,'Données projet'!$E$9+1,1))</f>
        <v>329.62068845923676</v>
      </c>
      <c r="T62" s="59">
        <f t="shared" si="34"/>
        <v>243.22501652129546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30.148114913338496</v>
      </c>
      <c r="AA62" s="21">
        <f>EXP(-LN(2)/25)*AA61+(1-EXP(-LN(2)/25))/(LN(2)/25)*Calculateur!V62*Calculateur!X62*VLOOKUP('Données projet'!$B$9,Paramètres!$A$1:$I$89,3,0)*0.475*44/12</f>
        <v>14.770937746975571</v>
      </c>
      <c r="AB62" s="21">
        <f>EXP(-LN(2)/2)*AB61+(1-EXP(-LN(2)/2))/(LN(2)/2)*V62*Y62*VLOOKUP('Données projet'!$B$9,Paramètres!$A$1:$I$89,3,0)*0.475*44/12</f>
        <v>0.44103077554834152</v>
      </c>
      <c r="AC62" s="22">
        <f t="shared" si="3"/>
        <v>45.360083435862407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3.3603333333333336</v>
      </c>
      <c r="AI62" s="13">
        <f>IF('Données projet'!$A$62&gt;35,AI61+AH62-AQ61,IF(A62&lt;'Données projet'!$A$62,$AF$205^A62,IF(A62='Données projet'!$A$62,'Données projet'!$B$62,AI61+AH62-AQ61)))</f>
        <v>198.25966666666656</v>
      </c>
      <c r="AJ62" s="13">
        <f>AI62*VLOOKUP('Données projet'!$B$10,Paramètres!$A$1:$I$89,3,0)*VLOOKUP('Données projet'!$B$10,Paramètres!$A$1:$I$89,5,0)</f>
        <v>201.03530199999992</v>
      </c>
      <c r="AK62" s="13">
        <f t="shared" si="35"/>
        <v>49.971627353166163</v>
      </c>
      <c r="AL62" s="20">
        <f t="shared" si="4"/>
        <v>437.17040195676424</v>
      </c>
      <c r="AM62" s="59">
        <f t="shared" si="5"/>
        <v>730.50373529009755</v>
      </c>
      <c r="AN62" s="59">
        <f ca="1">AVERAGE(OFFSET($AM$3,0,0,'Données projet'!$E$10+1,1))-AVERAGE(OFFSET($H$3,0,0,'Données projet'!$E$10+1,1))</f>
        <v>486.4870616281359</v>
      </c>
      <c r="AO62" s="59">
        <f t="shared" si="36"/>
        <v>247.29100537955225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0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0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4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12.804479999999989</v>
      </c>
      <c r="D63" s="11">
        <f t="shared" si="32"/>
        <v>4.385479451843409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31.846661721309875</v>
      </c>
      <c r="H63" s="67">
        <f t="shared" si="1"/>
        <v>286.60584604529396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440.94</v>
      </c>
      <c r="L63" s="12">
        <f>VLOOKUP(A63,'Données projet'!$A$35:$I$55,9,0)</f>
        <v>14.113999999999999</v>
      </c>
      <c r="M63" s="12">
        <f t="array" ref="M63">INDEX(L:L,MIN(IF(ISNUMBER(L63:L259),ROW(L63:L259),"")))</f>
        <v>14.113999999999999</v>
      </c>
      <c r="N63" s="13">
        <f>IF('Données projet'!$A$36&gt;35,N62+M63-V62,IF(A63&lt;'Données projet'!$A$36,$K$205^A63,IF(A63='Données projet'!$A$36,'Données projet'!$B$36,N62+M63-V62)))</f>
        <v>440.93999999999983</v>
      </c>
      <c r="O63" s="13">
        <f>N63*VLOOKUP('Données projet'!$B$9,Paramètres!$A$1:$I$89,3,0)*VLOOKUP('Données projet'!$B$9,Paramètres!$A$1:$I$89,5,0)</f>
        <v>263.68211999999988</v>
      </c>
      <c r="P63" s="13">
        <f t="shared" si="33"/>
        <v>63.506613606650006</v>
      </c>
      <c r="Q63" s="20">
        <f t="shared" si="53"/>
        <v>569.85371103158184</v>
      </c>
      <c r="R63" s="59">
        <f t="shared" si="0"/>
        <v>863.18704436491521</v>
      </c>
      <c r="S63" s="59">
        <f ca="1">AVERAGE(OFFSET($R$3,0,0,'Données projet'!$E$9+1,1))-AVERAGE(OFFSET($H$3,0,0,'Données projet'!$E$9+1,1))</f>
        <v>329.62068845923676</v>
      </c>
      <c r="T63" s="59">
        <f t="shared" si="34"/>
        <v>243.22501652129546</v>
      </c>
      <c r="U63" s="15">
        <f>IF(ISNA(VLOOKUP(A63,'Données projet'!$A$35:$I$55,3,0)),0,VLOOKUP(A63,'Données projet'!$A$35:$I$55,3,0))</f>
        <v>6</v>
      </c>
      <c r="V63" s="15">
        <f>IF(ISNA(VLOOKUP(A63,'Données projet'!$A$35:$I$55,4,0)),0,VLOOKUP(A63,'Données projet'!$A$35:$I$55,4,0))</f>
        <v>69.839999999999975</v>
      </c>
      <c r="W63" s="16">
        <f>IF(ISNA(VLOOKUP(A63,'Données projet'!$A$35:$I$55,5,0)),0%,VLOOKUP(A63,'Données projet'!$A$35:$I$55,5,0)*VLOOKUP('Données projet'!$B$9,Paramètres!$A$1:$I$89,7,0))</f>
        <v>0.27</v>
      </c>
      <c r="X63" s="16">
        <f>IF(ISNA(VLOOKUP(A63,'Données projet'!$A$35:$I$55,6,0)),0%,VLOOKUP(A63,'Données projet'!$A$35:$I$55,6,0)*VLOOKUP('Données projet'!$B$9,Paramètres!$A$1:$I$89,7,0))</f>
        <v>9.0000000000000011E-2</v>
      </c>
      <c r="Y63" s="16">
        <f>IF(ISNA(VLOOKUP(A63,'Données projet'!$A$35:$I$55,7,0)),0%,VLOOKUP(A63,'Données projet'!$A$35:$I$55,7,0))</f>
        <v>0.2</v>
      </c>
      <c r="Z63" s="21">
        <f>EXP(-LN(2)/35)*Z62+(1-EXP(-LN(2)/35))/(LN(2)/35)*V63*W63*VLOOKUP('Données projet'!$B$9,Paramètres!$A$1:$I$89,3,0)*0.475*44/12</f>
        <v>44.515755621175032</v>
      </c>
      <c r="AA63" s="21">
        <f>EXP(-LN(2)/25)*AA62+(1-EXP(-LN(2)/25))/(LN(2)/25)*Calculateur!V63*Calculateur!X63*VLOOKUP('Données projet'!$B$9,Paramètres!$A$1:$I$89,3,0)*0.475*44/12</f>
        <v>19.333668428072521</v>
      </c>
      <c r="AB63" s="21">
        <f>EXP(-LN(2)/2)*AB62+(1-EXP(-LN(2)/2))/(LN(2)/2)*V63*Y63*VLOOKUP('Données projet'!$B$9,Paramètres!$A$1:$I$89,3,0)*0.475*44/12</f>
        <v>9.7692382497482964</v>
      </c>
      <c r="AC63" s="22">
        <f t="shared" si="3"/>
        <v>73.618662298995844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201.62</v>
      </c>
      <c r="AG63" s="12">
        <f>VLOOKUP(A63,'Données projet'!$A$61:$I$81,9,0)</f>
        <v>3.3603333333333336</v>
      </c>
      <c r="AH63" s="12">
        <f t="array" ref="AH63">INDEX(AG:AG,MIN(IF(ISNUMBER(AG63:AG259),ROW(AG63:AG259),"")))</f>
        <v>3.3603333333333336</v>
      </c>
      <c r="AI63" s="13">
        <f>IF('Données projet'!$A$62&gt;35,AI62+AH63-AQ62,IF(A63&lt;'Données projet'!$A$62,$AF$205^A63,IF(A63='Données projet'!$A$62,'Données projet'!$B$62,AI62+AH63-AQ62)))</f>
        <v>201.61999999999989</v>
      </c>
      <c r="AJ63" s="13">
        <f>AI63*VLOOKUP('Données projet'!$B$10,Paramètres!$A$1:$I$89,3,0)*VLOOKUP('Données projet'!$B$10,Paramètres!$A$1:$I$89,5,0)</f>
        <v>204.44267999999991</v>
      </c>
      <c r="AK63" s="13">
        <f t="shared" si="35"/>
        <v>50.719282370054088</v>
      </c>
      <c r="AL63" s="20">
        <f t="shared" si="4"/>
        <v>444.40708446117736</v>
      </c>
      <c r="AM63" s="59">
        <f t="shared" si="5"/>
        <v>737.74041779451068</v>
      </c>
      <c r="AN63" s="59">
        <f ca="1">AVERAGE(OFFSET($AM$3,0,0,'Données projet'!$E$10+1,1))-AVERAGE(OFFSET($H$3,0,0,'Données projet'!$E$10+1,1))</f>
        <v>486.4870616281359</v>
      </c>
      <c r="AO63" s="59">
        <f t="shared" si="36"/>
        <v>247.29100537955225</v>
      </c>
      <c r="AP63" s="15">
        <f>IF(ISNA(VLOOKUP(A63,'Données projet'!$A$61:$I$81,3,0)),0,VLOOKUP(A63,'Données projet'!$A$61:$I$81,3,0))</f>
        <v>1</v>
      </c>
      <c r="AQ63" s="15">
        <f>IF(ISNA(VLOOKUP(A63,'Données projet'!$A$61:$I$81,4,0)),0,VLOOKUP(A63,'Données projet'!$A$61:$I$81,4,0))</f>
        <v>72.87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0.34400000000000003</v>
      </c>
      <c r="AT63" s="16">
        <f>IF(ISNA(VLOOKUP(A63,'Données projet'!$A$61:$I$81,7,0)),0%,VLOOKUP(A63,'Données projet'!$A$61:$I$81,7,0))</f>
        <v>0.2</v>
      </c>
      <c r="AU63" s="21">
        <f>EXP(-LN(2)/35)*AU62+(1-EXP(-LN(2)/35))/(LN(2)/35)*AQ63*AR63*VLOOKUP('Données projet'!$B$10,Paramètres!$A$1:$I$89,3,0)*0.475*44/12</f>
        <v>0</v>
      </c>
      <c r="AV63" s="21">
        <f>EXP(-LN(2)/25)*AV62+(1-EXP(-LN(2)/25))/(LN(2)/25)*Calculateur!AQ63*Calculateur!AS63*VLOOKUP('Données projet'!$B$10,Paramètres!$A$1:$I$89,3,0)*0.475*44/12</f>
        <v>27.988454603390398</v>
      </c>
      <c r="AW63" s="21">
        <f>EXP(-LN(2)/2)*AW62+(1-EXP(-LN(2)/2))/(LN(2)/2)*AQ63*AT63*VLOOKUP('Données projet'!$B$10,Paramètres!$A$1:$I$89,3,0)*0.475*44/12</f>
        <v>13.943474711007354</v>
      </c>
      <c r="AX63" s="21">
        <f t="shared" si="6"/>
        <v>41.931929314397749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4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13.017887999999989</v>
      </c>
      <c r="D64" s="11">
        <f t="shared" si="32"/>
        <v>4.4500006850682077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32.361562195494763</v>
      </c>
      <c r="H64" s="67">
        <f t="shared" si="1"/>
        <v>287.08990612649382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11.896999999999997</v>
      </c>
      <c r="N64" s="13">
        <f>IF('Données projet'!$A$36&gt;35,N63+M64-V63,IF(A64&lt;'Données projet'!$A$36,$K$205^A64,IF(A64='Données projet'!$A$36,'Données projet'!$B$36,N63+M64-V63)))</f>
        <v>382.99699999999984</v>
      </c>
      <c r="O64" s="13">
        <f>N64*VLOOKUP('Données projet'!$B$9,Paramètres!$A$1:$I$89,3,0)*VLOOKUP('Données projet'!$B$9,Paramètres!$A$1:$I$89,5,0)</f>
        <v>229.03220599999992</v>
      </c>
      <c r="P64" s="13">
        <f t="shared" si="33"/>
        <v>56.073370514455313</v>
      </c>
      <c r="Q64" s="20">
        <f t="shared" si="53"/>
        <v>496.55887909600943</v>
      </c>
      <c r="R64" s="59">
        <f t="shared" si="0"/>
        <v>789.89221242934275</v>
      </c>
      <c r="S64" s="59">
        <f ca="1">AVERAGE(OFFSET($R$3,0,0,'Données projet'!$E$9+1,1))-AVERAGE(OFFSET($H$3,0,0,'Données projet'!$E$9+1,1))</f>
        <v>329.62068845923676</v>
      </c>
      <c r="T64" s="59">
        <f t="shared" si="34"/>
        <v>243.22501652129546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43.642828805373689</v>
      </c>
      <c r="AA64" s="21">
        <f>EXP(-LN(2)/25)*AA63+(1-EXP(-LN(2)/25))/(LN(2)/25)*Calculateur!V64*Calculateur!X64*VLOOKUP('Données projet'!$B$9,Paramètres!$A$1:$I$89,3,0)*0.475*44/12</f>
        <v>18.804988248193443</v>
      </c>
      <c r="AB64" s="21">
        <f>EXP(-LN(2)/2)*AB63+(1-EXP(-LN(2)/2))/(LN(2)/2)*V64*Y64*VLOOKUP('Données projet'!$B$9,Paramètres!$A$1:$I$89,3,0)*0.475*44/12</f>
        <v>6.9078946134240198</v>
      </c>
      <c r="AC64" s="22">
        <f t="shared" si="3"/>
        <v>69.355711666991155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6.8933333333333326</v>
      </c>
      <c r="AI64" s="13">
        <f>IF('Données projet'!$A$62&gt;35,AI63+AH64-AQ63,IF(A64&lt;'Données projet'!$A$62,$AF$205^A64,IF(A64='Données projet'!$A$62,'Données projet'!$B$62,AI63+AH64-AQ63)))</f>
        <v>135.64333333333323</v>
      </c>
      <c r="AJ64" s="13">
        <f>AI64*VLOOKUP('Données projet'!$B$10,Paramètres!$A$1:$I$89,3,0)*VLOOKUP('Données projet'!$B$10,Paramètres!$A$1:$I$89,5,0)</f>
        <v>137.54233999999991</v>
      </c>
      <c r="AK64" s="13">
        <f t="shared" si="35"/>
        <v>35.733411083522441</v>
      </c>
      <c r="AL64" s="20">
        <f t="shared" si="4"/>
        <v>301.78859980380139</v>
      </c>
      <c r="AM64" s="59">
        <f t="shared" si="5"/>
        <v>595.12193313713465</v>
      </c>
      <c r="AN64" s="59">
        <f ca="1">AVERAGE(OFFSET($AM$3,0,0,'Données projet'!$E$10+1,1))-AVERAGE(OFFSET($H$3,0,0,'Données projet'!$E$10+1,1))</f>
        <v>486.4870616281359</v>
      </c>
      <c r="AO64" s="59">
        <f t="shared" si="36"/>
        <v>247.29100537955225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0</v>
      </c>
      <c r="AV64" s="21">
        <f>EXP(-LN(2)/25)*AV63+(1-EXP(-LN(2)/25))/(LN(2)/25)*Calculateur!AQ64*Calculateur!AS64*VLOOKUP('Données projet'!$B$10,Paramètres!$A$1:$I$89,3,0)*0.475*44/12</f>
        <v>27.223108840411829</v>
      </c>
      <c r="AW64" s="21">
        <f>EXP(-LN(2)/2)*AW63+(1-EXP(-LN(2)/2))/(LN(2)/2)*AQ64*AT64*VLOOKUP('Données projet'!$B$10,Paramètres!$A$1:$I$89,3,0)*0.475*44/12</f>
        <v>9.8595255214564368</v>
      </c>
      <c r="AX64" s="21">
        <f t="shared" si="6"/>
        <v>37.082634361868266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4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13.231295999999988</v>
      </c>
      <c r="D65" s="11">
        <f t="shared" si="32"/>
        <v>4.5143989106553697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32.876234781845717</v>
      </c>
      <c r="H65" s="67">
        <f t="shared" si="1"/>
        <v>287.57375196939142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11.896999999999997</v>
      </c>
      <c r="N65" s="13">
        <f>IF('Données projet'!$A$36&gt;35,N64+M65-V64,IF(A65&lt;'Données projet'!$A$36,$K$205^A65,IF(A65='Données projet'!$A$36,'Données projet'!$B$36,N64+M65-V64)))</f>
        <v>394.89399999999983</v>
      </c>
      <c r="O65" s="13">
        <f>N65*VLOOKUP('Données projet'!$B$9,Paramètres!$A$1:$I$89,3,0)*VLOOKUP('Données projet'!$B$9,Paramètres!$A$1:$I$89,5,0)</f>
        <v>236.14661199999995</v>
      </c>
      <c r="P65" s="13">
        <f t="shared" si="33"/>
        <v>57.609675887529612</v>
      </c>
      <c r="Q65" s="20">
        <f t="shared" si="53"/>
        <v>511.6255347374472</v>
      </c>
      <c r="R65" s="59">
        <f t="shared" si="0"/>
        <v>804.95886807078045</v>
      </c>
      <c r="S65" s="59">
        <f ca="1">AVERAGE(OFFSET($R$3,0,0,'Données projet'!$E$9+1,1))-AVERAGE(OFFSET($H$3,0,0,'Données projet'!$E$9+1,1))</f>
        <v>329.62068845923676</v>
      </c>
      <c r="T65" s="59">
        <f t="shared" si="34"/>
        <v>243.22501652129546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42.787019551997425</v>
      </c>
      <c r="AA65" s="21">
        <f>EXP(-LN(2)/25)*AA64+(1-EXP(-LN(2)/25))/(LN(2)/25)*Calculateur!V65*Calculateur!X65*VLOOKUP('Données projet'!$B$9,Paramètres!$A$1:$I$89,3,0)*0.475*44/12</f>
        <v>18.290764855635238</v>
      </c>
      <c r="AB65" s="21">
        <f>EXP(-LN(2)/2)*AB64+(1-EXP(-LN(2)/2))/(LN(2)/2)*V65*Y65*VLOOKUP('Données projet'!$B$9,Paramètres!$A$1:$I$89,3,0)*0.475*44/12</f>
        <v>4.8846191248741491</v>
      </c>
      <c r="AC65" s="22">
        <f t="shared" si="3"/>
        <v>65.962403532506812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6.8933333333333326</v>
      </c>
      <c r="AI65" s="13">
        <f>IF('Données projet'!$A$62&gt;35,AI64+AH65-AQ64,IF(A65&lt;'Données projet'!$A$62,$AF$205^A65,IF(A65='Données projet'!$A$62,'Données projet'!$B$62,AI64+AH65-AQ64)))</f>
        <v>142.53666666666658</v>
      </c>
      <c r="AJ65" s="13">
        <f>AI65*VLOOKUP('Données projet'!$B$10,Paramètres!$A$1:$I$89,3,0)*VLOOKUP('Données projet'!$B$10,Paramètres!$A$1:$I$89,5,0)</f>
        <v>144.5321799999999</v>
      </c>
      <c r="AK65" s="13">
        <f t="shared" si="35"/>
        <v>37.333331285279648</v>
      </c>
      <c r="AL65" s="20">
        <f t="shared" si="4"/>
        <v>316.74909882186188</v>
      </c>
      <c r="AM65" s="59">
        <f t="shared" si="5"/>
        <v>610.08243215519519</v>
      </c>
      <c r="AN65" s="59">
        <f ca="1">AVERAGE(OFFSET($AM$3,0,0,'Données projet'!$E$10+1,1))-AVERAGE(OFFSET($H$3,0,0,'Données projet'!$E$10+1,1))</f>
        <v>486.4870616281359</v>
      </c>
      <c r="AO65" s="59">
        <f t="shared" si="36"/>
        <v>247.29100537955225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0</v>
      </c>
      <c r="AV65" s="21">
        <f>EXP(-LN(2)/25)*AV64+(1-EXP(-LN(2)/25))/(LN(2)/25)*Calculateur!AQ65*Calculateur!AS65*VLOOKUP('Données projet'!$B$10,Paramètres!$A$1:$I$89,3,0)*0.475*44/12</f>
        <v>26.478691497569692</v>
      </c>
      <c r="AW65" s="21">
        <f>EXP(-LN(2)/2)*AW64+(1-EXP(-LN(2)/2))/(LN(2)/2)*AQ65*AT65*VLOOKUP('Données projet'!$B$10,Paramètres!$A$1:$I$89,3,0)*0.475*44/12</f>
        <v>6.9717373555036781</v>
      </c>
      <c r="AX65" s="21">
        <f t="shared" si="6"/>
        <v>33.450428853073369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4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13.444703999999987</v>
      </c>
      <c r="D66" s="11">
        <f t="shared" si="32"/>
        <v>4.5786763416514029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33.390683580322573</v>
      </c>
      <c r="H66" s="67">
        <f t="shared" si="1"/>
        <v>288.05738742837616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11.896999999999997</v>
      </c>
      <c r="N66" s="13">
        <f>IF('Données projet'!$A$36&gt;35,N65+M66-V65,IF(A66&lt;'Données projet'!$A$36,$K$205^A66,IF(A66='Données projet'!$A$36,'Données projet'!$B$36,N65+M66-V65)))</f>
        <v>406.79099999999983</v>
      </c>
      <c r="O66" s="13">
        <f>N66*VLOOKUP('Données projet'!$B$9,Paramètres!$A$1:$I$89,3,0)*VLOOKUP('Données projet'!$B$9,Paramètres!$A$1:$I$89,5,0)</f>
        <v>243.26101799999989</v>
      </c>
      <c r="P66" s="13">
        <f t="shared" si="33"/>
        <v>59.140602334121624</v>
      </c>
      <c r="Q66" s="20">
        <f t="shared" si="53"/>
        <v>526.68282208192829</v>
      </c>
      <c r="R66" s="59">
        <f t="shared" si="0"/>
        <v>820.01615541526166</v>
      </c>
      <c r="S66" s="59">
        <f ca="1">AVERAGE(OFFSET($R$3,0,0,'Données projet'!$E$9+1,1))-AVERAGE(OFFSET($H$3,0,0,'Données projet'!$E$9+1,1))</f>
        <v>329.62068845923676</v>
      </c>
      <c r="T66" s="59">
        <f t="shared" si="34"/>
        <v>243.22501652129546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41.947992196087768</v>
      </c>
      <c r="AA66" s="21">
        <f>EXP(-LN(2)/25)*AA65+(1-EXP(-LN(2)/25))/(LN(2)/25)*Calculateur!V66*Calculateur!X66*VLOOKUP('Données projet'!$B$9,Paramètres!$A$1:$I$89,3,0)*0.475*44/12</f>
        <v>17.790602928788374</v>
      </c>
      <c r="AB66" s="21">
        <f>EXP(-LN(2)/2)*AB65+(1-EXP(-LN(2)/2))/(LN(2)/2)*V66*Y66*VLOOKUP('Données projet'!$B$9,Paramètres!$A$1:$I$89,3,0)*0.475*44/12</f>
        <v>3.4539473067120103</v>
      </c>
      <c r="AC66" s="22">
        <f t="shared" si="3"/>
        <v>63.192542431588151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6.8933333333333326</v>
      </c>
      <c r="AI66" s="13">
        <f>IF('Données projet'!$A$62&gt;35,AI65+AH66-AQ65,IF(A66&lt;'Données projet'!$A$62,$AF$205^A66,IF(A66='Données projet'!$A$62,'Données projet'!$B$62,AI65+AH66-AQ65)))</f>
        <v>149.42999999999992</v>
      </c>
      <c r="AJ66" s="13">
        <f>AI66*VLOOKUP('Données projet'!$B$10,Paramètres!$A$1:$I$89,3,0)*VLOOKUP('Données projet'!$B$10,Paramètres!$A$1:$I$89,5,0)</f>
        <v>151.52201999999994</v>
      </c>
      <c r="AK66" s="13">
        <f t="shared" si="35"/>
        <v>38.924266634641384</v>
      </c>
      <c r="AL66" s="20">
        <f t="shared" si="4"/>
        <v>331.6939492220003</v>
      </c>
      <c r="AM66" s="59">
        <f t="shared" si="5"/>
        <v>625.02728255533361</v>
      </c>
      <c r="AN66" s="59">
        <f ca="1">AVERAGE(OFFSET($AM$3,0,0,'Données projet'!$E$10+1,1))-AVERAGE(OFFSET($H$3,0,0,'Données projet'!$E$10+1,1))</f>
        <v>486.4870616281359</v>
      </c>
      <c r="AO66" s="59">
        <f t="shared" si="36"/>
        <v>247.29100537955225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0</v>
      </c>
      <c r="AV66" s="21">
        <f>EXP(-LN(2)/25)*AV65+(1-EXP(-LN(2)/25))/(LN(2)/25)*Calculateur!AQ66*Calculateur!AS66*VLOOKUP('Données projet'!$B$10,Paramètres!$A$1:$I$89,3,0)*0.475*44/12</f>
        <v>25.754630286114779</v>
      </c>
      <c r="AW66" s="21">
        <f>EXP(-LN(2)/2)*AW65+(1-EXP(-LN(2)/2))/(LN(2)/2)*AQ66*AT66*VLOOKUP('Données projet'!$B$10,Paramètres!$A$1:$I$89,3,0)*0.475*44/12</f>
        <v>4.9297627607282193</v>
      </c>
      <c r="AX66" s="21">
        <f t="shared" si="6"/>
        <v>30.684393046842999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4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13.658111999999987</v>
      </c>
      <c r="D67" s="11">
        <f t="shared" si="32"/>
        <v>4.6428351168178184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33.904912553262463</v>
      </c>
      <c r="H67" s="67">
        <f t="shared" si="1"/>
        <v>288.54081622845769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11.896999999999997</v>
      </c>
      <c r="N67" s="13">
        <f>IF('Données projet'!$A$36&gt;35,N66+M67-V66,IF(A67&lt;'Données projet'!$A$36,$K$205^A67,IF(A67='Données projet'!$A$36,'Données projet'!$B$36,N66+M67-V66)))</f>
        <v>418.68799999999982</v>
      </c>
      <c r="O67" s="13">
        <f>N67*VLOOKUP('Données projet'!$B$9,Paramètres!$A$1:$I$89,3,0)*VLOOKUP('Données projet'!$B$9,Paramètres!$A$1:$I$89,5,0)</f>
        <v>250.37542399999992</v>
      </c>
      <c r="P67" s="13">
        <f t="shared" si="33"/>
        <v>60.666325229387866</v>
      </c>
      <c r="Q67" s="20">
        <f t="shared" ref="Q67:Q98" si="54">(O67+P67)*0.475*44/12</f>
        <v>541.73104657451711</v>
      </c>
      <c r="R67" s="59">
        <f t="shared" ref="R67:R130" si="55">Q67+(I67+J67)*44/12</f>
        <v>835.06437990785048</v>
      </c>
      <c r="S67" s="59">
        <f ca="1">AVERAGE(OFFSET($R$3,0,0,'Données projet'!$E$9+1,1))-AVERAGE(OFFSET($H$3,0,0,'Données projet'!$E$9+1,1))</f>
        <v>329.62068845923676</v>
      </c>
      <c r="T67" s="59">
        <f t="shared" si="34"/>
        <v>243.22501652129546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41.125417654871342</v>
      </c>
      <c r="AA67" s="21">
        <f>EXP(-LN(2)/25)*AA66+(1-EXP(-LN(2)/25))/(LN(2)/25)*Calculateur!V67*Calculateur!X67*VLOOKUP('Données projet'!$B$9,Paramètres!$A$1:$I$89,3,0)*0.475*44/12</f>
        <v>17.30411795613351</v>
      </c>
      <c r="AB67" s="21">
        <f>EXP(-LN(2)/2)*AB66+(1-EXP(-LN(2)/2))/(LN(2)/2)*V67*Y67*VLOOKUP('Données projet'!$B$9,Paramètres!$A$1:$I$89,3,0)*0.475*44/12</f>
        <v>2.442309562437075</v>
      </c>
      <c r="AC67" s="22">
        <f t="shared" si="3"/>
        <v>60.871845173441926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6.8933333333333326</v>
      </c>
      <c r="AI67" s="13">
        <f>IF('Données projet'!$A$62&gt;35,AI66+AH67-AQ66,IF(A67&lt;'Données projet'!$A$62,$AF$205^A67,IF(A67='Données projet'!$A$62,'Données projet'!$B$62,AI66+AH67-AQ66)))</f>
        <v>156.32333333333327</v>
      </c>
      <c r="AJ67" s="13">
        <f>AI67*VLOOKUP('Données projet'!$B$10,Paramètres!$A$1:$I$89,3,0)*VLOOKUP('Données projet'!$B$10,Paramètres!$A$1:$I$89,5,0)</f>
        <v>158.51185999999996</v>
      </c>
      <c r="AK67" s="13">
        <f t="shared" si="35"/>
        <v>40.506678950569523</v>
      </c>
      <c r="AL67" s="20">
        <f t="shared" si="4"/>
        <v>346.6239553389085</v>
      </c>
      <c r="AM67" s="59">
        <f t="shared" si="5"/>
        <v>639.95728867224182</v>
      </c>
      <c r="AN67" s="59">
        <f ca="1">AVERAGE(OFFSET($AM$3,0,0,'Données projet'!$E$10+1,1))-AVERAGE(OFFSET($H$3,0,0,'Données projet'!$E$10+1,1))</f>
        <v>486.4870616281359</v>
      </c>
      <c r="AO67" s="59">
        <f t="shared" si="36"/>
        <v>247.29100537955225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0</v>
      </c>
      <c r="AV67" s="21">
        <f>EXP(-LN(2)/25)*AV66+(1-EXP(-LN(2)/25))/(LN(2)/25)*Calculateur!AQ67*Calculateur!AS67*VLOOKUP('Données projet'!$B$10,Paramètres!$A$1:$I$89,3,0)*0.475*44/12</f>
        <v>25.050368566563826</v>
      </c>
      <c r="AW67" s="21">
        <f>EXP(-LN(2)/2)*AW66+(1-EXP(-LN(2)/2))/(LN(2)/2)*AQ67*AT67*VLOOKUP('Données projet'!$B$10,Paramètres!$A$1:$I$89,3,0)*0.475*44/12</f>
        <v>3.4858686777518395</v>
      </c>
      <c r="AX67" s="21">
        <f t="shared" si="6"/>
        <v>28.536237244315664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4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13.871519999999986</v>
      </c>
      <c r="D68" s="11">
        <f t="shared" si="32"/>
        <v>4.7068773042456522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34.41892553207613</v>
      </c>
      <c r="H68" s="67">
        <f t="shared" ref="H68:H131" si="56">(B68+E68+F68)*44/12+(C68+D68)*0.475*44/12</f>
        <v>289.02404197156119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11.896999999999997</v>
      </c>
      <c r="N68" s="13">
        <f>IF('Données projet'!$A$36&gt;35,N67+M68-V67,IF(A68&lt;'Données projet'!$A$36,$K$205^A68,IF(A68='Données projet'!$A$36,'Données projet'!$B$36,N67+M68-V67)))</f>
        <v>430.58499999999981</v>
      </c>
      <c r="O68" s="13">
        <f>N68*VLOOKUP('Données projet'!$B$9,Paramètres!$A$1:$I$89,3,0)*VLOOKUP('Données projet'!$B$9,Paramètres!$A$1:$I$89,5,0)</f>
        <v>257.48982999999993</v>
      </c>
      <c r="P68" s="13">
        <f t="shared" si="33"/>
        <v>62.187009415011673</v>
      </c>
      <c r="Q68" s="20">
        <f t="shared" si="54"/>
        <v>556.77049531447858</v>
      </c>
      <c r="R68" s="59">
        <f t="shared" si="55"/>
        <v>850.10382864781195</v>
      </c>
      <c r="S68" s="59">
        <f ca="1">AVERAGE(OFFSET($R$3,0,0,'Données projet'!$E$9+1,1))-AVERAGE(OFFSET($H$3,0,0,'Données projet'!$E$9+1,1))</f>
        <v>329.62068845923676</v>
      </c>
      <c r="T68" s="59">
        <f t="shared" si="34"/>
        <v>243.22501652129546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40.31897329868724</v>
      </c>
      <c r="AA68" s="21">
        <f>EXP(-LN(2)/25)*AA67+(1-EXP(-LN(2)/25))/(LN(2)/25)*Calculateur!V68*Calculateur!X68*VLOOKUP('Données projet'!$B$9,Paramètres!$A$1:$I$89,3,0)*0.475*44/12</f>
        <v>16.830935940639026</v>
      </c>
      <c r="AB68" s="21">
        <f>EXP(-LN(2)/2)*AB67+(1-EXP(-LN(2)/2))/(LN(2)/2)*V68*Y68*VLOOKUP('Données projet'!$B$9,Paramètres!$A$1:$I$89,3,0)*0.475*44/12</f>
        <v>1.7269736533560056</v>
      </c>
      <c r="AC68" s="22">
        <f t="shared" ref="AC68:AC131" si="57">SUM(Z68:AB68)</f>
        <v>58.876882892682268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6.8933333333333326</v>
      </c>
      <c r="AI68" s="13">
        <f>IF('Données projet'!$A$62&gt;35,AI67+AH68-AQ67,IF(A68&lt;'Données projet'!$A$62,$AF$205^A68,IF(A68='Données projet'!$A$62,'Données projet'!$B$62,AI67+AH68-AQ67)))</f>
        <v>163.21666666666661</v>
      </c>
      <c r="AJ68" s="13">
        <f>AI68*VLOOKUP('Données projet'!$B$10,Paramètres!$A$1:$I$89,3,0)*VLOOKUP('Données projet'!$B$10,Paramètres!$A$1:$I$89,5,0)</f>
        <v>165.50169999999997</v>
      </c>
      <c r="AK68" s="13">
        <f t="shared" si="35"/>
        <v>42.080987019777631</v>
      </c>
      <c r="AL68" s="20">
        <f t="shared" ref="AL68:AL131" si="58">(AJ68+AK68)*0.475*44/12</f>
        <v>361.539846559446</v>
      </c>
      <c r="AM68" s="59">
        <f t="shared" ref="AM68:AM131" si="59">AL68+(AD68+AE68)*44/12</f>
        <v>654.87317989277926</v>
      </c>
      <c r="AN68" s="59">
        <f ca="1">AVERAGE(OFFSET($AM$3,0,0,'Données projet'!$E$10+1,1))-AVERAGE(OFFSET($H$3,0,0,'Données projet'!$E$10+1,1))</f>
        <v>486.4870616281359</v>
      </c>
      <c r="AO68" s="59">
        <f t="shared" si="36"/>
        <v>247.29100537955225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0</v>
      </c>
      <c r="AV68" s="21">
        <f>EXP(-LN(2)/25)*AV67+(1-EXP(-LN(2)/25))/(LN(2)/25)*Calculateur!AQ68*Calculateur!AS68*VLOOKUP('Données projet'!$B$10,Paramètres!$A$1:$I$89,3,0)*0.475*44/12</f>
        <v>24.365364920769508</v>
      </c>
      <c r="AW68" s="21">
        <f>EXP(-LN(2)/2)*AW67+(1-EXP(-LN(2)/2))/(LN(2)/2)*AQ68*AT68*VLOOKUP('Données projet'!$B$10,Paramètres!$A$1:$I$89,3,0)*0.475*44/12</f>
        <v>2.4648813803641101</v>
      </c>
      <c r="AX68" s="21">
        <f t="shared" ref="AX68:AX131" si="60">SUM(AU68:AW68)</f>
        <v>26.83024630113362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4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14.084927999999985</v>
      </c>
      <c r="D69" s="11">
        <f t="shared" ref="D69:D132" si="86">IFERROR(EXP(-1.0587+0.8836*LN(C69)+0.284),0)</f>
        <v>4.7708049047412233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34.932726223520561</v>
      </c>
      <c r="H69" s="67">
        <f t="shared" si="56"/>
        <v>289.50706814242432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11.896999999999997</v>
      </c>
      <c r="N69" s="13">
        <f>IF('Données projet'!$A$36&gt;35,N68+M69-V68,IF(A69&lt;'Données projet'!$A$36,$K$205^A69,IF(A69='Données projet'!$A$36,'Données projet'!$B$36,N68+M69-V68)))</f>
        <v>442.4819999999998</v>
      </c>
      <c r="O69" s="13">
        <f>N69*VLOOKUP('Données projet'!$B$9,Paramètres!$A$1:$I$89,3,0)*VLOOKUP('Données projet'!$B$9,Paramètres!$A$1:$I$89,5,0)</f>
        <v>264.6042359999999</v>
      </c>
      <c r="P69" s="13">
        <f t="shared" ref="P69:P132" si="87">EXP(-1.0587+0.8836*LN(O69)+0.284)</f>
        <v>63.702810105204811</v>
      </c>
      <c r="Q69" s="20">
        <f t="shared" si="54"/>
        <v>571.80143863323156</v>
      </c>
      <c r="R69" s="59">
        <f t="shared" si="55"/>
        <v>865.13477196656481</v>
      </c>
      <c r="S69" s="59">
        <f ca="1">AVERAGE(OFFSET($R$3,0,0,'Données projet'!$E$9+1,1))-AVERAGE(OFFSET($H$3,0,0,'Données projet'!$E$9+1,1))</f>
        <v>329.62068845923676</v>
      </c>
      <c r="T69" s="59">
        <f t="shared" ref="T69:T132" si="88">$T$3</f>
        <v>243.22501652129546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39.528342824445424</v>
      </c>
      <c r="AA69" s="21">
        <f>EXP(-LN(2)/25)*AA68+(1-EXP(-LN(2)/25))/(LN(2)/25)*Calculateur!V69*Calculateur!X69*VLOOKUP('Données projet'!$B$9,Paramètres!$A$1:$I$89,3,0)*0.475*44/12</f>
        <v>16.370693112241799</v>
      </c>
      <c r="AB69" s="21">
        <f>EXP(-LN(2)/2)*AB68+(1-EXP(-LN(2)/2))/(LN(2)/2)*V69*Y69*VLOOKUP('Données projet'!$B$9,Paramètres!$A$1:$I$89,3,0)*0.475*44/12</f>
        <v>1.2211547812185377</v>
      </c>
      <c r="AC69" s="22">
        <f t="shared" si="57"/>
        <v>57.120190717905764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6.8933333333333326</v>
      </c>
      <c r="AI69" s="13">
        <f>IF('Données projet'!$A$62&gt;35,AI68+AH69-AQ68,IF(A69&lt;'Données projet'!$A$62,$AF$205^A69,IF(A69='Données projet'!$A$62,'Données projet'!$B$62,AI68+AH69-AQ68)))</f>
        <v>170.10999999999996</v>
      </c>
      <c r="AJ69" s="13">
        <f>AI69*VLOOKUP('Données projet'!$B$10,Paramètres!$A$1:$I$89,3,0)*VLOOKUP('Données projet'!$B$10,Paramètres!$A$1:$I$89,5,0)</f>
        <v>172.49153999999996</v>
      </c>
      <c r="AK69" s="13">
        <f t="shared" ref="AK69:AK132" si="89">EXP(-1.0587+0.8836*LN(AJ69)+0.284)</f>
        <v>43.64757225366332</v>
      </c>
      <c r="AL69" s="20">
        <f t="shared" si="58"/>
        <v>376.44228717513016</v>
      </c>
      <c r="AM69" s="59">
        <f t="shared" si="59"/>
        <v>669.77562050846348</v>
      </c>
      <c r="AN69" s="59">
        <f ca="1">AVERAGE(OFFSET($AM$3,0,0,'Données projet'!$E$10+1,1))-AVERAGE(OFFSET($H$3,0,0,'Données projet'!$E$10+1,1))</f>
        <v>486.4870616281359</v>
      </c>
      <c r="AO69" s="59">
        <f t="shared" ref="AO69:AO132" si="90">$AO$3</f>
        <v>247.29100537955225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0</v>
      </c>
      <c r="AV69" s="21">
        <f>EXP(-LN(2)/25)*AV68+(1-EXP(-LN(2)/25))/(LN(2)/25)*Calculateur!AQ69*Calculateur!AS69*VLOOKUP('Données projet'!$B$10,Paramètres!$A$1:$I$89,3,0)*0.475*44/12</f>
        <v>23.699092735692211</v>
      </c>
      <c r="AW69" s="21">
        <f>EXP(-LN(2)/2)*AW68+(1-EXP(-LN(2)/2))/(LN(2)/2)*AQ69*AT69*VLOOKUP('Données projet'!$B$10,Paramètres!$A$1:$I$89,3,0)*0.475*44/12</f>
        <v>1.7429343388759202</v>
      </c>
      <c r="AX69" s="21">
        <f t="shared" si="60"/>
        <v>25.442027074568131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4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14.298335999999985</v>
      </c>
      <c r="D70" s="11">
        <f t="shared" si="86"/>
        <v>4.8346198550008852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35.446318215580561</v>
      </c>
      <c r="H70" s="67">
        <f t="shared" si="56"/>
        <v>289.9898981141265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11.896999999999997</v>
      </c>
      <c r="N70" s="13">
        <f>IF('Données projet'!$A$36&gt;35,N69+M70-V69,IF(A70&lt;'Données projet'!$A$36,$K$205^A70,IF(A70='Données projet'!$A$36,'Données projet'!$B$36,N69+M70-V69)))</f>
        <v>454.37899999999979</v>
      </c>
      <c r="O70" s="13">
        <f>N70*VLOOKUP('Données projet'!$B$9,Paramètres!$A$1:$I$89,3,0)*VLOOKUP('Données projet'!$B$9,Paramètres!$A$1:$I$89,5,0)</f>
        <v>271.71864199999993</v>
      </c>
      <c r="P70" s="13">
        <f t="shared" si="87"/>
        <v>65.213873692530555</v>
      </c>
      <c r="Q70" s="20">
        <f t="shared" si="54"/>
        <v>586.82413149782394</v>
      </c>
      <c r="R70" s="59">
        <f t="shared" si="55"/>
        <v>880.15746483115731</v>
      </c>
      <c r="S70" s="59">
        <f ca="1">AVERAGE(OFFSET($R$3,0,0,'Données projet'!$E$9+1,1))-AVERAGE(OFFSET($H$3,0,0,'Données projet'!$E$9+1,1))</f>
        <v>329.62068845923676</v>
      </c>
      <c r="T70" s="59">
        <f t="shared" si="88"/>
        <v>243.22501652129546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38.753216131566518</v>
      </c>
      <c r="AA70" s="21">
        <f>EXP(-LN(2)/25)*AA69+(1-EXP(-LN(2)/25))/(LN(2)/25)*Calculateur!V70*Calculateur!X70*VLOOKUP('Données projet'!$B$9,Paramètres!$A$1:$I$89,3,0)*0.475*44/12</f>
        <v>15.923035648190211</v>
      </c>
      <c r="AB70" s="21">
        <f>EXP(-LN(2)/2)*AB69+(1-EXP(-LN(2)/2))/(LN(2)/2)*V70*Y70*VLOOKUP('Données projet'!$B$9,Paramètres!$A$1:$I$89,3,0)*0.475*44/12</f>
        <v>0.86348682667800292</v>
      </c>
      <c r="AC70" s="22">
        <f t="shared" si="57"/>
        <v>55.539738606434732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6.8933333333333326</v>
      </c>
      <c r="AI70" s="13">
        <f>IF('Données projet'!$A$62&gt;35,AI69+AH70-AQ69,IF(A70&lt;'Données projet'!$A$62,$AF$205^A70,IF(A70='Données projet'!$A$62,'Données projet'!$B$62,AI69+AH70-AQ69)))</f>
        <v>177.0033333333333</v>
      </c>
      <c r="AJ70" s="13">
        <f>AI70*VLOOKUP('Données projet'!$B$10,Paramètres!$A$1:$I$89,3,0)*VLOOKUP('Données projet'!$B$10,Paramètres!$A$1:$I$89,5,0)</f>
        <v>179.48137999999997</v>
      </c>
      <c r="AK70" s="13">
        <f t="shared" si="89"/>
        <v>45.20678340248292</v>
      </c>
      <c r="AL70" s="20">
        <f t="shared" si="58"/>
        <v>391.33188459265767</v>
      </c>
      <c r="AM70" s="59">
        <f t="shared" si="59"/>
        <v>684.66521792599099</v>
      </c>
      <c r="AN70" s="59">
        <f ca="1">AVERAGE(OFFSET($AM$3,0,0,'Données projet'!$E$10+1,1))-AVERAGE(OFFSET($H$3,0,0,'Données projet'!$E$10+1,1))</f>
        <v>486.4870616281359</v>
      </c>
      <c r="AO70" s="59">
        <f t="shared" si="90"/>
        <v>247.29100537955225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0</v>
      </c>
      <c r="AV70" s="21">
        <f>EXP(-LN(2)/25)*AV69+(1-EXP(-LN(2)/25))/(LN(2)/25)*Calculateur!AQ70*Calculateur!AS70*VLOOKUP('Données projet'!$B$10,Paramètres!$A$1:$I$89,3,0)*0.475*44/12</f>
        <v>23.051039798553585</v>
      </c>
      <c r="AW70" s="21">
        <f>EXP(-LN(2)/2)*AW69+(1-EXP(-LN(2)/2))/(LN(2)/2)*AQ70*AT70*VLOOKUP('Données projet'!$B$10,Paramètres!$A$1:$I$89,3,0)*0.475*44/12</f>
        <v>1.2324406901820553</v>
      </c>
      <c r="AX70" s="21">
        <f t="shared" si="60"/>
        <v>24.283480488735641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4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14.511743999999984</v>
      </c>
      <c r="D71" s="11">
        <f t="shared" si="86"/>
        <v>4.8983240305908478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35.959704982989336</v>
      </c>
      <c r="H71" s="67">
        <f t="shared" si="56"/>
        <v>290.47253515327907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11.896999999999997</v>
      </c>
      <c r="N71" s="13">
        <f>IF('Données projet'!$A$36&gt;35,N70+M71-V70,IF(A71&lt;'Données projet'!$A$36,$K$205^A71,IF(A71='Données projet'!$A$36,'Données projet'!$B$36,N70+M71-V70)))</f>
        <v>466.27599999999978</v>
      </c>
      <c r="O71" s="13">
        <f>N71*VLOOKUP('Données projet'!$B$9,Paramètres!$A$1:$I$89,3,0)*VLOOKUP('Données projet'!$B$9,Paramètres!$A$1:$I$89,5,0)</f>
        <v>278.83304799999985</v>
      </c>
      <c r="P71" s="13">
        <f t="shared" si="87"/>
        <v>66.720338466956676</v>
      </c>
      <c r="Q71" s="20">
        <f t="shared" si="54"/>
        <v>601.83881476328258</v>
      </c>
      <c r="R71" s="59">
        <f t="shared" si="55"/>
        <v>895.17214809661596</v>
      </c>
      <c r="S71" s="59">
        <f ca="1">AVERAGE(OFFSET($R$3,0,0,'Données projet'!$E$9+1,1))-AVERAGE(OFFSET($H$3,0,0,'Données projet'!$E$9+1,1))</f>
        <v>329.62068845923676</v>
      </c>
      <c r="T71" s="59">
        <f t="shared" si="88"/>
        <v>243.22501652129546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37.993289200354369</v>
      </c>
      <c r="AA71" s="21">
        <f>EXP(-LN(2)/25)*AA70+(1-EXP(-LN(2)/25))/(LN(2)/25)*Calculateur!V71*Calculateur!X71*VLOOKUP('Données projet'!$B$9,Paramètres!$A$1:$I$89,3,0)*0.475*44/12</f>
        <v>15.487619401034397</v>
      </c>
      <c r="AB71" s="21">
        <f>EXP(-LN(2)/2)*AB70+(1-EXP(-LN(2)/2))/(LN(2)/2)*V71*Y71*VLOOKUP('Données projet'!$B$9,Paramètres!$A$1:$I$89,3,0)*0.475*44/12</f>
        <v>0.61057739060926897</v>
      </c>
      <c r="AC71" s="22">
        <f t="shared" si="57"/>
        <v>54.091485991998034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6.8933333333333326</v>
      </c>
      <c r="AI71" s="13">
        <f>IF('Données projet'!$A$62&gt;35,AI70+AH71-AQ70,IF(A71&lt;'Données projet'!$A$62,$AF$205^A71,IF(A71='Données projet'!$A$62,'Données projet'!$B$62,AI70+AH71-AQ70)))</f>
        <v>183.89666666666665</v>
      </c>
      <c r="AJ71" s="13">
        <f>AI71*VLOOKUP('Données projet'!$B$10,Paramètres!$A$1:$I$89,3,0)*VLOOKUP('Données projet'!$B$10,Paramètres!$A$1:$I$89,5,0)</f>
        <v>186.47121999999999</v>
      </c>
      <c r="AK71" s="13">
        <f t="shared" si="89"/>
        <v>46.758940514498235</v>
      </c>
      <c r="AL71" s="20">
        <f t="shared" si="58"/>
        <v>406.20919622941773</v>
      </c>
      <c r="AM71" s="59">
        <f t="shared" si="59"/>
        <v>699.54252956275104</v>
      </c>
      <c r="AN71" s="59">
        <f ca="1">AVERAGE(OFFSET($AM$3,0,0,'Données projet'!$E$10+1,1))-AVERAGE(OFFSET($H$3,0,0,'Données projet'!$E$10+1,1))</f>
        <v>486.4870616281359</v>
      </c>
      <c r="AO71" s="59">
        <f t="shared" si="90"/>
        <v>247.29100537955225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0</v>
      </c>
      <c r="AV71" s="21">
        <f>EXP(-LN(2)/25)*AV70+(1-EXP(-LN(2)/25))/(LN(2)/25)*Calculateur!AQ71*Calculateur!AS71*VLOOKUP('Données projet'!$B$10,Paramètres!$A$1:$I$89,3,0)*0.475*44/12</f>
        <v>22.420707903060638</v>
      </c>
      <c r="AW71" s="21">
        <f>EXP(-LN(2)/2)*AW70+(1-EXP(-LN(2)/2))/(LN(2)/2)*AQ71*AT71*VLOOKUP('Données projet'!$B$10,Paramètres!$A$1:$I$89,3,0)*0.475*44/12</f>
        <v>0.87146716943796021</v>
      </c>
      <c r="AX71" s="21">
        <f t="shared" si="60"/>
        <v>23.292175072498598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4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14.725151999999984</v>
      </c>
      <c r="D72" s="11">
        <f t="shared" si="86"/>
        <v>4.9619192487467449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36.47288989241499</v>
      </c>
      <c r="H72" s="67">
        <f t="shared" si="56"/>
        <v>290.95498242490055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11.896999999999997</v>
      </c>
      <c r="N72" s="13">
        <f>IF('Données projet'!$A$36&gt;35,N71+M72-V71,IF(A72&lt;'Données projet'!$A$36,$K$205^A72,IF(A72='Données projet'!$A$36,'Données projet'!$B$36,N71+M72-V71)))</f>
        <v>478.17299999999977</v>
      </c>
      <c r="O72" s="13">
        <f>N72*VLOOKUP('Données projet'!$B$9,Paramètres!$A$1:$I$89,3,0)*VLOOKUP('Données projet'!$B$9,Paramètres!$A$1:$I$89,5,0)</f>
        <v>285.94745399999988</v>
      </c>
      <c r="P72" s="13">
        <f t="shared" si="87"/>
        <v>68.222335259457765</v>
      </c>
      <c r="Q72" s="20">
        <f t="shared" si="54"/>
        <v>616.84571629355526</v>
      </c>
      <c r="R72" s="59">
        <f t="shared" si="55"/>
        <v>910.17904962688863</v>
      </c>
      <c r="S72" s="59">
        <f ca="1">AVERAGE(OFFSET($R$3,0,0,'Données projet'!$E$9+1,1))-AVERAGE(OFFSET($H$3,0,0,'Données projet'!$E$9+1,1))</f>
        <v>329.62068845923676</v>
      </c>
      <c r="T72" s="59">
        <f t="shared" si="88"/>
        <v>243.22501652129546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37.248263972753627</v>
      </c>
      <c r="AA72" s="21">
        <f>EXP(-LN(2)/25)*AA71+(1-EXP(-LN(2)/25))/(LN(2)/25)*Calculateur!V72*Calculateur!X72*VLOOKUP('Données projet'!$B$9,Paramètres!$A$1:$I$89,3,0)*0.475*44/12</f>
        <v>15.064109634054605</v>
      </c>
      <c r="AB72" s="21">
        <f>EXP(-LN(2)/2)*AB71+(1-EXP(-LN(2)/2))/(LN(2)/2)*V72*Y72*VLOOKUP('Données projet'!$B$9,Paramètres!$A$1:$I$89,3,0)*0.475*44/12</f>
        <v>0.43174341333900151</v>
      </c>
      <c r="AC72" s="22">
        <f t="shared" si="57"/>
        <v>52.744117020147229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>
        <f>VLOOKUP(A72,'Données projet'!$A$61:$I$81,2,0)</f>
        <v>190.79</v>
      </c>
      <c r="AG72" s="12">
        <f>VLOOKUP(A72,'Données projet'!$A$61:$I$81,9,0)</f>
        <v>6.8933333333333326</v>
      </c>
      <c r="AH72" s="12">
        <f t="array" ref="AH72">INDEX(AG:AG,MIN(IF(ISNUMBER(AG72:AG268),ROW(AG72:AG268),"")))</f>
        <v>6.8933333333333326</v>
      </c>
      <c r="AI72" s="13">
        <f>IF('Données projet'!$A$62&gt;35,AI71+AH72-AQ71,IF(A72&lt;'Données projet'!$A$62,$AF$205^A72,IF(A72='Données projet'!$A$62,'Données projet'!$B$62,AI71+AH72-AQ71)))</f>
        <v>190.79</v>
      </c>
      <c r="AJ72" s="13">
        <f>AI72*VLOOKUP('Données projet'!$B$10,Paramètres!$A$1:$I$89,3,0)*VLOOKUP('Données projet'!$B$10,Paramètres!$A$1:$I$89,5,0)</f>
        <v>193.46106</v>
      </c>
      <c r="AK72" s="13">
        <f t="shared" si="89"/>
        <v>48.304338284801261</v>
      </c>
      <c r="AL72" s="20">
        <f t="shared" si="58"/>
        <v>421.07473534602883</v>
      </c>
      <c r="AM72" s="59">
        <f t="shared" si="59"/>
        <v>714.40806867936215</v>
      </c>
      <c r="AN72" s="59">
        <f ca="1">AVERAGE(OFFSET($AM$3,0,0,'Données projet'!$E$10+1,1))-AVERAGE(OFFSET($H$3,0,0,'Données projet'!$E$10+1,1))</f>
        <v>486.4870616281359</v>
      </c>
      <c r="AO72" s="59">
        <f t="shared" si="90"/>
        <v>247.29100537955225</v>
      </c>
      <c r="AP72" s="15">
        <f>IF(ISNA(VLOOKUP(A72,'Données projet'!$A$61:$I$81,3,0)),0,VLOOKUP(A72,'Données projet'!$A$61:$I$81,3,0))</f>
        <v>2</v>
      </c>
      <c r="AQ72" s="15">
        <f>IF(ISNA(VLOOKUP(A72,'Données projet'!$A$61:$I$81,4,0)),0,VLOOKUP(A72,'Données projet'!$A$61:$I$81,4,0))</f>
        <v>42.22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0.34400000000000003</v>
      </c>
      <c r="AT72" s="16">
        <f>IF(ISNA(VLOOKUP(A72,'Données projet'!$A$61:$I$81,7,0)),0%,VLOOKUP(A72,'Données projet'!$A$61:$I$81,7,0))</f>
        <v>0.2</v>
      </c>
      <c r="AU72" s="21">
        <f>EXP(-LN(2)/35)*AU71+(1-EXP(-LN(2)/35))/(LN(2)/35)*AQ72*AR72*VLOOKUP('Données projet'!$B$10,Paramètres!$A$1:$I$89,3,0)*0.475*44/12</f>
        <v>0</v>
      </c>
      <c r="AV72" s="21">
        <f>EXP(-LN(2)/25)*AV71+(1-EXP(-LN(2)/25))/(LN(2)/25)*Calculateur!AQ72*Calculateur!AS72*VLOOKUP('Données projet'!$B$10,Paramètres!$A$1:$I$89,3,0)*0.475*44/12</f>
        <v>38.02378583479539</v>
      </c>
      <c r="AW72" s="21">
        <f>EXP(-LN(2)/2)*AW71+(1-EXP(-LN(2)/2))/(LN(2)/2)*AQ72*AT72*VLOOKUP('Données projet'!$B$10,Paramètres!$A$1:$I$89,3,0)*0.475*44/12</f>
        <v>8.6949015897559168</v>
      </c>
      <c r="AX72" s="21">
        <f t="shared" si="60"/>
        <v>46.718687424551305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4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14.938559999999983</v>
      </c>
      <c r="D73" s="11">
        <f t="shared" si="86"/>
        <v>5.0254072710062836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36.985876207337931</v>
      </c>
      <c r="H73" s="67">
        <f t="shared" si="56"/>
        <v>291.43724299700261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490.07</v>
      </c>
      <c r="L73" s="12">
        <f>VLOOKUP(A73,'Données projet'!$A$35:$I$55,9,0)</f>
        <v>11.896999999999997</v>
      </c>
      <c r="M73" s="12">
        <f t="array" ref="M73">INDEX(L:L,MIN(IF(ISNUMBER(L73:L269),ROW(L73:L269),"")))</f>
        <v>11.896999999999997</v>
      </c>
      <c r="N73" s="13">
        <f>IF('Données projet'!$A$36&gt;35,N72+M73-V72,IF(A73&lt;'Données projet'!$A$36,$K$205^A73,IF(A73='Données projet'!$A$36,'Données projet'!$B$36,N72+M73-V72)))</f>
        <v>490.06999999999977</v>
      </c>
      <c r="O73" s="13">
        <f>N73*VLOOKUP('Données projet'!$B$9,Paramètres!$A$1:$I$89,3,0)*VLOOKUP('Données projet'!$B$9,Paramètres!$A$1:$I$89,5,0)</f>
        <v>293.06185999999991</v>
      </c>
      <c r="P73" s="13">
        <f t="shared" si="87"/>
        <v>69.719988019761743</v>
      </c>
      <c r="Q73" s="20">
        <f t="shared" si="54"/>
        <v>631.84505196775149</v>
      </c>
      <c r="R73" s="59">
        <f t="shared" si="55"/>
        <v>925.17838530108475</v>
      </c>
      <c r="S73" s="59">
        <f ca="1">AVERAGE(OFFSET($R$3,0,0,'Données projet'!$E$9+1,1))-AVERAGE(OFFSET($H$3,0,0,'Données projet'!$E$9+1,1))</f>
        <v>329.62068845923676</v>
      </c>
      <c r="T73" s="59">
        <f t="shared" si="88"/>
        <v>243.22501652129546</v>
      </c>
      <c r="U73" s="15">
        <f>IF(ISNA(VLOOKUP(A73,'Données projet'!$A$35:$I$55,3,0)),0,VLOOKUP(A73,'Données projet'!$A$35:$I$55,3,0))</f>
        <v>7</v>
      </c>
      <c r="V73" s="15">
        <f>IF(ISNA(VLOOKUP(A73,'Données projet'!$A$35:$I$55,4,0)),0,VLOOKUP(A73,'Données projet'!$A$35:$I$55,4,0))</f>
        <v>67.88</v>
      </c>
      <c r="W73" s="16">
        <f>IF(ISNA(VLOOKUP(A73,'Données projet'!$A$35:$I$55,5,0)),0%,VLOOKUP(A73,'Données projet'!$A$35:$I$55,5,0)*VLOOKUP('Données projet'!$B$9,Paramètres!$A$1:$I$89,7,0))</f>
        <v>0.27</v>
      </c>
      <c r="X73" s="16">
        <f>IF(ISNA(VLOOKUP(A73,'Données projet'!$A$35:$I$55,6,0)),0%,VLOOKUP(A73,'Données projet'!$A$35:$I$55,6,0)*VLOOKUP('Données projet'!$B$9,Paramètres!$A$1:$I$89,7,0))</f>
        <v>9.0000000000000011E-2</v>
      </c>
      <c r="Y73" s="16">
        <f>IF(ISNA(VLOOKUP(A73,'Données projet'!$A$35:$I$55,7,0)),0%,VLOOKUP(A73,'Données projet'!$A$35:$I$55,7,0))</f>
        <v>0.2</v>
      </c>
      <c r="Z73" s="21">
        <f>EXP(-LN(2)/35)*Z72+(1-EXP(-LN(2)/35))/(LN(2)/35)*V73*W73*VLOOKUP('Données projet'!$B$9,Paramètres!$A$1:$I$89,3,0)*0.475*44/12</f>
        <v>51.056868378126822</v>
      </c>
      <c r="AA73" s="21">
        <f>EXP(-LN(2)/25)*AA72+(1-EXP(-LN(2)/25))/(LN(2)/25)*Calculateur!V73*Calculateur!X73*VLOOKUP('Données projet'!$B$9,Paramètres!$A$1:$I$89,3,0)*0.475*44/12</f>
        <v>19.479438924117112</v>
      </c>
      <c r="AB73" s="21">
        <f>EXP(-LN(2)/2)*AB72+(1-EXP(-LN(2)/2))/(LN(2)/2)*V73*Y73*VLOOKUP('Données projet'!$B$9,Paramètres!$A$1:$I$89,3,0)*0.475*44/12</f>
        <v>9.4972577266937765</v>
      </c>
      <c r="AC73" s="22">
        <f t="shared" si="57"/>
        <v>80.033565028937701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6.7437500000000021</v>
      </c>
      <c r="AI73" s="13">
        <f>IF('Données projet'!$A$62&gt;35,AI72+AH73-AQ72,IF(A73&lt;'Données projet'!$A$62,$AF$205^A73,IF(A73='Données projet'!$A$62,'Données projet'!$B$62,AI72+AH73-AQ72)))</f>
        <v>155.31375</v>
      </c>
      <c r="AJ73" s="13">
        <f>AI73*VLOOKUP('Données projet'!$B$10,Paramètres!$A$1:$I$89,3,0)*VLOOKUP('Données projet'!$B$10,Paramètres!$A$1:$I$89,5,0)</f>
        <v>157.48814250000001</v>
      </c>
      <c r="AK73" s="13">
        <f t="shared" si="89"/>
        <v>40.275438230597821</v>
      </c>
      <c r="AL73" s="20">
        <f t="shared" si="58"/>
        <v>344.43823643912452</v>
      </c>
      <c r="AM73" s="59">
        <f t="shared" si="59"/>
        <v>637.77156977245784</v>
      </c>
      <c r="AN73" s="59">
        <f ca="1">AVERAGE(OFFSET($AM$3,0,0,'Données projet'!$E$10+1,1))-AVERAGE(OFFSET($H$3,0,0,'Données projet'!$E$10+1,1))</f>
        <v>486.4870616281359</v>
      </c>
      <c r="AO73" s="59">
        <f t="shared" si="90"/>
        <v>247.29100537955225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0</v>
      </c>
      <c r="AV73" s="21">
        <f>EXP(-LN(2)/25)*AV72+(1-EXP(-LN(2)/25))/(LN(2)/25)*Calculateur!AQ73*Calculateur!AS73*VLOOKUP('Données projet'!$B$10,Paramètres!$A$1:$I$89,3,0)*0.475*44/12</f>
        <v>36.984023411558915</v>
      </c>
      <c r="AW73" s="21">
        <f>EXP(-LN(2)/2)*AW72+(1-EXP(-LN(2)/2))/(LN(2)/2)*AQ73*AT73*VLOOKUP('Données projet'!$B$10,Paramètres!$A$1:$I$89,3,0)*0.475*44/12</f>
        <v>6.1482238758661021</v>
      </c>
      <c r="AX73" s="21">
        <f t="shared" si="60"/>
        <v>43.132247287425017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4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15.151967999999982</v>
      </c>
      <c r="D74" s="11">
        <f t="shared" si="86"/>
        <v>5.088789805687191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37.498667092641504</v>
      </c>
      <c r="H74" s="67">
        <f t="shared" si="56"/>
        <v>291.9193198449052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9.7839999999999971</v>
      </c>
      <c r="N74" s="13">
        <f>IF('Données projet'!$A$36&gt;35,N73+M74-V73,IF(A74&lt;'Données projet'!$A$36,$K$205^A74,IF(A74='Données projet'!$A$36,'Données projet'!$B$36,N73+M74-V73)))</f>
        <v>431.97399999999976</v>
      </c>
      <c r="O74" s="13">
        <f>N74*VLOOKUP('Données projet'!$B$9,Paramètres!$A$1:$I$89,3,0)*VLOOKUP('Données projet'!$B$9,Paramètres!$A$1:$I$89,5,0)</f>
        <v>258.32045199999988</v>
      </c>
      <c r="P74" s="13">
        <f t="shared" si="87"/>
        <v>62.364231271731597</v>
      </c>
      <c r="Q74" s="20">
        <f t="shared" si="54"/>
        <v>558.52582336493231</v>
      </c>
      <c r="R74" s="59">
        <f t="shared" si="55"/>
        <v>851.85915669826568</v>
      </c>
      <c r="S74" s="59">
        <f ca="1">AVERAGE(OFFSET($R$3,0,0,'Données projet'!$E$9+1,1))-AVERAGE(OFFSET($H$3,0,0,'Données projet'!$E$9+1,1))</f>
        <v>329.62068845923676</v>
      </c>
      <c r="T74" s="59">
        <f t="shared" si="88"/>
        <v>243.22501652129546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50.055674330846486</v>
      </c>
      <c r="AA74" s="21">
        <f>EXP(-LN(2)/25)*AA73+(1-EXP(-LN(2)/25))/(LN(2)/25)*Calculateur!V74*Calculateur!X74*VLOOKUP('Données projet'!$B$9,Paramètres!$A$1:$I$89,3,0)*0.475*44/12</f>
        <v>18.946772642357956</v>
      </c>
      <c r="AB74" s="21">
        <f>EXP(-LN(2)/2)*AB73+(1-EXP(-LN(2)/2))/(LN(2)/2)*V74*Y74*VLOOKUP('Données projet'!$B$9,Paramètres!$A$1:$I$89,3,0)*0.475*44/12</f>
        <v>6.7155753412215047</v>
      </c>
      <c r="AC74" s="22">
        <f t="shared" si="57"/>
        <v>75.718022314425951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6.7437500000000021</v>
      </c>
      <c r="AI74" s="13">
        <f>IF('Données projet'!$A$62&gt;35,AI73+AH74-AQ73,IF(A74&lt;'Données projet'!$A$62,$AF$205^A74,IF(A74='Données projet'!$A$62,'Données projet'!$B$62,AI73+AH74-AQ73)))</f>
        <v>162.0575</v>
      </c>
      <c r="AJ74" s="13">
        <f>AI74*VLOOKUP('Données projet'!$B$10,Paramètres!$A$1:$I$89,3,0)*VLOOKUP('Données projet'!$B$10,Paramètres!$A$1:$I$89,5,0)</f>
        <v>164.32630500000002</v>
      </c>
      <c r="AK74" s="13">
        <f t="shared" si="89"/>
        <v>41.816805184010924</v>
      </c>
      <c r="AL74" s="20">
        <f t="shared" si="58"/>
        <v>359.03258357048571</v>
      </c>
      <c r="AM74" s="59">
        <f t="shared" si="59"/>
        <v>652.36591690381897</v>
      </c>
      <c r="AN74" s="59">
        <f ca="1">AVERAGE(OFFSET($AM$3,0,0,'Données projet'!$E$10+1,1))-AVERAGE(OFFSET($H$3,0,0,'Données projet'!$E$10+1,1))</f>
        <v>486.4870616281359</v>
      </c>
      <c r="AO74" s="59">
        <f t="shared" si="90"/>
        <v>247.29100537955225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0</v>
      </c>
      <c r="AV74" s="21">
        <f>EXP(-LN(2)/25)*AV73+(1-EXP(-LN(2)/25))/(LN(2)/25)*Calculateur!AQ74*Calculateur!AS74*VLOOKUP('Données projet'!$B$10,Paramètres!$A$1:$I$89,3,0)*0.475*44/12</f>
        <v>35.972693346464574</v>
      </c>
      <c r="AW74" s="21">
        <f>EXP(-LN(2)/2)*AW73+(1-EXP(-LN(2)/2))/(LN(2)/2)*AQ74*AT74*VLOOKUP('Données projet'!$B$10,Paramètres!$A$1:$I$89,3,0)*0.475*44/12</f>
        <v>4.3474507948779593</v>
      </c>
      <c r="AX74" s="21">
        <f t="shared" si="60"/>
        <v>40.320144141342531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4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15.365375999999982</v>
      </c>
      <c r="D75" s="11">
        <f t="shared" si="86"/>
        <v>5.1520685102216017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38.011265618936832</v>
      </c>
      <c r="H75" s="67">
        <f t="shared" si="56"/>
        <v>292.40121585530261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9.7839999999999971</v>
      </c>
      <c r="N75" s="13">
        <f>IF('Données projet'!$A$36&gt;35,N74+M75-V74,IF(A75&lt;'Données projet'!$A$36,$K$205^A75,IF(A75='Données projet'!$A$36,'Données projet'!$B$36,N74+M75-V74)))</f>
        <v>441.75799999999975</v>
      </c>
      <c r="O75" s="13">
        <f>N75*VLOOKUP('Données projet'!$B$9,Paramètres!$A$1:$I$89,3,0)*VLOOKUP('Données projet'!$B$9,Paramètres!$A$1:$I$89,5,0)</f>
        <v>264.1712839999999</v>
      </c>
      <c r="P75" s="13">
        <f t="shared" si="87"/>
        <v>63.610701832955151</v>
      </c>
      <c r="Q75" s="20">
        <f t="shared" si="54"/>
        <v>570.88695865906334</v>
      </c>
      <c r="R75" s="59">
        <f t="shared" si="55"/>
        <v>864.2202919923966</v>
      </c>
      <c r="S75" s="59">
        <f ca="1">AVERAGE(OFFSET($R$3,0,0,'Données projet'!$E$9+1,1))-AVERAGE(OFFSET($H$3,0,0,'Données projet'!$E$9+1,1))</f>
        <v>329.62068845923676</v>
      </c>
      <c r="T75" s="59">
        <f t="shared" si="88"/>
        <v>243.22501652129546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49.074113088165248</v>
      </c>
      <c r="AA75" s="21">
        <f>EXP(-LN(2)/25)*AA74+(1-EXP(-LN(2)/25))/(LN(2)/25)*Calculateur!V75*Calculateur!X75*VLOOKUP('Données projet'!$B$9,Paramètres!$A$1:$I$89,3,0)*0.475*44/12</f>
        <v>18.428672148085209</v>
      </c>
      <c r="AB75" s="21">
        <f>EXP(-LN(2)/2)*AB74+(1-EXP(-LN(2)/2))/(LN(2)/2)*V75*Y75*VLOOKUP('Données projet'!$B$9,Paramètres!$A$1:$I$89,3,0)*0.475*44/12</f>
        <v>4.7486288633468892</v>
      </c>
      <c r="AC75" s="22">
        <f t="shared" si="57"/>
        <v>72.251414099597355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6.7437500000000021</v>
      </c>
      <c r="AI75" s="13">
        <f>IF('Données projet'!$A$62&gt;35,AI74+AH75-AQ74,IF(A75&lt;'Données projet'!$A$62,$AF$205^A75,IF(A75='Données projet'!$A$62,'Données projet'!$B$62,AI74+AH75-AQ74)))</f>
        <v>168.80125000000001</v>
      </c>
      <c r="AJ75" s="13">
        <f>AI75*VLOOKUP('Données projet'!$B$10,Paramètres!$A$1:$I$89,3,0)*VLOOKUP('Données projet'!$B$10,Paramètres!$A$1:$I$89,5,0)</f>
        <v>171.16446750000003</v>
      </c>
      <c r="AK75" s="13">
        <f t="shared" si="89"/>
        <v>43.350721861592397</v>
      </c>
      <c r="AL75" s="20">
        <f t="shared" si="58"/>
        <v>373.61395480477341</v>
      </c>
      <c r="AM75" s="59">
        <f t="shared" si="59"/>
        <v>666.94728813810673</v>
      </c>
      <c r="AN75" s="59">
        <f ca="1">AVERAGE(OFFSET($AM$3,0,0,'Données projet'!$E$10+1,1))-AVERAGE(OFFSET($H$3,0,0,'Données projet'!$E$10+1,1))</f>
        <v>486.4870616281359</v>
      </c>
      <c r="AO75" s="59">
        <f t="shared" si="90"/>
        <v>247.29100537955225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0</v>
      </c>
      <c r="AV75" s="21">
        <f>EXP(-LN(2)/25)*AV74+(1-EXP(-LN(2)/25))/(LN(2)/25)*Calculateur!AQ75*Calculateur!AS75*VLOOKUP('Données projet'!$B$10,Paramètres!$A$1:$I$89,3,0)*0.475*44/12</f>
        <v>34.989018155183771</v>
      </c>
      <c r="AW75" s="21">
        <f>EXP(-LN(2)/2)*AW74+(1-EXP(-LN(2)/2))/(LN(2)/2)*AQ75*AT75*VLOOKUP('Données projet'!$B$10,Paramètres!$A$1:$I$89,3,0)*0.475*44/12</f>
        <v>3.0741119379330515</v>
      </c>
      <c r="AX75" s="21">
        <f t="shared" si="60"/>
        <v>38.063130093116825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4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15.578783999999981</v>
      </c>
      <c r="D76" s="11">
        <f t="shared" si="86"/>
        <v>5.2152449933570342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38.523674766640369</v>
      </c>
      <c r="H76" s="67">
        <f t="shared" si="56"/>
        <v>292.88293383009682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9.7839999999999971</v>
      </c>
      <c r="N76" s="13">
        <f>IF('Données projet'!$A$36&gt;35,N75+M76-V75,IF(A76&lt;'Données projet'!$A$36,$K$205^A76,IF(A76='Données projet'!$A$36,'Données projet'!$B$36,N75+M76-V75)))</f>
        <v>451.54199999999975</v>
      </c>
      <c r="O76" s="13">
        <f>N76*VLOOKUP('Données projet'!$B$9,Paramètres!$A$1:$I$89,3,0)*VLOOKUP('Données projet'!$B$9,Paramètres!$A$1:$I$89,5,0)</f>
        <v>270.02211599999987</v>
      </c>
      <c r="P76" s="13">
        <f t="shared" si="87"/>
        <v>64.853962838834434</v>
      </c>
      <c r="Q76" s="20">
        <f t="shared" si="54"/>
        <v>583.24250397763637</v>
      </c>
      <c r="R76" s="59">
        <f t="shared" si="55"/>
        <v>876.57583731096975</v>
      </c>
      <c r="S76" s="59">
        <f ca="1">AVERAGE(OFFSET($R$3,0,0,'Données projet'!$E$9+1,1))-AVERAGE(OFFSET($H$3,0,0,'Données projet'!$E$9+1,1))</f>
        <v>329.62068845923676</v>
      </c>
      <c r="T76" s="59">
        <f t="shared" si="88"/>
        <v>243.22501652129546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48.111799662759744</v>
      </c>
      <c r="AA76" s="21">
        <f>EXP(-LN(2)/25)*AA75+(1-EXP(-LN(2)/25))/(LN(2)/25)*Calculateur!V76*Calculateur!X76*VLOOKUP('Données projet'!$B$9,Paramètres!$A$1:$I$89,3,0)*0.475*44/12</f>
        <v>17.92473913907407</v>
      </c>
      <c r="AB76" s="21">
        <f>EXP(-LN(2)/2)*AB75+(1-EXP(-LN(2)/2))/(LN(2)/2)*V76*Y76*VLOOKUP('Données projet'!$B$9,Paramètres!$A$1:$I$89,3,0)*0.475*44/12</f>
        <v>3.3577876706107528</v>
      </c>
      <c r="AC76" s="22">
        <f t="shared" si="57"/>
        <v>69.394326472444561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6.7437500000000021</v>
      </c>
      <c r="AI76" s="13">
        <f>IF('Données projet'!$A$62&gt;35,AI75+AH76-AQ75,IF(A76&lt;'Données projet'!$A$62,$AF$205^A76,IF(A76='Données projet'!$A$62,'Données projet'!$B$62,AI75+AH76-AQ75)))</f>
        <v>175.54500000000002</v>
      </c>
      <c r="AJ76" s="13">
        <f>AI76*VLOOKUP('Données projet'!$B$10,Paramètres!$A$1:$I$89,3,0)*VLOOKUP('Données projet'!$B$10,Paramètres!$A$1:$I$89,5,0)</f>
        <v>178.00263000000001</v>
      </c>
      <c r="AK76" s="13">
        <f t="shared" si="89"/>
        <v>44.877519962268245</v>
      </c>
      <c r="AL76" s="20">
        <f t="shared" si="58"/>
        <v>388.18292785095059</v>
      </c>
      <c r="AM76" s="59">
        <f t="shared" si="59"/>
        <v>681.51626118428385</v>
      </c>
      <c r="AN76" s="59">
        <f ca="1">AVERAGE(OFFSET($AM$3,0,0,'Données projet'!$E$10+1,1))-AVERAGE(OFFSET($H$3,0,0,'Données projet'!$E$10+1,1))</f>
        <v>486.4870616281359</v>
      </c>
      <c r="AO76" s="59">
        <f t="shared" si="90"/>
        <v>247.29100537955225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0</v>
      </c>
      <c r="AV76" s="21">
        <f>EXP(-LN(2)/25)*AV75+(1-EXP(-LN(2)/25))/(LN(2)/25)*Calculateur!AQ76*Calculateur!AS76*VLOOKUP('Données projet'!$B$10,Paramètres!$A$1:$I$89,3,0)*0.475*44/12</f>
        <v>34.032241613737774</v>
      </c>
      <c r="AW76" s="21">
        <f>EXP(-LN(2)/2)*AW75+(1-EXP(-LN(2)/2))/(LN(2)/2)*AQ76*AT76*VLOOKUP('Données projet'!$B$10,Paramètres!$A$1:$I$89,3,0)*0.475*44/12</f>
        <v>2.1737253974389801</v>
      </c>
      <c r="AX76" s="21">
        <f t="shared" si="60"/>
        <v>36.205967011176753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4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15.79219199999998</v>
      </c>
      <c r="D77" s="11">
        <f t="shared" si="86"/>
        <v>5.2783208172333849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39.035897429821809</v>
      </c>
      <c r="H77" s="67">
        <f t="shared" si="56"/>
        <v>293.36447649001479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9.7839999999999971</v>
      </c>
      <c r="N77" s="13">
        <f>IF('Données projet'!$A$36&gt;35,N76+M77-V76,IF(A77&lt;'Données projet'!$A$36,$K$205^A77,IF(A77='Données projet'!$A$36,'Données projet'!$B$36,N76+M77-V76)))</f>
        <v>461.32599999999974</v>
      </c>
      <c r="O77" s="13">
        <f>N77*VLOOKUP('Données projet'!$B$9,Paramètres!$A$1:$I$89,3,0)*VLOOKUP('Données projet'!$B$9,Paramètres!$A$1:$I$89,5,0)</f>
        <v>275.87294799999984</v>
      </c>
      <c r="P77" s="13">
        <f t="shared" si="87"/>
        <v>66.094091843346078</v>
      </c>
      <c r="Q77" s="20">
        <f t="shared" si="54"/>
        <v>595.59259439382743</v>
      </c>
      <c r="R77" s="59">
        <f t="shared" si="55"/>
        <v>888.9259277271608</v>
      </c>
      <c r="S77" s="59">
        <f ca="1">AVERAGE(OFFSET($R$3,0,0,'Données projet'!$E$9+1,1))-AVERAGE(OFFSET($H$3,0,0,'Données projet'!$E$9+1,1))</f>
        <v>329.62068845923676</v>
      </c>
      <c r="T77" s="59">
        <f t="shared" si="88"/>
        <v>243.22501652129546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47.168356616673215</v>
      </c>
      <c r="AA77" s="21">
        <f>EXP(-LN(2)/25)*AA76+(1-EXP(-LN(2)/25))/(LN(2)/25)*Calculateur!V77*Calculateur!X77*VLOOKUP('Données projet'!$B$9,Paramètres!$A$1:$I$89,3,0)*0.475*44/12</f>
        <v>17.434586204695027</v>
      </c>
      <c r="AB77" s="21">
        <f>EXP(-LN(2)/2)*AB76+(1-EXP(-LN(2)/2))/(LN(2)/2)*V77*Y77*VLOOKUP('Données projet'!$B$9,Paramètres!$A$1:$I$89,3,0)*0.475*44/12</f>
        <v>2.374314431673445</v>
      </c>
      <c r="AC77" s="22">
        <f t="shared" si="57"/>
        <v>66.977257253041685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6.7437500000000021</v>
      </c>
      <c r="AI77" s="13">
        <f>IF('Données projet'!$A$62&gt;35,AI76+AH77-AQ76,IF(A77&lt;'Données projet'!$A$62,$AF$205^A77,IF(A77='Données projet'!$A$62,'Données projet'!$B$62,AI76+AH77-AQ76)))</f>
        <v>182.28875000000002</v>
      </c>
      <c r="AJ77" s="13">
        <f>AI77*VLOOKUP('Données projet'!$B$10,Paramètres!$A$1:$I$89,3,0)*VLOOKUP('Données projet'!$B$10,Paramètres!$A$1:$I$89,5,0)</f>
        <v>184.84079250000005</v>
      </c>
      <c r="AK77" s="13">
        <f t="shared" si="89"/>
        <v>46.397504256544451</v>
      </c>
      <c r="AL77" s="20">
        <f t="shared" si="58"/>
        <v>402.74003351764833</v>
      </c>
      <c r="AM77" s="59">
        <f t="shared" si="59"/>
        <v>696.07336685098164</v>
      </c>
      <c r="AN77" s="59">
        <f ca="1">AVERAGE(OFFSET($AM$3,0,0,'Données projet'!$E$10+1,1))-AVERAGE(OFFSET($H$3,0,0,'Données projet'!$E$10+1,1))</f>
        <v>486.4870616281359</v>
      </c>
      <c r="AO77" s="59">
        <f t="shared" si="90"/>
        <v>247.29100537955225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0</v>
      </c>
      <c r="AV77" s="21">
        <f>EXP(-LN(2)/25)*AV76+(1-EXP(-LN(2)/25))/(LN(2)/25)*Calculateur!AQ77*Calculateur!AS77*VLOOKUP('Données projet'!$B$10,Paramètres!$A$1:$I$89,3,0)*0.475*44/12</f>
        <v>33.101628177132312</v>
      </c>
      <c r="AW77" s="21">
        <f>EXP(-LN(2)/2)*AW76+(1-EXP(-LN(2)/2))/(LN(2)/2)*AQ77*AT77*VLOOKUP('Données projet'!$B$10,Paramètres!$A$1:$I$89,3,0)*0.475*44/12</f>
        <v>1.537055968966526</v>
      </c>
      <c r="AX77" s="21">
        <f t="shared" si="60"/>
        <v>34.638684146098839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4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16.00559999999998</v>
      </c>
      <c r="D78" s="11">
        <f t="shared" si="86"/>
        <v>5.3412974993444085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39.547936419838017</v>
      </c>
      <c r="H78" s="67">
        <f t="shared" si="56"/>
        <v>293.84584647802484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9.7839999999999971</v>
      </c>
      <c r="N78" s="13">
        <f>IF('Données projet'!$A$36&gt;35,N77+M78-V77,IF(A78&lt;'Données projet'!$A$36,$K$205^A78,IF(A78='Données projet'!$A$36,'Données projet'!$B$36,N77+M78-V77)))</f>
        <v>471.10999999999973</v>
      </c>
      <c r="O78" s="13">
        <f>N78*VLOOKUP('Données projet'!$B$9,Paramètres!$A$1:$I$89,3,0)*VLOOKUP('Données projet'!$B$9,Paramètres!$A$1:$I$89,5,0)</f>
        <v>281.72377999999986</v>
      </c>
      <c r="P78" s="13">
        <f t="shared" si="87"/>
        <v>67.331162922926637</v>
      </c>
      <c r="Q78" s="20">
        <f t="shared" si="54"/>
        <v>607.93735892409688</v>
      </c>
      <c r="R78" s="59">
        <f t="shared" si="55"/>
        <v>901.27069225743026</v>
      </c>
      <c r="S78" s="59">
        <f ca="1">AVERAGE(OFFSET($R$3,0,0,'Données projet'!$E$9+1,1))-AVERAGE(OFFSET($H$3,0,0,'Données projet'!$E$9+1,1))</f>
        <v>329.62068845923676</v>
      </c>
      <c r="T78" s="59">
        <f t="shared" si="88"/>
        <v>243.22501652129546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46.243413913277003</v>
      </c>
      <c r="AA78" s="21">
        <f>EXP(-LN(2)/25)*AA77+(1-EXP(-LN(2)/25))/(LN(2)/25)*Calculateur!V78*Calculateur!X78*VLOOKUP('Données projet'!$B$9,Paramètres!$A$1:$I$89,3,0)*0.475*44/12</f>
        <v>16.957836528082598</v>
      </c>
      <c r="AB78" s="21">
        <f>EXP(-LN(2)/2)*AB77+(1-EXP(-LN(2)/2))/(LN(2)/2)*V78*Y78*VLOOKUP('Données projet'!$B$9,Paramètres!$A$1:$I$89,3,0)*0.475*44/12</f>
        <v>1.6788938353053768</v>
      </c>
      <c r="AC78" s="22">
        <f t="shared" si="57"/>
        <v>64.880144276664979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6.7437500000000021</v>
      </c>
      <c r="AI78" s="13">
        <f>IF('Données projet'!$A$62&gt;35,AI77+AH78-AQ77,IF(A78&lt;'Données projet'!$A$62,$AF$205^A78,IF(A78='Données projet'!$A$62,'Données projet'!$B$62,AI77+AH78-AQ77)))</f>
        <v>189.03250000000003</v>
      </c>
      <c r="AJ78" s="13">
        <f>AI78*VLOOKUP('Données projet'!$B$10,Paramètres!$A$1:$I$89,3,0)*VLOOKUP('Données projet'!$B$10,Paramètres!$A$1:$I$89,5,0)</f>
        <v>191.67895500000003</v>
      </c>
      <c r="AK78" s="13">
        <f t="shared" si="89"/>
        <v>47.910955687340916</v>
      </c>
      <c r="AL78" s="20">
        <f t="shared" si="58"/>
        <v>417.28576111378544</v>
      </c>
      <c r="AM78" s="59">
        <f t="shared" si="59"/>
        <v>710.61909444711875</v>
      </c>
      <c r="AN78" s="59">
        <f ca="1">AVERAGE(OFFSET($AM$3,0,0,'Données projet'!$E$10+1,1))-AVERAGE(OFFSET($H$3,0,0,'Données projet'!$E$10+1,1))</f>
        <v>486.4870616281359</v>
      </c>
      <c r="AO78" s="59">
        <f t="shared" si="90"/>
        <v>247.29100537955225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0</v>
      </c>
      <c r="AV78" s="21">
        <f>EXP(-LN(2)/25)*AV77+(1-EXP(-LN(2)/25))/(LN(2)/25)*Calculateur!AQ78*Calculateur!AS78*VLOOKUP('Données projet'!$B$10,Paramètres!$A$1:$I$89,3,0)*0.475*44/12</f>
        <v>32.196462413889655</v>
      </c>
      <c r="AW78" s="21">
        <f>EXP(-LN(2)/2)*AW77+(1-EXP(-LN(2)/2))/(LN(2)/2)*AQ78*AT78*VLOOKUP('Données projet'!$B$10,Paramètres!$A$1:$I$89,3,0)*0.475*44/12</f>
        <v>1.08686269871949</v>
      </c>
      <c r="AX78" s="21">
        <f t="shared" si="60"/>
        <v>33.283325112609148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4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16.219007999999981</v>
      </c>
      <c r="D79" s="11">
        <f t="shared" si="86"/>
        <v>5.4041765143916543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40.059794468767663</v>
      </c>
      <c r="H79" s="67">
        <f t="shared" si="56"/>
        <v>294.32704636256545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9.7839999999999971</v>
      </c>
      <c r="N79" s="13">
        <f>IF('Données projet'!$A$36&gt;35,N78+M79-V78,IF(A79&lt;'Données projet'!$A$36,$K$205^A79,IF(A79='Données projet'!$A$36,'Données projet'!$B$36,N78+M79-V78)))</f>
        <v>480.89399999999972</v>
      </c>
      <c r="O79" s="13">
        <f>N79*VLOOKUP('Données projet'!$B$9,Paramètres!$A$1:$I$89,3,0)*VLOOKUP('Données projet'!$B$9,Paramètres!$A$1:$I$89,5,0)</f>
        <v>287.57461199999989</v>
      </c>
      <c r="P79" s="13">
        <f t="shared" si="87"/>
        <v>68.565246901335968</v>
      </c>
      <c r="Q79" s="20">
        <f t="shared" si="54"/>
        <v>620.27692091982669</v>
      </c>
      <c r="R79" s="59">
        <f t="shared" si="55"/>
        <v>913.61025425316006</v>
      </c>
      <c r="S79" s="59">
        <f ca="1">AVERAGE(OFFSET($R$3,0,0,'Données projet'!$E$9+1,1))-AVERAGE(OFFSET($H$3,0,0,'Données projet'!$E$9+1,1))</f>
        <v>329.62068845923676</v>
      </c>
      <c r="T79" s="59">
        <f t="shared" si="88"/>
        <v>243.22501652129546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45.336608772135044</v>
      </c>
      <c r="AA79" s="21">
        <f>EXP(-LN(2)/25)*AA78+(1-EXP(-LN(2)/25))/(LN(2)/25)*Calculateur!V79*Calculateur!X79*VLOOKUP('Données projet'!$B$9,Paramètres!$A$1:$I$89,3,0)*0.475*44/12</f>
        <v>16.494123596448315</v>
      </c>
      <c r="AB79" s="21">
        <f>EXP(-LN(2)/2)*AB78+(1-EXP(-LN(2)/2))/(LN(2)/2)*V79*Y79*VLOOKUP('Données projet'!$B$9,Paramètres!$A$1:$I$89,3,0)*0.475*44/12</f>
        <v>1.1871572158367227</v>
      </c>
      <c r="AC79" s="22">
        <f t="shared" si="57"/>
        <v>63.017889584420075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6.7437500000000021</v>
      </c>
      <c r="AI79" s="13">
        <f>IF('Données projet'!$A$62&gt;35,AI78+AH79-AQ78,IF(A79&lt;'Données projet'!$A$62,$AF$205^A79,IF(A79='Données projet'!$A$62,'Données projet'!$B$62,AI78+AH79-AQ78)))</f>
        <v>195.77625000000003</v>
      </c>
      <c r="AJ79" s="13">
        <f>AI79*VLOOKUP('Données projet'!$B$10,Paramètres!$A$1:$I$89,3,0)*VLOOKUP('Données projet'!$B$10,Paramètres!$A$1:$I$89,5,0)</f>
        <v>198.51711750000004</v>
      </c>
      <c r="AK79" s="13">
        <f t="shared" si="89"/>
        <v>49.41813401590116</v>
      </c>
      <c r="AL79" s="20">
        <f t="shared" si="58"/>
        <v>431.8205630568612</v>
      </c>
      <c r="AM79" s="59">
        <f t="shared" si="59"/>
        <v>725.15389639019452</v>
      </c>
      <c r="AN79" s="59">
        <f ca="1">AVERAGE(OFFSET($AM$3,0,0,'Données projet'!$E$10+1,1))-AVERAGE(OFFSET($H$3,0,0,'Données projet'!$E$10+1,1))</f>
        <v>486.4870616281359</v>
      </c>
      <c r="AO79" s="59">
        <f t="shared" si="90"/>
        <v>247.29100537955225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0</v>
      </c>
      <c r="AV79" s="21">
        <f>EXP(-LN(2)/25)*AV78+(1-EXP(-LN(2)/25))/(LN(2)/25)*Calculateur!AQ79*Calculateur!AS79*VLOOKUP('Données projet'!$B$10,Paramètres!$A$1:$I$89,3,0)*0.475*44/12</f>
        <v>31.316048456043472</v>
      </c>
      <c r="AW79" s="21">
        <f>EXP(-LN(2)/2)*AW78+(1-EXP(-LN(2)/2))/(LN(2)/2)*AQ79*AT79*VLOOKUP('Données projet'!$B$10,Paramètres!$A$1:$I$89,3,0)*0.475*44/12</f>
        <v>0.76852798448326298</v>
      </c>
      <c r="AX79" s="21">
        <f t="shared" si="60"/>
        <v>32.084576440526732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4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16.432415999999982</v>
      </c>
      <c r="D80" s="11">
        <f t="shared" si="86"/>
        <v>5.466959296038004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40.571474232659845</v>
      </c>
      <c r="H80" s="67">
        <f t="shared" si="56"/>
        <v>294.80807864059949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9.7839999999999971</v>
      </c>
      <c r="N80" s="13">
        <f>IF('Données projet'!$A$36&gt;35,N79+M80-V79,IF(A80&lt;'Données projet'!$A$36,$K$205^A80,IF(A80='Données projet'!$A$36,'Données projet'!$B$36,N79+M80-V79)))</f>
        <v>490.67799999999971</v>
      </c>
      <c r="O80" s="13">
        <f>N80*VLOOKUP('Données projet'!$B$9,Paramètres!$A$1:$I$89,3,0)*VLOOKUP('Données projet'!$B$9,Paramètres!$A$1:$I$89,5,0)</f>
        <v>293.42544399999986</v>
      </c>
      <c r="P80" s="13">
        <f t="shared" si="87"/>
        <v>69.796411555705205</v>
      </c>
      <c r="Q80" s="20">
        <f t="shared" si="54"/>
        <v>632.61139842618638</v>
      </c>
      <c r="R80" s="59">
        <f t="shared" si="55"/>
        <v>925.94473175951975</v>
      </c>
      <c r="S80" s="59">
        <f ca="1">AVERAGE(OFFSET($R$3,0,0,'Données projet'!$E$9+1,1))-AVERAGE(OFFSET($H$3,0,0,'Données projet'!$E$9+1,1))</f>
        <v>329.62068845923676</v>
      </c>
      <c r="T80" s="59">
        <f t="shared" si="88"/>
        <v>243.22501652129546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44.447585526714356</v>
      </c>
      <c r="AA80" s="21">
        <f>EXP(-LN(2)/25)*AA79+(1-EXP(-LN(2)/25))/(LN(2)/25)*Calculateur!V80*Calculateur!X80*VLOOKUP('Données projet'!$B$9,Paramètres!$A$1:$I$89,3,0)*0.475*44/12</f>
        <v>16.043090919315173</v>
      </c>
      <c r="AB80" s="21">
        <f>EXP(-LN(2)/2)*AB79+(1-EXP(-LN(2)/2))/(LN(2)/2)*V80*Y80*VLOOKUP('Données projet'!$B$9,Paramètres!$A$1:$I$89,3,0)*0.475*44/12</f>
        <v>0.83944691765268853</v>
      </c>
      <c r="AC80" s="22">
        <f t="shared" si="57"/>
        <v>61.330123363682212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>
        <f>VLOOKUP(A80,'Données projet'!$A$61:$I$81,2,0)</f>
        <v>202.52</v>
      </c>
      <c r="AG80" s="12">
        <f>VLOOKUP(A80,'Données projet'!$A$61:$I$81,9,0)</f>
        <v>6.7437500000000021</v>
      </c>
      <c r="AH80" s="12">
        <f t="array" ref="AH80">INDEX(AG:AG,MIN(IF(ISNUMBER(AG80:AG276),ROW(AG80:AG276),"")))</f>
        <v>6.7437500000000021</v>
      </c>
      <c r="AI80" s="13">
        <f>IF('Données projet'!$A$62&gt;35,AI79+AH80-AQ79,IF(A80&lt;'Données projet'!$A$62,$AF$205^A80,IF(A80='Données projet'!$A$62,'Données projet'!$B$62,AI79+AH80-AQ79)))</f>
        <v>202.52000000000004</v>
      </c>
      <c r="AJ80" s="13">
        <f>AI80*VLOOKUP('Données projet'!$B$10,Paramètres!$A$1:$I$89,3,0)*VLOOKUP('Données projet'!$B$10,Paramètres!$A$1:$I$89,5,0)</f>
        <v>205.35528000000005</v>
      </c>
      <c r="AK80" s="13">
        <f t="shared" si="89"/>
        <v>50.919280092893707</v>
      </c>
      <c r="AL80" s="20">
        <f t="shared" si="58"/>
        <v>446.34485882845661</v>
      </c>
      <c r="AM80" s="59">
        <f t="shared" si="59"/>
        <v>739.67819216178987</v>
      </c>
      <c r="AN80" s="59">
        <f ca="1">AVERAGE(OFFSET($AM$3,0,0,'Données projet'!$E$10+1,1))-AVERAGE(OFFSET($H$3,0,0,'Données projet'!$E$10+1,1))</f>
        <v>486.4870616281359</v>
      </c>
      <c r="AO80" s="59">
        <f t="shared" si="90"/>
        <v>247.29100537955225</v>
      </c>
      <c r="AP80" s="15">
        <f>IF(ISNA(VLOOKUP(A80,'Données projet'!$A$61:$I$81,3,0)),0,VLOOKUP(A80,'Données projet'!$A$61:$I$81,3,0))</f>
        <v>3</v>
      </c>
      <c r="AQ80" s="15">
        <f>IF(ISNA(VLOOKUP(A80,'Données projet'!$A$61:$I$81,4,0)),0,VLOOKUP(A80,'Données projet'!$A$61:$I$81,4,0))</f>
        <v>33.950000000000017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0.34400000000000003</v>
      </c>
      <c r="AT80" s="16">
        <f>IF(ISNA(VLOOKUP(A80,'Données projet'!$A$61:$I$81,7,0)),0%,VLOOKUP(A80,'Données projet'!$A$61:$I$81,7,0))</f>
        <v>0.2</v>
      </c>
      <c r="AU80" s="21">
        <f>EXP(-LN(2)/35)*AU79+(1-EXP(-LN(2)/35))/(LN(2)/35)*AQ80*AR80*VLOOKUP('Données projet'!$B$10,Paramètres!$A$1:$I$89,3,0)*0.475*44/12</f>
        <v>0</v>
      </c>
      <c r="AV80" s="21">
        <f>EXP(-LN(2)/25)*AV79+(1-EXP(-LN(2)/25))/(LN(2)/25)*Calculateur!AQ80*Calculateur!AS80*VLOOKUP('Données projet'!$B$10,Paramètres!$A$1:$I$89,3,0)*0.475*44/12</f>
        <v>43.499479380258421</v>
      </c>
      <c r="AW80" s="21">
        <f>EXP(-LN(2)/2)*AW79+(1-EXP(-LN(2)/2))/(LN(2)/2)*AQ80*AT80*VLOOKUP('Données projet'!$B$10,Paramètres!$A$1:$I$89,3,0)*0.475*44/12</f>
        <v>7.0396707680327228</v>
      </c>
      <c r="AX80" s="21">
        <f t="shared" si="60"/>
        <v>50.539150148291142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4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16.645823999999983</v>
      </c>
      <c r="D81" s="11">
        <f t="shared" si="86"/>
        <v>5.5296472385675761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41.082978294609376</v>
      </c>
      <c r="H81" s="67">
        <f t="shared" si="56"/>
        <v>295.2889457405052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9.7839999999999971</v>
      </c>
      <c r="N81" s="13">
        <f>IF('Données projet'!$A$36&gt;35,N80+M81-V80,IF(A81&lt;'Données projet'!$A$36,$K$205^A81,IF(A81='Données projet'!$A$36,'Données projet'!$B$36,N80+M81-V80)))</f>
        <v>500.4619999999997</v>
      </c>
      <c r="O81" s="13">
        <f>N81*VLOOKUP('Données projet'!$B$9,Paramètres!$A$1:$I$89,3,0)*VLOOKUP('Données projet'!$B$9,Paramètres!$A$1:$I$89,5,0)</f>
        <v>299.27627599999983</v>
      </c>
      <c r="P81" s="13">
        <f t="shared" si="87"/>
        <v>71.024721805685132</v>
      </c>
      <c r="Q81" s="20">
        <f t="shared" si="54"/>
        <v>644.94090451156796</v>
      </c>
      <c r="R81" s="59">
        <f t="shared" si="55"/>
        <v>938.27423784490134</v>
      </c>
      <c r="S81" s="59">
        <f ca="1">AVERAGE(OFFSET($R$3,0,0,'Données projet'!$E$9+1,1))-AVERAGE(OFFSET($H$3,0,0,'Données projet'!$E$9+1,1))</f>
        <v>329.62068845923676</v>
      </c>
      <c r="T81" s="59">
        <f t="shared" si="88"/>
        <v>243.22501652129546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43.57599548488573</v>
      </c>
      <c r="AA81" s="21">
        <f>EXP(-LN(2)/25)*AA80+(1-EXP(-LN(2)/25))/(LN(2)/25)*Calculateur!V81*Calculateur!X81*VLOOKUP('Données projet'!$B$9,Paramètres!$A$1:$I$89,3,0)*0.475*44/12</f>
        <v>15.604391754457016</v>
      </c>
      <c r="AB81" s="21">
        <f>EXP(-LN(2)/2)*AB80+(1-EXP(-LN(2)/2))/(LN(2)/2)*V81*Y81*VLOOKUP('Données projet'!$B$9,Paramètres!$A$1:$I$89,3,0)*0.475*44/12</f>
        <v>0.59357860791836148</v>
      </c>
      <c r="AC81" s="22">
        <f t="shared" si="57"/>
        <v>59.77396584726111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6.7444444444444462</v>
      </c>
      <c r="AI81" s="13">
        <f>IF('Données projet'!$A$62&gt;35,AI80+AH81-AQ80,IF(A81&lt;'Données projet'!$A$62,$AF$205^A81,IF(A81='Données projet'!$A$62,'Données projet'!$B$62,AI80+AH81-AQ80)))</f>
        <v>175.31444444444446</v>
      </c>
      <c r="AJ81" s="13">
        <f>AI81*VLOOKUP('Données projet'!$B$10,Paramètres!$A$1:$I$89,3,0)*VLOOKUP('Données projet'!$B$10,Paramètres!$A$1:$I$89,5,0)</f>
        <v>177.76884666666669</v>
      </c>
      <c r="AK81" s="13">
        <f t="shared" si="89"/>
        <v>44.825435894521945</v>
      </c>
      <c r="AL81" s="20">
        <f t="shared" si="58"/>
        <v>387.68504212740351</v>
      </c>
      <c r="AM81" s="59">
        <f t="shared" si="59"/>
        <v>681.01837546073682</v>
      </c>
      <c r="AN81" s="59">
        <f ca="1">AVERAGE(OFFSET($AM$3,0,0,'Données projet'!$E$10+1,1))-AVERAGE(OFFSET($H$3,0,0,'Données projet'!$E$10+1,1))</f>
        <v>486.4870616281359</v>
      </c>
      <c r="AO81" s="59">
        <f t="shared" si="90"/>
        <v>247.29100537955225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0</v>
      </c>
      <c r="AV81" s="21">
        <f>EXP(-LN(2)/25)*AV80+(1-EXP(-LN(2)/25))/(LN(2)/25)*Calculateur!AQ81*Calculateur!AS81*VLOOKUP('Données projet'!$B$10,Paramètres!$A$1:$I$89,3,0)*0.475*44/12</f>
        <v>42.30998382906705</v>
      </c>
      <c r="AW81" s="21">
        <f>EXP(-LN(2)/2)*AW80+(1-EXP(-LN(2)/2))/(LN(2)/2)*AQ81*AT81*VLOOKUP('Données projet'!$B$10,Paramètres!$A$1:$I$89,3,0)*0.475*44/12</f>
        <v>4.97779893739665</v>
      </c>
      <c r="AX81" s="21">
        <f t="shared" si="60"/>
        <v>47.2877827664637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4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16.859231999999984</v>
      </c>
      <c r="D82" s="11">
        <f t="shared" si="86"/>
        <v>5.5922416984580376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41.594309167669607</v>
      </c>
      <c r="H82" s="67">
        <f t="shared" si="56"/>
        <v>295.76965002481438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9.7839999999999971</v>
      </c>
      <c r="N82" s="13">
        <f>IF('Données projet'!$A$36&gt;35,N81+M82-V81,IF(A82&lt;'Données projet'!$A$36,$K$205^A82,IF(A82='Données projet'!$A$36,'Données projet'!$B$36,N81+M82-V81)))</f>
        <v>510.2459999999997</v>
      </c>
      <c r="O82" s="13">
        <f>N82*VLOOKUP('Données projet'!$B$9,Paramètres!$A$1:$I$89,3,0)*VLOOKUP('Données projet'!$B$9,Paramètres!$A$1:$I$89,5,0)</f>
        <v>305.12710799999985</v>
      </c>
      <c r="P82" s="13">
        <f t="shared" si="87"/>
        <v>72.25023988738603</v>
      </c>
      <c r="Q82" s="20">
        <f t="shared" si="54"/>
        <v>657.26554757053043</v>
      </c>
      <c r="R82" s="59">
        <f t="shared" si="55"/>
        <v>950.5988809038638</v>
      </c>
      <c r="S82" s="59">
        <f ca="1">AVERAGE(OFFSET($R$3,0,0,'Données projet'!$E$9+1,1))-AVERAGE(OFFSET($H$3,0,0,'Données projet'!$E$9+1,1))</f>
        <v>329.62068845923676</v>
      </c>
      <c r="T82" s="59">
        <f t="shared" si="88"/>
        <v>243.22501652129546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42.721496792159932</v>
      </c>
      <c r="AA82" s="21">
        <f>EXP(-LN(2)/25)*AA81+(1-EXP(-LN(2)/25))/(LN(2)/25)*Calculateur!V82*Calculateur!X82*VLOOKUP('Données projet'!$B$9,Paramètres!$A$1:$I$89,3,0)*0.475*44/12</f>
        <v>15.17768884133209</v>
      </c>
      <c r="AB82" s="21">
        <f>EXP(-LN(2)/2)*AB81+(1-EXP(-LN(2)/2))/(LN(2)/2)*V82*Y82*VLOOKUP('Données projet'!$B$9,Paramètres!$A$1:$I$89,3,0)*0.475*44/12</f>
        <v>0.41972345882634432</v>
      </c>
      <c r="AC82" s="22">
        <f t="shared" si="57"/>
        <v>58.318909092318371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6.7444444444444462</v>
      </c>
      <c r="AI82" s="13">
        <f>IF('Données projet'!$A$62&gt;35,AI81+AH82-AQ81,IF(A82&lt;'Données projet'!$A$62,$AF$205^A82,IF(A82='Données projet'!$A$62,'Données projet'!$B$62,AI81+AH82-AQ81)))</f>
        <v>182.0588888888889</v>
      </c>
      <c r="AJ82" s="13">
        <f>AI82*VLOOKUP('Données projet'!$B$10,Paramètres!$A$1:$I$89,3,0)*VLOOKUP('Données projet'!$B$10,Paramètres!$A$1:$I$89,5,0)</f>
        <v>184.60771333333335</v>
      </c>
      <c r="AK82" s="13">
        <f t="shared" si="89"/>
        <v>46.345804577336679</v>
      </c>
      <c r="AL82" s="20">
        <f t="shared" si="58"/>
        <v>402.24404369441692</v>
      </c>
      <c r="AM82" s="59">
        <f t="shared" si="59"/>
        <v>695.57737702775023</v>
      </c>
      <c r="AN82" s="59">
        <f ca="1">AVERAGE(OFFSET($AM$3,0,0,'Données projet'!$E$10+1,1))-AVERAGE(OFFSET($H$3,0,0,'Données projet'!$E$10+1,1))</f>
        <v>486.4870616281359</v>
      </c>
      <c r="AO82" s="59">
        <f t="shared" si="90"/>
        <v>247.29100537955225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0</v>
      </c>
      <c r="AV82" s="21">
        <f>EXP(-LN(2)/25)*AV81+(1-EXP(-LN(2)/25))/(LN(2)/25)*Calculateur!AQ82*Calculateur!AS82*VLOOKUP('Données projet'!$B$10,Paramètres!$A$1:$I$89,3,0)*0.475*44/12</f>
        <v>41.153015096275865</v>
      </c>
      <c r="AW82" s="21">
        <f>EXP(-LN(2)/2)*AW81+(1-EXP(-LN(2)/2))/(LN(2)/2)*AQ82*AT82*VLOOKUP('Données projet'!$B$10,Paramètres!$A$1:$I$89,3,0)*0.475*44/12</f>
        <v>3.5198353840163619</v>
      </c>
      <c r="AX82" s="21">
        <f t="shared" si="60"/>
        <v>44.672850480292226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4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17.072639999999986</v>
      </c>
      <c r="D83" s="11">
        <f t="shared" si="86"/>
        <v>5.6547439958710619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42.10546929761373</v>
      </c>
      <c r="H83" s="67">
        <f t="shared" si="56"/>
        <v>296.25019379280877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520.03</v>
      </c>
      <c r="L83" s="12">
        <f>VLOOKUP(A83,'Données projet'!$A$35:$I$55,9,0)</f>
        <v>9.7839999999999971</v>
      </c>
      <c r="M83" s="12">
        <f t="array" ref="M83">INDEX(L:L,MIN(IF(ISNUMBER(L83:L279),ROW(L83:L279),"")))</f>
        <v>9.7839999999999971</v>
      </c>
      <c r="N83" s="13">
        <f>IF('Données projet'!$A$36&gt;35,N82+M83-V82,IF(A83&lt;'Données projet'!$A$36,$K$205^A83,IF(A83='Données projet'!$A$36,'Données projet'!$B$36,N82+M83-V82)))</f>
        <v>520.02999999999975</v>
      </c>
      <c r="O83" s="13">
        <f>N83*VLOOKUP('Données projet'!$B$9,Paramètres!$A$1:$I$89,3,0)*VLOOKUP('Données projet'!$B$9,Paramètres!$A$1:$I$89,5,0)</f>
        <v>310.97793999999988</v>
      </c>
      <c r="P83" s="13">
        <f t="shared" si="87"/>
        <v>73.473025513598785</v>
      </c>
      <c r="Q83" s="20">
        <f t="shared" si="54"/>
        <v>669.58543160285092</v>
      </c>
      <c r="R83" s="59">
        <f t="shared" si="55"/>
        <v>962.91876493618429</v>
      </c>
      <c r="S83" s="59">
        <f ca="1">AVERAGE(OFFSET($R$3,0,0,'Données projet'!$E$9+1,1))-AVERAGE(OFFSET($H$3,0,0,'Données projet'!$E$9+1,1))</f>
        <v>329.62068845923676</v>
      </c>
      <c r="T83" s="59">
        <f t="shared" si="88"/>
        <v>243.22501652129546</v>
      </c>
      <c r="U83" s="15">
        <f>IF(ISNA(VLOOKUP(A83,'Données projet'!$A$35:$I$55,3,0)),0,VLOOKUP(A83,'Données projet'!$A$35:$I$55,3,0))</f>
        <v>8</v>
      </c>
      <c r="V83" s="15">
        <f>IF(ISNA(VLOOKUP(A83,'Données projet'!$A$35:$I$55,4,0)),0,VLOOKUP(A83,'Données projet'!$A$35:$I$55,4,0))</f>
        <v>520.03</v>
      </c>
      <c r="W83" s="16">
        <f>IF(ISNA(VLOOKUP(A83,'Données projet'!$A$35:$I$55,5,0)),0%,VLOOKUP(A83,'Données projet'!$A$35:$I$55,5,0)*VLOOKUP('Données projet'!$B$9,Paramètres!$A$1:$I$89,7,0))</f>
        <v>0.27</v>
      </c>
      <c r="X83" s="16">
        <f>IF(ISNA(VLOOKUP(A83,'Données projet'!$A$35:$I$55,6,0)),0%,VLOOKUP(A83,'Données projet'!$A$35:$I$55,6,0)*VLOOKUP('Données projet'!$B$9,Paramètres!$A$1:$I$89,7,0))</f>
        <v>9.0000000000000011E-2</v>
      </c>
      <c r="Y83" s="16">
        <f>IF(ISNA(VLOOKUP(A83,'Données projet'!$A$35:$I$55,7,0)),0%,VLOOKUP(A83,'Données projet'!$A$35:$I$55,7,0))</f>
        <v>0.2</v>
      </c>
      <c r="Z83" s="21">
        <f>EXP(-LN(2)/35)*Z82+(1-EXP(-LN(2)/35))/(LN(2)/35)*V83*W83*VLOOKUP('Données projet'!$B$9,Paramètres!$A$1:$I$89,3,0)*0.475*44/12</f>
        <v>153.26747033765446</v>
      </c>
      <c r="AA83" s="21">
        <f>EXP(-LN(2)/25)*AA82+(1-EXP(-LN(2)/25))/(LN(2)/25)*Calculateur!V83*Calculateur!X83*VLOOKUP('Données projet'!$B$9,Paramètres!$A$1:$I$89,3,0)*0.475*44/12</f>
        <v>51.744372778297887</v>
      </c>
      <c r="AB83" s="21">
        <f>EXP(-LN(2)/2)*AB82+(1-EXP(-LN(2)/2))/(LN(2)/2)*V83*Y83*VLOOKUP('Données projet'!$B$9,Paramètres!$A$1:$I$89,3,0)*0.475*44/12</f>
        <v>70.716642801208678</v>
      </c>
      <c r="AC83" s="22">
        <f t="shared" si="57"/>
        <v>275.72848591716104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6.7444444444444462</v>
      </c>
      <c r="AI83" s="13">
        <f>IF('Données projet'!$A$62&gt;35,AI82+AH83-AQ82,IF(A83&lt;'Données projet'!$A$62,$AF$205^A83,IF(A83='Données projet'!$A$62,'Données projet'!$B$62,AI82+AH83-AQ82)))</f>
        <v>188.80333333333334</v>
      </c>
      <c r="AJ83" s="13">
        <f>AI83*VLOOKUP('Données projet'!$B$10,Paramètres!$A$1:$I$89,3,0)*VLOOKUP('Données projet'!$B$10,Paramètres!$A$1:$I$89,5,0)</f>
        <v>191.44658000000004</v>
      </c>
      <c r="AK83" s="13">
        <f t="shared" si="89"/>
        <v>47.859629835500797</v>
      </c>
      <c r="AL83" s="20">
        <f t="shared" si="58"/>
        <v>416.79164879683066</v>
      </c>
      <c r="AM83" s="59">
        <f t="shared" si="59"/>
        <v>710.12498213016397</v>
      </c>
      <c r="AN83" s="59">
        <f ca="1">AVERAGE(OFFSET($AM$3,0,0,'Données projet'!$E$10+1,1))-AVERAGE(OFFSET($H$3,0,0,'Données projet'!$E$10+1,1))</f>
        <v>486.4870616281359</v>
      </c>
      <c r="AO83" s="59">
        <f t="shared" si="90"/>
        <v>247.29100537955225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0</v>
      </c>
      <c r="AV83" s="21">
        <f>EXP(-LN(2)/25)*AV82+(1-EXP(-LN(2)/25))/(LN(2)/25)*Calculateur!AQ83*Calculateur!AS83*VLOOKUP('Données projet'!$B$10,Paramètres!$A$1:$I$89,3,0)*0.475*44/12</f>
        <v>40.027683734325194</v>
      </c>
      <c r="AW83" s="21">
        <f>EXP(-LN(2)/2)*AW82+(1-EXP(-LN(2)/2))/(LN(2)/2)*AQ83*AT83*VLOOKUP('Données projet'!$B$10,Paramètres!$A$1:$I$89,3,0)*0.475*44/12</f>
        <v>2.4888994686983255</v>
      </c>
      <c r="AX83" s="21">
        <f t="shared" si="60"/>
        <v>42.516583203023522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4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17.286047999999987</v>
      </c>
      <c r="D84" s="11">
        <f t="shared" si="86"/>
        <v>5.7171554160661335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42.616461065554084</v>
      </c>
      <c r="H84" s="67">
        <f t="shared" si="56"/>
        <v>296.73057928298186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-2.2737367544323206E-13</v>
      </c>
      <c r="O84" s="13">
        <f>N84*VLOOKUP('Données projet'!$B$9,Paramètres!$A$1:$I$89,3,0)*VLOOKUP('Données projet'!$B$9,Paramètres!$A$1:$I$89,5,0)</f>
        <v>-1.3596945791505279E-13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329.62068845923676</v>
      </c>
      <c r="T84" s="59">
        <f t="shared" si="88"/>
        <v>243.22501652129546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150.26198872825918</v>
      </c>
      <c r="AA84" s="21">
        <f>EXP(-LN(2)/25)*AA83+(1-EXP(-LN(2)/25))/(LN(2)/25)*Calculateur!V84*Calculateur!X84*VLOOKUP('Données projet'!$B$9,Paramètres!$A$1:$I$89,3,0)*0.475*44/12</f>
        <v>50.329420183557033</v>
      </c>
      <c r="AB84" s="21">
        <f>EXP(-LN(2)/2)*AB83+(1-EXP(-LN(2)/2))/(LN(2)/2)*V84*Y84*VLOOKUP('Données projet'!$B$9,Paramètres!$A$1:$I$89,3,0)*0.475*44/12</f>
        <v>50.004217667481512</v>
      </c>
      <c r="AC84" s="22">
        <f t="shared" si="57"/>
        <v>250.59562657929774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6.7444444444444462</v>
      </c>
      <c r="AI84" s="13">
        <f>IF('Données projet'!$A$62&gt;35,AI83+AH84-AQ83,IF(A84&lt;'Données projet'!$A$62,$AF$205^A84,IF(A84='Données projet'!$A$62,'Données projet'!$B$62,AI83+AH84-AQ83)))</f>
        <v>195.54777777777778</v>
      </c>
      <c r="AJ84" s="13">
        <f>AI84*VLOOKUP('Données projet'!$B$10,Paramètres!$A$1:$I$89,3,0)*VLOOKUP('Données projet'!$B$10,Paramètres!$A$1:$I$89,5,0)</f>
        <v>198.28544666666667</v>
      </c>
      <c r="AK84" s="13">
        <f t="shared" si="89"/>
        <v>49.367172192409612</v>
      </c>
      <c r="AL84" s="20">
        <f t="shared" si="58"/>
        <v>431.32831117955783</v>
      </c>
      <c r="AM84" s="59">
        <f t="shared" si="59"/>
        <v>724.66164451289114</v>
      </c>
      <c r="AN84" s="59">
        <f ca="1">AVERAGE(OFFSET($AM$3,0,0,'Données projet'!$E$10+1,1))-AVERAGE(OFFSET($H$3,0,0,'Données projet'!$E$10+1,1))</f>
        <v>486.4870616281359</v>
      </c>
      <c r="AO84" s="59">
        <f t="shared" si="90"/>
        <v>247.29100537955225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0</v>
      </c>
      <c r="AV84" s="21">
        <f>EXP(-LN(2)/25)*AV83+(1-EXP(-LN(2)/25))/(LN(2)/25)*Calculateur!AQ84*Calculateur!AS84*VLOOKUP('Données projet'!$B$10,Paramètres!$A$1:$I$89,3,0)*0.475*44/12</f>
        <v>38.933124617645667</v>
      </c>
      <c r="AW84" s="21">
        <f>EXP(-LN(2)/2)*AW83+(1-EXP(-LN(2)/2))/(LN(2)/2)*AQ84*AT84*VLOOKUP('Données projet'!$B$10,Paramètres!$A$1:$I$89,3,0)*0.475*44/12</f>
        <v>1.7599176920081814</v>
      </c>
      <c r="AX84" s="21">
        <f t="shared" si="60"/>
        <v>40.693042309653848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4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17.499455999999988</v>
      </c>
      <c r="D85" s="11">
        <f t="shared" si="86"/>
        <v>5.7794772107425514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43.127286790428286</v>
      </c>
      <c r="H85" s="67">
        <f t="shared" si="56"/>
        <v>297.2108086753766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-2.2737367544323206E-13</v>
      </c>
      <c r="O85" s="13">
        <f>N85*VLOOKUP('Données projet'!$B$9,Paramètres!$A$1:$I$89,3,0)*VLOOKUP('Données projet'!$B$9,Paramètres!$A$1:$I$89,5,0)</f>
        <v>-1.3596945791505279E-13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329.62068845923676</v>
      </c>
      <c r="T85" s="59">
        <f t="shared" si="88"/>
        <v>243.22501652129546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147.31544278006137</v>
      </c>
      <c r="AA85" s="21">
        <f>EXP(-LN(2)/25)*AA84+(1-EXP(-LN(2)/25))/(LN(2)/25)*Calculateur!V85*Calculateur!X85*VLOOKUP('Données projet'!$B$9,Paramètres!$A$1:$I$89,3,0)*0.475*44/12</f>
        <v>48.953159541928486</v>
      </c>
      <c r="AB85" s="21">
        <f>EXP(-LN(2)/2)*AB84+(1-EXP(-LN(2)/2))/(LN(2)/2)*V85*Y85*VLOOKUP('Données projet'!$B$9,Paramètres!$A$1:$I$89,3,0)*0.475*44/12</f>
        <v>35.358321400604346</v>
      </c>
      <c r="AC85" s="22">
        <f t="shared" si="57"/>
        <v>231.62692372259423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6.7444444444444462</v>
      </c>
      <c r="AI85" s="13">
        <f>IF('Données projet'!$A$62&gt;35,AI84+AH85-AQ84,IF(A85&lt;'Données projet'!$A$62,$AF$205^A85,IF(A85='Données projet'!$A$62,'Données projet'!$B$62,AI84+AH85-AQ84)))</f>
        <v>202.29222222222222</v>
      </c>
      <c r="AJ85" s="13">
        <f>AI85*VLOOKUP('Données projet'!$B$10,Paramètres!$A$1:$I$89,3,0)*VLOOKUP('Données projet'!$B$10,Paramètres!$A$1:$I$89,5,0)</f>
        <v>205.12431333333336</v>
      </c>
      <c r="AK85" s="13">
        <f t="shared" si="89"/>
        <v>50.868673181302917</v>
      </c>
      <c r="AL85" s="20">
        <f t="shared" si="58"/>
        <v>445.85445151299149</v>
      </c>
      <c r="AM85" s="59">
        <f t="shared" si="59"/>
        <v>739.1877848463248</v>
      </c>
      <c r="AN85" s="59">
        <f ca="1">AVERAGE(OFFSET($AM$3,0,0,'Données projet'!$E$10+1,1))-AVERAGE(OFFSET($H$3,0,0,'Données projet'!$E$10+1,1))</f>
        <v>486.4870616281359</v>
      </c>
      <c r="AO85" s="59">
        <f t="shared" si="90"/>
        <v>247.29100537955225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0</v>
      </c>
      <c r="AV85" s="21">
        <f>EXP(-LN(2)/25)*AV84+(1-EXP(-LN(2)/25))/(LN(2)/25)*Calculateur!AQ85*Calculateur!AS85*VLOOKUP('Données projet'!$B$10,Paramètres!$A$1:$I$89,3,0)*0.475*44/12</f>
        <v>37.868496277572106</v>
      </c>
      <c r="AW85" s="21">
        <f>EXP(-LN(2)/2)*AW84+(1-EXP(-LN(2)/2))/(LN(2)/2)*AQ85*AT85*VLOOKUP('Données projet'!$B$10,Paramètres!$A$1:$I$89,3,0)*0.475*44/12</f>
        <v>1.244449734349163</v>
      </c>
      <c r="AX85" s="21">
        <f t="shared" si="60"/>
        <v>39.112946011921267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4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17.712863999999989</v>
      </c>
      <c r="D86" s="11">
        <f t="shared" si="86"/>
        <v>5.8417105993140979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43.637948731360837</v>
      </c>
      <c r="H86" s="67">
        <f t="shared" si="56"/>
        <v>297.69088409380538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-2.2737367544323206E-13</v>
      </c>
      <c r="O86" s="13">
        <f>N86*VLOOKUP('Données projet'!$B$9,Paramètres!$A$1:$I$89,3,0)*VLOOKUP('Données projet'!$B$9,Paramètres!$A$1:$I$89,5,0)</f>
        <v>-1.3596945791505279E-13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329.62068845923676</v>
      </c>
      <c r="T86" s="59">
        <f t="shared" si="88"/>
        <v>243.22501652129546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144.42667680069218</v>
      </c>
      <c r="AA86" s="21">
        <f>EXP(-LN(2)/25)*AA85+(1-EXP(-LN(2)/25))/(LN(2)/25)*Calculateur!V86*Calculateur!X86*VLOOKUP('Données projet'!$B$9,Paramètres!$A$1:$I$89,3,0)*0.475*44/12</f>
        <v>47.614532819919674</v>
      </c>
      <c r="AB86" s="21">
        <f>EXP(-LN(2)/2)*AB85+(1-EXP(-LN(2)/2))/(LN(2)/2)*V86*Y86*VLOOKUP('Données projet'!$B$9,Paramètres!$A$1:$I$89,3,0)*0.475*44/12</f>
        <v>25.00210883374076</v>
      </c>
      <c r="AC86" s="22">
        <f t="shared" si="57"/>
        <v>217.0433184543526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6.7444444444444462</v>
      </c>
      <c r="AI86" s="13">
        <f>IF('Données projet'!$A$62&gt;35,AI85+AH86-AQ85,IF(A86&lt;'Données projet'!$A$62,$AF$205^A86,IF(A86='Données projet'!$A$62,'Données projet'!$B$62,AI85+AH86-AQ85)))</f>
        <v>209.03666666666666</v>
      </c>
      <c r="AJ86" s="13">
        <f>AI86*VLOOKUP('Données projet'!$B$10,Paramètres!$A$1:$I$89,3,0)*VLOOKUP('Données projet'!$B$10,Paramètres!$A$1:$I$89,5,0)</f>
        <v>211.96317999999999</v>
      </c>
      <c r="AK86" s="13">
        <f t="shared" si="89"/>
        <v>52.364357316031814</v>
      </c>
      <c r="AL86" s="20">
        <f t="shared" si="58"/>
        <v>460.37046082542201</v>
      </c>
      <c r="AM86" s="59">
        <f t="shared" si="59"/>
        <v>753.70379415875527</v>
      </c>
      <c r="AN86" s="59">
        <f ca="1">AVERAGE(OFFSET($AM$3,0,0,'Données projet'!$E$10+1,1))-AVERAGE(OFFSET($H$3,0,0,'Données projet'!$E$10+1,1))</f>
        <v>486.4870616281359</v>
      </c>
      <c r="AO86" s="59">
        <f t="shared" si="90"/>
        <v>247.29100537955225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0</v>
      </c>
      <c r="AV86" s="21">
        <f>EXP(-LN(2)/25)*AV85+(1-EXP(-LN(2)/25))/(LN(2)/25)*Calculateur!AQ86*Calculateur!AS86*VLOOKUP('Données projet'!$B$10,Paramètres!$A$1:$I$89,3,0)*0.475*44/12</f>
        <v>36.832980255444227</v>
      </c>
      <c r="AW86" s="21">
        <f>EXP(-LN(2)/2)*AW85+(1-EXP(-LN(2)/2))/(LN(2)/2)*AQ86*AT86*VLOOKUP('Données projet'!$B$10,Paramètres!$A$1:$I$89,3,0)*0.475*44/12</f>
        <v>0.8799588460040908</v>
      </c>
      <c r="AX86" s="21">
        <f t="shared" si="60"/>
        <v>37.71293910144832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4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17.92627199999999</v>
      </c>
      <c r="D87" s="11">
        <f t="shared" si="86"/>
        <v>5.9038567701205258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44.148449089907494</v>
      </c>
      <c r="H87" s="67">
        <f t="shared" si="56"/>
        <v>298.17080760795989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-2.2737367544323206E-13</v>
      </c>
      <c r="O87" s="13">
        <f>N87*VLOOKUP('Données projet'!$B$9,Paramètres!$A$1:$I$89,3,0)*VLOOKUP('Données projet'!$B$9,Paramètres!$A$1:$I$89,5,0)</f>
        <v>-1.3596945791505279E-13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329.62068845923676</v>
      </c>
      <c r="T87" s="59">
        <f t="shared" si="88"/>
        <v>243.22501652129546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141.59455776020513</v>
      </c>
      <c r="AA87" s="21">
        <f>EXP(-LN(2)/25)*AA86+(1-EXP(-LN(2)/25))/(LN(2)/25)*Calculateur!V87*Calculateur!X87*VLOOKUP('Données projet'!$B$9,Paramètres!$A$1:$I$89,3,0)*0.475*44/12</f>
        <v>46.312510916019512</v>
      </c>
      <c r="AB87" s="21">
        <f>EXP(-LN(2)/2)*AB86+(1-EXP(-LN(2)/2))/(LN(2)/2)*V87*Y87*VLOOKUP('Données projet'!$B$9,Paramètres!$A$1:$I$89,3,0)*0.475*44/12</f>
        <v>17.679160700302177</v>
      </c>
      <c r="AC87" s="22">
        <f t="shared" si="57"/>
        <v>205.58622937652683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6.7444444444444462</v>
      </c>
      <c r="AI87" s="13">
        <f>IF('Données projet'!$A$62&gt;35,AI86+AH87-AQ86,IF(A87&lt;'Données projet'!$A$62,$AF$205^A87,IF(A87='Données projet'!$A$62,'Données projet'!$B$62,AI86+AH87-AQ86)))</f>
        <v>215.7811111111111</v>
      </c>
      <c r="AJ87" s="13">
        <f>AI87*VLOOKUP('Données projet'!$B$10,Paramètres!$A$1:$I$89,3,0)*VLOOKUP('Données projet'!$B$10,Paramètres!$A$1:$I$89,5,0)</f>
        <v>218.80204666666666</v>
      </c>
      <c r="AK87" s="13">
        <f t="shared" si="89"/>
        <v>53.854433800339066</v>
      </c>
      <c r="AL87" s="20">
        <f t="shared" si="58"/>
        <v>474.87670348003502</v>
      </c>
      <c r="AM87" s="59">
        <f t="shared" si="59"/>
        <v>768.21003681336833</v>
      </c>
      <c r="AN87" s="59">
        <f ca="1">AVERAGE(OFFSET($AM$3,0,0,'Données projet'!$E$10+1,1))-AVERAGE(OFFSET($H$3,0,0,'Données projet'!$E$10+1,1))</f>
        <v>486.4870616281359</v>
      </c>
      <c r="AO87" s="59">
        <f t="shared" si="90"/>
        <v>247.29100537955225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0</v>
      </c>
      <c r="AV87" s="21">
        <f>EXP(-LN(2)/25)*AV86+(1-EXP(-LN(2)/25))/(LN(2)/25)*Calculateur!AQ87*Calculateur!AS87*VLOOKUP('Données projet'!$B$10,Paramètres!$A$1:$I$89,3,0)*0.475*44/12</f>
        <v>35.825780473396854</v>
      </c>
      <c r="AW87" s="21">
        <f>EXP(-LN(2)/2)*AW86+(1-EXP(-LN(2)/2))/(LN(2)/2)*AQ87*AT87*VLOOKUP('Données projet'!$B$10,Paramètres!$A$1:$I$89,3,0)*0.475*44/12</f>
        <v>0.62222486717458159</v>
      </c>
      <c r="AX87" s="21">
        <f t="shared" si="60"/>
        <v>36.448005340571434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4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18.139679999999991</v>
      </c>
      <c r="D88" s="11">
        <f t="shared" si="86"/>
        <v>5.9659168815797168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44.658790012189769</v>
      </c>
      <c r="H88" s="67">
        <f t="shared" si="56"/>
        <v>298.65058123541803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-2.2737367544323206E-13</v>
      </c>
      <c r="O88" s="13">
        <f>N88*VLOOKUP('Données projet'!$B$9,Paramètres!$A$1:$I$89,3,0)*VLOOKUP('Données projet'!$B$9,Paramètres!$A$1:$I$89,5,0)</f>
        <v>-1.3596945791505279E-13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329.62068845923676</v>
      </c>
      <c r="T88" s="59">
        <f t="shared" si="88"/>
        <v>243.22501652129546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138.81797484667999</v>
      </c>
      <c r="AA88" s="21">
        <f>EXP(-LN(2)/25)*AA87+(1-EXP(-LN(2)/25))/(LN(2)/25)*Calculateur!V88*Calculateur!X88*VLOOKUP('Données projet'!$B$9,Paramètres!$A$1:$I$89,3,0)*0.475*44/12</f>
        <v>45.046092869551856</v>
      </c>
      <c r="AB88" s="21">
        <f>EXP(-LN(2)/2)*AB87+(1-EXP(-LN(2)/2))/(LN(2)/2)*V88*Y88*VLOOKUP('Données projet'!$B$9,Paramètres!$A$1:$I$89,3,0)*0.475*44/12</f>
        <v>12.501054416870382</v>
      </c>
      <c r="AC88" s="22">
        <f t="shared" si="57"/>
        <v>196.3651221331022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6.7444444444444462</v>
      </c>
      <c r="AI88" s="13">
        <f>IF('Données projet'!$A$62&gt;35,AI87+AH88-AQ87,IF(A88&lt;'Données projet'!$A$62,$AF$205^A88,IF(A88='Données projet'!$A$62,'Données projet'!$B$62,AI87+AH88-AQ87)))</f>
        <v>222.52555555555554</v>
      </c>
      <c r="AJ88" s="13">
        <f>AI88*VLOOKUP('Données projet'!$B$10,Paramètres!$A$1:$I$89,3,0)*VLOOKUP('Données projet'!$B$10,Paramètres!$A$1:$I$89,5,0)</f>
        <v>225.64091333333332</v>
      </c>
      <c r="AK88" s="13">
        <f t="shared" si="89"/>
        <v>55.339098017434395</v>
      </c>
      <c r="AL88" s="20">
        <f t="shared" si="58"/>
        <v>489.37351976925379</v>
      </c>
      <c r="AM88" s="59">
        <f t="shared" si="59"/>
        <v>782.70685310258705</v>
      </c>
      <c r="AN88" s="59">
        <f ca="1">AVERAGE(OFFSET($AM$3,0,0,'Données projet'!$E$10+1,1))-AVERAGE(OFFSET($H$3,0,0,'Données projet'!$E$10+1,1))</f>
        <v>486.4870616281359</v>
      </c>
      <c r="AO88" s="59">
        <f t="shared" si="90"/>
        <v>247.29100537955225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0</v>
      </c>
      <c r="AV88" s="21">
        <f>EXP(-LN(2)/25)*AV87+(1-EXP(-LN(2)/25))/(LN(2)/25)*Calculateur!AQ88*Calculateur!AS88*VLOOKUP('Données projet'!$B$10,Paramètres!$A$1:$I$89,3,0)*0.475*44/12</f>
        <v>34.8461226223559</v>
      </c>
      <c r="AW88" s="21">
        <f>EXP(-LN(2)/2)*AW87+(1-EXP(-LN(2)/2))/(LN(2)/2)*AQ88*AT88*VLOOKUP('Données projet'!$B$10,Paramètres!$A$1:$I$89,3,0)*0.475*44/12</f>
        <v>0.43997942300204551</v>
      </c>
      <c r="AX88" s="21">
        <f t="shared" si="60"/>
        <v>35.286102045357943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4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18.353087999999993</v>
      </c>
      <c r="D89" s="11">
        <f t="shared" si="86"/>
        <v>6.0278920632840736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45.168973590926278</v>
      </c>
      <c r="H89" s="67">
        <f t="shared" si="56"/>
        <v>299.13020694355311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-2.2737367544323206E-13</v>
      </c>
      <c r="O89" s="13">
        <f>N89*VLOOKUP('Données projet'!$B$9,Paramètres!$A$1:$I$89,3,0)*VLOOKUP('Données projet'!$B$9,Paramètres!$A$1:$I$89,5,0)</f>
        <v>-1.3596945791505279E-13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329.62068845923676</v>
      </c>
      <c r="T89" s="59">
        <f t="shared" si="88"/>
        <v>243.22501652129546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136.09583903054073</v>
      </c>
      <c r="AA89" s="21">
        <f>EXP(-LN(2)/25)*AA88+(1-EXP(-LN(2)/25))/(LN(2)/25)*Calculateur!V89*Calculateur!X89*VLOOKUP('Données projet'!$B$9,Paramètres!$A$1:$I$89,3,0)*0.475*44/12</f>
        <v>43.814305091162893</v>
      </c>
      <c r="AB89" s="21">
        <f>EXP(-LN(2)/2)*AB88+(1-EXP(-LN(2)/2))/(LN(2)/2)*V89*Y89*VLOOKUP('Données projet'!$B$9,Paramètres!$A$1:$I$89,3,0)*0.475*44/12</f>
        <v>8.8395803501510883</v>
      </c>
      <c r="AC89" s="22">
        <f t="shared" si="57"/>
        <v>188.74972447185473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>
        <f>VLOOKUP(A89,'Données projet'!$A$61:$I$81,2,0)</f>
        <v>229.27</v>
      </c>
      <c r="AG89" s="12">
        <f>VLOOKUP(A89,'Données projet'!$A$61:$I$81,9,0)</f>
        <v>6.7444444444444462</v>
      </c>
      <c r="AH89" s="12">
        <f t="array" ref="AH89">INDEX(AG:AG,MIN(IF(ISNUMBER(AG89:AG285),ROW(AG89:AG285),"")))</f>
        <v>6.7444444444444462</v>
      </c>
      <c r="AI89" s="13">
        <f>IF('Données projet'!$A$62&gt;35,AI88+AH89-AQ88,IF(A89&lt;'Données projet'!$A$62,$AF$205^A89,IF(A89='Données projet'!$A$62,'Données projet'!$B$62,AI88+AH89-AQ88)))</f>
        <v>229.26999999999998</v>
      </c>
      <c r="AJ89" s="13">
        <f>AI89*VLOOKUP('Données projet'!$B$10,Paramètres!$A$1:$I$89,3,0)*VLOOKUP('Données projet'!$B$10,Paramètres!$A$1:$I$89,5,0)</f>
        <v>232.47978000000001</v>
      </c>
      <c r="AK89" s="13">
        <f t="shared" si="89"/>
        <v>56.81853283390906</v>
      </c>
      <c r="AL89" s="20">
        <f t="shared" si="58"/>
        <v>503.86122818572488</v>
      </c>
      <c r="AM89" s="59">
        <f t="shared" si="59"/>
        <v>797.1945615190582</v>
      </c>
      <c r="AN89" s="59">
        <f ca="1">AVERAGE(OFFSET($AM$3,0,0,'Données projet'!$E$10+1,1))-AVERAGE(OFFSET($H$3,0,0,'Données projet'!$E$10+1,1))</f>
        <v>486.4870616281359</v>
      </c>
      <c r="AO89" s="59">
        <f t="shared" si="90"/>
        <v>247.29100537955225</v>
      </c>
      <c r="AP89" s="15">
        <f>IF(ISNA(VLOOKUP(A89,'Données projet'!$A$61:$I$81,3,0)),0,VLOOKUP(A89,'Données projet'!$A$61:$I$81,3,0))</f>
        <v>4</v>
      </c>
      <c r="AQ89" s="15">
        <f>IF(ISNA(VLOOKUP(A89,'Données projet'!$A$61:$I$81,4,0)),0,VLOOKUP(A89,'Données projet'!$A$61:$I$81,4,0))</f>
        <v>37.54000000000002</v>
      </c>
      <c r="AR89" s="16">
        <f>IF(ISNA(VLOOKUP(A89,'Données projet'!$A$61:$I$81,5,0)),0%,VLOOKUP(A89,'Données projet'!$A$61:$I$81,5,0)*VLOOKUP('Données projet'!$B$10,Paramètres!$A$1:$I$89,7,0))</f>
        <v>0.15049999999999999</v>
      </c>
      <c r="AS89" s="16">
        <f>IF(ISNA(VLOOKUP(A89,'Données projet'!$A$61:$I$81,6,0)),0%,VLOOKUP(A89,'Données projet'!$A$61:$I$81,6,0)*VLOOKUP('Données projet'!$B$10,Paramètres!$A$1:$I$89,7,0))</f>
        <v>8.6000000000000007E-2</v>
      </c>
      <c r="AT89" s="16">
        <f>IF(ISNA(VLOOKUP(A89,'Données projet'!$A$61:$I$81,7,0)),0%,VLOOKUP(A89,'Données projet'!$A$61:$I$81,7,0))</f>
        <v>0.1</v>
      </c>
      <c r="AU89" s="21">
        <f>EXP(-LN(2)/35)*AU88+(1-EXP(-LN(2)/35))/(LN(2)/35)*AQ89*AR89*VLOOKUP('Données projet'!$B$10,Paramètres!$A$1:$I$89,3,0)*0.475*44/12</f>
        <v>6.333092533580313</v>
      </c>
      <c r="AV89" s="21">
        <f>EXP(-LN(2)/25)*AV88+(1-EXP(-LN(2)/25))/(LN(2)/25)*Calculateur!AQ89*Calculateur!AS89*VLOOKUP('Données projet'!$B$10,Paramètres!$A$1:$I$89,3,0)*0.475*44/12</f>
        <v>37.49791455830001</v>
      </c>
      <c r="AW89" s="21">
        <f>EXP(-LN(2)/2)*AW88+(1-EXP(-LN(2)/2))/(LN(2)/2)*AQ89*AT89*VLOOKUP('Données projet'!$B$10,Paramètres!$A$1:$I$89,3,0)*0.475*44/12</f>
        <v>3.9027004715399207</v>
      </c>
      <c r="AX89" s="21">
        <f t="shared" si="60"/>
        <v>47.733707563420246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4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18.566495999999994</v>
      </c>
      <c r="D90" s="11">
        <f t="shared" si="86"/>
        <v>6.0897834170444654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45.679001867366573</v>
      </c>
      <c r="H90" s="67">
        <f t="shared" si="56"/>
        <v>299.60968665135243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-2.2737367544323206E-13</v>
      </c>
      <c r="O90" s="13">
        <f>N90*VLOOKUP('Données projet'!$B$9,Paramètres!$A$1:$I$89,3,0)*VLOOKUP('Données projet'!$B$9,Paramètres!$A$1:$I$89,5,0)</f>
        <v>-1.3596945791505279E-13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329.62068845923676</v>
      </c>
      <c r="T90" s="59">
        <f t="shared" si="88"/>
        <v>243.22501652129546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133.42708263741704</v>
      </c>
      <c r="AA90" s="21">
        <f>EXP(-LN(2)/25)*AA89+(1-EXP(-LN(2)/25))/(LN(2)/25)*Calculateur!V90*Calculateur!X90*VLOOKUP('Données projet'!$B$9,Paramètres!$A$1:$I$89,3,0)*0.475*44/12</f>
        <v>42.61620061435088</v>
      </c>
      <c r="AB90" s="21">
        <f>EXP(-LN(2)/2)*AB89+(1-EXP(-LN(2)/2))/(LN(2)/2)*V90*Y90*VLOOKUP('Données projet'!$B$9,Paramètres!$A$1:$I$89,3,0)*0.475*44/12</f>
        <v>6.2505272084351908</v>
      </c>
      <c r="AC90" s="22">
        <f t="shared" si="57"/>
        <v>182.2938104602031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6.7600000000000007</v>
      </c>
      <c r="AI90" s="13">
        <f>IF('Données projet'!$A$62&gt;35,AI89+AH90-AQ89,IF(A90&lt;'Données projet'!$A$62,$AF$205^A90,IF(A90='Données projet'!$A$62,'Données projet'!$B$62,AI89+AH90-AQ89)))</f>
        <v>198.48999999999995</v>
      </c>
      <c r="AJ90" s="13">
        <f>AI90*VLOOKUP('Données projet'!$B$10,Paramètres!$A$1:$I$89,3,0)*VLOOKUP('Données projet'!$B$10,Paramètres!$A$1:$I$89,5,0)</f>
        <v>201.26885999999993</v>
      </c>
      <c r="AK90" s="13">
        <f t="shared" si="89"/>
        <v>50.022922026408203</v>
      </c>
      <c r="AL90" s="20">
        <f t="shared" si="58"/>
        <v>437.66652036266078</v>
      </c>
      <c r="AM90" s="59">
        <f t="shared" si="59"/>
        <v>730.99985369599403</v>
      </c>
      <c r="AN90" s="59">
        <f ca="1">AVERAGE(OFFSET($AM$3,0,0,'Données projet'!$E$10+1,1))-AVERAGE(OFFSET($H$3,0,0,'Données projet'!$E$10+1,1))</f>
        <v>486.4870616281359</v>
      </c>
      <c r="AO90" s="59">
        <f t="shared" si="90"/>
        <v>247.29100537955225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6.2089044518018284</v>
      </c>
      <c r="AV90" s="21">
        <f>EXP(-LN(2)/25)*AV89+(1-EXP(-LN(2)/25))/(LN(2)/25)*Calculateur!AQ90*Calculateur!AS90*VLOOKUP('Données projet'!$B$10,Paramètres!$A$1:$I$89,3,0)*0.475*44/12</f>
        <v>36.472532112773671</v>
      </c>
      <c r="AW90" s="21">
        <f>EXP(-LN(2)/2)*AW89+(1-EXP(-LN(2)/2))/(LN(2)/2)*AQ90*AT90*VLOOKUP('Données projet'!$B$10,Paramètres!$A$1:$I$89,3,0)*0.475*44/12</f>
        <v>2.7596259683658149</v>
      </c>
      <c r="AX90" s="21">
        <f t="shared" si="60"/>
        <v>45.441062532941316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4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18.779903999999995</v>
      </c>
      <c r="D91" s="11">
        <f t="shared" si="86"/>
        <v>6.1515920178847852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46.188876833133911</v>
      </c>
      <c r="H91" s="67">
        <f t="shared" si="56"/>
        <v>300.08902223114933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-2.2737367544323206E-13</v>
      </c>
      <c r="O91" s="13">
        <f>N91*VLOOKUP('Données projet'!$B$9,Paramètres!$A$1:$I$89,3,0)*VLOOKUP('Données projet'!$B$9,Paramètres!$A$1:$I$89,5,0)</f>
        <v>-1.3596945791505279E-13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329.62068845923676</v>
      </c>
      <c r="T91" s="59">
        <f t="shared" si="88"/>
        <v>243.22501652129546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130.81065892938184</v>
      </c>
      <c r="AA91" s="21">
        <f>EXP(-LN(2)/25)*AA90+(1-EXP(-LN(2)/25))/(LN(2)/25)*Calculateur!V91*Calculateur!X91*VLOOKUP('Données projet'!$B$9,Paramètres!$A$1:$I$89,3,0)*0.475*44/12</f>
        <v>41.450858367462864</v>
      </c>
      <c r="AB91" s="21">
        <f>EXP(-LN(2)/2)*AB90+(1-EXP(-LN(2)/2))/(LN(2)/2)*V91*Y91*VLOOKUP('Données projet'!$B$9,Paramètres!$A$1:$I$89,3,0)*0.475*44/12</f>
        <v>4.4197901750755442</v>
      </c>
      <c r="AC91" s="22">
        <f t="shared" si="57"/>
        <v>176.68130747192026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6.7600000000000007</v>
      </c>
      <c r="AI91" s="13">
        <f>IF('Données projet'!$A$62&gt;35,AI90+AH91-AQ90,IF(A91&lt;'Données projet'!$A$62,$AF$205^A91,IF(A91='Données projet'!$A$62,'Données projet'!$B$62,AI90+AH91-AQ90)))</f>
        <v>205.24999999999994</v>
      </c>
      <c r="AJ91" s="13">
        <f>AI91*VLOOKUP('Données projet'!$B$10,Paramètres!$A$1:$I$89,3,0)*VLOOKUP('Données projet'!$B$10,Paramètres!$A$1:$I$89,5,0)</f>
        <v>208.12349999999995</v>
      </c>
      <c r="AK91" s="13">
        <f t="shared" si="89"/>
        <v>51.525309267242157</v>
      </c>
      <c r="AL91" s="20">
        <f t="shared" si="58"/>
        <v>452.22167614044662</v>
      </c>
      <c r="AM91" s="59">
        <f t="shared" si="59"/>
        <v>745.55500947377993</v>
      </c>
      <c r="AN91" s="59">
        <f ca="1">AVERAGE(OFFSET($AM$3,0,0,'Données projet'!$E$10+1,1))-AVERAGE(OFFSET($H$3,0,0,'Données projet'!$E$10+1,1))</f>
        <v>486.4870616281359</v>
      </c>
      <c r="AO91" s="59">
        <f t="shared" si="90"/>
        <v>247.29100537955225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6.0871516225597695</v>
      </c>
      <c r="AV91" s="21">
        <f>EXP(-LN(2)/25)*AV90+(1-EXP(-LN(2)/25))/(LN(2)/25)*Calculateur!AQ91*Calculateur!AS91*VLOOKUP('Données projet'!$B$10,Paramètres!$A$1:$I$89,3,0)*0.475*44/12</f>
        <v>35.475188804142768</v>
      </c>
      <c r="AW91" s="21">
        <f>EXP(-LN(2)/2)*AW90+(1-EXP(-LN(2)/2))/(LN(2)/2)*AQ91*AT91*VLOOKUP('Données projet'!$B$10,Paramètres!$A$1:$I$89,3,0)*0.475*44/12</f>
        <v>1.9513502357699608</v>
      </c>
      <c r="AX91" s="21">
        <f t="shared" si="60"/>
        <v>43.513690662472492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4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18.993311999999996</v>
      </c>
      <c r="D92" s="11">
        <f t="shared" si="86"/>
        <v>6.2133189149900447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46.698600431981554</v>
      </c>
      <c r="H92" s="67">
        <f t="shared" si="56"/>
        <v>300.56821551027434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-2.2737367544323206E-13</v>
      </c>
      <c r="O92" s="13">
        <f>N92*VLOOKUP('Données projet'!$B$9,Paramètres!$A$1:$I$89,3,0)*VLOOKUP('Données projet'!$B$9,Paramètres!$A$1:$I$89,5,0)</f>
        <v>-1.3596945791505279E-13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329.62068845923676</v>
      </c>
      <c r="T92" s="59">
        <f t="shared" si="88"/>
        <v>243.22501652129546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128.24554169440034</v>
      </c>
      <c r="AA92" s="21">
        <f>EXP(-LN(2)/25)*AA91+(1-EXP(-LN(2)/25))/(LN(2)/25)*Calculateur!V92*Calculateur!X92*VLOOKUP('Données projet'!$B$9,Paramètres!$A$1:$I$89,3,0)*0.475*44/12</f>
        <v>40.317382465598691</v>
      </c>
      <c r="AB92" s="21">
        <f>EXP(-LN(2)/2)*AB91+(1-EXP(-LN(2)/2))/(LN(2)/2)*V92*Y92*VLOOKUP('Données projet'!$B$9,Paramètres!$A$1:$I$89,3,0)*0.475*44/12</f>
        <v>3.1252636042175954</v>
      </c>
      <c r="AC92" s="22">
        <f t="shared" si="57"/>
        <v>171.68818776421662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6.7600000000000007</v>
      </c>
      <c r="AI92" s="13">
        <f>IF('Données projet'!$A$62&gt;35,AI91+AH92-AQ91,IF(A92&lt;'Données projet'!$A$62,$AF$205^A92,IF(A92='Données projet'!$A$62,'Données projet'!$B$62,AI91+AH92-AQ91)))</f>
        <v>212.00999999999993</v>
      </c>
      <c r="AJ92" s="13">
        <f>AI92*VLOOKUP('Données projet'!$B$10,Paramètres!$A$1:$I$89,3,0)*VLOOKUP('Données projet'!$B$10,Paramètres!$A$1:$I$89,5,0)</f>
        <v>214.97813999999997</v>
      </c>
      <c r="AK92" s="13">
        <f t="shared" si="89"/>
        <v>53.021946755647264</v>
      </c>
      <c r="AL92" s="20">
        <f t="shared" si="58"/>
        <v>466.76681776608552</v>
      </c>
      <c r="AM92" s="59">
        <f t="shared" si="59"/>
        <v>760.10015109941878</v>
      </c>
      <c r="AN92" s="59">
        <f ca="1">AVERAGE(OFFSET($AM$3,0,0,'Données projet'!$E$10+1,1))-AVERAGE(OFFSET($H$3,0,0,'Données projet'!$E$10+1,1))</f>
        <v>486.4870616281359</v>
      </c>
      <c r="AO92" s="59">
        <f t="shared" si="90"/>
        <v>247.29100537955225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5.9677862920372542</v>
      </c>
      <c r="AV92" s="21">
        <f>EXP(-LN(2)/25)*AV91+(1-EXP(-LN(2)/25))/(LN(2)/25)*Calculateur!AQ92*Calculateur!AS92*VLOOKUP('Données projet'!$B$10,Paramètres!$A$1:$I$89,3,0)*0.475*44/12</f>
        <v>34.505117900734383</v>
      </c>
      <c r="AW92" s="21">
        <f>EXP(-LN(2)/2)*AW91+(1-EXP(-LN(2)/2))/(LN(2)/2)*AQ92*AT92*VLOOKUP('Données projet'!$B$10,Paramètres!$A$1:$I$89,3,0)*0.475*44/12</f>
        <v>1.3798129841829077</v>
      </c>
      <c r="AX92" s="21">
        <f t="shared" si="60"/>
        <v>41.852717176954542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4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19.206719999999997</v>
      </c>
      <c r="D93" s="11">
        <f t="shared" si="86"/>
        <v>6.2749651326106228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47.208174561468098</v>
      </c>
      <c r="H93" s="67">
        <f t="shared" si="56"/>
        <v>301.04726827263016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-2.2737367544323206E-13</v>
      </c>
      <c r="O93" s="13">
        <f>N93*VLOOKUP('Données projet'!$B$9,Paramètres!$A$1:$I$89,3,0)*VLOOKUP('Données projet'!$B$9,Paramètres!$A$1:$I$89,5,0)</f>
        <v>-1.3596945791505279E-13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329.62068845923676</v>
      </c>
      <c r="T93" s="59">
        <f t="shared" si="88"/>
        <v>243.22501652129546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125.7307248438298</v>
      </c>
      <c r="AA93" s="21">
        <f>EXP(-LN(2)/25)*AA92+(1-EXP(-LN(2)/25))/(LN(2)/25)*Calculateur!V93*Calculateur!X93*VLOOKUP('Données projet'!$B$9,Paramètres!$A$1:$I$89,3,0)*0.475*44/12</f>
        <v>39.214901521877898</v>
      </c>
      <c r="AB93" s="21">
        <f>EXP(-LN(2)/2)*AB92+(1-EXP(-LN(2)/2))/(LN(2)/2)*V93*Y93*VLOOKUP('Données projet'!$B$9,Paramètres!$A$1:$I$89,3,0)*0.475*44/12</f>
        <v>2.2098950875377721</v>
      </c>
      <c r="AC93" s="22">
        <f t="shared" si="57"/>
        <v>167.15552145324548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6.7600000000000007</v>
      </c>
      <c r="AI93" s="13">
        <f>IF('Données projet'!$A$62&gt;35,AI92+AH93-AQ92,IF(A93&lt;'Données projet'!$A$62,$AF$205^A93,IF(A93='Données projet'!$A$62,'Données projet'!$B$62,AI92+AH93-AQ92)))</f>
        <v>218.76999999999992</v>
      </c>
      <c r="AJ93" s="13">
        <f>AI93*VLOOKUP('Données projet'!$B$10,Paramètres!$A$1:$I$89,3,0)*VLOOKUP('Données projet'!$B$10,Paramètres!$A$1:$I$89,5,0)</f>
        <v>221.83277999999993</v>
      </c>
      <c r="AK93" s="13">
        <f t="shared" si="89"/>
        <v>54.513038854982973</v>
      </c>
      <c r="AL93" s="20">
        <f t="shared" si="58"/>
        <v>481.30230117242854</v>
      </c>
      <c r="AM93" s="59">
        <f t="shared" si="59"/>
        <v>774.6356345057618</v>
      </c>
      <c r="AN93" s="59">
        <f ca="1">AVERAGE(OFFSET($AM$3,0,0,'Données projet'!$E$10+1,1))-AVERAGE(OFFSET($H$3,0,0,'Données projet'!$E$10+1,1))</f>
        <v>486.4870616281359</v>
      </c>
      <c r="AO93" s="59">
        <f t="shared" si="90"/>
        <v>247.29100537955225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5.8507616428406228</v>
      </c>
      <c r="AV93" s="21">
        <f>EXP(-LN(2)/25)*AV92+(1-EXP(-LN(2)/25))/(LN(2)/25)*Calculateur!AQ93*Calculateur!AS93*VLOOKUP('Données projet'!$B$10,Paramètres!$A$1:$I$89,3,0)*0.475*44/12</f>
        <v>33.561573637193511</v>
      </c>
      <c r="AW93" s="21">
        <f>EXP(-LN(2)/2)*AW92+(1-EXP(-LN(2)/2))/(LN(2)/2)*AQ93*AT93*VLOOKUP('Données projet'!$B$10,Paramètres!$A$1:$I$89,3,0)*0.475*44/12</f>
        <v>0.97567511788498051</v>
      </c>
      <c r="AX93" s="21">
        <f t="shared" si="60"/>
        <v>40.388010397919118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4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19.420127999999998</v>
      </c>
      <c r="D94" s="11">
        <f t="shared" si="86"/>
        <v>6.3365316709251767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47.717601074556114</v>
      </c>
      <c r="H94" s="67">
        <f t="shared" si="56"/>
        <v>301.52618226019467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-2.2737367544323206E-13</v>
      </c>
      <c r="O94" s="13">
        <f>N94*VLOOKUP('Données projet'!$B$9,Paramètres!$A$1:$I$89,3,0)*VLOOKUP('Données projet'!$B$9,Paramètres!$A$1:$I$89,5,0)</f>
        <v>-1.3596945791505279E-13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329.62068845923676</v>
      </c>
      <c r="T94" s="59">
        <f t="shared" si="88"/>
        <v>243.22501652129546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123.26522201781214</v>
      </c>
      <c r="AA94" s="21">
        <f>EXP(-LN(2)/25)*AA93+(1-EXP(-LN(2)/25))/(LN(2)/25)*Calculateur!V94*Calculateur!X94*VLOOKUP('Données projet'!$B$9,Paramètres!$A$1:$I$89,3,0)*0.475*44/12</f>
        <v>38.142567977540104</v>
      </c>
      <c r="AB94" s="21">
        <f>EXP(-LN(2)/2)*AB93+(1-EXP(-LN(2)/2))/(LN(2)/2)*V94*Y94*VLOOKUP('Données projet'!$B$9,Paramètres!$A$1:$I$89,3,0)*0.475*44/12</f>
        <v>1.5626318021087977</v>
      </c>
      <c r="AC94" s="22">
        <f t="shared" si="57"/>
        <v>162.97042179746103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6.7600000000000007</v>
      </c>
      <c r="AI94" s="13">
        <f>IF('Données projet'!$A$62&gt;35,AI93+AH94-AQ93,IF(A94&lt;'Données projet'!$A$62,$AF$205^A94,IF(A94='Données projet'!$A$62,'Données projet'!$B$62,AI93+AH94-AQ93)))</f>
        <v>225.52999999999992</v>
      </c>
      <c r="AJ94" s="13">
        <f>AI94*VLOOKUP('Données projet'!$B$10,Paramètres!$A$1:$I$89,3,0)*VLOOKUP('Données projet'!$B$10,Paramètres!$A$1:$I$89,5,0)</f>
        <v>228.68741999999995</v>
      </c>
      <c r="AK94" s="13">
        <f t="shared" si="89"/>
        <v>55.998776581457236</v>
      </c>
      <c r="AL94" s="20">
        <f t="shared" si="58"/>
        <v>495.82845904603795</v>
      </c>
      <c r="AM94" s="59">
        <f t="shared" si="59"/>
        <v>789.16179237937126</v>
      </c>
      <c r="AN94" s="59">
        <f ca="1">AVERAGE(OFFSET($AM$3,0,0,'Données projet'!$E$10+1,1))-AVERAGE(OFFSET($H$3,0,0,'Données projet'!$E$10+1,1))</f>
        <v>486.4870616281359</v>
      </c>
      <c r="AO94" s="59">
        <f t="shared" si="90"/>
        <v>247.29100537955225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5.7360317756367492</v>
      </c>
      <c r="AV94" s="21">
        <f>EXP(-LN(2)/25)*AV93+(1-EXP(-LN(2)/25))/(LN(2)/25)*Calculateur!AQ94*Calculateur!AS94*VLOOKUP('Données projet'!$B$10,Paramètres!$A$1:$I$89,3,0)*0.475*44/12</f>
        <v>32.643830641158004</v>
      </c>
      <c r="AW94" s="21">
        <f>EXP(-LN(2)/2)*AW93+(1-EXP(-LN(2)/2))/(LN(2)/2)*AQ94*AT94*VLOOKUP('Données projet'!$B$10,Paramètres!$A$1:$I$89,3,0)*0.475*44/12</f>
        <v>0.68990649209145394</v>
      </c>
      <c r="AX94" s="21">
        <f t="shared" si="60"/>
        <v>39.069768908886203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4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19.633535999999999</v>
      </c>
      <c r="D95" s="11">
        <f t="shared" si="86"/>
        <v>6.3980195068645376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48.226881781138509</v>
      </c>
      <c r="H95" s="67">
        <f t="shared" si="56"/>
        <v>302.00495917445573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-2.2737367544323206E-13</v>
      </c>
      <c r="O95" s="13">
        <f>N95*VLOOKUP('Données projet'!$B$9,Paramètres!$A$1:$I$89,3,0)*VLOOKUP('Données projet'!$B$9,Paramètres!$A$1:$I$89,5,0)</f>
        <v>-1.3596945791505279E-13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329.62068845923676</v>
      </c>
      <c r="T95" s="59">
        <f t="shared" si="88"/>
        <v>243.22501652129546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120.84806619840442</v>
      </c>
      <c r="AA95" s="21">
        <f>EXP(-LN(2)/25)*AA94+(1-EXP(-LN(2)/25))/(LN(2)/25)*Calculateur!V95*Calculateur!X95*VLOOKUP('Données projet'!$B$9,Paramètres!$A$1:$I$89,3,0)*0.475*44/12</f>
        <v>37.099557450363797</v>
      </c>
      <c r="AB95" s="21">
        <f>EXP(-LN(2)/2)*AB94+(1-EXP(-LN(2)/2))/(LN(2)/2)*V95*Y95*VLOOKUP('Données projet'!$B$9,Paramètres!$A$1:$I$89,3,0)*0.475*44/12</f>
        <v>1.104947543768886</v>
      </c>
      <c r="AC95" s="22">
        <f t="shared" si="57"/>
        <v>159.0525711925371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6.7600000000000007</v>
      </c>
      <c r="AI95" s="13">
        <f>IF('Données projet'!$A$62&gt;35,AI94+AH95-AQ94,IF(A95&lt;'Données projet'!$A$62,$AF$205^A95,IF(A95='Données projet'!$A$62,'Données projet'!$B$62,AI94+AH95-AQ94)))</f>
        <v>232.28999999999991</v>
      </c>
      <c r="AJ95" s="13">
        <f>AI95*VLOOKUP('Données projet'!$B$10,Paramètres!$A$1:$I$89,3,0)*VLOOKUP('Données projet'!$B$10,Paramètres!$A$1:$I$89,5,0)</f>
        <v>235.54205999999991</v>
      </c>
      <c r="AK95" s="13">
        <f t="shared" si="89"/>
        <v>57.479338849475639</v>
      </c>
      <c r="AL95" s="20">
        <f t="shared" si="58"/>
        <v>510.34560299616987</v>
      </c>
      <c r="AM95" s="59">
        <f t="shared" si="59"/>
        <v>803.67893632950313</v>
      </c>
      <c r="AN95" s="59">
        <f ca="1">AVERAGE(OFFSET($AM$3,0,0,'Données projet'!$E$10+1,1))-AVERAGE(OFFSET($H$3,0,0,'Données projet'!$E$10+1,1))</f>
        <v>486.4870616281359</v>
      </c>
      <c r="AO95" s="59">
        <f t="shared" si="90"/>
        <v>247.29100537955225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5.6235516911504346</v>
      </c>
      <c r="AV95" s="21">
        <f>EXP(-LN(2)/25)*AV94+(1-EXP(-LN(2)/25))/(LN(2)/25)*Calculateur!AQ95*Calculateur!AS95*VLOOKUP('Données projet'!$B$10,Paramètres!$A$1:$I$89,3,0)*0.475*44/12</f>
        <v>31.751183375611095</v>
      </c>
      <c r="AW95" s="21">
        <f>EXP(-LN(2)/2)*AW94+(1-EXP(-LN(2)/2))/(LN(2)/2)*AQ95*AT95*VLOOKUP('Données projet'!$B$10,Paramètres!$A$1:$I$89,3,0)*0.475*44/12</f>
        <v>0.48783755894249031</v>
      </c>
      <c r="AX95" s="21">
        <f t="shared" si="60"/>
        <v>37.862572625704018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4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19.846944000000001</v>
      </c>
      <c r="D96" s="11">
        <f t="shared" si="86"/>
        <v>6.4594295948987899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48.736018449496704</v>
      </c>
      <c r="H96" s="67">
        <f t="shared" si="56"/>
        <v>302.48360067778208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-2.2737367544323206E-13</v>
      </c>
      <c r="O96" s="13">
        <f>N96*VLOOKUP('Données projet'!$B$9,Paramètres!$A$1:$I$89,3,0)*VLOOKUP('Données projet'!$B$9,Paramètres!$A$1:$I$89,5,0)</f>
        <v>-1.3596945791505279E-13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329.62068845923676</v>
      </c>
      <c r="T96" s="59">
        <f t="shared" si="88"/>
        <v>243.22501652129546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118.47830933029583</v>
      </c>
      <c r="AA96" s="21">
        <f>EXP(-LN(2)/25)*AA95+(1-EXP(-LN(2)/25))/(LN(2)/25)*Calculateur!V96*Calculateur!X96*VLOOKUP('Données projet'!$B$9,Paramètres!$A$1:$I$89,3,0)*0.475*44/12</f>
        <v>36.085068100902667</v>
      </c>
      <c r="AB96" s="21">
        <f>EXP(-LN(2)/2)*AB95+(1-EXP(-LN(2)/2))/(LN(2)/2)*V96*Y96*VLOOKUP('Données projet'!$B$9,Paramètres!$A$1:$I$89,3,0)*0.475*44/12</f>
        <v>0.78131590105439885</v>
      </c>
      <c r="AC96" s="22">
        <f t="shared" si="57"/>
        <v>155.34469333225289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6.7600000000000007</v>
      </c>
      <c r="AI96" s="13">
        <f>IF('Données projet'!$A$62&gt;35,AI95+AH96-AQ95,IF(A96&lt;'Données projet'!$A$62,$AF$205^A96,IF(A96='Données projet'!$A$62,'Données projet'!$B$62,AI95+AH96-AQ95)))</f>
        <v>239.0499999999999</v>
      </c>
      <c r="AJ96" s="13">
        <f>AI96*VLOOKUP('Données projet'!$B$10,Paramètres!$A$1:$I$89,3,0)*VLOOKUP('Données projet'!$B$10,Paramètres!$A$1:$I$89,5,0)</f>
        <v>242.3966999999999</v>
      </c>
      <c r="AK96" s="13">
        <f t="shared" si="89"/>
        <v>58.954893567950833</v>
      </c>
      <c r="AL96" s="20">
        <f t="shared" si="58"/>
        <v>524.85402546418084</v>
      </c>
      <c r="AM96" s="59">
        <f t="shared" si="59"/>
        <v>818.18735879751421</v>
      </c>
      <c r="AN96" s="59">
        <f ca="1">AVERAGE(OFFSET($AM$3,0,0,'Données projet'!$E$10+1,1))-AVERAGE(OFFSET($H$3,0,0,'Données projet'!$E$10+1,1))</f>
        <v>486.4870616281359</v>
      </c>
      <c r="AO96" s="59">
        <f t="shared" si="90"/>
        <v>247.29100537955225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5.5132772725148191</v>
      </c>
      <c r="AV96" s="21">
        <f>EXP(-LN(2)/25)*AV95+(1-EXP(-LN(2)/25))/(LN(2)/25)*Calculateur!AQ96*Calculateur!AS96*VLOOKUP('Données projet'!$B$10,Paramètres!$A$1:$I$89,3,0)*0.475*44/12</f>
        <v>30.882945596482845</v>
      </c>
      <c r="AW96" s="21">
        <f>EXP(-LN(2)/2)*AW95+(1-EXP(-LN(2)/2))/(LN(2)/2)*AQ96*AT96*VLOOKUP('Données projet'!$B$10,Paramètres!$A$1:$I$89,3,0)*0.475*44/12</f>
        <v>0.34495324604572702</v>
      </c>
      <c r="AX96" s="21">
        <f t="shared" si="60"/>
        <v>36.741176115043388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4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20.060352000000002</v>
      </c>
      <c r="D97" s="11">
        <f t="shared" si="86"/>
        <v>6.5207628677894833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49.245012807694202</v>
      </c>
      <c r="H97" s="67">
        <f t="shared" si="56"/>
        <v>302.96210839473338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-2.2737367544323206E-13</v>
      </c>
      <c r="O97" s="13">
        <f>N97*VLOOKUP('Données projet'!$B$9,Paramètres!$A$1:$I$89,3,0)*VLOOKUP('Données projet'!$B$9,Paramètres!$A$1:$I$89,5,0)</f>
        <v>-1.3596945791505279E-13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329.62068845923676</v>
      </c>
      <c r="T97" s="59">
        <f t="shared" si="88"/>
        <v>243.22501652129546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116.15502194896187</v>
      </c>
      <c r="AA97" s="21">
        <f>EXP(-LN(2)/25)*AA96+(1-EXP(-LN(2)/25))/(LN(2)/25)*Calculateur!V97*Calculateur!X97*VLOOKUP('Données projet'!$B$9,Paramètres!$A$1:$I$89,3,0)*0.475*44/12</f>
        <v>35.098320016052227</v>
      </c>
      <c r="AB97" s="21">
        <f>EXP(-LN(2)/2)*AB96+(1-EXP(-LN(2)/2))/(LN(2)/2)*V97*Y97*VLOOKUP('Données projet'!$B$9,Paramètres!$A$1:$I$89,3,0)*0.475*44/12</f>
        <v>0.55247377188444302</v>
      </c>
      <c r="AC97" s="22">
        <f t="shared" si="57"/>
        <v>151.80581573689855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6.7600000000000007</v>
      </c>
      <c r="AI97" s="13">
        <f>IF('Données projet'!$A$62&gt;35,AI96+AH97-AQ96,IF(A97&lt;'Données projet'!$A$62,$AF$205^A97,IF(A97='Données projet'!$A$62,'Données projet'!$B$62,AI96+AH97-AQ96)))</f>
        <v>245.80999999999989</v>
      </c>
      <c r="AJ97" s="13">
        <f>AI97*VLOOKUP('Données projet'!$B$10,Paramètres!$A$1:$I$89,3,0)*VLOOKUP('Données projet'!$B$10,Paramètres!$A$1:$I$89,5,0)</f>
        <v>249.25133999999991</v>
      </c>
      <c r="AK97" s="13">
        <f t="shared" si="89"/>
        <v>60.42559860911723</v>
      </c>
      <c r="AL97" s="20">
        <f t="shared" si="58"/>
        <v>539.35400141087905</v>
      </c>
      <c r="AM97" s="59">
        <f t="shared" si="59"/>
        <v>832.68733474421242</v>
      </c>
      <c r="AN97" s="59">
        <f ca="1">AVERAGE(OFFSET($AM$3,0,0,'Données projet'!$E$10+1,1))-AVERAGE(OFFSET($H$3,0,0,'Données projet'!$E$10+1,1))</f>
        <v>486.4870616281359</v>
      </c>
      <c r="AO97" s="59">
        <f t="shared" si="90"/>
        <v>247.29100537955225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5.4051652679678943</v>
      </c>
      <c r="AV97" s="21">
        <f>EXP(-LN(2)/25)*AV96+(1-EXP(-LN(2)/25))/(LN(2)/25)*Calculateur!AQ97*Calculateur!AS97*VLOOKUP('Données projet'!$B$10,Paramètres!$A$1:$I$89,3,0)*0.475*44/12</f>
        <v>30.038449825083497</v>
      </c>
      <c r="AW97" s="21">
        <f>EXP(-LN(2)/2)*AW96+(1-EXP(-LN(2)/2))/(LN(2)/2)*AQ97*AT97*VLOOKUP('Données projet'!$B$10,Paramètres!$A$1:$I$89,3,0)*0.475*44/12</f>
        <v>0.24391877947124521</v>
      </c>
      <c r="AX97" s="21">
        <f t="shared" si="60"/>
        <v>35.687533872522636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4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20.273760000000003</v>
      </c>
      <c r="D98" s="11">
        <f t="shared" si="86"/>
        <v>6.5820202373089698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49.753866544909251</v>
      </c>
      <c r="H98" s="67">
        <f t="shared" si="56"/>
        <v>303.44048391331313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-2.2737367544323206E-13</v>
      </c>
      <c r="O98" s="13">
        <f>N98*VLOOKUP('Données projet'!$B$9,Paramètres!$A$1:$I$89,3,0)*VLOOKUP('Données projet'!$B$9,Paramètres!$A$1:$I$89,5,0)</f>
        <v>-1.3596945791505279E-13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329.62068845923676</v>
      </c>
      <c r="T98" s="59">
        <f t="shared" si="88"/>
        <v>243.22501652129546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113.87729281611051</v>
      </c>
      <c r="AA98" s="21">
        <f>EXP(-LN(2)/25)*AA97+(1-EXP(-LN(2)/25))/(LN(2)/25)*Calculateur!V98*Calculateur!X98*VLOOKUP('Données projet'!$B$9,Paramètres!$A$1:$I$89,3,0)*0.475*44/12</f>
        <v>34.138554609472848</v>
      </c>
      <c r="AB98" s="21">
        <f>EXP(-LN(2)/2)*AB97+(1-EXP(-LN(2)/2))/(LN(2)/2)*V98*Y98*VLOOKUP('Données projet'!$B$9,Paramètres!$A$1:$I$89,3,0)*0.475*44/12</f>
        <v>0.39065795052719943</v>
      </c>
      <c r="AC98" s="22">
        <f t="shared" si="57"/>
        <v>148.40650537611057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>
        <f>VLOOKUP(A98,'Données projet'!$A$61:$I$81,2,0)</f>
        <v>252.57</v>
      </c>
      <c r="AG98" s="12">
        <f>VLOOKUP(A98,'Données projet'!$A$61:$I$81,9,0)</f>
        <v>6.7600000000000007</v>
      </c>
      <c r="AH98" s="12">
        <f t="array" ref="AH98">INDEX(AG:AG,MIN(IF(ISNUMBER(AG98:AG294),ROW(AG98:AG294),"")))</f>
        <v>6.7600000000000007</v>
      </c>
      <c r="AI98" s="13">
        <f>IF('Données projet'!$A$62&gt;35,AI97+AH98-AQ97,IF(A98&lt;'Données projet'!$A$62,$AF$205^A98,IF(A98='Données projet'!$A$62,'Données projet'!$B$62,AI97+AH98-AQ97)))</f>
        <v>252.56999999999988</v>
      </c>
      <c r="AJ98" s="13">
        <f>AI98*VLOOKUP('Données projet'!$B$10,Paramètres!$A$1:$I$89,3,0)*VLOOKUP('Données projet'!$B$10,Paramètres!$A$1:$I$89,5,0)</f>
        <v>256.10597999999987</v>
      </c>
      <c r="AK98" s="13">
        <f t="shared" si="89"/>
        <v>61.89160266777624</v>
      </c>
      <c r="AL98" s="20">
        <f t="shared" si="58"/>
        <v>553.84578981304333</v>
      </c>
      <c r="AM98" s="59">
        <f t="shared" si="59"/>
        <v>847.1791231463767</v>
      </c>
      <c r="AN98" s="59">
        <f ca="1">AVERAGE(OFFSET($AM$3,0,0,'Données projet'!$E$10+1,1))-AVERAGE(OFFSET($H$3,0,0,'Données projet'!$E$10+1,1))</f>
        <v>486.4870616281359</v>
      </c>
      <c r="AO98" s="59">
        <f t="shared" si="90"/>
        <v>247.29100537955225</v>
      </c>
      <c r="AP98" s="15">
        <f>IF(ISNA(VLOOKUP(A98,'Données projet'!$A$61:$I$81,3,0)),0,VLOOKUP(A98,'Données projet'!$A$61:$I$81,3,0))</f>
        <v>5</v>
      </c>
      <c r="AQ98" s="15">
        <f>IF(ISNA(VLOOKUP(A98,'Données projet'!$A$61:$I$81,4,0)),0,VLOOKUP(A98,'Données projet'!$A$61:$I$81,4,0))</f>
        <v>42.199999999999989</v>
      </c>
      <c r="AR98" s="16">
        <f>IF(ISNA(VLOOKUP(A98,'Données projet'!$A$61:$I$81,5,0)),0%,VLOOKUP(A98,'Données projet'!$A$61:$I$81,5,0)*VLOOKUP('Données projet'!$B$10,Paramètres!$A$1:$I$89,7,0))</f>
        <v>0.15049999999999999</v>
      </c>
      <c r="AS98" s="16">
        <f>IF(ISNA(VLOOKUP(A98,'Données projet'!$A$61:$I$81,6,0)),0%,VLOOKUP(A98,'Données projet'!$A$61:$I$81,6,0)*VLOOKUP('Données projet'!$B$10,Paramètres!$A$1:$I$89,7,0))</f>
        <v>8.6000000000000007E-2</v>
      </c>
      <c r="AT98" s="16">
        <f>IF(ISNA(VLOOKUP(A98,'Données projet'!$A$61:$I$81,7,0)),0%,VLOOKUP(A98,'Données projet'!$A$61:$I$81,7,0))</f>
        <v>0.1</v>
      </c>
      <c r="AU98" s="21">
        <f>EXP(-LN(2)/35)*AU97+(1-EXP(-LN(2)/35))/(LN(2)/35)*AQ98*AR98*VLOOKUP('Données projet'!$B$10,Paramètres!$A$1:$I$89,3,0)*0.475*44/12</f>
        <v>12.418419542324367</v>
      </c>
      <c r="AV98" s="21">
        <f>EXP(-LN(2)/25)*AV97+(1-EXP(-LN(2)/25))/(LN(2)/25)*Calculateur!AQ98*Calculateur!AS98*VLOOKUP('Données projet'!$B$10,Paramètres!$A$1:$I$89,3,0)*0.475*44/12</f>
        <v>33.269169739667007</v>
      </c>
      <c r="AW98" s="21">
        <f>EXP(-LN(2)/2)*AW97+(1-EXP(-LN(2)/2))/(LN(2)/2)*AQ98*AT98*VLOOKUP('Données projet'!$B$10,Paramètres!$A$1:$I$89,3,0)*0.475*44/12</f>
        <v>4.2099037727724866</v>
      </c>
      <c r="AX98" s="21">
        <f t="shared" si="60"/>
        <v>49.897493054763856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4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20.487168000000004</v>
      </c>
      <c r="D99" s="11">
        <f t="shared" si="86"/>
        <v>6.6432025949285558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50.262581312709756</v>
      </c>
      <c r="H99" s="67">
        <f t="shared" si="56"/>
        <v>303.91872878616726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-2.2737367544323206E-13</v>
      </c>
      <c r="O99" s="13">
        <f>N99*VLOOKUP('Données projet'!$B$9,Paramètres!$A$1:$I$89,3,0)*VLOOKUP('Données projet'!$B$9,Paramètres!$A$1:$I$89,5,0)</f>
        <v>-1.3596945791505279E-13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329.62068845923676</v>
      </c>
      <c r="T99" s="59">
        <f t="shared" si="88"/>
        <v>243.22501652129546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111.64422856227677</v>
      </c>
      <c r="AA99" s="21">
        <f>EXP(-LN(2)/25)*AA98+(1-EXP(-LN(2)/25))/(LN(2)/25)*Calculateur!V99*Calculateur!X99*VLOOKUP('Données projet'!$B$9,Paramètres!$A$1:$I$89,3,0)*0.475*44/12</f>
        <v>33.20503403840825</v>
      </c>
      <c r="AB99" s="21">
        <f>EXP(-LN(2)/2)*AB98+(1-EXP(-LN(2)/2))/(LN(2)/2)*V99*Y99*VLOOKUP('Données projet'!$B$9,Paramètres!$A$1:$I$89,3,0)*0.475*44/12</f>
        <v>0.27623688594222151</v>
      </c>
      <c r="AC99" s="22">
        <f t="shared" si="57"/>
        <v>145.12549948662723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6.7777777777777777</v>
      </c>
      <c r="AI99" s="13">
        <f>IF('Données projet'!$A$62&gt;35,AI98+AH99-AQ98,IF(A99&lt;'Données projet'!$A$62,$AF$205^A99,IF(A99='Données projet'!$A$62,'Données projet'!$B$62,AI98+AH99-AQ98)))</f>
        <v>217.14777777777766</v>
      </c>
      <c r="AJ99" s="13">
        <f>AI99*VLOOKUP('Données projet'!$B$10,Paramètres!$A$1:$I$89,3,0)*VLOOKUP('Données projet'!$B$10,Paramètres!$A$1:$I$89,5,0)</f>
        <v>220.18784666666656</v>
      </c>
      <c r="AK99" s="13">
        <f t="shared" si="89"/>
        <v>54.155711237243175</v>
      </c>
      <c r="AL99" s="20">
        <f t="shared" si="58"/>
        <v>477.81503001597611</v>
      </c>
      <c r="AM99" s="59">
        <f t="shared" si="59"/>
        <v>771.14836334930942</v>
      </c>
      <c r="AN99" s="59">
        <f ca="1">AVERAGE(OFFSET($AM$3,0,0,'Données projet'!$E$10+1,1))-AVERAGE(OFFSET($H$3,0,0,'Données projet'!$E$10+1,1))</f>
        <v>486.4870616281359</v>
      </c>
      <c r="AO99" s="59">
        <f t="shared" si="90"/>
        <v>247.29100537955225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12.174901909587389</v>
      </c>
      <c r="AV99" s="21">
        <f>EXP(-LN(2)/25)*AV98+(1-EXP(-LN(2)/25))/(LN(2)/25)*Calculateur!AQ99*Calculateur!AS99*VLOOKUP('Données projet'!$B$10,Paramètres!$A$1:$I$89,3,0)*0.475*44/12</f>
        <v>32.359422543586213</v>
      </c>
      <c r="AW99" s="21">
        <f>EXP(-LN(2)/2)*AW98+(1-EXP(-LN(2)/2))/(LN(2)/2)*AQ99*AT99*VLOOKUP('Données projet'!$B$10,Paramètres!$A$1:$I$89,3,0)*0.475*44/12</f>
        <v>2.9768515058702558</v>
      </c>
      <c r="AX99" s="21">
        <f t="shared" si="60"/>
        <v>47.511175959043861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4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20.700576000000005</v>
      </c>
      <c r="D100" s="11">
        <f t="shared" si="86"/>
        <v>6.7043108124771704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50.771158726273512</v>
      </c>
      <c r="H100" s="67">
        <f t="shared" si="56"/>
        <v>304.39684453173112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-2.2737367544323206E-13</v>
      </c>
      <c r="O100" s="13">
        <f>N100*VLOOKUP('Données projet'!$B$9,Paramètres!$A$1:$I$89,3,0)*VLOOKUP('Données projet'!$B$9,Paramètres!$A$1:$I$89,5,0)</f>
        <v>-1.3596945791505279E-13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329.62068845923676</v>
      </c>
      <c r="T100" s="59">
        <f t="shared" si="88"/>
        <v>243.22501652129546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109.454953336426</v>
      </c>
      <c r="AA100" s="21">
        <f>EXP(-LN(2)/25)*AA99+(1-EXP(-LN(2)/25))/(LN(2)/25)*Calculateur!V100*Calculateur!X100*VLOOKUP('Données projet'!$B$9,Paramètres!$A$1:$I$89,3,0)*0.475*44/12</f>
        <v>32.297040636451129</v>
      </c>
      <c r="AB100" s="21">
        <f>EXP(-LN(2)/2)*AB99+(1-EXP(-LN(2)/2))/(LN(2)/2)*V100*Y100*VLOOKUP('Données projet'!$B$9,Paramètres!$A$1:$I$89,3,0)*0.475*44/12</f>
        <v>0.19532897526359971</v>
      </c>
      <c r="AC100" s="22">
        <f t="shared" si="57"/>
        <v>141.94732294814074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6.7777777777777777</v>
      </c>
      <c r="AI100" s="13">
        <f>IF('Données projet'!$A$62&gt;35,AI99+AH100-AQ99,IF(A100&lt;'Données projet'!$A$62,$AF$205^A100,IF(A100='Données projet'!$A$62,'Données projet'!$B$62,AI99+AH100-AQ99)))</f>
        <v>223.92555555555543</v>
      </c>
      <c r="AJ100" s="13">
        <f>AI100*VLOOKUP('Données projet'!$B$10,Paramètres!$A$1:$I$89,3,0)*VLOOKUP('Données projet'!$B$10,Paramètres!$A$1:$I$89,5,0)</f>
        <v>227.06051333333323</v>
      </c>
      <c r="AK100" s="13">
        <f t="shared" si="89"/>
        <v>55.646620764750722</v>
      </c>
      <c r="AL100" s="20">
        <f t="shared" si="58"/>
        <v>492.38159188749614</v>
      </c>
      <c r="AM100" s="59">
        <f t="shared" si="59"/>
        <v>785.7149252208294</v>
      </c>
      <c r="AN100" s="59">
        <f ca="1">AVERAGE(OFFSET($AM$3,0,0,'Données projet'!$E$10+1,1))-AVERAGE(OFFSET($H$3,0,0,'Données projet'!$E$10+1,1))</f>
        <v>486.4870616281359</v>
      </c>
      <c r="AO100" s="59">
        <f t="shared" si="90"/>
        <v>247.29100537955225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11.936159509097292</v>
      </c>
      <c r="AV100" s="21">
        <f>EXP(-LN(2)/25)*AV99+(1-EXP(-LN(2)/25))/(LN(2)/25)*Calculateur!AQ100*Calculateur!AS100*VLOOKUP('Données projet'!$B$10,Paramètres!$A$1:$I$89,3,0)*0.475*44/12</f>
        <v>31.474552432423774</v>
      </c>
      <c r="AW100" s="21">
        <f>EXP(-LN(2)/2)*AW99+(1-EXP(-LN(2)/2))/(LN(2)/2)*AQ100*AT100*VLOOKUP('Données projet'!$B$10,Paramètres!$A$1:$I$89,3,0)*0.475*44/12</f>
        <v>2.1049518863862438</v>
      </c>
      <c r="AX100" s="21">
        <f t="shared" si="60"/>
        <v>45.515663827907311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4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20.913984000000006</v>
      </c>
      <c r="D101" s="11">
        <f t="shared" si="86"/>
        <v>6.7653457427721113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51.279600365556767</v>
      </c>
      <c r="H101" s="67">
        <f t="shared" si="56"/>
        <v>304.87483263532812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-2.2737367544323206E-13</v>
      </c>
      <c r="O101" s="13">
        <f>N101*VLOOKUP('Données projet'!$B$9,Paramètres!$A$1:$I$89,3,0)*VLOOKUP('Données projet'!$B$9,Paramètres!$A$1:$I$89,5,0)</f>
        <v>-1.3596945791505279E-13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329.62068845923676</v>
      </c>
      <c r="T101" s="59">
        <f t="shared" si="88"/>
        <v>243.22501652129546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107.30860846242813</v>
      </c>
      <c r="AA101" s="21">
        <f>EXP(-LN(2)/25)*AA100+(1-EXP(-LN(2)/25))/(LN(2)/25)*Calculateur!V101*Calculateur!X101*VLOOKUP('Données projet'!$B$9,Paramètres!$A$1:$I$89,3,0)*0.475*44/12</f>
        <v>31.41387636181982</v>
      </c>
      <c r="AB101" s="21">
        <f>EXP(-LN(2)/2)*AB100+(1-EXP(-LN(2)/2))/(LN(2)/2)*V101*Y101*VLOOKUP('Données projet'!$B$9,Paramètres!$A$1:$I$89,3,0)*0.475*44/12</f>
        <v>0.13811844297111076</v>
      </c>
      <c r="AC101" s="22">
        <f t="shared" si="57"/>
        <v>138.86060326721906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6.7777777777777777</v>
      </c>
      <c r="AI101" s="13">
        <f>IF('Données projet'!$A$62&gt;35,AI100+AH101-AQ100,IF(A101&lt;'Données projet'!$A$62,$AF$205^A101,IF(A101='Données projet'!$A$62,'Données projet'!$B$62,AI100+AH101-AQ100)))</f>
        <v>230.70333333333321</v>
      </c>
      <c r="AJ101" s="13">
        <f>AI101*VLOOKUP('Données projet'!$B$10,Paramètres!$A$1:$I$89,3,0)*VLOOKUP('Données projet'!$B$10,Paramètres!$A$1:$I$89,5,0)</f>
        <v>233.93317999999988</v>
      </c>
      <c r="AK101" s="13">
        <f t="shared" si="89"/>
        <v>57.132285924019129</v>
      </c>
      <c r="AL101" s="20">
        <f t="shared" si="58"/>
        <v>506.93901981766635</v>
      </c>
      <c r="AM101" s="59">
        <f t="shared" si="59"/>
        <v>800.27235315099961</v>
      </c>
      <c r="AN101" s="59">
        <f ca="1">AVERAGE(OFFSET($AM$3,0,0,'Données projet'!$E$10+1,1))-AVERAGE(OFFSET($H$3,0,0,'Données projet'!$E$10+1,1))</f>
        <v>486.4870616281359</v>
      </c>
      <c r="AO101" s="59">
        <f t="shared" si="90"/>
        <v>247.29100537955225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11.702098701462321</v>
      </c>
      <c r="AV101" s="21">
        <f>EXP(-LN(2)/25)*AV100+(1-EXP(-LN(2)/25))/(LN(2)/25)*Calculateur!AQ101*Calculateur!AS101*VLOOKUP('Données projet'!$B$10,Paramètres!$A$1:$I$89,3,0)*0.475*44/12</f>
        <v>30.61387914098437</v>
      </c>
      <c r="AW101" s="21">
        <f>EXP(-LN(2)/2)*AW100+(1-EXP(-LN(2)/2))/(LN(2)/2)*AQ101*AT101*VLOOKUP('Données projet'!$B$10,Paramètres!$A$1:$I$89,3,0)*0.475*44/12</f>
        <v>1.4884257529351281</v>
      </c>
      <c r="AX101" s="21">
        <f t="shared" si="60"/>
        <v>43.804403595381821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4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21.127392000000007</v>
      </c>
      <c r="D102" s="11">
        <f t="shared" si="86"/>
        <v>6.8263082202232743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51.787907776413654</v>
      </c>
      <c r="H102" s="67">
        <f t="shared" si="56"/>
        <v>305.35269455022222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-2.2737367544323206E-13</v>
      </c>
      <c r="O102" s="13">
        <f>N102*VLOOKUP('Données projet'!$B$9,Paramètres!$A$1:$I$89,3,0)*VLOOKUP('Données projet'!$B$9,Paramètres!$A$1:$I$89,5,0)</f>
        <v>-1.3596945791505279E-13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329.62068845923676</v>
      </c>
      <c r="T102" s="59">
        <f t="shared" si="88"/>
        <v>243.22501652129546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105.20435210226825</v>
      </c>
      <c r="AA102" s="21">
        <f>EXP(-LN(2)/25)*AA101+(1-EXP(-LN(2)/25))/(LN(2)/25)*Calculateur!V102*Calculateur!X102*VLOOKUP('Données projet'!$B$9,Paramètres!$A$1:$I$89,3,0)*0.475*44/12</f>
        <v>30.554862260721897</v>
      </c>
      <c r="AB102" s="21">
        <f>EXP(-LN(2)/2)*AB101+(1-EXP(-LN(2)/2))/(LN(2)/2)*V102*Y102*VLOOKUP('Données projet'!$B$9,Paramètres!$A$1:$I$89,3,0)*0.475*44/12</f>
        <v>9.7664487631799857E-2</v>
      </c>
      <c r="AC102" s="22">
        <f t="shared" si="57"/>
        <v>135.85687885062194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6.7777777777777777</v>
      </c>
      <c r="AI102" s="13">
        <f>IF('Données projet'!$A$62&gt;35,AI101+AH102-AQ101,IF(A102&lt;'Données projet'!$A$62,$AF$205^A102,IF(A102='Données projet'!$A$62,'Données projet'!$B$62,AI101+AH102-AQ101)))</f>
        <v>237.48111111111098</v>
      </c>
      <c r="AJ102" s="13">
        <f>AI102*VLOOKUP('Données projet'!$B$10,Paramètres!$A$1:$I$89,3,0)*VLOOKUP('Données projet'!$B$10,Paramètres!$A$1:$I$89,5,0)</f>
        <v>240.80584666666655</v>
      </c>
      <c r="AK102" s="13">
        <f t="shared" si="89"/>
        <v>58.612878478503731</v>
      </c>
      <c r="AL102" s="20">
        <f t="shared" si="58"/>
        <v>521.48761296117152</v>
      </c>
      <c r="AM102" s="59">
        <f t="shared" si="59"/>
        <v>814.82094629450489</v>
      </c>
      <c r="AN102" s="59">
        <f ca="1">AVERAGE(OFFSET($AM$3,0,0,'Données projet'!$E$10+1,1))-AVERAGE(OFFSET($H$3,0,0,'Données projet'!$E$10+1,1))</f>
        <v>486.4870616281359</v>
      </c>
      <c r="AO102" s="59">
        <f t="shared" si="90"/>
        <v>247.29100537955225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11.472627683502076</v>
      </c>
      <c r="AV102" s="21">
        <f>EXP(-LN(2)/25)*AV101+(1-EXP(-LN(2)/25))/(LN(2)/25)*Calculateur!AQ102*Calculateur!AS102*VLOOKUP('Données projet'!$B$10,Paramètres!$A$1:$I$89,3,0)*0.475*44/12</f>
        <v>29.776741005960218</v>
      </c>
      <c r="AW102" s="21">
        <f>EXP(-LN(2)/2)*AW101+(1-EXP(-LN(2)/2))/(LN(2)/2)*AQ102*AT102*VLOOKUP('Données projet'!$B$10,Paramètres!$A$1:$I$89,3,0)*0.475*44/12</f>
        <v>1.0524759431931219</v>
      </c>
      <c r="AX102" s="21">
        <f t="shared" si="60"/>
        <v>42.301844632655417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4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21.340800000000009</v>
      </c>
      <c r="D103" s="11">
        <f t="shared" si="86"/>
        <v>6.8871990614123231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52.296082471669159</v>
      </c>
      <c r="H103" s="67">
        <f t="shared" si="56"/>
        <v>305.83043169862651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-2.2737367544323206E-13</v>
      </c>
      <c r="O103" s="13">
        <f>N103*VLOOKUP('Données projet'!$B$9,Paramètres!$A$1:$I$89,3,0)*VLOOKUP('Données projet'!$B$9,Paramètres!$A$1:$I$89,5,0)</f>
        <v>-1.3596945791505279E-13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329.62068845923676</v>
      </c>
      <c r="T103" s="59">
        <f t="shared" si="88"/>
        <v>243.22501652129546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103.14135892586145</v>
      </c>
      <c r="AA103" s="21">
        <f>EXP(-LN(2)/25)*AA102+(1-EXP(-LN(2)/25))/(LN(2)/25)*Calculateur!V103*Calculateur!X103*VLOOKUP('Données projet'!$B$9,Paramètres!$A$1:$I$89,3,0)*0.475*44/12</f>
        <v>29.719337945392084</v>
      </c>
      <c r="AB103" s="21">
        <f>EXP(-LN(2)/2)*AB102+(1-EXP(-LN(2)/2))/(LN(2)/2)*V103*Y103*VLOOKUP('Données projet'!$B$9,Paramètres!$A$1:$I$89,3,0)*0.475*44/12</f>
        <v>6.9059221485555378E-2</v>
      </c>
      <c r="AC103" s="22">
        <f t="shared" si="57"/>
        <v>132.9297560927391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6.7777777777777777</v>
      </c>
      <c r="AI103" s="13">
        <f>IF('Données projet'!$A$62&gt;35,AI102+AH103-AQ102,IF(A103&lt;'Données projet'!$A$62,$AF$205^A103,IF(A103='Données projet'!$A$62,'Données projet'!$B$62,AI102+AH103-AQ102)))</f>
        <v>244.25888888888875</v>
      </c>
      <c r="AJ103" s="13">
        <f>AI103*VLOOKUP('Données projet'!$B$10,Paramètres!$A$1:$I$89,3,0)*VLOOKUP('Données projet'!$B$10,Paramètres!$A$1:$I$89,5,0)</f>
        <v>247.6785133333332</v>
      </c>
      <c r="AK103" s="13">
        <f t="shared" si="89"/>
        <v>60.088559829649782</v>
      </c>
      <c r="AL103" s="20">
        <f t="shared" si="58"/>
        <v>536.02765242552857</v>
      </c>
      <c r="AM103" s="59">
        <f t="shared" si="59"/>
        <v>829.36098575886194</v>
      </c>
      <c r="AN103" s="59">
        <f ca="1">AVERAGE(OFFSET($AM$3,0,0,'Données projet'!$E$10+1,1))-AVERAGE(OFFSET($H$3,0,0,'Données projet'!$E$10+1,1))</f>
        <v>486.4870616281359</v>
      </c>
      <c r="AO103" s="59">
        <f t="shared" si="90"/>
        <v>247.29100537955225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11.24765645224053</v>
      </c>
      <c r="AV103" s="21">
        <f>EXP(-LN(2)/25)*AV102+(1-EXP(-LN(2)/25))/(LN(2)/25)*Calculateur!AQ103*Calculateur!AS103*VLOOKUP('Données projet'!$B$10,Paramètres!$A$1:$I$89,3,0)*0.475*44/12</f>
        <v>28.962494457261482</v>
      </c>
      <c r="AW103" s="21">
        <f>EXP(-LN(2)/2)*AW102+(1-EXP(-LN(2)/2))/(LN(2)/2)*AQ103*AT103*VLOOKUP('Données projet'!$B$10,Paramètres!$A$1:$I$89,3,0)*0.475*44/12</f>
        <v>0.74421287646756407</v>
      </c>
      <c r="AX103" s="21">
        <f t="shared" si="60"/>
        <v>40.954363785969576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4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21.55420800000001</v>
      </c>
      <c r="D104" s="11">
        <f t="shared" si="86"/>
        <v>6.9480190656479746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52.804125932147848</v>
      </c>
      <c r="H104" s="67">
        <f t="shared" si="56"/>
        <v>306.30804547267024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-2.2737367544323206E-13</v>
      </c>
      <c r="O104" s="13">
        <f>N104*VLOOKUP('Données projet'!$B$9,Paramètres!$A$1:$I$89,3,0)*VLOOKUP('Données projet'!$B$9,Paramètres!$A$1:$I$89,5,0)</f>
        <v>-1.3596945791505279E-13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329.62068845923676</v>
      </c>
      <c r="T104" s="59">
        <f t="shared" si="88"/>
        <v>243.22501652129546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101.1188197873424</v>
      </c>
      <c r="AA104" s="21">
        <f>EXP(-LN(2)/25)*AA103+(1-EXP(-LN(2)/25))/(LN(2)/25)*Calculateur!V104*Calculateur!X104*VLOOKUP('Données projet'!$B$9,Paramètres!$A$1:$I$89,3,0)*0.475*44/12</f>
        <v>28.906661086403279</v>
      </c>
      <c r="AB104" s="21">
        <f>EXP(-LN(2)/2)*AB103+(1-EXP(-LN(2)/2))/(LN(2)/2)*V104*Y104*VLOOKUP('Données projet'!$B$9,Paramètres!$A$1:$I$89,3,0)*0.475*44/12</f>
        <v>4.8832243815899928E-2</v>
      </c>
      <c r="AC104" s="22">
        <f t="shared" si="57"/>
        <v>130.07431311756159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6.7777777777777777</v>
      </c>
      <c r="AI104" s="13">
        <f>IF('Données projet'!$A$62&gt;35,AI103+AH104-AQ103,IF(A104&lt;'Données projet'!$A$62,$AF$205^A104,IF(A104='Données projet'!$A$62,'Données projet'!$B$62,AI103+AH104-AQ103)))</f>
        <v>251.03666666666652</v>
      </c>
      <c r="AJ104" s="13">
        <f>AI104*VLOOKUP('Données projet'!$B$10,Paramètres!$A$1:$I$89,3,0)*VLOOKUP('Données projet'!$B$10,Paramètres!$A$1:$I$89,5,0)</f>
        <v>254.55117999999987</v>
      </c>
      <c r="AK104" s="13">
        <f t="shared" si="89"/>
        <v>61.55948191196579</v>
      </c>
      <c r="AL104" s="20">
        <f t="shared" si="58"/>
        <v>550.55940283000689</v>
      </c>
      <c r="AM104" s="59">
        <f t="shared" si="59"/>
        <v>843.89273616334026</v>
      </c>
      <c r="AN104" s="59">
        <f ca="1">AVERAGE(OFFSET($AM$3,0,0,'Données projet'!$E$10+1,1))-AVERAGE(OFFSET($H$3,0,0,'Données projet'!$E$10+1,1))</f>
        <v>486.4870616281359</v>
      </c>
      <c r="AO104" s="59">
        <f t="shared" si="90"/>
        <v>247.29100537955225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11.027096769605121</v>
      </c>
      <c r="AV104" s="21">
        <f>EXP(-LN(2)/25)*AV103+(1-EXP(-LN(2)/25))/(LN(2)/25)*Calculateur!AQ104*Calculateur!AS104*VLOOKUP('Données projet'!$B$10,Paramètres!$A$1:$I$89,3,0)*0.475*44/12</f>
        <v>28.170513523256279</v>
      </c>
      <c r="AW104" s="21">
        <f>EXP(-LN(2)/2)*AW103+(1-EXP(-LN(2)/2))/(LN(2)/2)*AQ104*AT104*VLOOKUP('Données projet'!$B$10,Paramètres!$A$1:$I$89,3,0)*0.475*44/12</f>
        <v>0.52623797159656094</v>
      </c>
      <c r="AX104" s="21">
        <f t="shared" si="60"/>
        <v>39.723848264457956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4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21.767616000000011</v>
      </c>
      <c r="D105" s="11">
        <f t="shared" si="86"/>
        <v>7.0087690154987046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53.312039607660779</v>
      </c>
      <c r="H105" s="67">
        <f t="shared" si="56"/>
        <v>306.78553723532696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-2.2737367544323206E-13</v>
      </c>
      <c r="O105" s="13">
        <f>N105*VLOOKUP('Données projet'!$B$9,Paramètres!$A$1:$I$89,3,0)*VLOOKUP('Données projet'!$B$9,Paramètres!$A$1:$I$89,5,0)</f>
        <v>-1.3596945791505279E-13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329.62068845923676</v>
      </c>
      <c r="T105" s="59">
        <f t="shared" si="88"/>
        <v>243.22501652129546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99.135941407702646</v>
      </c>
      <c r="AA105" s="21">
        <f>EXP(-LN(2)/25)*AA104+(1-EXP(-LN(2)/25))/(LN(2)/25)*Calculateur!V105*Calculateur!X105*VLOOKUP('Données projet'!$B$9,Paramètres!$A$1:$I$89,3,0)*0.475*44/12</f>
        <v>28.116206918860343</v>
      </c>
      <c r="AB105" s="21">
        <f>EXP(-LN(2)/2)*AB104+(1-EXP(-LN(2)/2))/(LN(2)/2)*V105*Y105*VLOOKUP('Données projet'!$B$9,Paramètres!$A$1:$I$89,3,0)*0.475*44/12</f>
        <v>3.4529610742777689E-2</v>
      </c>
      <c r="AC105" s="22">
        <f t="shared" si="57"/>
        <v>127.28667793730577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6.7777777777777777</v>
      </c>
      <c r="AI105" s="13">
        <f>IF('Données projet'!$A$62&gt;35,AI104+AH105-AQ104,IF(A105&lt;'Données projet'!$A$62,$AF$205^A105,IF(A105='Données projet'!$A$62,'Données projet'!$B$62,AI104+AH105-AQ104)))</f>
        <v>257.81444444444429</v>
      </c>
      <c r="AJ105" s="13">
        <f>AI105*VLOOKUP('Données projet'!$B$10,Paramètres!$A$1:$I$89,3,0)*VLOOKUP('Données projet'!$B$10,Paramètres!$A$1:$I$89,5,0)</f>
        <v>261.42384666666652</v>
      </c>
      <c r="AK105" s="13">
        <f t="shared" si="89"/>
        <v>63.025787988714278</v>
      </c>
      <c r="AL105" s="20">
        <f t="shared" si="58"/>
        <v>565.08311369145497</v>
      </c>
      <c r="AM105" s="59">
        <f t="shared" si="59"/>
        <v>858.41644702478834</v>
      </c>
      <c r="AN105" s="59">
        <f ca="1">AVERAGE(OFFSET($AM$3,0,0,'Données projet'!$E$10+1,1))-AVERAGE(OFFSET($H$3,0,0,'Données projet'!$E$10+1,1))</f>
        <v>486.4870616281359</v>
      </c>
      <c r="AO105" s="59">
        <f t="shared" si="90"/>
        <v>247.29100537955225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10.810862127818071</v>
      </c>
      <c r="AV105" s="21">
        <f>EXP(-LN(2)/25)*AV104+(1-EXP(-LN(2)/25))/(LN(2)/25)*Calculateur!AQ105*Calculateur!AS105*VLOOKUP('Données projet'!$B$10,Paramètres!$A$1:$I$89,3,0)*0.475*44/12</f>
        <v>27.400189349539914</v>
      </c>
      <c r="AW105" s="21">
        <f>EXP(-LN(2)/2)*AW104+(1-EXP(-LN(2)/2))/(LN(2)/2)*AQ105*AT105*VLOOKUP('Données projet'!$B$10,Paramètres!$A$1:$I$89,3,0)*0.475*44/12</f>
        <v>0.37210643823378203</v>
      </c>
      <c r="AX105" s="21">
        <f t="shared" si="60"/>
        <v>38.583157915591762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4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21.981024000000012</v>
      </c>
      <c r="D106" s="11">
        <f t="shared" si="86"/>
        <v>7.0694496773039548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53.819824917952609</v>
      </c>
      <c r="H106" s="67">
        <f t="shared" si="56"/>
        <v>307.26290832130439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-2.2737367544323206E-13</v>
      </c>
      <c r="O106" s="13">
        <f>N106*VLOOKUP('Données projet'!$B$9,Paramètres!$A$1:$I$89,3,0)*VLOOKUP('Données projet'!$B$9,Paramètres!$A$1:$I$89,5,0)</f>
        <v>-1.3596945791505279E-13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329.62068845923676</v>
      </c>
      <c r="T106" s="59">
        <f t="shared" si="88"/>
        <v>243.22501652129546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97.191946063651244</v>
      </c>
      <c r="AA106" s="21">
        <f>EXP(-LN(2)/25)*AA105+(1-EXP(-LN(2)/25))/(LN(2)/25)*Calculateur!V106*Calculateur!X106*VLOOKUP('Données projet'!$B$9,Paramètres!$A$1:$I$89,3,0)*0.475*44/12</f>
        <v>27.347367762097043</v>
      </c>
      <c r="AB106" s="21">
        <f>EXP(-LN(2)/2)*AB105+(1-EXP(-LN(2)/2))/(LN(2)/2)*V106*Y106*VLOOKUP('Données projet'!$B$9,Paramètres!$A$1:$I$89,3,0)*0.475*44/12</f>
        <v>2.4416121907949964E-2</v>
      </c>
      <c r="AC106" s="22">
        <f t="shared" si="57"/>
        <v>124.56372994765623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6.7777777777777777</v>
      </c>
      <c r="AI106" s="13">
        <f>IF('Données projet'!$A$62&gt;35,AI105+AH106-AQ105,IF(A106&lt;'Données projet'!$A$62,$AF$205^A106,IF(A106='Données projet'!$A$62,'Données projet'!$B$62,AI105+AH106-AQ105)))</f>
        <v>264.59222222222206</v>
      </c>
      <c r="AJ106" s="13">
        <f>AI106*VLOOKUP('Données projet'!$B$10,Paramètres!$A$1:$I$89,3,0)*VLOOKUP('Données projet'!$B$10,Paramètres!$A$1:$I$89,5,0)</f>
        <v>268.29651333333322</v>
      </c>
      <c r="AK106" s="13">
        <f t="shared" si="89"/>
        <v>64.487613361575328</v>
      </c>
      <c r="AL106" s="20">
        <f t="shared" si="58"/>
        <v>579.59902066029906</v>
      </c>
      <c r="AM106" s="59">
        <f t="shared" si="59"/>
        <v>872.93235399363243</v>
      </c>
      <c r="AN106" s="59">
        <f ca="1">AVERAGE(OFFSET($AM$3,0,0,'Données projet'!$E$10+1,1))-AVERAGE(OFFSET($H$3,0,0,'Données projet'!$E$10+1,1))</f>
        <v>486.4870616281359</v>
      </c>
      <c r="AO106" s="59">
        <f t="shared" si="90"/>
        <v>247.29100537955225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10.598867715466355</v>
      </c>
      <c r="AV106" s="21">
        <f>EXP(-LN(2)/25)*AV105+(1-EXP(-LN(2)/25))/(LN(2)/25)*Calculateur!AQ106*Calculateur!AS106*VLOOKUP('Données projet'!$B$10,Paramètres!$A$1:$I$89,3,0)*0.475*44/12</f>
        <v>26.65092973086341</v>
      </c>
      <c r="AW106" s="21">
        <f>EXP(-LN(2)/2)*AW105+(1-EXP(-LN(2)/2))/(LN(2)/2)*AQ106*AT106*VLOOKUP('Données projet'!$B$10,Paramètres!$A$1:$I$89,3,0)*0.475*44/12</f>
        <v>0.26311898579828047</v>
      </c>
      <c r="AX106" s="21">
        <f t="shared" si="60"/>
        <v>37.512916432128044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4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22.194432000000013</v>
      </c>
      <c r="D107" s="11">
        <f t="shared" si="86"/>
        <v>7.1300618016649064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54.327483253610801</v>
      </c>
      <c r="H107" s="67">
        <f t="shared" si="56"/>
        <v>307.74016003789973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-2.2737367544323206E-13</v>
      </c>
      <c r="O107" s="13">
        <f>N107*VLOOKUP('Données projet'!$B$9,Paramètres!$A$1:$I$89,3,0)*VLOOKUP('Données projet'!$B$9,Paramètres!$A$1:$I$89,5,0)</f>
        <v>-1.3596945791505279E-13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329.62068845923676</v>
      </c>
      <c r="T107" s="59">
        <f t="shared" si="88"/>
        <v>243.22501652129546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95.2860712825766</v>
      </c>
      <c r="AA107" s="21">
        <f>EXP(-LN(2)/25)*AA106+(1-EXP(-LN(2)/25))/(LN(2)/25)*Calculateur!V107*Calculateur!X107*VLOOKUP('Données projet'!$B$9,Paramètres!$A$1:$I$89,3,0)*0.475*44/12</f>
        <v>26.599552552506932</v>
      </c>
      <c r="AB107" s="21">
        <f>EXP(-LN(2)/2)*AB106+(1-EXP(-LN(2)/2))/(LN(2)/2)*V107*Y107*VLOOKUP('Données projet'!$B$9,Paramètres!$A$1:$I$89,3,0)*0.475*44/12</f>
        <v>1.7264805371388844E-2</v>
      </c>
      <c r="AC107" s="22">
        <f t="shared" si="57"/>
        <v>121.90288864045492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>
        <f>VLOOKUP(A107,'Données projet'!$A$61:$I$81,2,0)</f>
        <v>271.37</v>
      </c>
      <c r="AG107" s="12">
        <f>VLOOKUP(A107,'Données projet'!$A$61:$I$81,9,0)</f>
        <v>6.7777777777777777</v>
      </c>
      <c r="AH107" s="12">
        <f t="array" ref="AH107">INDEX(AG:AG,MIN(IF(ISNUMBER(AG107:AG303),ROW(AG107:AG303),"")))</f>
        <v>6.7777777777777777</v>
      </c>
      <c r="AI107" s="13">
        <f>IF('Données projet'!$A$62&gt;35,AI106+AH107-AQ106,IF(A107&lt;'Données projet'!$A$62,$AF$205^A107,IF(A107='Données projet'!$A$62,'Données projet'!$B$62,AI106+AH107-AQ106)))</f>
        <v>271.36999999999983</v>
      </c>
      <c r="AJ107" s="13">
        <f>AI107*VLOOKUP('Données projet'!$B$10,Paramètres!$A$1:$I$89,3,0)*VLOOKUP('Données projet'!$B$10,Paramètres!$A$1:$I$89,5,0)</f>
        <v>275.16917999999981</v>
      </c>
      <c r="AK107" s="13">
        <f t="shared" si="89"/>
        <v>65.945086005549797</v>
      </c>
      <c r="AL107" s="20">
        <f t="shared" si="58"/>
        <v>594.10734662633229</v>
      </c>
      <c r="AM107" s="59">
        <f t="shared" si="59"/>
        <v>887.44067995966566</v>
      </c>
      <c r="AN107" s="59">
        <f ca="1">AVERAGE(OFFSET($AM$3,0,0,'Données projet'!$E$10+1,1))-AVERAGE(OFFSET($H$3,0,0,'Données projet'!$E$10+1,1))</f>
        <v>486.4870616281359</v>
      </c>
      <c r="AO107" s="59">
        <f t="shared" si="90"/>
        <v>247.29100537955225</v>
      </c>
      <c r="AP107" s="15">
        <f>IF(ISNA(VLOOKUP(A107,'Données projet'!$A$61:$I$81,3,0)),0,VLOOKUP(A107,'Données projet'!$A$61:$I$81,3,0))</f>
        <v>6</v>
      </c>
      <c r="AQ107" s="15">
        <f>IF(ISNA(VLOOKUP(A107,'Données projet'!$A$61:$I$81,4,0)),0,VLOOKUP(A107,'Données projet'!$A$61:$I$81,4,0))</f>
        <v>39.400000000000006</v>
      </c>
      <c r="AR107" s="16">
        <f>IF(ISNA(VLOOKUP(A107,'Données projet'!$A$61:$I$81,5,0)),0%,VLOOKUP(A107,'Données projet'!$A$61:$I$81,5,0)*VLOOKUP('Données projet'!$B$10,Paramètres!$A$1:$I$89,7,0))</f>
        <v>0.15049999999999999</v>
      </c>
      <c r="AS107" s="16">
        <f>IF(ISNA(VLOOKUP(A107,'Données projet'!$A$61:$I$81,6,0)),0%,VLOOKUP(A107,'Données projet'!$A$61:$I$81,6,0)*VLOOKUP('Données projet'!$B$10,Paramètres!$A$1:$I$89,7,0))</f>
        <v>8.6000000000000007E-2</v>
      </c>
      <c r="AT107" s="16">
        <f>IF(ISNA(VLOOKUP(A107,'Données projet'!$A$61:$I$81,7,0)),0%,VLOOKUP(A107,'Données projet'!$A$61:$I$81,7,0))</f>
        <v>0.1</v>
      </c>
      <c r="AU107" s="21">
        <f>EXP(-LN(2)/35)*AU106+(1-EXP(-LN(2)/35))/(LN(2)/35)*AQ107*AR107*VLOOKUP('Données projet'!$B$10,Paramètres!$A$1:$I$89,3,0)*0.475*44/12</f>
        <v>17.037909601686799</v>
      </c>
      <c r="AV107" s="21">
        <f>EXP(-LN(2)/25)*AV106+(1-EXP(-LN(2)/25))/(LN(2)/25)*Calculateur!AQ107*Calculateur!AS107*VLOOKUP('Données projet'!$B$10,Paramètres!$A$1:$I$89,3,0)*0.475*44/12</f>
        <v>29.705420325182111</v>
      </c>
      <c r="AW107" s="21">
        <f>EXP(-LN(2)/2)*AW106+(1-EXP(-LN(2)/2))/(LN(2)/2)*AQ107*AT107*VLOOKUP('Données projet'!$B$10,Paramètres!$A$1:$I$89,3,0)*0.475*44/12</f>
        <v>3.9555942072717549</v>
      </c>
      <c r="AX107" s="21">
        <f t="shared" si="60"/>
        <v>50.698924134140668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4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22.407840000000014</v>
      </c>
      <c r="D108" s="11">
        <f t="shared" si="86"/>
        <v>7.1906061239158525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54.83501597693887</v>
      </c>
      <c r="H108" s="67">
        <f t="shared" si="56"/>
        <v>308.21729366582014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-2.2737367544323206E-13</v>
      </c>
      <c r="O108" s="13">
        <f>N108*VLOOKUP('Données projet'!$B$9,Paramètres!$A$1:$I$89,3,0)*VLOOKUP('Données projet'!$B$9,Paramètres!$A$1:$I$89,5,0)</f>
        <v>-1.3596945791505279E-13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329.62068845923676</v>
      </c>
      <c r="T108" s="59">
        <f t="shared" si="88"/>
        <v>243.22501652129546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93.417569543490004</v>
      </c>
      <c r="AA108" s="21">
        <f>EXP(-LN(2)/25)*AA107+(1-EXP(-LN(2)/25))/(LN(2)/25)*Calculateur!V108*Calculateur!X108*VLOOKUP('Données projet'!$B$9,Paramètres!$A$1:$I$89,3,0)*0.475*44/12</f>
        <v>25.872186389148954</v>
      </c>
      <c r="AB108" s="21">
        <f>EXP(-LN(2)/2)*AB107+(1-EXP(-LN(2)/2))/(LN(2)/2)*V108*Y108*VLOOKUP('Données projet'!$B$9,Paramètres!$A$1:$I$89,3,0)*0.475*44/12</f>
        <v>1.2208060953974982E-2</v>
      </c>
      <c r="AC108" s="22">
        <f t="shared" si="57"/>
        <v>119.30196399359293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6.8811111111111085</v>
      </c>
      <c r="AI108" s="13">
        <f>IF('Données projet'!$A$62&gt;35,AI107+AH108-AQ107,IF(A108&lt;'Données projet'!$A$62,$AF$205^A108,IF(A108='Données projet'!$A$62,'Données projet'!$B$62,AI107+AH108-AQ107)))</f>
        <v>238.85111111111095</v>
      </c>
      <c r="AJ108" s="13">
        <f>AI108*VLOOKUP('Données projet'!$B$10,Paramètres!$A$1:$I$89,3,0)*VLOOKUP('Données projet'!$B$10,Paramètres!$A$1:$I$89,5,0)</f>
        <v>242.19502666666651</v>
      </c>
      <c r="AK108" s="13">
        <f t="shared" si="89"/>
        <v>58.911550627030486</v>
      </c>
      <c r="AL108" s="20">
        <f t="shared" si="58"/>
        <v>524.42728878652235</v>
      </c>
      <c r="AM108" s="59">
        <f t="shared" si="59"/>
        <v>817.76062211985573</v>
      </c>
      <c r="AN108" s="59">
        <f ca="1">AVERAGE(OFFSET($AM$3,0,0,'Données projet'!$E$10+1,1))-AVERAGE(OFFSET($H$3,0,0,'Données projet'!$E$10+1,1))</f>
        <v>486.4870616281359</v>
      </c>
      <c r="AO108" s="59">
        <f t="shared" si="90"/>
        <v>247.29100537955225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16.703806586496444</v>
      </c>
      <c r="AV108" s="21">
        <f>EXP(-LN(2)/25)*AV107+(1-EXP(-LN(2)/25))/(LN(2)/25)*Calculateur!AQ108*Calculateur!AS108*VLOOKUP('Données projet'!$B$10,Paramètres!$A$1:$I$89,3,0)*0.475*44/12</f>
        <v>28.893124044249845</v>
      </c>
      <c r="AW108" s="21">
        <f>EXP(-LN(2)/2)*AW107+(1-EXP(-LN(2)/2))/(LN(2)/2)*AQ108*AT108*VLOOKUP('Données projet'!$B$10,Paramètres!$A$1:$I$89,3,0)*0.475*44/12</f>
        <v>2.7970274875840837</v>
      </c>
      <c r="AX108" s="21">
        <f t="shared" si="60"/>
        <v>48.393958118330367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4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22.621248000000016</v>
      </c>
      <c r="D109" s="11">
        <f t="shared" si="86"/>
        <v>7.2510833645770996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55.342424422795496</v>
      </c>
      <c r="H109" s="67">
        <f t="shared" si="56"/>
        <v>308.6943104599718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-2.2737367544323206E-13</v>
      </c>
      <c r="O109" s="13">
        <f>N109*VLOOKUP('Données projet'!$B$9,Paramètres!$A$1:$I$89,3,0)*VLOOKUP('Données projet'!$B$9,Paramètres!$A$1:$I$89,5,0)</f>
        <v>-1.3596945791505279E-13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329.62068845923676</v>
      </c>
      <c r="T109" s="59">
        <f t="shared" si="88"/>
        <v>243.22501652129546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91.585707983833373</v>
      </c>
      <c r="AA109" s="21">
        <f>EXP(-LN(2)/25)*AA108+(1-EXP(-LN(2)/25))/(LN(2)/25)*Calculateur!V109*Calculateur!X109*VLOOKUP('Données projet'!$B$9,Paramètres!$A$1:$I$89,3,0)*0.475*44/12</f>
        <v>25.164710091778524</v>
      </c>
      <c r="AB109" s="21">
        <f>EXP(-LN(2)/2)*AB108+(1-EXP(-LN(2)/2))/(LN(2)/2)*V109*Y109*VLOOKUP('Données projet'!$B$9,Paramètres!$A$1:$I$89,3,0)*0.475*44/12</f>
        <v>8.6324026856944222E-3</v>
      </c>
      <c r="AC109" s="22">
        <f t="shared" si="57"/>
        <v>116.75905047829758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6.8811111111111085</v>
      </c>
      <c r="AI109" s="13">
        <f>IF('Données projet'!$A$62&gt;35,AI108+AH109-AQ108,IF(A109&lt;'Données projet'!$A$62,$AF$205^A109,IF(A109='Données projet'!$A$62,'Données projet'!$B$62,AI108+AH109-AQ108)))</f>
        <v>245.73222222222205</v>
      </c>
      <c r="AJ109" s="13">
        <f>AI109*VLOOKUP('Données projet'!$B$10,Paramètres!$A$1:$I$89,3,0)*VLOOKUP('Données projet'!$B$10,Paramètres!$A$1:$I$89,5,0)</f>
        <v>249.17247333333319</v>
      </c>
      <c r="AK109" s="13">
        <f t="shared" si="89"/>
        <v>60.408704291647716</v>
      </c>
      <c r="AL109" s="20">
        <f t="shared" si="58"/>
        <v>539.18721769684169</v>
      </c>
      <c r="AM109" s="59">
        <f t="shared" si="59"/>
        <v>832.52055103017506</v>
      </c>
      <c r="AN109" s="59">
        <f ca="1">AVERAGE(OFFSET($AM$3,0,0,'Données projet'!$E$10+1,1))-AVERAGE(OFFSET($H$3,0,0,'Données projet'!$E$10+1,1))</f>
        <v>486.4870616281359</v>
      </c>
      <c r="AO109" s="59">
        <f t="shared" si="90"/>
        <v>247.29100537955225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16.376255127651255</v>
      </c>
      <c r="AV109" s="21">
        <f>EXP(-LN(2)/25)*AV108+(1-EXP(-LN(2)/25))/(LN(2)/25)*Calculateur!AQ109*Calculateur!AS109*VLOOKUP('Données projet'!$B$10,Paramètres!$A$1:$I$89,3,0)*0.475*44/12</f>
        <v>28.103040047836476</v>
      </c>
      <c r="AW109" s="21">
        <f>EXP(-LN(2)/2)*AW108+(1-EXP(-LN(2)/2))/(LN(2)/2)*AQ109*AT109*VLOOKUP('Données projet'!$B$10,Paramètres!$A$1:$I$89,3,0)*0.475*44/12</f>
        <v>1.9777971036358777</v>
      </c>
      <c r="AX109" s="21">
        <f t="shared" si="60"/>
        <v>46.457092279123614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4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22.834656000000017</v>
      </c>
      <c r="D110" s="11">
        <f t="shared" si="86"/>
        <v>7.3114942297902834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55.849709899400978</v>
      </c>
      <c r="H110" s="67">
        <f t="shared" si="56"/>
        <v>309.17121165021814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-2.2737367544323206E-13</v>
      </c>
      <c r="O110" s="13">
        <f>N110*VLOOKUP('Données projet'!$B$9,Paramètres!$A$1:$I$89,3,0)*VLOOKUP('Données projet'!$B$9,Paramètres!$A$1:$I$89,5,0)</f>
        <v>-1.3596945791505279E-13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329.62068845923676</v>
      </c>
      <c r="T110" s="59">
        <f t="shared" si="88"/>
        <v>243.22501652129546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89.789768112036384</v>
      </c>
      <c r="AA110" s="21">
        <f>EXP(-LN(2)/25)*AA109+(1-EXP(-LN(2)/25))/(LN(2)/25)*Calculateur!V110*Calculateur!X110*VLOOKUP('Données projet'!$B$9,Paramètres!$A$1:$I$89,3,0)*0.475*44/12</f>
        <v>24.47657977096425</v>
      </c>
      <c r="AB110" s="21">
        <f>EXP(-LN(2)/2)*AB109+(1-EXP(-LN(2)/2))/(LN(2)/2)*V110*Y110*VLOOKUP('Données projet'!$B$9,Paramètres!$A$1:$I$89,3,0)*0.475*44/12</f>
        <v>6.104030476987491E-3</v>
      </c>
      <c r="AC110" s="22">
        <f t="shared" si="57"/>
        <v>114.27245191347762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6.8811111111111085</v>
      </c>
      <c r="AI110" s="13">
        <f>IF('Données projet'!$A$62&gt;35,AI109+AH110-AQ109,IF(A110&lt;'Données projet'!$A$62,$AF$205^A110,IF(A110='Données projet'!$A$62,'Données projet'!$B$62,AI109+AH110-AQ109)))</f>
        <v>252.61333333333314</v>
      </c>
      <c r="AJ110" s="13">
        <f>AI110*VLOOKUP('Données projet'!$B$10,Paramètres!$A$1:$I$89,3,0)*VLOOKUP('Données projet'!$B$10,Paramètres!$A$1:$I$89,5,0)</f>
        <v>256.14991999999984</v>
      </c>
      <c r="AK110" s="13">
        <f t="shared" si="89"/>
        <v>61.900985272770555</v>
      </c>
      <c r="AL110" s="20">
        <f t="shared" si="58"/>
        <v>553.93866001674166</v>
      </c>
      <c r="AM110" s="59">
        <f t="shared" si="59"/>
        <v>847.27199335007504</v>
      </c>
      <c r="AN110" s="59">
        <f ca="1">AVERAGE(OFFSET($AM$3,0,0,'Données projet'!$E$10+1,1))-AVERAGE(OFFSET($H$3,0,0,'Données projet'!$E$10+1,1))</f>
        <v>486.4870616281359</v>
      </c>
      <c r="AO110" s="59">
        <f t="shared" si="90"/>
        <v>247.29100537955225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16.055126753127357</v>
      </c>
      <c r="AV110" s="21">
        <f>EXP(-LN(2)/25)*AV109+(1-EXP(-LN(2)/25))/(LN(2)/25)*Calculateur!AQ110*Calculateur!AS110*VLOOKUP('Données projet'!$B$10,Paramètres!$A$1:$I$89,3,0)*0.475*44/12</f>
        <v>27.334560939853741</v>
      </c>
      <c r="AW110" s="21">
        <f>EXP(-LN(2)/2)*AW109+(1-EXP(-LN(2)/2))/(LN(2)/2)*AQ110*AT110*VLOOKUP('Données projet'!$B$10,Paramètres!$A$1:$I$89,3,0)*0.475*44/12</f>
        <v>1.3985137437920421</v>
      </c>
      <c r="AX110" s="21">
        <f t="shared" si="60"/>
        <v>44.788201436773143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4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23.048064000000018</v>
      </c>
      <c r="D111" s="11">
        <f t="shared" si="86"/>
        <v>7.3718394117369366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56.356873689112668</v>
      </c>
      <c r="H111" s="67">
        <f t="shared" si="56"/>
        <v>309.64799844210853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-2.2737367544323206E-13</v>
      </c>
      <c r="O111" s="13">
        <f>N111*VLOOKUP('Données projet'!$B$9,Paramètres!$A$1:$I$89,3,0)*VLOOKUP('Données projet'!$B$9,Paramètres!$A$1:$I$89,5,0)</f>
        <v>-1.3596945791505279E-13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329.62068845923676</v>
      </c>
      <c r="T111" s="59">
        <f t="shared" si="88"/>
        <v>243.22501652129546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88.029045525710174</v>
      </c>
      <c r="AA111" s="21">
        <f>EXP(-LN(2)/25)*AA110+(1-EXP(-LN(2)/25))/(LN(2)/25)*Calculateur!V111*Calculateur!X111*VLOOKUP('Données projet'!$B$9,Paramètres!$A$1:$I$89,3,0)*0.475*44/12</f>
        <v>23.807266409959844</v>
      </c>
      <c r="AB111" s="21">
        <f>EXP(-LN(2)/2)*AB110+(1-EXP(-LN(2)/2))/(LN(2)/2)*V111*Y111*VLOOKUP('Données projet'!$B$9,Paramètres!$A$1:$I$89,3,0)*0.475*44/12</f>
        <v>4.3162013428472111E-3</v>
      </c>
      <c r="AC111" s="22">
        <f t="shared" si="57"/>
        <v>111.84062813701286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6.8811111111111085</v>
      </c>
      <c r="AI111" s="13">
        <f>IF('Données projet'!$A$62&gt;35,AI110+AH111-AQ110,IF(A111&lt;'Données projet'!$A$62,$AF$205^A111,IF(A111='Données projet'!$A$62,'Données projet'!$B$62,AI110+AH111-AQ110)))</f>
        <v>259.49444444444424</v>
      </c>
      <c r="AJ111" s="13">
        <f>AI111*VLOOKUP('Données projet'!$B$10,Paramètres!$A$1:$I$89,3,0)*VLOOKUP('Données projet'!$B$10,Paramètres!$A$1:$I$89,5,0)</f>
        <v>263.12736666666649</v>
      </c>
      <c r="AK111" s="13">
        <f t="shared" si="89"/>
        <v>63.388541553044227</v>
      </c>
      <c r="AL111" s="20">
        <f t="shared" si="58"/>
        <v>568.68187348266281</v>
      </c>
      <c r="AM111" s="59">
        <f t="shared" si="59"/>
        <v>862.01520681599618</v>
      </c>
      <c r="AN111" s="59">
        <f ca="1">AVERAGE(OFFSET($AM$3,0,0,'Données projet'!$E$10+1,1))-AVERAGE(OFFSET($H$3,0,0,'Données projet'!$E$10+1,1))</f>
        <v>486.4870616281359</v>
      </c>
      <c r="AO111" s="59">
        <f t="shared" si="90"/>
        <v>247.29100537955225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15.740295510158905</v>
      </c>
      <c r="AV111" s="21">
        <f>EXP(-LN(2)/25)*AV110+(1-EXP(-LN(2)/25))/(LN(2)/25)*Calculateur!AQ111*Calculateur!AS111*VLOOKUP('Données projet'!$B$10,Paramètres!$A$1:$I$89,3,0)*0.475*44/12</f>
        <v>26.587095933491355</v>
      </c>
      <c r="AW111" s="21">
        <f>EXP(-LN(2)/2)*AW110+(1-EXP(-LN(2)/2))/(LN(2)/2)*AQ111*AT111*VLOOKUP('Données projet'!$B$10,Paramètres!$A$1:$I$89,3,0)*0.475*44/12</f>
        <v>0.98889855181793895</v>
      </c>
      <c r="AX111" s="21">
        <f t="shared" si="60"/>
        <v>43.316289995468196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4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23.261472000000019</v>
      </c>
      <c r="D112" s="11">
        <f t="shared" si="86"/>
        <v>7.4321195890411307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56.863917049170972</v>
      </c>
      <c r="H112" s="67">
        <f t="shared" si="56"/>
        <v>310.12467201758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-2.2737367544323206E-13</v>
      </c>
      <c r="O112" s="13">
        <f>N112*VLOOKUP('Données projet'!$B$9,Paramètres!$A$1:$I$89,3,0)*VLOOKUP('Données projet'!$B$9,Paramètres!$A$1:$I$89,5,0)</f>
        <v>-1.3596945791505279E-13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329.62068845923676</v>
      </c>
      <c r="T112" s="59">
        <f t="shared" si="88"/>
        <v>243.22501652129546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86.302849635367082</v>
      </c>
      <c r="AA112" s="21">
        <f>EXP(-LN(2)/25)*AA111+(1-EXP(-LN(2)/25))/(LN(2)/25)*Calculateur!V112*Calculateur!X112*VLOOKUP('Données projet'!$B$9,Paramètres!$A$1:$I$89,3,0)*0.475*44/12</f>
        <v>23.156255458009763</v>
      </c>
      <c r="AB112" s="21">
        <f>EXP(-LN(2)/2)*AB111+(1-EXP(-LN(2)/2))/(LN(2)/2)*V112*Y112*VLOOKUP('Données projet'!$B$9,Paramètres!$A$1:$I$89,3,0)*0.475*44/12</f>
        <v>3.0520152384937455E-3</v>
      </c>
      <c r="AC112" s="22">
        <f t="shared" si="57"/>
        <v>109.46215710861534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6.8811111111111085</v>
      </c>
      <c r="AI112" s="13">
        <f>IF('Données projet'!$A$62&gt;35,AI111+AH112-AQ111,IF(A112&lt;'Données projet'!$A$62,$AF$205^A112,IF(A112='Données projet'!$A$62,'Données projet'!$B$62,AI111+AH112-AQ111)))</f>
        <v>266.37555555555537</v>
      </c>
      <c r="AJ112" s="13">
        <f>AI112*VLOOKUP('Données projet'!$B$10,Paramètres!$A$1:$I$89,3,0)*VLOOKUP('Données projet'!$B$10,Paramètres!$A$1:$I$89,5,0)</f>
        <v>270.10481333333314</v>
      </c>
      <c r="AK112" s="13">
        <f t="shared" si="89"/>
        <v>64.87151281999401</v>
      </c>
      <c r="AL112" s="20">
        <f t="shared" si="58"/>
        <v>583.41710138371138</v>
      </c>
      <c r="AM112" s="59">
        <f t="shared" si="59"/>
        <v>876.75043471704475</v>
      </c>
      <c r="AN112" s="59">
        <f ca="1">AVERAGE(OFFSET($AM$3,0,0,'Données projet'!$E$10+1,1))-AVERAGE(OFFSET($H$3,0,0,'Données projet'!$E$10+1,1))</f>
        <v>486.4870616281359</v>
      </c>
      <c r="AO112" s="59">
        <f t="shared" si="90"/>
        <v>247.29100537955225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15.431637915836966</v>
      </c>
      <c r="AV112" s="21">
        <f>EXP(-LN(2)/25)*AV111+(1-EXP(-LN(2)/25))/(LN(2)/25)*Calculateur!AQ112*Calculateur!AS112*VLOOKUP('Données projet'!$B$10,Paramètres!$A$1:$I$89,3,0)*0.475*44/12</f>
        <v>25.860070397035425</v>
      </c>
      <c r="AW112" s="21">
        <f>EXP(-LN(2)/2)*AW111+(1-EXP(-LN(2)/2))/(LN(2)/2)*AQ112*AT112*VLOOKUP('Données projet'!$B$10,Paramètres!$A$1:$I$89,3,0)*0.475*44/12</f>
        <v>0.69925687189602115</v>
      </c>
      <c r="AX112" s="21">
        <f t="shared" si="60"/>
        <v>41.990965184768406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4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23.47488000000002</v>
      </c>
      <c r="D113" s="11">
        <f t="shared" si="86"/>
        <v>7.4923354271569131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57.370841212417055</v>
      </c>
      <c r="H113" s="67">
        <f t="shared" si="56"/>
        <v>310.60123353563165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-2.2737367544323206E-13</v>
      </c>
      <c r="O113" s="13">
        <f>N113*VLOOKUP('Données projet'!$B$9,Paramètres!$A$1:$I$89,3,0)*VLOOKUP('Données projet'!$B$9,Paramètres!$A$1:$I$89,5,0)</f>
        <v>-1.3596945791505279E-13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329.62068845923676</v>
      </c>
      <c r="T113" s="59">
        <f t="shared" si="88"/>
        <v>243.22501652129546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84.610503393558091</v>
      </c>
      <c r="AA113" s="21">
        <f>EXP(-LN(2)/25)*AA112+(1-EXP(-LN(2)/25))/(LN(2)/25)*Calculateur!V113*Calculateur!X113*VLOOKUP('Données projet'!$B$9,Paramètres!$A$1:$I$89,3,0)*0.475*44/12</f>
        <v>22.523046434775935</v>
      </c>
      <c r="AB113" s="21">
        <f>EXP(-LN(2)/2)*AB112+(1-EXP(-LN(2)/2))/(LN(2)/2)*V113*Y113*VLOOKUP('Données projet'!$B$9,Paramètres!$A$1:$I$89,3,0)*0.475*44/12</f>
        <v>2.1581006714236056E-3</v>
      </c>
      <c r="AC113" s="22">
        <f t="shared" si="57"/>
        <v>107.13570792900545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6.8811111111111085</v>
      </c>
      <c r="AI113" s="13">
        <f>IF('Données projet'!$A$62&gt;35,AI112+AH113-AQ112,IF(A113&lt;'Données projet'!$A$62,$AF$205^A113,IF(A113='Données projet'!$A$62,'Données projet'!$B$62,AI112+AH113-AQ112)))</f>
        <v>273.25666666666649</v>
      </c>
      <c r="AJ113" s="13">
        <f>AI113*VLOOKUP('Données projet'!$B$10,Paramètres!$A$1:$I$89,3,0)*VLOOKUP('Données projet'!$B$10,Paramètres!$A$1:$I$89,5,0)</f>
        <v>277.08225999999985</v>
      </c>
      <c r="AK113" s="13">
        <f t="shared" si="89"/>
        <v>66.350031133112068</v>
      </c>
      <c r="AL113" s="20">
        <f t="shared" si="58"/>
        <v>598.14457372350319</v>
      </c>
      <c r="AM113" s="59">
        <f t="shared" si="59"/>
        <v>891.47790705683656</v>
      </c>
      <c r="AN113" s="59">
        <f ca="1">AVERAGE(OFFSET($AM$3,0,0,'Données projet'!$E$10+1,1))-AVERAGE(OFFSET($H$3,0,0,'Données projet'!$E$10+1,1))</f>
        <v>486.4870616281359</v>
      </c>
      <c r="AO113" s="59">
        <f t="shared" si="90"/>
        <v>247.29100537955225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15.129032908677138</v>
      </c>
      <c r="AV113" s="21">
        <f>EXP(-LN(2)/25)*AV112+(1-EXP(-LN(2)/25))/(LN(2)/25)*Calculateur!AQ113*Calculateur!AS113*VLOOKUP('Données projet'!$B$10,Paramètres!$A$1:$I$89,3,0)*0.475*44/12</f>
        <v>25.152925412106494</v>
      </c>
      <c r="AW113" s="21">
        <f>EXP(-LN(2)/2)*AW112+(1-EXP(-LN(2)/2))/(LN(2)/2)*AQ113*AT113*VLOOKUP('Données projet'!$B$10,Paramètres!$A$1:$I$89,3,0)*0.475*44/12</f>
        <v>0.49444927590896953</v>
      </c>
      <c r="AX113" s="21">
        <f t="shared" si="60"/>
        <v>40.7764075966926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4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23.688288000000021</v>
      </c>
      <c r="D114" s="11">
        <f t="shared" si="86"/>
        <v>7.552487578741248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57.877647387983821</v>
      </c>
      <c r="H114" s="67">
        <f t="shared" si="56"/>
        <v>311.07768413297441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-2.2737367544323206E-13</v>
      </c>
      <c r="O114" s="13">
        <f>N114*VLOOKUP('Données projet'!$B$9,Paramètres!$A$1:$I$89,3,0)*VLOOKUP('Données projet'!$B$9,Paramètres!$A$1:$I$89,5,0)</f>
        <v>-1.3596945791505279E-13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329.62068845923676</v>
      </c>
      <c r="T114" s="59">
        <f t="shared" si="88"/>
        <v>243.22501652129546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82.951343029321691</v>
      </c>
      <c r="AA114" s="21">
        <f>EXP(-LN(2)/25)*AA113+(1-EXP(-LN(2)/25))/(LN(2)/25)*Calculateur!V114*Calculateur!X114*VLOOKUP('Données projet'!$B$9,Paramètres!$A$1:$I$89,3,0)*0.475*44/12</f>
        <v>21.907152545581454</v>
      </c>
      <c r="AB114" s="21">
        <f>EXP(-LN(2)/2)*AB113+(1-EXP(-LN(2)/2))/(LN(2)/2)*V114*Y114*VLOOKUP('Données projet'!$B$9,Paramètres!$A$1:$I$89,3,0)*0.475*44/12</f>
        <v>1.5260076192468728E-3</v>
      </c>
      <c r="AC114" s="22">
        <f t="shared" si="57"/>
        <v>104.86002158252239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6.8811111111111085</v>
      </c>
      <c r="AI114" s="13">
        <f>IF('Données projet'!$A$62&gt;35,AI113+AH114-AQ113,IF(A114&lt;'Données projet'!$A$62,$AF$205^A114,IF(A114='Données projet'!$A$62,'Données projet'!$B$62,AI113+AH114-AQ113)))</f>
        <v>280.13777777777761</v>
      </c>
      <c r="AJ114" s="13">
        <f>AI114*VLOOKUP('Données projet'!$B$10,Paramètres!$A$1:$I$89,3,0)*VLOOKUP('Données projet'!$B$10,Paramètres!$A$1:$I$89,5,0)</f>
        <v>284.0597066666665</v>
      </c>
      <c r="AK114" s="13">
        <f t="shared" si="89"/>
        <v>67.824221521859315</v>
      </c>
      <c r="AL114" s="20">
        <f t="shared" si="58"/>
        <v>612.86450826168243</v>
      </c>
      <c r="AM114" s="59">
        <f t="shared" si="59"/>
        <v>906.19784159501569</v>
      </c>
      <c r="AN114" s="59">
        <f ca="1">AVERAGE(OFFSET($AM$3,0,0,'Données projet'!$E$10+1,1))-AVERAGE(OFFSET($H$3,0,0,'Données projet'!$E$10+1,1))</f>
        <v>486.4870616281359</v>
      </c>
      <c r="AO114" s="59">
        <f t="shared" si="90"/>
        <v>247.29100537955225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14.832361801136884</v>
      </c>
      <c r="AV114" s="21">
        <f>EXP(-LN(2)/25)*AV113+(1-EXP(-LN(2)/25))/(LN(2)/25)*Calculateur!AQ114*Calculateur!AS114*VLOOKUP('Données projet'!$B$10,Paramètres!$A$1:$I$89,3,0)*0.475*44/12</f>
        <v>24.465117343977582</v>
      </c>
      <c r="AW114" s="21">
        <f>EXP(-LN(2)/2)*AW113+(1-EXP(-LN(2)/2))/(LN(2)/2)*AQ114*AT114*VLOOKUP('Données projet'!$B$10,Paramètres!$A$1:$I$89,3,0)*0.475*44/12</f>
        <v>0.34962843594801063</v>
      </c>
      <c r="AX114" s="21">
        <f t="shared" si="60"/>
        <v>39.647107581062478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4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23.901696000000022</v>
      </c>
      <c r="D115" s="11">
        <f t="shared" si="86"/>
        <v>7.6125766840131224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58.384336761961187</v>
      </c>
      <c r="H115" s="67">
        <f t="shared" si="56"/>
        <v>311.55402492465623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-2.2737367544323206E-13</v>
      </c>
      <c r="O115" s="13">
        <f>N115*VLOOKUP('Données projet'!$B$9,Paramètres!$A$1:$I$89,3,0)*VLOOKUP('Données projet'!$B$9,Paramètres!$A$1:$I$89,5,0)</f>
        <v>-1.3596945791505279E-13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329.62068845923676</v>
      </c>
      <c r="T115" s="59">
        <f t="shared" si="88"/>
        <v>243.22501652129546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81.324717787840072</v>
      </c>
      <c r="AA115" s="21">
        <f>EXP(-LN(2)/25)*AA114+(1-EXP(-LN(2)/25))/(LN(2)/25)*Calculateur!V115*Calculateur!X115*VLOOKUP('Données projet'!$B$9,Paramètres!$A$1:$I$89,3,0)*0.475*44/12</f>
        <v>21.308100307175447</v>
      </c>
      <c r="AB115" s="21">
        <f>EXP(-LN(2)/2)*AB114+(1-EXP(-LN(2)/2))/(LN(2)/2)*V115*Y115*VLOOKUP('Données projet'!$B$9,Paramètres!$A$1:$I$89,3,0)*0.475*44/12</f>
        <v>1.0790503357118028E-3</v>
      </c>
      <c r="AC115" s="22">
        <f t="shared" si="57"/>
        <v>102.63389714535124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6.8811111111111085</v>
      </c>
      <c r="AI115" s="13">
        <f>IF('Données projet'!$A$62&gt;35,AI114+AH115-AQ114,IF(A115&lt;'Données projet'!$A$62,$AF$205^A115,IF(A115='Données projet'!$A$62,'Données projet'!$B$62,AI114+AH115-AQ114)))</f>
        <v>287.01888888888874</v>
      </c>
      <c r="AJ115" s="13">
        <f>AI115*VLOOKUP('Données projet'!$B$10,Paramètres!$A$1:$I$89,3,0)*VLOOKUP('Données projet'!$B$10,Paramètres!$A$1:$I$89,5,0)</f>
        <v>291.03715333333321</v>
      </c>
      <c r="AK115" s="13">
        <f t="shared" si="89"/>
        <v>69.294202523257042</v>
      </c>
      <c r="AL115" s="20">
        <f t="shared" si="58"/>
        <v>627.57711145022802</v>
      </c>
      <c r="AM115" s="59">
        <f t="shared" si="59"/>
        <v>920.91044478356139</v>
      </c>
      <c r="AN115" s="59">
        <f ca="1">AVERAGE(OFFSET($AM$3,0,0,'Données projet'!$E$10+1,1))-AVERAGE(OFFSET($H$3,0,0,'Données projet'!$E$10+1,1))</f>
        <v>486.4870616281359</v>
      </c>
      <c r="AO115" s="59">
        <f t="shared" si="90"/>
        <v>247.29100537955225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14.541508233063986</v>
      </c>
      <c r="AV115" s="21">
        <f>EXP(-LN(2)/25)*AV114+(1-EXP(-LN(2)/25))/(LN(2)/25)*Calculateur!AQ115*Calculateur!AS115*VLOOKUP('Données projet'!$B$10,Paramètres!$A$1:$I$89,3,0)*0.475*44/12</f>
        <v>23.79611742364191</v>
      </c>
      <c r="AW115" s="21">
        <f>EXP(-LN(2)/2)*AW114+(1-EXP(-LN(2)/2))/(LN(2)/2)*AQ115*AT115*VLOOKUP('Données projet'!$B$10,Paramètres!$A$1:$I$89,3,0)*0.475*44/12</f>
        <v>0.24722463795448482</v>
      </c>
      <c r="AX115" s="21">
        <f t="shared" si="60"/>
        <v>38.584850294660377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4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24.115104000000024</v>
      </c>
      <c r="D116" s="11">
        <f t="shared" si="86"/>
        <v>7.6726033710994779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58.890910498036966</v>
      </c>
      <c r="H116" s="67">
        <f t="shared" si="56"/>
        <v>312.03025700466497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-2.2737367544323206E-13</v>
      </c>
      <c r="O116" s="13">
        <f>N116*VLOOKUP('Données projet'!$B$9,Paramètres!$A$1:$I$89,3,0)*VLOOKUP('Données projet'!$B$9,Paramètres!$A$1:$I$89,5,0)</f>
        <v>-1.3596945791505279E-13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329.62068845923676</v>
      </c>
      <c r="T116" s="59">
        <f t="shared" si="88"/>
        <v>243.22501652129546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79.729989675200471</v>
      </c>
      <c r="AA116" s="21">
        <f>EXP(-LN(2)/25)*AA115+(1-EXP(-LN(2)/25))/(LN(2)/25)*Calculateur!V116*Calculateur!X116*VLOOKUP('Données projet'!$B$9,Paramètres!$A$1:$I$89,3,0)*0.475*44/12</f>
        <v>20.725429183731439</v>
      </c>
      <c r="AB116" s="21">
        <f>EXP(-LN(2)/2)*AB115+(1-EXP(-LN(2)/2))/(LN(2)/2)*V116*Y116*VLOOKUP('Données projet'!$B$9,Paramètres!$A$1:$I$89,3,0)*0.475*44/12</f>
        <v>7.6300380962343638E-4</v>
      </c>
      <c r="AC116" s="22">
        <f t="shared" si="57"/>
        <v>100.45618186274153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>
        <f>VLOOKUP(A116,'Données projet'!$A$61:$I$81,2,0)</f>
        <v>293.89999999999998</v>
      </c>
      <c r="AG116" s="12">
        <f>VLOOKUP(A116,'Données projet'!$A$61:$I$81,9,0)</f>
        <v>6.8811111111111085</v>
      </c>
      <c r="AH116" s="12">
        <f t="array" ref="AH116">INDEX(AG:AG,MIN(IF(ISNUMBER(AG116:AG312),ROW(AG116:AG312),"")))</f>
        <v>6.8811111111111085</v>
      </c>
      <c r="AI116" s="13">
        <f>IF('Données projet'!$A$62&gt;35,AI115+AH116-AQ115,IF(A116&lt;'Données projet'!$A$62,$AF$205^A116,IF(A116='Données projet'!$A$62,'Données projet'!$B$62,AI115+AH116-AQ115)))</f>
        <v>293.89999999999986</v>
      </c>
      <c r="AJ116" s="13">
        <f>AI116*VLOOKUP('Données projet'!$B$10,Paramètres!$A$1:$I$89,3,0)*VLOOKUP('Données projet'!$B$10,Paramètres!$A$1:$I$89,5,0)</f>
        <v>298.01459999999986</v>
      </c>
      <c r="AK116" s="13">
        <f t="shared" si="89"/>
        <v>70.760086666473185</v>
      </c>
      <c r="AL116" s="20">
        <f t="shared" si="58"/>
        <v>642.2825792774405</v>
      </c>
      <c r="AM116" s="59">
        <f t="shared" si="59"/>
        <v>935.61591261077388</v>
      </c>
      <c r="AN116" s="59">
        <f ca="1">AVERAGE(OFFSET($AM$3,0,0,'Données projet'!$E$10+1,1))-AVERAGE(OFFSET($H$3,0,0,'Données projet'!$E$10+1,1))</f>
        <v>486.4870616281359</v>
      </c>
      <c r="AO116" s="59">
        <f t="shared" si="90"/>
        <v>247.29100537955225</v>
      </c>
      <c r="AP116" s="15">
        <f>IF(ISNA(VLOOKUP(A116,'Données projet'!$A$61:$I$81,3,0)),0,VLOOKUP(A116,'Données projet'!$A$61:$I$81,3,0))</f>
        <v>7</v>
      </c>
      <c r="AQ116" s="15">
        <f>IF(ISNA(VLOOKUP(A116,'Données projet'!$A$61:$I$81,4,0)),0,VLOOKUP(A116,'Données projet'!$A$61:$I$81,4,0))</f>
        <v>41.639999999999986</v>
      </c>
      <c r="AR116" s="16">
        <f>IF(ISNA(VLOOKUP(A116,'Données projet'!$A$61:$I$81,5,0)),0%,VLOOKUP(A116,'Données projet'!$A$61:$I$81,5,0)*VLOOKUP('Données projet'!$B$10,Paramètres!$A$1:$I$89,7,0))</f>
        <v>0.15049999999999999</v>
      </c>
      <c r="AS116" s="16">
        <f>IF(ISNA(VLOOKUP(A116,'Données projet'!$A$61:$I$81,6,0)),0%,VLOOKUP(A116,'Données projet'!$A$61:$I$81,6,0)*VLOOKUP('Données projet'!$B$10,Paramètres!$A$1:$I$89,7,0))</f>
        <v>8.6000000000000007E-2</v>
      </c>
      <c r="AT116" s="16">
        <f>IF(ISNA(VLOOKUP(A116,'Données projet'!$A$61:$I$81,7,0)),0%,VLOOKUP(A116,'Données projet'!$A$61:$I$81,7,0))</f>
        <v>0.1</v>
      </c>
      <c r="AU116" s="21">
        <f>EXP(-LN(2)/35)*AU115+(1-EXP(-LN(2)/35))/(LN(2)/35)*AQ116*AR116*VLOOKUP('Données projet'!$B$10,Paramètres!$A$1:$I$89,3,0)*0.475*44/12</f>
        <v>21.281130984296624</v>
      </c>
      <c r="AV116" s="21">
        <f>EXP(-LN(2)/25)*AV115+(1-EXP(-LN(2)/25))/(LN(2)/25)*Calculateur!AQ116*Calculateur!AS116*VLOOKUP('Données projet'!$B$10,Paramètres!$A$1:$I$89,3,0)*0.475*44/12</f>
        <v>27.143761998936192</v>
      </c>
      <c r="AW116" s="21">
        <f>EXP(-LN(2)/2)*AW115+(1-EXP(-LN(2)/2))/(LN(2)/2)*AQ116*AT116*VLOOKUP('Données projet'!$B$10,Paramètres!$A$1:$I$89,3,0)*0.475*44/12</f>
        <v>4.1586641354046767</v>
      </c>
      <c r="AX116" s="21">
        <f t="shared" si="60"/>
        <v>52.583557118637493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4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24.328512000000025</v>
      </c>
      <c r="D117" s="11">
        <f t="shared" si="86"/>
        <v>7.7325682563685438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59.397369738114406</v>
      </c>
      <c r="H117" s="67">
        <f t="shared" si="56"/>
        <v>312.50638144650861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-2.2737367544323206E-13</v>
      </c>
      <c r="O117" s="13">
        <f>N117*VLOOKUP('Données projet'!$B$9,Paramètres!$A$1:$I$89,3,0)*VLOOKUP('Données projet'!$B$9,Paramètres!$A$1:$I$89,5,0)</f>
        <v>-1.3596945791505279E-13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329.62068845923676</v>
      </c>
      <c r="T117" s="59">
        <f t="shared" si="88"/>
        <v>243.22501652129546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78.166533208161624</v>
      </c>
      <c r="AA117" s="21">
        <f>EXP(-LN(2)/25)*AA116+(1-EXP(-LN(2)/25))/(LN(2)/25)*Calculateur!V117*Calculateur!X117*VLOOKUP('Données projet'!$B$9,Paramètres!$A$1:$I$89,3,0)*0.475*44/12</f>
        <v>20.158691232799352</v>
      </c>
      <c r="AB117" s="21">
        <f>EXP(-LN(2)/2)*AB116+(1-EXP(-LN(2)/2))/(LN(2)/2)*V117*Y117*VLOOKUP('Données projet'!$B$9,Paramètres!$A$1:$I$89,3,0)*0.475*44/12</f>
        <v>5.3952516785590139E-4</v>
      </c>
      <c r="AC117" s="22">
        <f t="shared" si="57"/>
        <v>98.325763966128832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7.0011111111111104</v>
      </c>
      <c r="AI117" s="13">
        <f>IF('Données projet'!$A$62&gt;35,AI116+AH117-AQ116,IF(A117&lt;'Données projet'!$A$62,$AF$205^A117,IF(A117='Données projet'!$A$62,'Données projet'!$B$62,AI116+AH117-AQ116)))</f>
        <v>259.26111111111101</v>
      </c>
      <c r="AJ117" s="13">
        <f>AI117*VLOOKUP('Données projet'!$B$10,Paramètres!$A$1:$I$89,3,0)*VLOOKUP('Données projet'!$B$10,Paramètres!$A$1:$I$89,5,0)</f>
        <v>262.89076666666659</v>
      </c>
      <c r="AK117" s="13">
        <f t="shared" si="89"/>
        <v>63.338175499546331</v>
      </c>
      <c r="AL117" s="20">
        <f t="shared" si="58"/>
        <v>568.18207427282073</v>
      </c>
      <c r="AM117" s="59">
        <f t="shared" si="59"/>
        <v>861.51540760615399</v>
      </c>
      <c r="AN117" s="59">
        <f ca="1">AVERAGE(OFFSET($AM$3,0,0,'Données projet'!$E$10+1,1))-AVERAGE(OFFSET($H$3,0,0,'Données projet'!$E$10+1,1))</f>
        <v>486.4870616281359</v>
      </c>
      <c r="AO117" s="59">
        <f t="shared" si="90"/>
        <v>247.29100537955225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20.863820985902777</v>
      </c>
      <c r="AV117" s="21">
        <f>EXP(-LN(2)/25)*AV116+(1-EXP(-LN(2)/25))/(LN(2)/25)*Calculateur!AQ117*Calculateur!AS117*VLOOKUP('Données projet'!$B$10,Paramètres!$A$1:$I$89,3,0)*0.475*44/12</f>
        <v>26.401514399646878</v>
      </c>
      <c r="AW117" s="21">
        <f>EXP(-LN(2)/2)*AW116+(1-EXP(-LN(2)/2))/(LN(2)/2)*AQ117*AT117*VLOOKUP('Données projet'!$B$10,Paramètres!$A$1:$I$89,3,0)*0.475*44/12</f>
        <v>2.9406196108219378</v>
      </c>
      <c r="AX117" s="21">
        <f t="shared" si="60"/>
        <v>50.205954996371595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4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24.541920000000026</v>
      </c>
      <c r="D118" s="11">
        <f t="shared" si="86"/>
        <v>7.7924719447511324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59.903715602907404</v>
      </c>
      <c r="H118" s="67">
        <f t="shared" si="56"/>
        <v>312.98239930377497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-2.2737367544323206E-13</v>
      </c>
      <c r="O118" s="13">
        <f>N118*VLOOKUP('Données projet'!$B$9,Paramètres!$A$1:$I$89,3,0)*VLOOKUP('Données projet'!$B$9,Paramètres!$A$1:$I$89,5,0)</f>
        <v>-1.3596945791505279E-13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329.62068845923676</v>
      </c>
      <c r="T118" s="59">
        <f t="shared" si="88"/>
        <v>243.22501652129546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76.63373516882713</v>
      </c>
      <c r="AA118" s="21">
        <f>EXP(-LN(2)/25)*AA117+(1-EXP(-LN(2)/25))/(LN(2)/25)*Calculateur!V118*Calculateur!X118*VLOOKUP('Données projet'!$B$9,Paramètres!$A$1:$I$89,3,0)*0.475*44/12</f>
        <v>19.607450760938956</v>
      </c>
      <c r="AB118" s="21">
        <f>EXP(-LN(2)/2)*AB117+(1-EXP(-LN(2)/2))/(LN(2)/2)*V118*Y118*VLOOKUP('Données projet'!$B$9,Paramètres!$A$1:$I$89,3,0)*0.475*44/12</f>
        <v>3.8150190481171819E-4</v>
      </c>
      <c r="AC118" s="22">
        <f t="shared" si="57"/>
        <v>96.241567431670902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7.0011111111111104</v>
      </c>
      <c r="AI118" s="13">
        <f>IF('Données projet'!$A$62&gt;35,AI117+AH118-AQ117,IF(A118&lt;'Données projet'!$A$62,$AF$205^A118,IF(A118='Données projet'!$A$62,'Données projet'!$B$62,AI117+AH118-AQ117)))</f>
        <v>266.26222222222214</v>
      </c>
      <c r="AJ118" s="13">
        <f>AI118*VLOOKUP('Données projet'!$B$10,Paramètres!$A$1:$I$89,3,0)*VLOOKUP('Données projet'!$B$10,Paramètres!$A$1:$I$89,5,0)</f>
        <v>269.98989333333327</v>
      </c>
      <c r="AK118" s="13">
        <f t="shared" si="89"/>
        <v>64.847124393424096</v>
      </c>
      <c r="AL118" s="20">
        <f t="shared" si="58"/>
        <v>583.1744725407691</v>
      </c>
      <c r="AM118" s="59">
        <f t="shared" si="59"/>
        <v>876.50780587410236</v>
      </c>
      <c r="AN118" s="59">
        <f ca="1">AVERAGE(OFFSET($AM$3,0,0,'Données projet'!$E$10+1,1))-AVERAGE(OFFSET($H$3,0,0,'Données projet'!$E$10+1,1))</f>
        <v>486.4870616281359</v>
      </c>
      <c r="AO118" s="59">
        <f t="shared" si="90"/>
        <v>247.29100537955225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20.454694182043468</v>
      </c>
      <c r="AV118" s="21">
        <f>EXP(-LN(2)/25)*AV117+(1-EXP(-LN(2)/25))/(LN(2)/25)*Calculateur!AQ118*Calculateur!AS118*VLOOKUP('Données projet'!$B$10,Paramètres!$A$1:$I$89,3,0)*0.475*44/12</f>
        <v>25.679563599993234</v>
      </c>
      <c r="AW118" s="21">
        <f>EXP(-LN(2)/2)*AW117+(1-EXP(-LN(2)/2))/(LN(2)/2)*AQ118*AT118*VLOOKUP('Données projet'!$B$10,Paramètres!$A$1:$I$89,3,0)*0.475*44/12</f>
        <v>2.0793320677023388</v>
      </c>
      <c r="AX118" s="21">
        <f t="shared" si="60"/>
        <v>48.213589849739037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4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24.755328000000027</v>
      </c>
      <c r="D119" s="11">
        <f t="shared" si="86"/>
        <v>7.8523150300504421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60.409949192514546</v>
      </c>
      <c r="H119" s="67">
        <f t="shared" si="56"/>
        <v>313.45831161067127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-2.2737367544323206E-13</v>
      </c>
      <c r="O119" s="13">
        <f>N119*VLOOKUP('Données projet'!$B$9,Paramètres!$A$1:$I$89,3,0)*VLOOKUP('Données projet'!$B$9,Paramètres!$A$1:$I$89,5,0)</f>
        <v>-1.3596945791505279E-13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329.62068845923676</v>
      </c>
      <c r="T119" s="59">
        <f t="shared" si="88"/>
        <v>243.22501652129546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75.130994364129492</v>
      </c>
      <c r="AA119" s="21">
        <f>EXP(-LN(2)/25)*AA118+(1-EXP(-LN(2)/25))/(LN(2)/25)*Calculateur!V119*Calculateur!X119*VLOOKUP('Données projet'!$B$9,Paramètres!$A$1:$I$89,3,0)*0.475*44/12</f>
        <v>19.071283988770059</v>
      </c>
      <c r="AB119" s="21">
        <f>EXP(-LN(2)/2)*AB118+(1-EXP(-LN(2)/2))/(LN(2)/2)*V119*Y119*VLOOKUP('Données projet'!$B$9,Paramètres!$A$1:$I$89,3,0)*0.475*44/12</f>
        <v>2.6976258392795069E-4</v>
      </c>
      <c r="AC119" s="22">
        <f t="shared" si="57"/>
        <v>94.202548115483481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7.0011111111111104</v>
      </c>
      <c r="AI119" s="13">
        <f>IF('Données projet'!$A$62&gt;35,AI118+AH119-AQ118,IF(A119&lt;'Données projet'!$A$62,$AF$205^A119,IF(A119='Données projet'!$A$62,'Données projet'!$B$62,AI118+AH119-AQ118)))</f>
        <v>273.26333333333326</v>
      </c>
      <c r="AJ119" s="13">
        <f>AI119*VLOOKUP('Données projet'!$B$10,Paramètres!$A$1:$I$89,3,0)*VLOOKUP('Données projet'!$B$10,Paramètres!$A$1:$I$89,5,0)</f>
        <v>277.08901999999995</v>
      </c>
      <c r="AK119" s="13">
        <f t="shared" si="89"/>
        <v>66.351461456355509</v>
      </c>
      <c r="AL119" s="20">
        <f t="shared" si="58"/>
        <v>598.15883853648563</v>
      </c>
      <c r="AM119" s="59">
        <f t="shared" si="59"/>
        <v>891.492171869819</v>
      </c>
      <c r="AN119" s="59">
        <f ca="1">AVERAGE(OFFSET($AM$3,0,0,'Données projet'!$E$10+1,1))-AVERAGE(OFFSET($H$3,0,0,'Données projet'!$E$10+1,1))</f>
        <v>486.4870616281359</v>
      </c>
      <c r="AO119" s="59">
        <f t="shared" si="90"/>
        <v>247.29100537955225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20.05359010526513</v>
      </c>
      <c r="AV119" s="21">
        <f>EXP(-LN(2)/25)*AV118+(1-EXP(-LN(2)/25))/(LN(2)/25)*Calculateur!AQ119*Calculateur!AS119*VLOOKUP('Données projet'!$B$10,Paramètres!$A$1:$I$89,3,0)*0.475*44/12</f>
        <v>24.977354582921862</v>
      </c>
      <c r="AW119" s="21">
        <f>EXP(-LN(2)/2)*AW118+(1-EXP(-LN(2)/2))/(LN(2)/2)*AQ119*AT119*VLOOKUP('Données projet'!$B$10,Paramètres!$A$1:$I$89,3,0)*0.475*44/12</f>
        <v>1.4703098054109691</v>
      </c>
      <c r="AX119" s="21">
        <f t="shared" si="60"/>
        <v>46.501254493597962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4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24.968736000000028</v>
      </c>
      <c r="D120" s="11">
        <f t="shared" si="86"/>
        <v>7.9120980952408635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60.916071586972606</v>
      </c>
      <c r="H120" s="67">
        <f t="shared" si="56"/>
        <v>313.93411938254457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-2.2737367544323206E-13</v>
      </c>
      <c r="O120" s="13">
        <f>N120*VLOOKUP('Données projet'!$B$9,Paramètres!$A$1:$I$89,3,0)*VLOOKUP('Données projet'!$B$9,Paramètres!$A$1:$I$89,5,0)</f>
        <v>-1.3596945791505279E-13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329.62068845923676</v>
      </c>
      <c r="T120" s="59">
        <f t="shared" si="88"/>
        <v>243.22501652129546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73.657721390030588</v>
      </c>
      <c r="AA120" s="21">
        <f>EXP(-LN(2)/25)*AA119+(1-EXP(-LN(2)/25))/(LN(2)/25)*Calculateur!V120*Calculateur!X120*VLOOKUP('Données projet'!$B$9,Paramètres!$A$1:$I$89,3,0)*0.475*44/12</f>
        <v>18.549778725181906</v>
      </c>
      <c r="AB120" s="21">
        <f>EXP(-LN(2)/2)*AB119+(1-EXP(-LN(2)/2))/(LN(2)/2)*V120*Y120*VLOOKUP('Données projet'!$B$9,Paramètres!$A$1:$I$89,3,0)*0.475*44/12</f>
        <v>1.907509524058591E-4</v>
      </c>
      <c r="AC120" s="22">
        <f t="shared" si="57"/>
        <v>92.207690866164896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7.0011111111111104</v>
      </c>
      <c r="AI120" s="13">
        <f>IF('Données projet'!$A$62&gt;35,AI119+AH120-AQ119,IF(A120&lt;'Données projet'!$A$62,$AF$205^A120,IF(A120='Données projet'!$A$62,'Données projet'!$B$62,AI119+AH120-AQ119)))</f>
        <v>280.26444444444439</v>
      </c>
      <c r="AJ120" s="13">
        <f>AI120*VLOOKUP('Données projet'!$B$10,Paramètres!$A$1:$I$89,3,0)*VLOOKUP('Données projet'!$B$10,Paramètres!$A$1:$I$89,5,0)</f>
        <v>284.18814666666663</v>
      </c>
      <c r="AK120" s="13">
        <f t="shared" si="89"/>
        <v>67.851318431342392</v>
      </c>
      <c r="AL120" s="20">
        <f t="shared" si="58"/>
        <v>613.13540171236571</v>
      </c>
      <c r="AM120" s="59">
        <f t="shared" si="59"/>
        <v>906.46873504569908</v>
      </c>
      <c r="AN120" s="59">
        <f ca="1">AVERAGE(OFFSET($AM$3,0,0,'Données projet'!$E$10+1,1))-AVERAGE(OFFSET($H$3,0,0,'Données projet'!$E$10+1,1))</f>
        <v>486.4870616281359</v>
      </c>
      <c r="AO120" s="59">
        <f t="shared" si="90"/>
        <v>247.29100537955225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19.660351434783085</v>
      </c>
      <c r="AV120" s="21">
        <f>EXP(-LN(2)/25)*AV119+(1-EXP(-LN(2)/25))/(LN(2)/25)*Calculateur!AQ120*Calculateur!AS120*VLOOKUP('Données projet'!$B$10,Paramètres!$A$1:$I$89,3,0)*0.475*44/12</f>
        <v>24.294347508349873</v>
      </c>
      <c r="AW120" s="21">
        <f>EXP(-LN(2)/2)*AW119+(1-EXP(-LN(2)/2))/(LN(2)/2)*AQ120*AT120*VLOOKUP('Données projet'!$B$10,Paramètres!$A$1:$I$89,3,0)*0.475*44/12</f>
        <v>1.0396660338511694</v>
      </c>
      <c r="AX120" s="21">
        <f t="shared" si="60"/>
        <v>44.994364976984123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4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25.182144000000029</v>
      </c>
      <c r="D121" s="11">
        <f t="shared" si="86"/>
        <v>7.9718217127563031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61.422083846790677</v>
      </c>
      <c r="H121" s="67">
        <f t="shared" si="56"/>
        <v>314.40982361638396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-2.2737367544323206E-13</v>
      </c>
      <c r="O121" s="13">
        <f>N121*VLOOKUP('Données projet'!$B$9,Paramètres!$A$1:$I$89,3,0)*VLOOKUP('Données projet'!$B$9,Paramètres!$A$1:$I$89,5,0)</f>
        <v>-1.3596945791505279E-13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329.62068845923676</v>
      </c>
      <c r="T121" s="59">
        <f t="shared" si="88"/>
        <v>243.22501652129546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72.213338400345989</v>
      </c>
      <c r="AA121" s="21">
        <f>EXP(-LN(2)/25)*AA120+(1-EXP(-LN(2)/25))/(LN(2)/25)*Calculateur!V121*Calculateur!X121*VLOOKUP('Données projet'!$B$9,Paramètres!$A$1:$I$89,3,0)*0.475*44/12</f>
        <v>18.042534050451341</v>
      </c>
      <c r="AB121" s="21">
        <f>EXP(-LN(2)/2)*AB120+(1-EXP(-LN(2)/2))/(LN(2)/2)*V121*Y121*VLOOKUP('Données projet'!$B$9,Paramètres!$A$1:$I$89,3,0)*0.475*44/12</f>
        <v>1.3488129196397535E-4</v>
      </c>
      <c r="AC121" s="22">
        <f t="shared" si="57"/>
        <v>90.256007332089297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7.0011111111111104</v>
      </c>
      <c r="AI121" s="13">
        <f>IF('Données projet'!$A$62&gt;35,AI120+AH121-AQ120,IF(A121&lt;'Données projet'!$A$62,$AF$205^A121,IF(A121='Données projet'!$A$62,'Données projet'!$B$62,AI120+AH121-AQ120)))</f>
        <v>287.26555555555552</v>
      </c>
      <c r="AJ121" s="13">
        <f>AI121*VLOOKUP('Données projet'!$B$10,Paramètres!$A$1:$I$89,3,0)*VLOOKUP('Données projet'!$B$10,Paramètres!$A$1:$I$89,5,0)</f>
        <v>291.2872733333333</v>
      </c>
      <c r="AK121" s="13">
        <f t="shared" si="89"/>
        <v>69.346820104270833</v>
      </c>
      <c r="AL121" s="20">
        <f t="shared" si="58"/>
        <v>628.10437940382712</v>
      </c>
      <c r="AM121" s="59">
        <f t="shared" si="59"/>
        <v>921.43771273716038</v>
      </c>
      <c r="AN121" s="59">
        <f ca="1">AVERAGE(OFFSET($AM$3,0,0,'Données projet'!$E$10+1,1))-AVERAGE(OFFSET($H$3,0,0,'Données projet'!$E$10+1,1))</f>
        <v>486.4870616281359</v>
      </c>
      <c r="AO121" s="59">
        <f t="shared" si="90"/>
        <v>247.29100537955225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19.274823934777288</v>
      </c>
      <c r="AV121" s="21">
        <f>EXP(-LN(2)/25)*AV120+(1-EXP(-LN(2)/25))/(LN(2)/25)*Calculateur!AQ121*Calculateur!AS121*VLOOKUP('Données projet'!$B$10,Paramètres!$A$1:$I$89,3,0)*0.475*44/12</f>
        <v>23.630017298149834</v>
      </c>
      <c r="AW121" s="21">
        <f>EXP(-LN(2)/2)*AW120+(1-EXP(-LN(2)/2))/(LN(2)/2)*AQ121*AT121*VLOOKUP('Données projet'!$B$10,Paramètres!$A$1:$I$89,3,0)*0.475*44/12</f>
        <v>0.73515490270548456</v>
      </c>
      <c r="AX121" s="21">
        <f t="shared" si="60"/>
        <v>43.639996135632607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4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25.395552000000031</v>
      </c>
      <c r="D122" s="11">
        <f t="shared" si="86"/>
        <v>8.0314864447684133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61.927987013465746</v>
      </c>
      <c r="H122" s="67">
        <f t="shared" si="56"/>
        <v>314.88542529130507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-2.2737367544323206E-13</v>
      </c>
      <c r="O122" s="13">
        <f>N122*VLOOKUP('Données projet'!$B$9,Paramètres!$A$1:$I$89,3,0)*VLOOKUP('Données projet'!$B$9,Paramètres!$A$1:$I$89,5,0)</f>
        <v>-1.3596945791505279E-13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329.62068845923676</v>
      </c>
      <c r="T122" s="59">
        <f t="shared" si="88"/>
        <v>243.22501652129546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70.797278880102468</v>
      </c>
      <c r="AA122" s="21">
        <f>EXP(-LN(2)/25)*AA121+(1-EXP(-LN(2)/25))/(LN(2)/25)*Calculateur!V122*Calculateur!X122*VLOOKUP('Données projet'!$B$9,Paramètres!$A$1:$I$89,3,0)*0.475*44/12</f>
        <v>17.549160008026121</v>
      </c>
      <c r="AB122" s="21">
        <f>EXP(-LN(2)/2)*AB121+(1-EXP(-LN(2)/2))/(LN(2)/2)*V122*Y122*VLOOKUP('Données projet'!$B$9,Paramètres!$A$1:$I$89,3,0)*0.475*44/12</f>
        <v>9.5375476202929548E-5</v>
      </c>
      <c r="AC122" s="22">
        <f t="shared" si="57"/>
        <v>88.346534263604795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7.0011111111111104</v>
      </c>
      <c r="AI122" s="13">
        <f>IF('Données projet'!$A$62&gt;35,AI121+AH122-AQ121,IF(A122&lt;'Données projet'!$A$62,$AF$205^A122,IF(A122='Données projet'!$A$62,'Données projet'!$B$62,AI121+AH122-AQ121)))</f>
        <v>294.26666666666665</v>
      </c>
      <c r="AJ122" s="13">
        <f>AI122*VLOOKUP('Données projet'!$B$10,Paramètres!$A$1:$I$89,3,0)*VLOOKUP('Données projet'!$B$10,Paramètres!$A$1:$I$89,5,0)</f>
        <v>298.38640000000004</v>
      </c>
      <c r="AK122" s="13">
        <f t="shared" si="89"/>
        <v>70.838084831776925</v>
      </c>
      <c r="AL122" s="20">
        <f t="shared" si="58"/>
        <v>643.06597774867816</v>
      </c>
      <c r="AM122" s="59">
        <f t="shared" si="59"/>
        <v>936.39931108201154</v>
      </c>
      <c r="AN122" s="59">
        <f ca="1">AVERAGE(OFFSET($AM$3,0,0,'Données projet'!$E$10+1,1))-AVERAGE(OFFSET($H$3,0,0,'Données projet'!$E$10+1,1))</f>
        <v>486.4870616281359</v>
      </c>
      <c r="AO122" s="59">
        <f t="shared" si="90"/>
        <v>247.29100537955225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18.896856393898048</v>
      </c>
      <c r="AV122" s="21">
        <f>EXP(-LN(2)/25)*AV121+(1-EXP(-LN(2)/25))/(LN(2)/25)*Calculateur!AQ122*Calculateur!AS122*VLOOKUP('Données projet'!$B$10,Paramètres!$A$1:$I$89,3,0)*0.475*44/12</f>
        <v>22.983853232483323</v>
      </c>
      <c r="AW122" s="21">
        <f>EXP(-LN(2)/2)*AW121+(1-EXP(-LN(2)/2))/(LN(2)/2)*AQ122*AT122*VLOOKUP('Données projet'!$B$10,Paramètres!$A$1:$I$89,3,0)*0.475*44/12</f>
        <v>0.5198330169255847</v>
      </c>
      <c r="AX122" s="21">
        <f t="shared" si="60"/>
        <v>42.400542643306963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4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25.608960000000032</v>
      </c>
      <c r="D123" s="11">
        <f t="shared" si="86"/>
        <v>8.0910928434552378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62.433782109980292</v>
      </c>
      <c r="H123" s="67">
        <f t="shared" si="56"/>
        <v>315.36092536901793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-2.2737367544323206E-13</v>
      </c>
      <c r="O123" s="13">
        <f>N123*VLOOKUP('Données projet'!$B$9,Paramètres!$A$1:$I$89,3,0)*VLOOKUP('Données projet'!$B$9,Paramètres!$A$1:$I$89,5,0)</f>
        <v>-1.3596945791505279E-13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329.62068845923676</v>
      </c>
      <c r="T123" s="59">
        <f t="shared" si="88"/>
        <v>243.22501652129546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69.408987423339894</v>
      </c>
      <c r="AA123" s="21">
        <f>EXP(-LN(2)/25)*AA122+(1-EXP(-LN(2)/25))/(LN(2)/25)*Calculateur!V123*Calculateur!X123*VLOOKUP('Données projet'!$B$9,Paramètres!$A$1:$I$89,3,0)*0.475*44/12</f>
        <v>17.069277304736431</v>
      </c>
      <c r="AB123" s="21">
        <f>EXP(-LN(2)/2)*AB122+(1-EXP(-LN(2)/2))/(LN(2)/2)*V123*Y123*VLOOKUP('Données projet'!$B$9,Paramètres!$A$1:$I$89,3,0)*0.475*44/12</f>
        <v>6.7440645981987673E-5</v>
      </c>
      <c r="AC123" s="22">
        <f t="shared" si="57"/>
        <v>86.478332168722304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7.0011111111111104</v>
      </c>
      <c r="AI123" s="13">
        <f>IF('Données projet'!$A$62&gt;35,AI122+AH123-AQ122,IF(A123&lt;'Données projet'!$A$62,$AF$205^A123,IF(A123='Données projet'!$A$62,'Données projet'!$B$62,AI122+AH123-AQ122)))</f>
        <v>301.26777777777778</v>
      </c>
      <c r="AJ123" s="13">
        <f>AI123*VLOOKUP('Données projet'!$B$10,Paramètres!$A$1:$I$89,3,0)*VLOOKUP('Données projet'!$B$10,Paramètres!$A$1:$I$89,5,0)</f>
        <v>305.48552666666666</v>
      </c>
      <c r="AK123" s="13">
        <f t="shared" si="89"/>
        <v>72.325225017462003</v>
      </c>
      <c r="AL123" s="20">
        <f t="shared" si="58"/>
        <v>658.020392516524</v>
      </c>
      <c r="AM123" s="59">
        <f t="shared" si="59"/>
        <v>951.35372584985726</v>
      </c>
      <c r="AN123" s="59">
        <f ca="1">AVERAGE(OFFSET($AM$3,0,0,'Données projet'!$E$10+1,1))-AVERAGE(OFFSET($H$3,0,0,'Données projet'!$E$10+1,1))</f>
        <v>486.4870616281359</v>
      </c>
      <c r="AO123" s="59">
        <f t="shared" si="90"/>
        <v>247.29100537955225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18.526300565958014</v>
      </c>
      <c r="AV123" s="21">
        <f>EXP(-LN(2)/25)*AV122+(1-EXP(-LN(2)/25))/(LN(2)/25)*Calculateur!AQ123*Calculateur!AS123*VLOOKUP('Données projet'!$B$10,Paramètres!$A$1:$I$89,3,0)*0.475*44/12</f>
        <v>22.355358557172757</v>
      </c>
      <c r="AW123" s="21">
        <f>EXP(-LN(2)/2)*AW122+(1-EXP(-LN(2)/2))/(LN(2)/2)*AQ123*AT123*VLOOKUP('Données projet'!$B$10,Paramètres!$A$1:$I$89,3,0)*0.475*44/12</f>
        <v>0.36757745135274228</v>
      </c>
      <c r="AX123" s="21">
        <f t="shared" si="60"/>
        <v>41.249236574483518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4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25.822368000000033</v>
      </c>
      <c r="D124" s="11">
        <f t="shared" si="86"/>
        <v>8.1506414512606327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62.939470141282918</v>
      </c>
      <c r="H124" s="67">
        <f t="shared" si="56"/>
        <v>315.83632479427899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-2.2737367544323206E-13</v>
      </c>
      <c r="O124" s="13">
        <f>N124*VLOOKUP('Données projet'!$B$9,Paramètres!$A$1:$I$89,3,0)*VLOOKUP('Données projet'!$B$9,Paramètres!$A$1:$I$89,5,0)</f>
        <v>-1.3596945791505279E-13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329.62068845923676</v>
      </c>
      <c r="T124" s="59">
        <f t="shared" si="88"/>
        <v>243.22501652129546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68.047919515270266</v>
      </c>
      <c r="AA124" s="21">
        <f>EXP(-LN(2)/25)*AA123+(1-EXP(-LN(2)/25))/(LN(2)/25)*Calculateur!V124*Calculateur!X124*VLOOKUP('Données projet'!$B$9,Paramètres!$A$1:$I$89,3,0)*0.475*44/12</f>
        <v>16.602517019204132</v>
      </c>
      <c r="AB124" s="21">
        <f>EXP(-LN(2)/2)*AB123+(1-EXP(-LN(2)/2))/(LN(2)/2)*V124*Y124*VLOOKUP('Données projet'!$B$9,Paramètres!$A$1:$I$89,3,0)*0.475*44/12</f>
        <v>4.7687738101464774E-5</v>
      </c>
      <c r="AC124" s="22">
        <f t="shared" si="57"/>
        <v>84.650484222212498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7.0011111111111104</v>
      </c>
      <c r="AI124" s="13">
        <f>IF('Données projet'!$A$62&gt;35,AI123+AH124-AQ123,IF(A124&lt;'Données projet'!$A$62,$AF$205^A124,IF(A124='Données projet'!$A$62,'Données projet'!$B$62,AI123+AH124-AQ123)))</f>
        <v>308.26888888888891</v>
      </c>
      <c r="AJ124" s="13">
        <f>AI124*VLOOKUP('Données projet'!$B$10,Paramètres!$A$1:$I$89,3,0)*VLOOKUP('Données projet'!$B$10,Paramètres!$A$1:$I$89,5,0)</f>
        <v>312.58465333333339</v>
      </c>
      <c r="AK124" s="13">
        <f t="shared" si="89"/>
        <v>73.808347542593367</v>
      </c>
      <c r="AL124" s="20">
        <f t="shared" si="58"/>
        <v>672.96780985890575</v>
      </c>
      <c r="AM124" s="59">
        <f t="shared" si="59"/>
        <v>966.30114319223912</v>
      </c>
      <c r="AN124" s="59">
        <f ca="1">AVERAGE(OFFSET($AM$3,0,0,'Données projet'!$E$10+1,1))-AVERAGE(OFFSET($H$3,0,0,'Données projet'!$E$10+1,1))</f>
        <v>486.4870616281359</v>
      </c>
      <c r="AO124" s="59">
        <f t="shared" si="90"/>
        <v>247.29100537955225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18.163011111787146</v>
      </c>
      <c r="AV124" s="21">
        <f>EXP(-LN(2)/25)*AV123+(1-EXP(-LN(2)/25))/(LN(2)/25)*Calculateur!AQ124*Calculateur!AS124*VLOOKUP('Données projet'!$B$10,Paramètres!$A$1:$I$89,3,0)*0.475*44/12</f>
        <v>21.744050101809655</v>
      </c>
      <c r="AW124" s="21">
        <f>EXP(-LN(2)/2)*AW123+(1-EXP(-LN(2)/2))/(LN(2)/2)*AQ124*AT124*VLOOKUP('Données projet'!$B$10,Paramètres!$A$1:$I$89,3,0)*0.475*44/12</f>
        <v>0.25991650846279235</v>
      </c>
      <c r="AX124" s="21">
        <f t="shared" si="60"/>
        <v>40.166977722059599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4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26.035776000000034</v>
      </c>
      <c r="D125" s="11">
        <f t="shared" si="86"/>
        <v>8.210132801144848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63.445052094752633</v>
      </c>
      <c r="H125" s="67">
        <f t="shared" si="56"/>
        <v>316.31162449532735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-2.2737367544323206E-13</v>
      </c>
      <c r="O125" s="13">
        <f>N125*VLOOKUP('Données projet'!$B$9,Paramètres!$A$1:$I$89,3,0)*VLOOKUP('Données projet'!$B$9,Paramètres!$A$1:$I$89,5,0)</f>
        <v>-1.3596945791505279E-13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329.62068845923676</v>
      </c>
      <c r="T125" s="59">
        <f t="shared" si="88"/>
        <v>243.22501652129546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66.713541318708423</v>
      </c>
      <c r="AA125" s="21">
        <f>EXP(-LN(2)/25)*AA124+(1-EXP(-LN(2)/25))/(LN(2)/25)*Calculateur!V125*Calculateur!X125*VLOOKUP('Données projet'!$B$9,Paramètres!$A$1:$I$89,3,0)*0.475*44/12</f>
        <v>16.148520318225572</v>
      </c>
      <c r="AB125" s="21">
        <f>EXP(-LN(2)/2)*AB124+(1-EXP(-LN(2)/2))/(LN(2)/2)*V125*Y125*VLOOKUP('Données projet'!$B$9,Paramètres!$A$1:$I$89,3,0)*0.475*44/12</f>
        <v>3.3720322990993837E-5</v>
      </c>
      <c r="AC125" s="22">
        <f t="shared" si="57"/>
        <v>82.862095357256976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>
        <f>VLOOKUP(A125,'Données projet'!$A$61:$I$81,2,0)</f>
        <v>315.27</v>
      </c>
      <c r="AG125" s="12">
        <f>VLOOKUP(A125,'Données projet'!$A$61:$I$81,9,0)</f>
        <v>7.0011111111111104</v>
      </c>
      <c r="AH125" s="12">
        <f t="array" ref="AH125">INDEX(AG:AG,MIN(IF(ISNUMBER(AG125:AG321),ROW(AG125:AG321),"")))</f>
        <v>7.0011111111111104</v>
      </c>
      <c r="AI125" s="13">
        <f>IF('Données projet'!$A$62&gt;35,AI124+AH125-AQ124,IF(A125&lt;'Données projet'!$A$62,$AF$205^A125,IF(A125='Données projet'!$A$62,'Données projet'!$B$62,AI124+AH125-AQ124)))</f>
        <v>315.27000000000004</v>
      </c>
      <c r="AJ125" s="13">
        <f>AI125*VLOOKUP('Données projet'!$B$10,Paramètres!$A$1:$I$89,3,0)*VLOOKUP('Données projet'!$B$10,Paramètres!$A$1:$I$89,5,0)</f>
        <v>319.68378000000007</v>
      </c>
      <c r="AK125" s="13">
        <f t="shared" si="89"/>
        <v>75.287554156575837</v>
      </c>
      <c r="AL125" s="20">
        <f t="shared" si="58"/>
        <v>687.90840698936972</v>
      </c>
      <c r="AM125" s="59">
        <f t="shared" si="59"/>
        <v>981.24174032270298</v>
      </c>
      <c r="AN125" s="59">
        <f ca="1">AVERAGE(OFFSET($AM$3,0,0,'Données projet'!$E$10+1,1))-AVERAGE(OFFSET($H$3,0,0,'Données projet'!$E$10+1,1))</f>
        <v>486.4870616281359</v>
      </c>
      <c r="AO125" s="59">
        <f t="shared" si="90"/>
        <v>247.29100537955225</v>
      </c>
      <c r="AP125" s="15">
        <f>IF(ISNA(VLOOKUP(A125,'Données projet'!$A$61:$I$81,3,0)),0,VLOOKUP(A125,'Données projet'!$A$61:$I$81,3,0))</f>
        <v>8</v>
      </c>
      <c r="AQ125" s="15">
        <f>IF(ISNA(VLOOKUP(A125,'Données projet'!$A$61:$I$81,4,0)),0,VLOOKUP(A125,'Données projet'!$A$61:$I$81,4,0))</f>
        <v>45.829999999999984</v>
      </c>
      <c r="AR125" s="16">
        <f>IF(ISNA(VLOOKUP(A125,'Données projet'!$A$61:$I$81,5,0)),0%,VLOOKUP(A125,'Données projet'!$A$61:$I$81,5,0)*VLOOKUP('Données projet'!$B$10,Paramètres!$A$1:$I$89,7,0))</f>
        <v>0.15049999999999999</v>
      </c>
      <c r="AS125" s="16">
        <f>IF(ISNA(VLOOKUP(A125,'Données projet'!$A$61:$I$81,6,0)),0%,VLOOKUP(A125,'Données projet'!$A$61:$I$81,6,0)*VLOOKUP('Données projet'!$B$10,Paramètres!$A$1:$I$89,7,0))</f>
        <v>8.6000000000000007E-2</v>
      </c>
      <c r="AT125" s="16">
        <f>IF(ISNA(VLOOKUP(A125,'Données projet'!$A$61:$I$81,7,0)),0%,VLOOKUP(A125,'Données projet'!$A$61:$I$81,7,0))</f>
        <v>0.1</v>
      </c>
      <c r="AU125" s="21">
        <f>EXP(-LN(2)/35)*AU124+(1-EXP(-LN(2)/35))/(LN(2)/35)*AQ125*AR125*VLOOKUP('Données projet'!$B$10,Paramètres!$A$1:$I$89,3,0)*0.475*44/12</f>
        <v>25.538481951763991</v>
      </c>
      <c r="AV125" s="21">
        <f>EXP(-LN(2)/25)*AV124+(1-EXP(-LN(2)/25))/(LN(2)/25)*Calculateur!AQ125*Calculateur!AS125*VLOOKUP('Données projet'!$B$10,Paramètres!$A$1:$I$89,3,0)*0.475*44/12</f>
        <v>25.550140200309961</v>
      </c>
      <c r="AW125" s="21">
        <f>EXP(-LN(2)/2)*AW124+(1-EXP(-LN(2)/2))/(LN(2)/2)*AQ125*AT125*VLOOKUP('Données projet'!$B$10,Paramètres!$A$1:$I$89,3,0)*0.475*44/12</f>
        <v>4.568511149207775</v>
      </c>
      <c r="AX125" s="21">
        <f t="shared" si="60"/>
        <v>55.657133301281725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4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26.249184000000035</v>
      </c>
      <c r="D126" s="11">
        <f t="shared" si="86"/>
        <v>8.2695674168266908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63.950528940647395</v>
      </c>
      <c r="H126" s="67">
        <f t="shared" si="56"/>
        <v>316.78682538430655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-2.2737367544323206E-13</v>
      </c>
      <c r="O126" s="13">
        <f>N126*VLOOKUP('Données projet'!$B$9,Paramètres!$A$1:$I$89,3,0)*VLOOKUP('Données projet'!$B$9,Paramètres!$A$1:$I$89,5,0)</f>
        <v>-1.3596945791505279E-13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329.62068845923676</v>
      </c>
      <c r="T126" s="59">
        <f t="shared" si="88"/>
        <v>243.22501652129546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65.405329464690823</v>
      </c>
      <c r="AA126" s="21">
        <f>EXP(-LN(2)/25)*AA125+(1-EXP(-LN(2)/25))/(LN(2)/25)*Calculateur!V126*Calculateur!X126*VLOOKUP('Données projet'!$B$9,Paramètres!$A$1:$I$89,3,0)*0.475*44/12</f>
        <v>15.706938180909917</v>
      </c>
      <c r="AB126" s="21">
        <f>EXP(-LN(2)/2)*AB125+(1-EXP(-LN(2)/2))/(LN(2)/2)*V126*Y126*VLOOKUP('Données projet'!$B$9,Paramètres!$A$1:$I$89,3,0)*0.475*44/12</f>
        <v>2.3843869050732387E-5</v>
      </c>
      <c r="AC126" s="22">
        <f t="shared" si="57"/>
        <v>81.112291489469783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7.1129999999999995</v>
      </c>
      <c r="AI126" s="13">
        <f>IF('Données projet'!$A$62&gt;35,AI125+AH126-AQ125,IF(A126&lt;'Données projet'!$A$62,$AF$205^A126,IF(A126='Données projet'!$A$62,'Données projet'!$B$62,AI125+AH126-AQ125)))</f>
        <v>276.55300000000005</v>
      </c>
      <c r="AJ126" s="13">
        <f>AI126*VLOOKUP('Données projet'!$B$10,Paramètres!$A$1:$I$89,3,0)*VLOOKUP('Données projet'!$B$10,Paramètres!$A$1:$I$89,5,0)</f>
        <v>280.42474200000009</v>
      </c>
      <c r="AK126" s="13">
        <f t="shared" si="89"/>
        <v>67.056761155527383</v>
      </c>
      <c r="AL126" s="20">
        <f t="shared" si="58"/>
        <v>605.19695132921026</v>
      </c>
      <c r="AM126" s="59">
        <f t="shared" si="59"/>
        <v>898.53028466254364</v>
      </c>
      <c r="AN126" s="59">
        <f ca="1">AVERAGE(OFFSET($AM$3,0,0,'Données projet'!$E$10+1,1))-AVERAGE(OFFSET($H$3,0,0,'Données projet'!$E$10+1,1))</f>
        <v>486.4870616281359</v>
      </c>
      <c r="AO126" s="59">
        <f t="shared" si="90"/>
        <v>247.29100537955225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25.037687897625794</v>
      </c>
      <c r="AV126" s="21">
        <f>EXP(-LN(2)/25)*AV125+(1-EXP(-LN(2)/25))/(LN(2)/25)*Calculateur!AQ126*Calculateur!AS126*VLOOKUP('Données projet'!$B$10,Paramètres!$A$1:$I$89,3,0)*0.475*44/12</f>
        <v>24.851470272909008</v>
      </c>
      <c r="AW126" s="21">
        <f>EXP(-LN(2)/2)*AW125+(1-EXP(-LN(2)/2))/(LN(2)/2)*AQ126*AT126*VLOOKUP('Données projet'!$B$10,Paramètres!$A$1:$I$89,3,0)*0.475*44/12</f>
        <v>3.2304252135311651</v>
      </c>
      <c r="AX126" s="21">
        <f t="shared" si="60"/>
        <v>53.119583384065962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4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26.462592000000036</v>
      </c>
      <c r="D127" s="11">
        <f t="shared" si="86"/>
        <v>8.3289458130175831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64.455901632537916</v>
      </c>
      <c r="H127" s="67">
        <f t="shared" si="56"/>
        <v>317.26192835767239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-2.2737367544323206E-13</v>
      </c>
      <c r="O127" s="13">
        <f>N127*VLOOKUP('Données projet'!$B$9,Paramètres!$A$1:$I$89,3,0)*VLOOKUP('Données projet'!$B$9,Paramètres!$A$1:$I$89,5,0)</f>
        <v>-1.3596945791505279E-13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329.62068845923676</v>
      </c>
      <c r="T127" s="59">
        <f t="shared" si="88"/>
        <v>243.22501652129546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64.122770847200073</v>
      </c>
      <c r="AA127" s="21">
        <f>EXP(-LN(2)/25)*AA126+(1-EXP(-LN(2)/25))/(LN(2)/25)*Calculateur!V127*Calculateur!X127*VLOOKUP('Données projet'!$B$9,Paramètres!$A$1:$I$89,3,0)*0.475*44/12</f>
        <v>15.277431130360956</v>
      </c>
      <c r="AB127" s="21">
        <f>EXP(-LN(2)/2)*AB126+(1-EXP(-LN(2)/2))/(LN(2)/2)*V127*Y127*VLOOKUP('Données projet'!$B$9,Paramètres!$A$1:$I$89,3,0)*0.475*44/12</f>
        <v>1.6860161495496918E-5</v>
      </c>
      <c r="AC127" s="22">
        <f t="shared" si="57"/>
        <v>79.40021883772252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7.1129999999999995</v>
      </c>
      <c r="AI127" s="13">
        <f>IF('Données projet'!$A$62&gt;35,AI126+AH127-AQ126,IF(A127&lt;'Données projet'!$A$62,$AF$205^A127,IF(A127='Données projet'!$A$62,'Données projet'!$B$62,AI126+AH127-AQ126)))</f>
        <v>283.66600000000005</v>
      </c>
      <c r="AJ127" s="13">
        <f>AI127*VLOOKUP('Données projet'!$B$10,Paramètres!$A$1:$I$89,3,0)*VLOOKUP('Données projet'!$B$10,Paramètres!$A$1:$I$89,5,0)</f>
        <v>287.63732400000009</v>
      </c>
      <c r="AK127" s="13">
        <f t="shared" si="89"/>
        <v>68.578458468860646</v>
      </c>
      <c r="AL127" s="20">
        <f t="shared" si="58"/>
        <v>620.40915446659915</v>
      </c>
      <c r="AM127" s="59">
        <f t="shared" si="59"/>
        <v>913.74248779993241</v>
      </c>
      <c r="AN127" s="59">
        <f ca="1">AVERAGE(OFFSET($AM$3,0,0,'Données projet'!$E$10+1,1))-AVERAGE(OFFSET($H$3,0,0,'Données projet'!$E$10+1,1))</f>
        <v>486.4870616281359</v>
      </c>
      <c r="AO127" s="59">
        <f t="shared" si="90"/>
        <v>247.29100537955225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24.546714109435037</v>
      </c>
      <c r="AV127" s="21">
        <f>EXP(-LN(2)/25)*AV126+(1-EXP(-LN(2)/25))/(LN(2)/25)*Calculateur!AQ127*Calculateur!AS127*VLOOKUP('Données projet'!$B$10,Paramètres!$A$1:$I$89,3,0)*0.475*44/12</f>
        <v>24.171905511414288</v>
      </c>
      <c r="AW127" s="21">
        <f>EXP(-LN(2)/2)*AW126+(1-EXP(-LN(2)/2))/(LN(2)/2)*AQ127*AT127*VLOOKUP('Données projet'!$B$10,Paramètres!$A$1:$I$89,3,0)*0.475*44/12</f>
        <v>2.284255574603888</v>
      </c>
      <c r="AX127" s="21">
        <f t="shared" si="60"/>
        <v>51.002875195453214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4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26.676000000000037</v>
      </c>
      <c r="D128" s="11">
        <f t="shared" si="86"/>
        <v>8.3882684956477984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64.961171107726528</v>
      </c>
      <c r="H128" s="67">
        <f t="shared" si="56"/>
        <v>317.7369342965867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-2.2737367544323206E-13</v>
      </c>
      <c r="O128" s="13">
        <f>N128*VLOOKUP('Données projet'!$B$9,Paramètres!$A$1:$I$89,3,0)*VLOOKUP('Données projet'!$B$9,Paramètres!$A$1:$I$89,5,0)</f>
        <v>-1.3596945791505279E-13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329.62068845923676</v>
      </c>
      <c r="T128" s="59">
        <f t="shared" si="88"/>
        <v>243.22501652129546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62.865362421914803</v>
      </c>
      <c r="AA128" s="21">
        <f>EXP(-LN(2)/25)*AA127+(1-EXP(-LN(2)/25))/(LN(2)/25)*Calculateur!V128*Calculateur!X128*VLOOKUP('Données projet'!$B$9,Paramètres!$A$1:$I$89,3,0)*0.475*44/12</f>
        <v>14.859668972696049</v>
      </c>
      <c r="AB128" s="21">
        <f>EXP(-LN(2)/2)*AB127+(1-EXP(-LN(2)/2))/(LN(2)/2)*V128*Y128*VLOOKUP('Données projet'!$B$9,Paramètres!$A$1:$I$89,3,0)*0.475*44/12</f>
        <v>1.1921934525366193E-5</v>
      </c>
      <c r="AC128" s="22">
        <f t="shared" si="57"/>
        <v>77.725043316545381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7.1129999999999995</v>
      </c>
      <c r="AI128" s="13">
        <f>IF('Données projet'!$A$62&gt;35,AI127+AH128-AQ127,IF(A128&lt;'Données projet'!$A$62,$AF$205^A128,IF(A128='Données projet'!$A$62,'Données projet'!$B$62,AI127+AH128-AQ127)))</f>
        <v>290.77900000000005</v>
      </c>
      <c r="AJ128" s="13">
        <f>AI128*VLOOKUP('Données projet'!$B$10,Paramètres!$A$1:$I$89,3,0)*VLOOKUP('Données projet'!$B$10,Paramètres!$A$1:$I$89,5,0)</f>
        <v>294.84990600000009</v>
      </c>
      <c r="AK128" s="13">
        <f t="shared" si="89"/>
        <v>70.095720295999868</v>
      </c>
      <c r="AL128" s="20">
        <f t="shared" si="58"/>
        <v>635.61363246553321</v>
      </c>
      <c r="AM128" s="59">
        <f t="shared" si="59"/>
        <v>928.94696579886659</v>
      </c>
      <c r="AN128" s="59">
        <f ca="1">AVERAGE(OFFSET($AM$3,0,0,'Données projet'!$E$10+1,1))-AVERAGE(OFFSET($H$3,0,0,'Données projet'!$E$10+1,1))</f>
        <v>486.4870616281359</v>
      </c>
      <c r="AO128" s="59">
        <f t="shared" si="90"/>
        <v>247.29100537955225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24.065368017766257</v>
      </c>
      <c r="AV128" s="21">
        <f>EXP(-LN(2)/25)*AV127+(1-EXP(-LN(2)/25))/(LN(2)/25)*Calculateur!AQ128*Calculateur!AS128*VLOOKUP('Données projet'!$B$10,Paramètres!$A$1:$I$89,3,0)*0.475*44/12</f>
        <v>23.510923484059397</v>
      </c>
      <c r="AW128" s="21">
        <f>EXP(-LN(2)/2)*AW127+(1-EXP(-LN(2)/2))/(LN(2)/2)*AQ128*AT128*VLOOKUP('Données projet'!$B$10,Paramètres!$A$1:$I$89,3,0)*0.475*44/12</f>
        <v>1.615212606765583</v>
      </c>
      <c r="AX128" s="21">
        <f t="shared" si="60"/>
        <v>49.191504108591232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4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26.889408000000039</v>
      </c>
      <c r="D129" s="11">
        <f t="shared" si="86"/>
        <v>8.4475359620853379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65.466338287652903</v>
      </c>
      <c r="H129" s="67">
        <f t="shared" si="56"/>
        <v>318.21184406729873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-2.2737367544323206E-13</v>
      </c>
      <c r="O129" s="13">
        <f>N129*VLOOKUP('Données projet'!$B$9,Paramètres!$A$1:$I$89,3,0)*VLOOKUP('Données projet'!$B$9,Paramètres!$A$1:$I$89,5,0)</f>
        <v>-1.3596945791505279E-13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329.62068845923676</v>
      </c>
      <c r="T129" s="59">
        <f t="shared" si="88"/>
        <v>243.22501652129546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61.632611008905968</v>
      </c>
      <c r="AA129" s="21">
        <f>EXP(-LN(2)/25)*AA128+(1-EXP(-LN(2)/25))/(LN(2)/25)*Calculateur!V129*Calculateur!X129*VLOOKUP('Données projet'!$B$9,Paramètres!$A$1:$I$89,3,0)*0.475*44/12</f>
        <v>14.453330543201647</v>
      </c>
      <c r="AB129" s="21">
        <f>EXP(-LN(2)/2)*AB128+(1-EXP(-LN(2)/2))/(LN(2)/2)*V129*Y129*VLOOKUP('Données projet'!$B$9,Paramètres!$A$1:$I$89,3,0)*0.475*44/12</f>
        <v>8.4300807477484592E-6</v>
      </c>
      <c r="AC129" s="22">
        <f t="shared" si="57"/>
        <v>76.085949982188367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7.1129999999999995</v>
      </c>
      <c r="AI129" s="13">
        <f>IF('Données projet'!$A$62&gt;35,AI128+AH129-AQ128,IF(A129&lt;'Données projet'!$A$62,$AF$205^A129,IF(A129='Données projet'!$A$62,'Données projet'!$B$62,AI128+AH129-AQ128)))</f>
        <v>297.89200000000005</v>
      </c>
      <c r="AJ129" s="13">
        <f>AI129*VLOOKUP('Données projet'!$B$10,Paramètres!$A$1:$I$89,3,0)*VLOOKUP('Données projet'!$B$10,Paramètres!$A$1:$I$89,5,0)</f>
        <v>302.06248800000009</v>
      </c>
      <c r="AK129" s="13">
        <f t="shared" si="89"/>
        <v>71.608667618813385</v>
      </c>
      <c r="AL129" s="20">
        <f t="shared" si="58"/>
        <v>650.81059603610004</v>
      </c>
      <c r="AM129" s="59">
        <f t="shared" si="59"/>
        <v>944.14392936943341</v>
      </c>
      <c r="AN129" s="59">
        <f ca="1">AVERAGE(OFFSET($AM$3,0,0,'Données projet'!$E$10+1,1))-AVERAGE(OFFSET($H$3,0,0,'Données projet'!$E$10+1,1))</f>
        <v>486.4870616281359</v>
      </c>
      <c r="AO129" s="59">
        <f t="shared" si="90"/>
        <v>247.29100537955225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23.593460829362979</v>
      </c>
      <c r="AV129" s="21">
        <f>EXP(-LN(2)/25)*AV128+(1-EXP(-LN(2)/25))/(LN(2)/25)*Calculateur!AQ129*Calculateur!AS129*VLOOKUP('Données projet'!$B$10,Paramètres!$A$1:$I$89,3,0)*0.475*44/12</f>
        <v>22.868016045002062</v>
      </c>
      <c r="AW129" s="21">
        <f>EXP(-LN(2)/2)*AW128+(1-EXP(-LN(2)/2))/(LN(2)/2)*AQ129*AT129*VLOOKUP('Données projet'!$B$10,Paramètres!$A$1:$I$89,3,0)*0.475*44/12</f>
        <v>1.1421277873019442</v>
      </c>
      <c r="AX129" s="21">
        <f t="shared" si="60"/>
        <v>47.603604661666985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4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27.10281600000004</v>
      </c>
      <c r="D130" s="11">
        <f t="shared" si="86"/>
        <v>8.5067487013475933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65.971404078286142</v>
      </c>
      <c r="H130" s="67">
        <f t="shared" si="56"/>
        <v>318.68665852151383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-2.2737367544323206E-13</v>
      </c>
      <c r="O130" s="13">
        <f>N130*VLOOKUP('Données projet'!$B$9,Paramètres!$A$1:$I$89,3,0)*VLOOKUP('Données projet'!$B$9,Paramètres!$A$1:$I$89,5,0)</f>
        <v>-1.3596945791505279E-13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329.62068845923676</v>
      </c>
      <c r="T130" s="59">
        <f t="shared" si="88"/>
        <v>243.22501652129546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60.42403309920212</v>
      </c>
      <c r="AA130" s="21">
        <f>EXP(-LN(2)/25)*AA129+(1-EXP(-LN(2)/25))/(LN(2)/25)*Calculateur!V130*Calculateur!X130*VLOOKUP('Données projet'!$B$9,Paramètres!$A$1:$I$89,3,0)*0.475*44/12</f>
        <v>14.058103459430178</v>
      </c>
      <c r="AB130" s="21">
        <f>EXP(-LN(2)/2)*AB129+(1-EXP(-LN(2)/2))/(LN(2)/2)*V130*Y130*VLOOKUP('Données projet'!$B$9,Paramètres!$A$1:$I$89,3,0)*0.475*44/12</f>
        <v>5.9609672626830967E-6</v>
      </c>
      <c r="AC130" s="22">
        <f t="shared" si="57"/>
        <v>74.482142519599563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7.1129999999999995</v>
      </c>
      <c r="AI130" s="13">
        <f>IF('Données projet'!$A$62&gt;35,AI129+AH130-AQ129,IF(A130&lt;'Données projet'!$A$62,$AF$205^A130,IF(A130='Données projet'!$A$62,'Données projet'!$B$62,AI129+AH130-AQ129)))</f>
        <v>305.00500000000005</v>
      </c>
      <c r="AJ130" s="13">
        <f>AI130*VLOOKUP('Données projet'!$B$10,Paramètres!$A$1:$I$89,3,0)*VLOOKUP('Données projet'!$B$10,Paramètres!$A$1:$I$89,5,0)</f>
        <v>309.27507000000008</v>
      </c>
      <c r="AK130" s="13">
        <f t="shared" si="89"/>
        <v>73.117415312099666</v>
      </c>
      <c r="AL130" s="20">
        <f t="shared" si="58"/>
        <v>666.00024525190713</v>
      </c>
      <c r="AM130" s="59">
        <f t="shared" si="59"/>
        <v>959.3335785852405</v>
      </c>
      <c r="AN130" s="59">
        <f ca="1">AVERAGE(OFFSET($AM$3,0,0,'Données projet'!$E$10+1,1))-AVERAGE(OFFSET($H$3,0,0,'Données projet'!$E$10+1,1))</f>
        <v>486.4870616281359</v>
      </c>
      <c r="AO130" s="59">
        <f t="shared" si="90"/>
        <v>247.29100537955225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23.130807453089325</v>
      </c>
      <c r="AV130" s="21">
        <f>EXP(-LN(2)/25)*AV129+(1-EXP(-LN(2)/25))/(LN(2)/25)*Calculateur!AQ130*Calculateur!AS130*VLOOKUP('Données projet'!$B$10,Paramètres!$A$1:$I$89,3,0)*0.475*44/12</f>
        <v>22.242688943674782</v>
      </c>
      <c r="AW130" s="21">
        <f>EXP(-LN(2)/2)*AW129+(1-EXP(-LN(2)/2))/(LN(2)/2)*AQ130*AT130*VLOOKUP('Données projet'!$B$10,Paramètres!$A$1:$I$89,3,0)*0.475*44/12</f>
        <v>0.8076063033827916</v>
      </c>
      <c r="AX130" s="21">
        <f t="shared" si="60"/>
        <v>46.181102700146901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4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27.316224000000041</v>
      </c>
      <c r="D131" s="11">
        <f t="shared" si="86"/>
        <v>8.5659071943061686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66.476369370504145</v>
      </c>
      <c r="H131" s="67">
        <f t="shared" si="56"/>
        <v>319.16137849674999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-2.2737367544323206E-13</v>
      </c>
      <c r="O131" s="13">
        <f>N131*VLOOKUP('Données projet'!$B$9,Paramètres!$A$1:$I$89,3,0)*VLOOKUP('Données projet'!$B$9,Paramètres!$A$1:$I$89,5,0)</f>
        <v>-1.3596945791505279E-13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329.62068845923676</v>
      </c>
      <c r="T131" s="59">
        <f t="shared" si="88"/>
        <v>243.22501652129546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59.239154665147829</v>
      </c>
      <c r="AA131" s="21">
        <f>EXP(-LN(2)/25)*AA130+(1-EXP(-LN(2)/25))/(LN(2)/25)*Calculateur!V131*Calculateur!X131*VLOOKUP('Données projet'!$B$9,Paramètres!$A$1:$I$89,3,0)*0.475*44/12</f>
        <v>13.673683881048529</v>
      </c>
      <c r="AB131" s="21">
        <f>EXP(-LN(2)/2)*AB130+(1-EXP(-LN(2)/2))/(LN(2)/2)*V131*Y131*VLOOKUP('Données projet'!$B$9,Paramètres!$A$1:$I$89,3,0)*0.475*44/12</f>
        <v>4.2150403738742296E-6</v>
      </c>
      <c r="AC131" s="22">
        <f t="shared" si="57"/>
        <v>72.912842761236732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7.1129999999999995</v>
      </c>
      <c r="AI131" s="13">
        <f>IF('Données projet'!$A$62&gt;35,AI130+AH131-AQ130,IF(A131&lt;'Données projet'!$A$62,$AF$205^A131,IF(A131='Données projet'!$A$62,'Données projet'!$B$62,AI130+AH131-AQ130)))</f>
        <v>312.11800000000005</v>
      </c>
      <c r="AJ131" s="13">
        <f>AI131*VLOOKUP('Données projet'!$B$10,Paramètres!$A$1:$I$89,3,0)*VLOOKUP('Données projet'!$B$10,Paramètres!$A$1:$I$89,5,0)</f>
        <v>316.48765200000008</v>
      </c>
      <c r="AK131" s="13">
        <f t="shared" si="89"/>
        <v>74.622072586992616</v>
      </c>
      <c r="AL131" s="20">
        <f t="shared" si="58"/>
        <v>681.18277032234562</v>
      </c>
      <c r="AM131" s="59">
        <f t="shared" si="59"/>
        <v>974.51610365567899</v>
      </c>
      <c r="AN131" s="59">
        <f ca="1">AVERAGE(OFFSET($AM$3,0,0,'Données projet'!$E$10+1,1))-AVERAGE(OFFSET($H$3,0,0,'Données projet'!$E$10+1,1))</f>
        <v>486.4870616281359</v>
      </c>
      <c r="AO131" s="59">
        <f t="shared" si="90"/>
        <v>247.29100537955225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22.6772264273337</v>
      </c>
      <c r="AV131" s="21">
        <f>EXP(-LN(2)/25)*AV130+(1-EXP(-LN(2)/25))/(LN(2)/25)*Calculateur!AQ131*Calculateur!AS131*VLOOKUP('Données projet'!$B$10,Paramètres!$A$1:$I$89,3,0)*0.475*44/12</f>
        <v>21.63446144481782</v>
      </c>
      <c r="AW131" s="21">
        <f>EXP(-LN(2)/2)*AW130+(1-EXP(-LN(2)/2))/(LN(2)/2)*AQ131*AT131*VLOOKUP('Données projet'!$B$10,Paramètres!$A$1:$I$89,3,0)*0.475*44/12</f>
        <v>0.57106389365097221</v>
      </c>
      <c r="AX131" s="21">
        <f t="shared" si="60"/>
        <v>44.882751765802496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4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27.529632000000042</v>
      </c>
      <c r="D132" s="11">
        <f t="shared" si="86"/>
        <v>8.6250119138851478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66.981235040460987</v>
      </c>
      <c r="H132" s="67">
        <f t="shared" ref="H132:H195" si="110">(B132+E132+F132)*44/12+(C132+D132)*0.475*44/12</f>
        <v>319.6360048166834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-2.2737367544323206E-13</v>
      </c>
      <c r="O132" s="13">
        <f>N132*VLOOKUP('Données projet'!$B$9,Paramètres!$A$1:$I$89,3,0)*VLOOKUP('Données projet'!$B$9,Paramètres!$A$1:$I$89,5,0)</f>
        <v>-1.3596945791505279E-13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329.62068845923676</v>
      </c>
      <c r="T132" s="59">
        <f t="shared" si="88"/>
        <v>243.22501652129546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58.077510974480859</v>
      </c>
      <c r="AA132" s="21">
        <f>EXP(-LN(2)/25)*AA131+(1-EXP(-LN(2)/25))/(LN(2)/25)*Calculateur!V132*Calculateur!X132*VLOOKUP('Données projet'!$B$9,Paramètres!$A$1:$I$89,3,0)*0.475*44/12</f>
        <v>13.299776276253473</v>
      </c>
      <c r="AB132" s="21">
        <f>EXP(-LN(2)/2)*AB131+(1-EXP(-LN(2)/2))/(LN(2)/2)*V132*Y132*VLOOKUP('Données projet'!$B$9,Paramètres!$A$1:$I$89,3,0)*0.475*44/12</f>
        <v>2.9804836313415484E-6</v>
      </c>
      <c r="AC132" s="22">
        <f t="shared" ref="AC132:AC153" si="111">SUM(Z132:AB132)</f>
        <v>71.377290231217955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7.1129999999999995</v>
      </c>
      <c r="AI132" s="13">
        <f>IF('Données projet'!$A$62&gt;35,AI131+AH132-AQ131,IF(A132&lt;'Données projet'!$A$62,$AF$205^A132,IF(A132='Données projet'!$A$62,'Données projet'!$B$62,AI131+AH132-AQ131)))</f>
        <v>319.23100000000005</v>
      </c>
      <c r="AJ132" s="13">
        <f>AI132*VLOOKUP('Données projet'!$B$10,Paramètres!$A$1:$I$89,3,0)*VLOOKUP('Données projet'!$B$10,Paramètres!$A$1:$I$89,5,0)</f>
        <v>323.70023400000008</v>
      </c>
      <c r="AK132" s="13">
        <f t="shared" si="89"/>
        <v>76.122743392807436</v>
      </c>
      <c r="AL132" s="20">
        <f t="shared" ref="AL132:AL153" si="112">(AJ132+AK132)*0.475*44/12</f>
        <v>696.35835229247311</v>
      </c>
      <c r="AM132" s="59">
        <f t="shared" ref="AM132:AM195" si="113">AL132+(AD132+AE132)*44/12</f>
        <v>989.69168562580649</v>
      </c>
      <c r="AN132" s="59">
        <f ca="1">AVERAGE(OFFSET($AM$3,0,0,'Données projet'!$E$10+1,1))-AVERAGE(OFFSET($H$3,0,0,'Données projet'!$E$10+1,1))</f>
        <v>486.4870616281359</v>
      </c>
      <c r="AO132" s="59">
        <f t="shared" si="90"/>
        <v>247.29100537955225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22.232539848836037</v>
      </c>
      <c r="AV132" s="21">
        <f>EXP(-LN(2)/25)*AV131+(1-EXP(-LN(2)/25))/(LN(2)/25)*Calculateur!AQ132*Calculateur!AS132*VLOOKUP('Données projet'!$B$10,Paramètres!$A$1:$I$89,3,0)*0.475*44/12</f>
        <v>21.042865958902397</v>
      </c>
      <c r="AW132" s="21">
        <f>EXP(-LN(2)/2)*AW131+(1-EXP(-LN(2)/2))/(LN(2)/2)*AQ132*AT132*VLOOKUP('Données projet'!$B$10,Paramètres!$A$1:$I$89,3,0)*0.475*44/12</f>
        <v>0.40380315169139586</v>
      </c>
      <c r="AX132" s="21">
        <f t="shared" ref="AX132:AX153" si="114">SUM(AU132:AW132)</f>
        <v>43.679208959429836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4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27.743040000000043</v>
      </c>
      <c r="D133" s="11">
        <f t="shared" ref="D133:D196" si="140">IFERROR(EXP(-1.0587+0.8836*LN(C133)+0.284),0)</f>
        <v>8.6840633252529784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67.486001949942448</v>
      </c>
      <c r="H133" s="67">
        <f t="shared" si="110"/>
        <v>320.11053829148238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-2.2737367544323206E-13</v>
      </c>
      <c r="O133" s="13">
        <f>N133*VLOOKUP('Données projet'!$B$9,Paramètres!$A$1:$I$89,3,0)*VLOOKUP('Données projet'!$B$9,Paramètres!$A$1:$I$89,5,0)</f>
        <v>-1.3596945791505279E-13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329.62068845923676</v>
      </c>
      <c r="T133" s="59">
        <f t="shared" ref="T133:T196" si="142">$T$3</f>
        <v>243.22501652129546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56.938646408055178</v>
      </c>
      <c r="AA133" s="21">
        <f>EXP(-LN(2)/25)*AA132+(1-EXP(-LN(2)/25))/(LN(2)/25)*Calculateur!V133*Calculateur!X133*VLOOKUP('Données projet'!$B$9,Paramètres!$A$1:$I$89,3,0)*0.475*44/12</f>
        <v>12.936093194574484</v>
      </c>
      <c r="AB133" s="21">
        <f>EXP(-LN(2)/2)*AB132+(1-EXP(-LN(2)/2))/(LN(2)/2)*V133*Y133*VLOOKUP('Données projet'!$B$9,Paramètres!$A$1:$I$89,3,0)*0.475*44/12</f>
        <v>2.1075201869371148E-6</v>
      </c>
      <c r="AC133" s="22">
        <f t="shared" si="111"/>
        <v>69.874741710149848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7.1129999999999995</v>
      </c>
      <c r="AI133" s="13">
        <f>IF('Données projet'!$A$62&gt;35,AI132+AH133-AQ132,IF(A133&lt;'Données projet'!$A$62,$AF$205^A133,IF(A133='Données projet'!$A$62,'Données projet'!$B$62,AI132+AH133-AQ132)))</f>
        <v>326.34400000000005</v>
      </c>
      <c r="AJ133" s="13">
        <f>AI133*VLOOKUP('Données projet'!$B$10,Paramètres!$A$1:$I$89,3,0)*VLOOKUP('Données projet'!$B$10,Paramètres!$A$1:$I$89,5,0)</f>
        <v>330.91281600000008</v>
      </c>
      <c r="AK133" s="13">
        <f t="shared" ref="AK133:AK153" si="143">EXP(-1.0587+0.8836*LN(AJ133)+0.284)</f>
        <v>77.619526782062408</v>
      </c>
      <c r="AL133" s="20">
        <f t="shared" si="112"/>
        <v>711.52716367875882</v>
      </c>
      <c r="AM133" s="59">
        <f t="shared" si="113"/>
        <v>1004.8604970120921</v>
      </c>
      <c r="AN133" s="59">
        <f ca="1">AVERAGE(OFFSET($AM$3,0,0,'Données projet'!$E$10+1,1))-AVERAGE(OFFSET($H$3,0,0,'Données projet'!$E$10+1,1))</f>
        <v>486.4870616281359</v>
      </c>
      <c r="AO133" s="59">
        <f t="shared" ref="AO133:AO196" si="144">$AO$3</f>
        <v>247.29100537955225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21.79657330291068</v>
      </c>
      <c r="AV133" s="21">
        <f>EXP(-LN(2)/25)*AV132+(1-EXP(-LN(2)/25))/(LN(2)/25)*Calculateur!AQ133*Calculateur!AS133*VLOOKUP('Données projet'!$B$10,Paramètres!$A$1:$I$89,3,0)*0.475*44/12</f>
        <v>20.467447682659984</v>
      </c>
      <c r="AW133" s="21">
        <f>EXP(-LN(2)/2)*AW132+(1-EXP(-LN(2)/2))/(LN(2)/2)*AQ133*AT133*VLOOKUP('Données projet'!$B$10,Paramètres!$A$1:$I$89,3,0)*0.475*44/12</f>
        <v>0.2855319468254861</v>
      </c>
      <c r="AX133" s="21">
        <f t="shared" si="114"/>
        <v>42.549552932396153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4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27.956448000000044</v>
      </c>
      <c r="D134" s="11">
        <f t="shared" si="140"/>
        <v>8.743061886008352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67.990670946710296</v>
      </c>
      <c r="H134" s="67">
        <f t="shared" si="110"/>
        <v>320.58497971813131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-2.2737367544323206E-13</v>
      </c>
      <c r="O134" s="13">
        <f>N134*VLOOKUP('Données projet'!$B$9,Paramètres!$A$1:$I$89,3,0)*VLOOKUP('Données projet'!$B$9,Paramètres!$A$1:$I$89,5,0)</f>
        <v>-1.3596945791505279E-13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329.62068845923676</v>
      </c>
      <c r="T134" s="59">
        <f t="shared" si="142"/>
        <v>243.22501652129546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55.822114281138305</v>
      </c>
      <c r="AA134" s="21">
        <f>EXP(-LN(2)/25)*AA133+(1-EXP(-LN(2)/25))/(LN(2)/25)*Calculateur!V134*Calculateur!X134*VLOOKUP('Données projet'!$B$9,Paramètres!$A$1:$I$89,3,0)*0.475*44/12</f>
        <v>12.582355045889269</v>
      </c>
      <c r="AB134" s="21">
        <f>EXP(-LN(2)/2)*AB133+(1-EXP(-LN(2)/2))/(LN(2)/2)*V134*Y134*VLOOKUP('Données projet'!$B$9,Paramètres!$A$1:$I$89,3,0)*0.475*44/12</f>
        <v>1.4902418156707742E-6</v>
      </c>
      <c r="AC134" s="22">
        <f t="shared" si="111"/>
        <v>68.404470817269384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7.1129999999999995</v>
      </c>
      <c r="AI134" s="13">
        <f>IF('Données projet'!$A$62&gt;35,AI133+AH134-AQ133,IF(A134&lt;'Données projet'!$A$62,$AF$205^A134,IF(A134='Données projet'!$A$62,'Données projet'!$B$62,AI133+AH134-AQ133)))</f>
        <v>333.45700000000005</v>
      </c>
      <c r="AJ134" s="13">
        <f>AI134*VLOOKUP('Données projet'!$B$10,Paramètres!$A$1:$I$89,3,0)*VLOOKUP('Données projet'!$B$10,Paramètres!$A$1:$I$89,5,0)</f>
        <v>338.12539800000008</v>
      </c>
      <c r="AK134" s="13">
        <f t="shared" si="143"/>
        <v>79.112517242778139</v>
      </c>
      <c r="AL134" s="20">
        <f t="shared" si="112"/>
        <v>726.68936904783868</v>
      </c>
      <c r="AM134" s="59">
        <f t="shared" si="113"/>
        <v>1020.0227023811719</v>
      </c>
      <c r="AN134" s="59">
        <f ca="1">AVERAGE(OFFSET($AM$3,0,0,'Données projet'!$E$10+1,1))-AVERAGE(OFFSET($H$3,0,0,'Données projet'!$E$10+1,1))</f>
        <v>486.4870616281359</v>
      </c>
      <c r="AO134" s="59">
        <f t="shared" si="144"/>
        <v>247.29100537955225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21.369155795037585</v>
      </c>
      <c r="AV134" s="21">
        <f>EXP(-LN(2)/25)*AV133+(1-EXP(-LN(2)/25))/(LN(2)/25)*Calculateur!AQ134*Calculateur!AS134*VLOOKUP('Données projet'!$B$10,Paramètres!$A$1:$I$89,3,0)*0.475*44/12</f>
        <v>19.907764249441353</v>
      </c>
      <c r="AW134" s="21">
        <f>EXP(-LN(2)/2)*AW133+(1-EXP(-LN(2)/2))/(LN(2)/2)*AQ134*AT134*VLOOKUP('Données projet'!$B$10,Paramètres!$A$1:$I$89,3,0)*0.475*44/12</f>
        <v>0.20190157584569793</v>
      </c>
      <c r="AX134" s="21">
        <f t="shared" si="114"/>
        <v>41.478821620324638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4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28.169856000000046</v>
      </c>
      <c r="D135" s="11">
        <f t="shared" si="140"/>
        <v>8.8020080463601715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68.495242864835774</v>
      </c>
      <c r="H135" s="67">
        <f t="shared" si="110"/>
        <v>321.05932988074403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-2.2737367544323206E-13</v>
      </c>
      <c r="O135" s="13">
        <f>N135*VLOOKUP('Données projet'!$B$9,Paramètres!$A$1:$I$89,3,0)*VLOOKUP('Données projet'!$B$9,Paramètres!$A$1:$I$89,5,0)</f>
        <v>-1.3596945791505279E-13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329.62068845923676</v>
      </c>
      <c r="T135" s="59">
        <f t="shared" si="142"/>
        <v>243.22501652129546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54.727476668212923</v>
      </c>
      <c r="AA135" s="21">
        <f>EXP(-LN(2)/25)*AA134+(1-EXP(-LN(2)/25))/(LN(2)/25)*Calculateur!V135*Calculateur!X135*VLOOKUP('Données projet'!$B$9,Paramètres!$A$1:$I$89,3,0)*0.475*44/12</f>
        <v>12.238289885482132</v>
      </c>
      <c r="AB135" s="21">
        <f>EXP(-LN(2)/2)*AB134+(1-EXP(-LN(2)/2))/(LN(2)/2)*V135*Y135*VLOOKUP('Données projet'!$B$9,Paramètres!$A$1:$I$89,3,0)*0.475*44/12</f>
        <v>1.0537600934685574E-6</v>
      </c>
      <c r="AC135" s="22">
        <f t="shared" si="111"/>
        <v>66.965767607455149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>
        <f>VLOOKUP(A135,'Données projet'!$A$61:$I$81,2,0)</f>
        <v>340.57</v>
      </c>
      <c r="AG135" s="12">
        <f>VLOOKUP(A135,'Données projet'!$A$61:$I$81,9,0)</f>
        <v>7.1129999999999995</v>
      </c>
      <c r="AH135" s="12">
        <f t="array" ref="AH135">INDEX(AG:AG,MIN(IF(ISNUMBER(AG135:AG331),ROW(AG135:AG331),"")))</f>
        <v>7.1129999999999995</v>
      </c>
      <c r="AI135" s="13">
        <f>IF('Données projet'!$A$62&gt;35,AI134+AH135-AQ134,IF(A135&lt;'Données projet'!$A$62,$AF$205^A135,IF(A135='Données projet'!$A$62,'Données projet'!$B$62,AI134+AH135-AQ134)))</f>
        <v>340.57000000000005</v>
      </c>
      <c r="AJ135" s="13">
        <f>AI135*VLOOKUP('Données projet'!$B$10,Paramètres!$A$1:$I$89,3,0)*VLOOKUP('Données projet'!$B$10,Paramètres!$A$1:$I$89,5,0)</f>
        <v>345.33798000000007</v>
      </c>
      <c r="AK135" s="13">
        <f t="shared" si="143"/>
        <v>80.601805001623404</v>
      </c>
      <c r="AL135" s="20">
        <f t="shared" si="112"/>
        <v>741.84512554449418</v>
      </c>
      <c r="AM135" s="59">
        <f t="shared" si="113"/>
        <v>1035.1784588778276</v>
      </c>
      <c r="AN135" s="59">
        <f ca="1">AVERAGE(OFFSET($AM$3,0,0,'Données projet'!$E$10+1,1))-AVERAGE(OFFSET($H$3,0,0,'Données projet'!$E$10+1,1))</f>
        <v>486.4870616281359</v>
      </c>
      <c r="AO135" s="59">
        <f t="shared" si="144"/>
        <v>247.29100537955225</v>
      </c>
      <c r="AP135" s="15">
        <f>IF(ISNA(VLOOKUP(A135,'Données projet'!$A$61:$I$81,3,0)),0,VLOOKUP(A135,'Données projet'!$A$61:$I$81,3,0))</f>
        <v>9</v>
      </c>
      <c r="AQ135" s="15">
        <f>IF(ISNA(VLOOKUP(A135,'Données projet'!$A$61:$I$81,4,0)),0,VLOOKUP(A135,'Données projet'!$A$61:$I$81,4,0))</f>
        <v>48.699999999999989</v>
      </c>
      <c r="AR135" s="16">
        <f>IF(ISNA(VLOOKUP(A135,'Données projet'!$A$61:$I$81,5,0)),0%,VLOOKUP(A135,'Données projet'!$A$61:$I$81,5,0)*VLOOKUP('Données projet'!$B$10,Paramètres!$A$1:$I$89,7,0))</f>
        <v>0.15049999999999999</v>
      </c>
      <c r="AS135" s="16">
        <f>IF(ISNA(VLOOKUP(A135,'Données projet'!$A$61:$I$81,6,0)),0%,VLOOKUP(A135,'Données projet'!$A$61:$I$81,6,0)*VLOOKUP('Données projet'!$B$10,Paramètres!$A$1:$I$89,7,0))</f>
        <v>8.6000000000000007E-2</v>
      </c>
      <c r="AT135" s="16">
        <f>IF(ISNA(VLOOKUP(A135,'Données projet'!$A$61:$I$81,7,0)),0%,VLOOKUP(A135,'Données projet'!$A$61:$I$81,7,0))</f>
        <v>0.1</v>
      </c>
      <c r="AU135" s="21">
        <f>EXP(-LN(2)/35)*AU134+(1-EXP(-LN(2)/35))/(LN(2)/35)*AQ135*AR135*VLOOKUP('Données projet'!$B$10,Paramètres!$A$1:$I$89,3,0)*0.475*44/12</f>
        <v>29.165932320591985</v>
      </c>
      <c r="AV135" s="21">
        <f>EXP(-LN(2)/25)*AV134+(1-EXP(-LN(2)/25))/(LN(2)/25)*Calculateur!AQ135*Calculateur!AS135*VLOOKUP('Données projet'!$B$10,Paramètres!$A$1:$I$89,3,0)*0.475*44/12</f>
        <v>24.039650447408519</v>
      </c>
      <c r="AW135" s="21">
        <f>EXP(-LN(2)/2)*AW134+(1-EXP(-LN(2)/2))/(LN(2)/2)*AQ135*AT135*VLOOKUP('Données projet'!$B$10,Paramètres!$A$1:$I$89,3,0)*0.475*44/12</f>
        <v>4.802071712578778</v>
      </c>
      <c r="AX135" s="21">
        <f t="shared" si="114"/>
        <v>58.007654480579284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4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28.383264000000047</v>
      </c>
      <c r="D136" s="11">
        <f t="shared" si="140"/>
        <v>8.8609022493019811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68.999718525022715</v>
      </c>
      <c r="H136" s="67">
        <f t="shared" si="110"/>
        <v>321.5335895508677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-2.2737367544323206E-13</v>
      </c>
      <c r="O136" s="13">
        <f>N136*VLOOKUP('Données projet'!$B$9,Paramètres!$A$1:$I$89,3,0)*VLOOKUP('Données projet'!$B$9,Paramètres!$A$1:$I$89,5,0)</f>
        <v>-1.3596945791505279E-13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329.62068845923676</v>
      </c>
      <c r="T136" s="59">
        <f t="shared" si="142"/>
        <v>243.22501652129546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53.654304231213985</v>
      </c>
      <c r="AA136" s="21">
        <f>EXP(-LN(2)/25)*AA135+(1-EXP(-LN(2)/25))/(LN(2)/25)*Calculateur!V136*Calculateur!X136*VLOOKUP('Données projet'!$B$9,Paramètres!$A$1:$I$89,3,0)*0.475*44/12</f>
        <v>11.903633204979929</v>
      </c>
      <c r="AB136" s="21">
        <f>EXP(-LN(2)/2)*AB135+(1-EXP(-LN(2)/2))/(LN(2)/2)*V136*Y136*VLOOKUP('Données projet'!$B$9,Paramètres!$A$1:$I$89,3,0)*0.475*44/12</f>
        <v>7.4512090783538709E-7</v>
      </c>
      <c r="AC136" s="22">
        <f t="shared" si="111"/>
        <v>65.557938181314825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7.3375000000000012</v>
      </c>
      <c r="AI136" s="13">
        <f>IF('Données projet'!$A$62&gt;35,AI135+AH136-AQ135,IF(A136&lt;'Données projet'!$A$62,$AF$205^A136,IF(A136='Données projet'!$A$62,'Données projet'!$B$62,AI135+AH136-AQ135)))</f>
        <v>299.20750000000004</v>
      </c>
      <c r="AJ136" s="13">
        <f>AI136*VLOOKUP('Données projet'!$B$10,Paramètres!$A$1:$I$89,3,0)*VLOOKUP('Données projet'!$B$10,Paramètres!$A$1:$I$89,5,0)</f>
        <v>303.39640500000007</v>
      </c>
      <c r="AK136" s="13">
        <f t="shared" si="143"/>
        <v>71.888013236043776</v>
      </c>
      <c r="AL136" s="20">
        <f t="shared" si="112"/>
        <v>653.62036176110962</v>
      </c>
      <c r="AM136" s="59">
        <f t="shared" si="113"/>
        <v>946.95369509444299</v>
      </c>
      <c r="AN136" s="59">
        <f ca="1">AVERAGE(OFFSET($AM$3,0,0,'Données projet'!$E$10+1,1))-AVERAGE(OFFSET($H$3,0,0,'Données projet'!$E$10+1,1))</f>
        <v>486.4870616281359</v>
      </c>
      <c r="AO136" s="59">
        <f t="shared" si="144"/>
        <v>247.29100537955225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28.594006177247326</v>
      </c>
      <c r="AV136" s="21">
        <f>EXP(-LN(2)/25)*AV135+(1-EXP(-LN(2)/25))/(LN(2)/25)*Calculateur!AQ136*Calculateur!AS136*VLOOKUP('Données projet'!$B$10,Paramètres!$A$1:$I$89,3,0)*0.475*44/12</f>
        <v>23.382284941733861</v>
      </c>
      <c r="AW136" s="21">
        <f>EXP(-LN(2)/2)*AW135+(1-EXP(-LN(2)/2))/(LN(2)/2)*AQ136*AT136*VLOOKUP('Données projet'!$B$10,Paramètres!$A$1:$I$89,3,0)*0.475*44/12</f>
        <v>3.3955774717085516</v>
      </c>
      <c r="AX136" s="21">
        <f t="shared" si="114"/>
        <v>55.371868590689736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4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28.596672000000048</v>
      </c>
      <c r="D137" s="11">
        <f t="shared" si="140"/>
        <v>8.9197449307809542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69.504098734920589</v>
      </c>
      <c r="H137" s="67">
        <f t="shared" si="110"/>
        <v>322.00775948777692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-2.2737367544323206E-13</v>
      </c>
      <c r="O137" s="13">
        <f>N137*VLOOKUP('Données projet'!$B$9,Paramètres!$A$1:$I$89,3,0)*VLOOKUP('Données projet'!$B$9,Paramètres!$A$1:$I$89,5,0)</f>
        <v>-1.3596945791505279E-13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329.62068845923676</v>
      </c>
      <c r="T137" s="59">
        <f t="shared" si="142"/>
        <v>243.22501652129546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52.602176051134045</v>
      </c>
      <c r="AA137" s="21">
        <f>EXP(-LN(2)/25)*AA136+(1-EXP(-LN(2)/25))/(LN(2)/25)*Calculateur!V137*Calculateur!X137*VLOOKUP('Données projet'!$B$9,Paramètres!$A$1:$I$89,3,0)*0.475*44/12</f>
        <v>11.578127729004889</v>
      </c>
      <c r="AB137" s="21">
        <f>EXP(-LN(2)/2)*AB136+(1-EXP(-LN(2)/2))/(LN(2)/2)*V137*Y137*VLOOKUP('Données projet'!$B$9,Paramètres!$A$1:$I$89,3,0)*0.475*44/12</f>
        <v>5.268800467342787E-7</v>
      </c>
      <c r="AC137" s="22">
        <f t="shared" si="111"/>
        <v>64.180304307018972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7.3375000000000012</v>
      </c>
      <c r="AI137" s="13">
        <f>IF('Données projet'!$A$62&gt;35,AI136+AH137-AQ136,IF(A137&lt;'Données projet'!$A$62,$AF$205^A137,IF(A137='Données projet'!$A$62,'Données projet'!$B$62,AI136+AH137-AQ136)))</f>
        <v>306.54500000000002</v>
      </c>
      <c r="AJ137" s="13">
        <f>AI137*VLOOKUP('Données projet'!$B$10,Paramètres!$A$1:$I$89,3,0)*VLOOKUP('Données projet'!$B$10,Paramètres!$A$1:$I$89,5,0)</f>
        <v>310.83663000000001</v>
      </c>
      <c r="AK137" s="13">
        <f t="shared" si="143"/>
        <v>73.443524398472576</v>
      </c>
      <c r="AL137" s="20">
        <f t="shared" si="112"/>
        <v>669.28793557733968</v>
      </c>
      <c r="AM137" s="59">
        <f t="shared" si="113"/>
        <v>962.62126891067305</v>
      </c>
      <c r="AN137" s="59">
        <f ca="1">AVERAGE(OFFSET($AM$3,0,0,'Données projet'!$E$10+1,1))-AVERAGE(OFFSET($H$3,0,0,'Données projet'!$E$10+1,1))</f>
        <v>486.4870616281359</v>
      </c>
      <c r="AO137" s="59">
        <f t="shared" si="144"/>
        <v>247.29100537955225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28.033295156733157</v>
      </c>
      <c r="AV137" s="21">
        <f>EXP(-LN(2)/25)*AV136+(1-EXP(-LN(2)/25))/(LN(2)/25)*Calculateur!AQ137*Calculateur!AS137*VLOOKUP('Données projet'!$B$10,Paramètres!$A$1:$I$89,3,0)*0.475*44/12</f>
        <v>22.742895130381225</v>
      </c>
      <c r="AW137" s="21">
        <f>EXP(-LN(2)/2)*AW136+(1-EXP(-LN(2)/2))/(LN(2)/2)*AQ137*AT137*VLOOKUP('Données projet'!$B$10,Paramètres!$A$1:$I$89,3,0)*0.475*44/12</f>
        <v>2.4010358562893894</v>
      </c>
      <c r="AX137" s="21">
        <f t="shared" si="114"/>
        <v>53.177226143403772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4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28.810080000000049</v>
      </c>
      <c r="D138" s="11">
        <f t="shared" si="140"/>
        <v>8.9785365198616915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70.008384289428065</v>
      </c>
      <c r="H138" s="67">
        <f t="shared" si="110"/>
        <v>322.48184043875921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-2.2737367544323206E-13</v>
      </c>
      <c r="O138" s="13">
        <f>N138*VLOOKUP('Données projet'!$B$9,Paramètres!$A$1:$I$89,3,0)*VLOOKUP('Données projet'!$B$9,Paramètres!$A$1:$I$89,5,0)</f>
        <v>-1.3596945791505279E-13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329.62068845923676</v>
      </c>
      <c r="T138" s="59">
        <f t="shared" si="142"/>
        <v>243.22501652129546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51.570679462930649</v>
      </c>
      <c r="AA138" s="21">
        <f>EXP(-LN(2)/25)*AA137+(1-EXP(-LN(2)/25))/(LN(2)/25)*Calculateur!V138*Calculateur!X138*VLOOKUP('Données projet'!$B$9,Paramètres!$A$1:$I$89,3,0)*0.475*44/12</f>
        <v>11.261523217387975</v>
      </c>
      <c r="AB138" s="21">
        <f>EXP(-LN(2)/2)*AB137+(1-EXP(-LN(2)/2))/(LN(2)/2)*V138*Y138*VLOOKUP('Données projet'!$B$9,Paramètres!$A$1:$I$89,3,0)*0.475*44/12</f>
        <v>3.7256045391769355E-7</v>
      </c>
      <c r="AC138" s="22">
        <f t="shared" si="111"/>
        <v>62.83220305287908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7.3375000000000012</v>
      </c>
      <c r="AI138" s="13">
        <f>IF('Données projet'!$A$62&gt;35,AI137+AH138-AQ137,IF(A138&lt;'Données projet'!$A$62,$AF$205^A138,IF(A138='Données projet'!$A$62,'Données projet'!$B$62,AI137+AH138-AQ137)))</f>
        <v>313.88249999999999</v>
      </c>
      <c r="AJ138" s="13">
        <f>AI138*VLOOKUP('Données projet'!$B$10,Paramètres!$A$1:$I$89,3,0)*VLOOKUP('Données projet'!$B$10,Paramètres!$A$1:$I$89,5,0)</f>
        <v>318.27685500000001</v>
      </c>
      <c r="AK138" s="13">
        <f t="shared" si="143"/>
        <v>74.994707244966222</v>
      </c>
      <c r="AL138" s="20">
        <f t="shared" si="112"/>
        <v>684.94797090998281</v>
      </c>
      <c r="AM138" s="59">
        <f t="shared" si="113"/>
        <v>978.28130424331607</v>
      </c>
      <c r="AN138" s="59">
        <f ca="1">AVERAGE(OFFSET($AM$3,0,0,'Données projet'!$E$10+1,1))-AVERAGE(OFFSET($H$3,0,0,'Données projet'!$E$10+1,1))</f>
        <v>486.4870616281359</v>
      </c>
      <c r="AO138" s="59">
        <f t="shared" si="144"/>
        <v>247.29100537955225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27.483579337331317</v>
      </c>
      <c r="AV138" s="21">
        <f>EXP(-LN(2)/25)*AV137+(1-EXP(-LN(2)/25))/(LN(2)/25)*Calculateur!AQ138*Calculateur!AS138*VLOOKUP('Données projet'!$B$10,Paramètres!$A$1:$I$89,3,0)*0.475*44/12</f>
        <v>22.120989467044076</v>
      </c>
      <c r="AW138" s="21">
        <f>EXP(-LN(2)/2)*AW137+(1-EXP(-LN(2)/2))/(LN(2)/2)*AQ138*AT138*VLOOKUP('Données projet'!$B$10,Paramètres!$A$1:$I$89,3,0)*0.475*44/12</f>
        <v>1.6977887358542763</v>
      </c>
      <c r="AX138" s="21">
        <f t="shared" si="114"/>
        <v>51.302357540229664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4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29.02348800000005</v>
      </c>
      <c r="D139" s="11">
        <f t="shared" si="140"/>
        <v>9.0372774388850612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70.512575970987157</v>
      </c>
      <c r="H139" s="67">
        <f t="shared" si="110"/>
        <v>322.95583313939159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-2.2737367544323206E-13</v>
      </c>
      <c r="O139" s="13">
        <f>N139*VLOOKUP('Données projet'!$B$9,Paramètres!$A$1:$I$89,3,0)*VLOOKUP('Données projet'!$B$9,Paramètres!$A$1:$I$89,5,0)</f>
        <v>-1.3596945791505279E-13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329.62068845923676</v>
      </c>
      <c r="T139" s="59">
        <f t="shared" si="142"/>
        <v>243.22501652129546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50.559409893671123</v>
      </c>
      <c r="AA139" s="21">
        <f>EXP(-LN(2)/25)*AA138+(1-EXP(-LN(2)/25))/(LN(2)/25)*Calculateur!V139*Calculateur!X139*VLOOKUP('Données projet'!$B$9,Paramètres!$A$1:$I$89,3,0)*0.475*44/12</f>
        <v>10.953576272790732</v>
      </c>
      <c r="AB139" s="21">
        <f>EXP(-LN(2)/2)*AB138+(1-EXP(-LN(2)/2))/(LN(2)/2)*V139*Y139*VLOOKUP('Données projet'!$B$9,Paramètres!$A$1:$I$89,3,0)*0.475*44/12</f>
        <v>2.6344002336713935E-7</v>
      </c>
      <c r="AC139" s="22">
        <f t="shared" si="111"/>
        <v>61.512986429901879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7.3375000000000012</v>
      </c>
      <c r="AI139" s="13">
        <f>IF('Données projet'!$A$62&gt;35,AI138+AH139-AQ138,IF(A139&lt;'Données projet'!$A$62,$AF$205^A139,IF(A139='Données projet'!$A$62,'Données projet'!$B$62,AI138+AH139-AQ138)))</f>
        <v>321.21999999999997</v>
      </c>
      <c r="AJ139" s="13">
        <f>AI139*VLOOKUP('Données projet'!$B$10,Paramètres!$A$1:$I$89,3,0)*VLOOKUP('Données projet'!$B$10,Paramètres!$A$1:$I$89,5,0)</f>
        <v>325.71707999999995</v>
      </c>
      <c r="AK139" s="13">
        <f t="shared" si="143"/>
        <v>76.54167460148193</v>
      </c>
      <c r="AL139" s="20">
        <f t="shared" si="112"/>
        <v>700.60066426424748</v>
      </c>
      <c r="AM139" s="59">
        <f t="shared" si="113"/>
        <v>993.93399759758086</v>
      </c>
      <c r="AN139" s="59">
        <f ca="1">AVERAGE(OFFSET($AM$3,0,0,'Données projet'!$E$10+1,1))-AVERAGE(OFFSET($H$3,0,0,'Données projet'!$E$10+1,1))</f>
        <v>486.4870616281359</v>
      </c>
      <c r="AO139" s="59">
        <f t="shared" si="144"/>
        <v>247.29100537955225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26.944643109854404</v>
      </c>
      <c r="AV139" s="21">
        <f>EXP(-LN(2)/25)*AV138+(1-EXP(-LN(2)/25))/(LN(2)/25)*Calculateur!AQ139*Calculateur!AS139*VLOOKUP('Données projet'!$B$10,Paramètres!$A$1:$I$89,3,0)*0.475*44/12</f>
        <v>21.516089846775479</v>
      </c>
      <c r="AW139" s="21">
        <f>EXP(-LN(2)/2)*AW138+(1-EXP(-LN(2)/2))/(LN(2)/2)*AQ139*AT139*VLOOKUP('Données projet'!$B$10,Paramètres!$A$1:$I$89,3,0)*0.475*44/12</f>
        <v>1.2005179281446949</v>
      </c>
      <c r="AX139" s="21">
        <f t="shared" si="114"/>
        <v>49.661250884774574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4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29.236896000000051</v>
      </c>
      <c r="D140" s="11">
        <f t="shared" si="140"/>
        <v>9.0959681036221873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71.016674549868583</v>
      </c>
      <c r="H140" s="67">
        <f t="shared" si="110"/>
        <v>323.42973831380874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-2.2737367544323206E-13</v>
      </c>
      <c r="O140" s="13">
        <f>N140*VLOOKUP('Données projet'!$B$9,Paramètres!$A$1:$I$89,3,0)*VLOOKUP('Données projet'!$B$9,Paramètres!$A$1:$I$89,5,0)</f>
        <v>-1.3596945791505279E-13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329.62068845923676</v>
      </c>
      <c r="T140" s="59">
        <f t="shared" si="142"/>
        <v>243.22501652129546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49.567970703851252</v>
      </c>
      <c r="AA140" s="21">
        <f>EXP(-LN(2)/25)*AA139+(1-EXP(-LN(2)/25))/(LN(2)/25)*Calculateur!V140*Calculateur!X140*VLOOKUP('Données projet'!$B$9,Paramètres!$A$1:$I$89,3,0)*0.475*44/12</f>
        <v>10.654050153587729</v>
      </c>
      <c r="AB140" s="21">
        <f>EXP(-LN(2)/2)*AB139+(1-EXP(-LN(2)/2))/(LN(2)/2)*V140*Y140*VLOOKUP('Données projet'!$B$9,Paramètres!$A$1:$I$89,3,0)*0.475*44/12</f>
        <v>1.8628022695884677E-7</v>
      </c>
      <c r="AC140" s="22">
        <f t="shared" si="111"/>
        <v>60.222021043719202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7.3375000000000012</v>
      </c>
      <c r="AI140" s="13">
        <f>IF('Données projet'!$A$62&gt;35,AI139+AH140-AQ139,IF(A140&lt;'Données projet'!$A$62,$AF$205^A140,IF(A140='Données projet'!$A$62,'Données projet'!$B$62,AI139+AH140-AQ139)))</f>
        <v>328.55749999999995</v>
      </c>
      <c r="AJ140" s="13">
        <f>AI140*VLOOKUP('Données projet'!$B$10,Paramètres!$A$1:$I$89,3,0)*VLOOKUP('Données projet'!$B$10,Paramètres!$A$1:$I$89,5,0)</f>
        <v>333.15730499999995</v>
      </c>
      <c r="AK140" s="13">
        <f t="shared" si="143"/>
        <v>78.084533845329503</v>
      </c>
      <c r="AL140" s="20">
        <f t="shared" si="112"/>
        <v>716.24620265561543</v>
      </c>
      <c r="AM140" s="59">
        <f t="shared" si="113"/>
        <v>1009.5795359889487</v>
      </c>
      <c r="AN140" s="59">
        <f ca="1">AVERAGE(OFFSET($AM$3,0,0,'Données projet'!$E$10+1,1))-AVERAGE(OFFSET($H$3,0,0,'Données projet'!$E$10+1,1))</f>
        <v>486.4870616281359</v>
      </c>
      <c r="AO140" s="59">
        <f t="shared" si="144"/>
        <v>247.29100537955225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26.416275093079673</v>
      </c>
      <c r="AV140" s="21">
        <f>EXP(-LN(2)/25)*AV139+(1-EXP(-LN(2)/25))/(LN(2)/25)*Calculateur!AQ140*Calculateur!AS140*VLOOKUP('Données projet'!$B$10,Paramètres!$A$1:$I$89,3,0)*0.475*44/12</f>
        <v>20.927731238433413</v>
      </c>
      <c r="AW140" s="21">
        <f>EXP(-LN(2)/2)*AW139+(1-EXP(-LN(2)/2))/(LN(2)/2)*AQ140*AT140*VLOOKUP('Données projet'!$B$10,Paramètres!$A$1:$I$89,3,0)*0.475*44/12</f>
        <v>0.84889436792713824</v>
      </c>
      <c r="AX140" s="21">
        <f t="shared" si="114"/>
        <v>48.192900699440223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4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29.450304000000052</v>
      </c>
      <c r="D141" s="11">
        <f t="shared" si="140"/>
        <v>9.1546089234238526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71.520680784448487</v>
      </c>
      <c r="H141" s="67">
        <f t="shared" si="110"/>
        <v>323.90355667496334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-2.2737367544323206E-13</v>
      </c>
      <c r="O141" s="13">
        <f>N141*VLOOKUP('Données projet'!$B$9,Paramètres!$A$1:$I$89,3,0)*VLOOKUP('Données projet'!$B$9,Paramètres!$A$1:$I$89,5,0)</f>
        <v>-1.3596945791505279E-13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329.62068845923676</v>
      </c>
      <c r="T141" s="59">
        <f t="shared" si="142"/>
        <v>243.22501652129546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48.595973031825551</v>
      </c>
      <c r="AA141" s="21">
        <f>EXP(-LN(2)/25)*AA140+(1-EXP(-LN(2)/25))/(LN(2)/25)*Calculateur!V141*Calculateur!X141*VLOOKUP('Données projet'!$B$9,Paramètres!$A$1:$I$89,3,0)*0.475*44/12</f>
        <v>10.362714591865725</v>
      </c>
      <c r="AB141" s="21">
        <f>EXP(-LN(2)/2)*AB140+(1-EXP(-LN(2)/2))/(LN(2)/2)*V141*Y141*VLOOKUP('Données projet'!$B$9,Paramètres!$A$1:$I$89,3,0)*0.475*44/12</f>
        <v>1.3172001168356967E-7</v>
      </c>
      <c r="AC141" s="22">
        <f t="shared" si="111"/>
        <v>58.95868775541129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7.3375000000000012</v>
      </c>
      <c r="AI141" s="13">
        <f>IF('Données projet'!$A$62&gt;35,AI140+AH141-AQ140,IF(A141&lt;'Données projet'!$A$62,$AF$205^A141,IF(A141='Données projet'!$A$62,'Données projet'!$B$62,AI140+AH141-AQ140)))</f>
        <v>335.89499999999992</v>
      </c>
      <c r="AJ141" s="13">
        <f>AI141*VLOOKUP('Données projet'!$B$10,Paramètres!$A$1:$I$89,3,0)*VLOOKUP('Données projet'!$B$10,Paramètres!$A$1:$I$89,5,0)</f>
        <v>340.59752999999995</v>
      </c>
      <c r="AK141" s="13">
        <f t="shared" si="143"/>
        <v>79.623387284014498</v>
      </c>
      <c r="AL141" s="20">
        <f t="shared" si="112"/>
        <v>731.88476426965838</v>
      </c>
      <c r="AM141" s="59">
        <f t="shared" si="113"/>
        <v>1025.2180976029917</v>
      </c>
      <c r="AN141" s="59">
        <f ca="1">AVERAGE(OFFSET($AM$3,0,0,'Données projet'!$E$10+1,1))-AVERAGE(OFFSET($H$3,0,0,'Données projet'!$E$10+1,1))</f>
        <v>486.4870616281359</v>
      </c>
      <c r="AO141" s="59">
        <f t="shared" si="144"/>
        <v>247.29100537955225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25.898268050841224</v>
      </c>
      <c r="AV141" s="21">
        <f>EXP(-LN(2)/25)*AV140+(1-EXP(-LN(2)/25))/(LN(2)/25)*Calculateur!AQ141*Calculateur!AS141*VLOOKUP('Données projet'!$B$10,Paramètres!$A$1:$I$89,3,0)*0.475*44/12</f>
        <v>20.355461327176897</v>
      </c>
      <c r="AW141" s="21">
        <f>EXP(-LN(2)/2)*AW140+(1-EXP(-LN(2)/2))/(LN(2)/2)*AQ141*AT141*VLOOKUP('Données projet'!$B$10,Paramètres!$A$1:$I$89,3,0)*0.475*44/12</f>
        <v>0.60025896407234758</v>
      </c>
      <c r="AX141" s="21">
        <f t="shared" si="114"/>
        <v>46.853988342090467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4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29.663712000000054</v>
      </c>
      <c r="D142" s="11">
        <f t="shared" si="140"/>
        <v>9.2132003013654291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72.024595421477116</v>
      </c>
      <c r="H142" s="67">
        <f t="shared" si="110"/>
        <v>324.3772889248782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-2.2737367544323206E-13</v>
      </c>
      <c r="O142" s="13">
        <f>N142*VLOOKUP('Données projet'!$B$9,Paramètres!$A$1:$I$89,3,0)*VLOOKUP('Données projet'!$B$9,Paramètres!$A$1:$I$89,5,0)</f>
        <v>-1.3596945791505279E-13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329.62068845923676</v>
      </c>
      <c r="T142" s="59">
        <f t="shared" si="142"/>
        <v>243.22501652129546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47.643035641288236</v>
      </c>
      <c r="AA142" s="21">
        <f>EXP(-LN(2)/25)*AA141+(1-EXP(-LN(2)/25))/(LN(2)/25)*Calculateur!V142*Calculateur!X142*VLOOKUP('Données projet'!$B$9,Paramètres!$A$1:$I$89,3,0)*0.475*44/12</f>
        <v>10.07934561639968</v>
      </c>
      <c r="AB142" s="21">
        <f>EXP(-LN(2)/2)*AB141+(1-EXP(-LN(2)/2))/(LN(2)/2)*V142*Y142*VLOOKUP('Données projet'!$B$9,Paramètres!$A$1:$I$89,3,0)*0.475*44/12</f>
        <v>9.3140113479423386E-8</v>
      </c>
      <c r="AC142" s="22">
        <f t="shared" si="111"/>
        <v>57.72238135082803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7.3375000000000012</v>
      </c>
      <c r="AI142" s="13">
        <f>IF('Données projet'!$A$62&gt;35,AI141+AH142-AQ141,IF(A142&lt;'Données projet'!$A$62,$AF$205^A142,IF(A142='Données projet'!$A$62,'Données projet'!$B$62,AI141+AH142-AQ141)))</f>
        <v>343.2324999999999</v>
      </c>
      <c r="AJ142" s="13">
        <f>AI142*VLOOKUP('Données projet'!$B$10,Paramètres!$A$1:$I$89,3,0)*VLOOKUP('Données projet'!$B$10,Paramètres!$A$1:$I$89,5,0)</f>
        <v>348.03775499999989</v>
      </c>
      <c r="AK142" s="13">
        <f t="shared" si="143"/>
        <v>81.158332500044466</v>
      </c>
      <c r="AL142" s="20">
        <f t="shared" si="112"/>
        <v>747.51651906257723</v>
      </c>
      <c r="AM142" s="59">
        <f t="shared" si="113"/>
        <v>1040.8498523959106</v>
      </c>
      <c r="AN142" s="59">
        <f ca="1">AVERAGE(OFFSET($AM$3,0,0,'Données projet'!$E$10+1,1))-AVERAGE(OFFSET($H$3,0,0,'Données projet'!$E$10+1,1))</f>
        <v>486.4870616281359</v>
      </c>
      <c r="AO142" s="59">
        <f t="shared" si="144"/>
        <v>247.29100537955225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25.390418810747974</v>
      </c>
      <c r="AV142" s="21">
        <f>EXP(-LN(2)/25)*AV141+(1-EXP(-LN(2)/25))/(LN(2)/25)*Calculateur!AQ142*Calculateur!AS142*VLOOKUP('Données projet'!$B$10,Paramètres!$A$1:$I$89,3,0)*0.475*44/12</f>
        <v>19.798840166738056</v>
      </c>
      <c r="AW142" s="21">
        <f>EXP(-LN(2)/2)*AW141+(1-EXP(-LN(2)/2))/(LN(2)/2)*AQ142*AT142*VLOOKUP('Données projet'!$B$10,Paramètres!$A$1:$I$89,3,0)*0.475*44/12</f>
        <v>0.42444718396356917</v>
      </c>
      <c r="AX142" s="21">
        <f t="shared" si="114"/>
        <v>45.613706161449606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4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29.877120000000055</v>
      </c>
      <c r="D143" s="11">
        <f t="shared" si="140"/>
        <v>9.2717426343875058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72.528419196339073</v>
      </c>
      <c r="H143" s="67">
        <f t="shared" si="110"/>
        <v>324.85093575489168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-2.2737367544323206E-13</v>
      </c>
      <c r="O143" s="13">
        <f>N143*VLOOKUP('Données projet'!$B$9,Paramètres!$A$1:$I$89,3,0)*VLOOKUP('Données projet'!$B$9,Paramètres!$A$1:$I$89,5,0)</f>
        <v>-1.3596945791505279E-13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329.62068845923676</v>
      </c>
      <c r="T143" s="59">
        <f t="shared" si="142"/>
        <v>243.22501652129546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46.708784771744938</v>
      </c>
      <c r="AA143" s="21">
        <f>EXP(-LN(2)/25)*AA142+(1-EXP(-LN(2)/25))/(LN(2)/25)*Calculateur!V143*Calculateur!X143*VLOOKUP('Données projet'!$B$9,Paramètres!$A$1:$I$89,3,0)*0.475*44/12</f>
        <v>9.8037253804694817</v>
      </c>
      <c r="AB143" s="21">
        <f>EXP(-LN(2)/2)*AB142+(1-EXP(-LN(2)/2))/(LN(2)/2)*V143*Y143*VLOOKUP('Données projet'!$B$9,Paramètres!$A$1:$I$89,3,0)*0.475*44/12</f>
        <v>6.5860005841784837E-8</v>
      </c>
      <c r="AC143" s="22">
        <f t="shared" si="111"/>
        <v>56.512510218074425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7.3375000000000012</v>
      </c>
      <c r="AI143" s="13">
        <f>IF('Données projet'!$A$62&gt;35,AI142+AH143-AQ142,IF(A143&lt;'Données projet'!$A$62,$AF$205^A143,IF(A143='Données projet'!$A$62,'Données projet'!$B$62,AI142+AH143-AQ142)))</f>
        <v>350.56999999999988</v>
      </c>
      <c r="AJ143" s="13">
        <f>AI143*VLOOKUP('Données projet'!$B$10,Paramètres!$A$1:$I$89,3,0)*VLOOKUP('Données projet'!$B$10,Paramètres!$A$1:$I$89,5,0)</f>
        <v>355.47797999999989</v>
      </c>
      <c r="AK143" s="13">
        <f t="shared" si="143"/>
        <v>82.689462665419711</v>
      </c>
      <c r="AL143" s="20">
        <f t="shared" si="112"/>
        <v>763.14162930893906</v>
      </c>
      <c r="AM143" s="59">
        <f t="shared" si="113"/>
        <v>1056.4749626422724</v>
      </c>
      <c r="AN143" s="59">
        <f ca="1">AVERAGE(OFFSET($AM$3,0,0,'Données projet'!$E$10+1,1))-AVERAGE(OFFSET($H$3,0,0,'Données projet'!$E$10+1,1))</f>
        <v>486.4870616281359</v>
      </c>
      <c r="AO143" s="59">
        <f t="shared" si="144"/>
        <v>247.29100537955225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24.892528184495504</v>
      </c>
      <c r="AV143" s="21">
        <f>EXP(-LN(2)/25)*AV142+(1-EXP(-LN(2)/25))/(LN(2)/25)*Calculateur!AQ143*Calculateur!AS143*VLOOKUP('Données projet'!$B$10,Paramètres!$A$1:$I$89,3,0)*0.475*44/12</f>
        <v>19.257439841202849</v>
      </c>
      <c r="AW143" s="21">
        <f>EXP(-LN(2)/2)*AW142+(1-EXP(-LN(2)/2))/(LN(2)/2)*AQ143*AT143*VLOOKUP('Données projet'!$B$10,Paramètres!$A$1:$I$89,3,0)*0.475*44/12</f>
        <v>0.30012948203617379</v>
      </c>
      <c r="AX143" s="21">
        <f t="shared" si="114"/>
        <v>44.450097507734533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4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30.090528000000056</v>
      </c>
      <c r="D144" s="11">
        <f t="shared" si="140"/>
        <v>9.3302363134324189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73.032152833306483</v>
      </c>
      <c r="H144" s="67">
        <f t="shared" si="110"/>
        <v>325.32449784589488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-2.2737367544323206E-13</v>
      </c>
      <c r="O144" s="13">
        <f>N144*VLOOKUP('Données projet'!$B$9,Paramètres!$A$1:$I$89,3,0)*VLOOKUP('Données projet'!$B$9,Paramètres!$A$1:$I$89,5,0)</f>
        <v>-1.3596945791505279E-13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329.62068845923676</v>
      </c>
      <c r="T144" s="59">
        <f t="shared" si="142"/>
        <v>243.22501652129546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45.792853991916623</v>
      </c>
      <c r="AA144" s="21">
        <f>EXP(-LN(2)/25)*AA143+(1-EXP(-LN(2)/25))/(LN(2)/25)*Calculateur!V144*Calculateur!X144*VLOOKUP('Données projet'!$B$9,Paramètres!$A$1:$I$89,3,0)*0.475*44/12</f>
        <v>9.535641994385033</v>
      </c>
      <c r="AB144" s="21">
        <f>EXP(-LN(2)/2)*AB143+(1-EXP(-LN(2)/2))/(LN(2)/2)*V144*Y144*VLOOKUP('Données projet'!$B$9,Paramètres!$A$1:$I$89,3,0)*0.475*44/12</f>
        <v>4.6570056739711693E-8</v>
      </c>
      <c r="AC144" s="22">
        <f t="shared" si="111"/>
        <v>55.328496032871712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7.3375000000000012</v>
      </c>
      <c r="AI144" s="13">
        <f>IF('Données projet'!$A$62&gt;35,AI143+AH144-AQ143,IF(A144&lt;'Données projet'!$A$62,$AF$205^A144,IF(A144='Données projet'!$A$62,'Données projet'!$B$62,AI143+AH144-AQ143)))</f>
        <v>357.90749999999986</v>
      </c>
      <c r="AJ144" s="13">
        <f>AI144*VLOOKUP('Données projet'!$B$10,Paramètres!$A$1:$I$89,3,0)*VLOOKUP('Données projet'!$B$10,Paramètres!$A$1:$I$89,5,0)</f>
        <v>362.91820499999989</v>
      </c>
      <c r="AK144" s="13">
        <f t="shared" si="143"/>
        <v>84.216866829050204</v>
      </c>
      <c r="AL144" s="20">
        <f t="shared" si="112"/>
        <v>778.76025010226238</v>
      </c>
      <c r="AM144" s="59">
        <f t="shared" si="113"/>
        <v>1072.0935834355957</v>
      </c>
      <c r="AN144" s="59">
        <f ca="1">AVERAGE(OFFSET($AM$3,0,0,'Données projet'!$E$10+1,1))-AVERAGE(OFFSET($H$3,0,0,'Données projet'!$E$10+1,1))</f>
        <v>486.4870616281359</v>
      </c>
      <c r="AO144" s="59">
        <f t="shared" si="144"/>
        <v>247.29100537955225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24.404400889740547</v>
      </c>
      <c r="AV144" s="21">
        <f>EXP(-LN(2)/25)*AV143+(1-EXP(-LN(2)/25))/(LN(2)/25)*Calculateur!AQ144*Calculateur!AS144*VLOOKUP('Données projet'!$B$10,Paramètres!$A$1:$I$89,3,0)*0.475*44/12</f>
        <v>18.73084413604041</v>
      </c>
      <c r="AW144" s="21">
        <f>EXP(-LN(2)/2)*AW143+(1-EXP(-LN(2)/2))/(LN(2)/2)*AQ144*AT144*VLOOKUP('Données projet'!$B$10,Paramètres!$A$1:$I$89,3,0)*0.475*44/12</f>
        <v>0.21222359198178459</v>
      </c>
      <c r="AX144" s="21">
        <f t="shared" si="114"/>
        <v>43.347468617762743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4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30.303936000000057</v>
      </c>
      <c r="D145" s="11">
        <f t="shared" si="140"/>
        <v>9.3886817235767612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73.53579704578442</v>
      </c>
      <c r="H145" s="67">
        <f t="shared" si="110"/>
        <v>325.79797586856296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-2.2737367544323206E-13</v>
      </c>
      <c r="O145" s="13">
        <f>N145*VLOOKUP('Données projet'!$B$9,Paramètres!$A$1:$I$89,3,0)*VLOOKUP('Données projet'!$B$9,Paramètres!$A$1:$I$89,5,0)</f>
        <v>-1.3596945791505279E-13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329.62068845923676</v>
      </c>
      <c r="T145" s="59">
        <f t="shared" si="142"/>
        <v>243.22501652129546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44.894884056018128</v>
      </c>
      <c r="AA145" s="21">
        <f>EXP(-LN(2)/25)*AA144+(1-EXP(-LN(2)/25))/(LN(2)/25)*Calculateur!V145*Calculateur!X145*VLOOKUP('Données projet'!$B$9,Paramètres!$A$1:$I$89,3,0)*0.475*44/12</f>
        <v>9.2748893625909563</v>
      </c>
      <c r="AB145" s="21">
        <f>EXP(-LN(2)/2)*AB144+(1-EXP(-LN(2)/2))/(LN(2)/2)*V145*Y145*VLOOKUP('Données projet'!$B$9,Paramètres!$A$1:$I$89,3,0)*0.475*44/12</f>
        <v>3.2930002920892419E-8</v>
      </c>
      <c r="AC145" s="22">
        <f t="shared" si="111"/>
        <v>54.169773451539086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7.3375000000000012</v>
      </c>
      <c r="AI145" s="13">
        <f>IF('Données projet'!$A$62&gt;35,AI144+AH145-AQ144,IF(A145&lt;'Données projet'!$A$62,$AF$205^A145,IF(A145='Données projet'!$A$62,'Données projet'!$B$62,AI144+AH145-AQ144)))</f>
        <v>365.24499999999983</v>
      </c>
      <c r="AJ145" s="13">
        <f>AI145*VLOOKUP('Données projet'!$B$10,Paramètres!$A$1:$I$89,3,0)*VLOOKUP('Données projet'!$B$10,Paramètres!$A$1:$I$89,5,0)</f>
        <v>370.35842999999988</v>
      </c>
      <c r="AK145" s="13">
        <f t="shared" si="143"/>
        <v>85.740630179938449</v>
      </c>
      <c r="AL145" s="20">
        <f t="shared" si="112"/>
        <v>794.37252981339236</v>
      </c>
      <c r="AM145" s="59">
        <f t="shared" si="113"/>
        <v>1087.7058631467257</v>
      </c>
      <c r="AN145" s="59">
        <f ca="1">AVERAGE(OFFSET($AM$3,0,0,'Données projet'!$E$10+1,1))-AVERAGE(OFFSET($H$3,0,0,'Données projet'!$E$10+1,1))</f>
        <v>486.4870616281359</v>
      </c>
      <c r="AO145" s="59">
        <f t="shared" si="144"/>
        <v>247.29100537955225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23.925845473507486</v>
      </c>
      <c r="AV145" s="21">
        <f>EXP(-LN(2)/25)*AV144+(1-EXP(-LN(2)/25))/(LN(2)/25)*Calculateur!AQ145*Calculateur!AS145*VLOOKUP('Données projet'!$B$10,Paramètres!$A$1:$I$89,3,0)*0.475*44/12</f>
        <v>18.218648218128102</v>
      </c>
      <c r="AW145" s="21">
        <f>EXP(-LN(2)/2)*AW144+(1-EXP(-LN(2)/2))/(LN(2)/2)*AQ145*AT145*VLOOKUP('Données projet'!$B$10,Paramètres!$A$1:$I$89,3,0)*0.475*44/12</f>
        <v>0.15006474101808689</v>
      </c>
      <c r="AX145" s="21">
        <f t="shared" si="114"/>
        <v>42.294558432653673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4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30.517344000000058</v>
      </c>
      <c r="D146" s="11">
        <f t="shared" si="140"/>
        <v>9.4470792441600562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74.039352536549259</v>
      </c>
      <c r="H146" s="67">
        <f t="shared" si="110"/>
        <v>326.27137048357889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-2.2737367544323206E-13</v>
      </c>
      <c r="O146" s="13">
        <f>N146*VLOOKUP('Données projet'!$B$9,Paramètres!$A$1:$I$89,3,0)*VLOOKUP('Données projet'!$B$9,Paramètres!$A$1:$I$89,5,0)</f>
        <v>-1.3596945791505279E-13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329.62068845923676</v>
      </c>
      <c r="T146" s="59">
        <f t="shared" si="142"/>
        <v>243.22501652129546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44.014522762855023</v>
      </c>
      <c r="AA146" s="21">
        <f>EXP(-LN(2)/25)*AA145+(1-EXP(-LN(2)/25))/(LN(2)/25)*Calculateur!V146*Calculateur!X146*VLOOKUP('Données projet'!$B$9,Paramètres!$A$1:$I$89,3,0)*0.475*44/12</f>
        <v>9.0212670252256739</v>
      </c>
      <c r="AB146" s="21">
        <f>EXP(-LN(2)/2)*AB145+(1-EXP(-LN(2)/2))/(LN(2)/2)*V146*Y146*VLOOKUP('Données projet'!$B$9,Paramètres!$A$1:$I$89,3,0)*0.475*44/12</f>
        <v>2.3285028369855847E-8</v>
      </c>
      <c r="AC146" s="22">
        <f t="shared" si="111"/>
        <v>53.035789811365724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7.3375000000000012</v>
      </c>
      <c r="AI146" s="13">
        <f>IF('Données projet'!$A$62&gt;35,AI145+AH146-AQ145,IF(A146&lt;'Données projet'!$A$62,$AF$205^A146,IF(A146='Données projet'!$A$62,'Données projet'!$B$62,AI145+AH146-AQ145)))</f>
        <v>372.58249999999981</v>
      </c>
      <c r="AJ146" s="13">
        <f>AI146*VLOOKUP('Données projet'!$B$10,Paramètres!$A$1:$I$89,3,0)*VLOOKUP('Données projet'!$B$10,Paramètres!$A$1:$I$89,5,0)</f>
        <v>377.79865499999983</v>
      </c>
      <c r="AK146" s="13">
        <f t="shared" si="143"/>
        <v>87.260834288615982</v>
      </c>
      <c r="AL146" s="20">
        <f t="shared" si="112"/>
        <v>809.97861051100574</v>
      </c>
      <c r="AM146" s="59">
        <f t="shared" si="113"/>
        <v>1103.3119438443391</v>
      </c>
      <c r="AN146" s="59">
        <f ca="1">AVERAGE(OFFSET($AM$3,0,0,'Données projet'!$E$10+1,1))-AVERAGE(OFFSET($H$3,0,0,'Données projet'!$E$10+1,1))</f>
        <v>486.4870616281359</v>
      </c>
      <c r="AO146" s="59">
        <f t="shared" si="144"/>
        <v>247.29100537955225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23.456674237096774</v>
      </c>
      <c r="AV146" s="21">
        <f>EXP(-LN(2)/25)*AV145+(1-EXP(-LN(2)/25))/(LN(2)/25)*Calculateur!AQ146*Calculateur!AS146*VLOOKUP('Données projet'!$B$10,Paramètres!$A$1:$I$89,3,0)*0.475*44/12</f>
        <v>17.720458324526319</v>
      </c>
      <c r="AW146" s="21">
        <f>EXP(-LN(2)/2)*AW145+(1-EXP(-LN(2)/2))/(LN(2)/2)*AQ146*AT146*VLOOKUP('Données projet'!$B$10,Paramètres!$A$1:$I$89,3,0)*0.475*44/12</f>
        <v>0.10611179599089229</v>
      </c>
      <c r="AX146" s="21">
        <f t="shared" si="114"/>
        <v>41.283244357613988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4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30.730752000000059</v>
      </c>
      <c r="D147" s="11">
        <f t="shared" si="140"/>
        <v>9.5054292489097669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74.542819997980317</v>
      </c>
      <c r="H147" s="67">
        <f t="shared" si="110"/>
        <v>326.74468234185133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-2.2737367544323206E-13</v>
      </c>
      <c r="O147" s="13">
        <f>N147*VLOOKUP('Données projet'!$B$9,Paramètres!$A$1:$I$89,3,0)*VLOOKUP('Données projet'!$B$9,Paramètres!$A$1:$I$89,5,0)</f>
        <v>-1.3596945791505279E-13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329.62068845923676</v>
      </c>
      <c r="T147" s="59">
        <f t="shared" si="142"/>
        <v>243.22501652129546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43.151424817683477</v>
      </c>
      <c r="AA147" s="21">
        <f>EXP(-LN(2)/25)*AA146+(1-EXP(-LN(2)/25))/(LN(2)/25)*Calculateur!V147*Calculateur!X147*VLOOKUP('Données projet'!$B$9,Paramètres!$A$1:$I$89,3,0)*0.475*44/12</f>
        <v>8.7745800040130639</v>
      </c>
      <c r="AB147" s="21">
        <f>EXP(-LN(2)/2)*AB146+(1-EXP(-LN(2)/2))/(LN(2)/2)*V147*Y147*VLOOKUP('Données projet'!$B$9,Paramètres!$A$1:$I$89,3,0)*0.475*44/12</f>
        <v>1.6465001460446209E-8</v>
      </c>
      <c r="AC147" s="22">
        <f t="shared" si="111"/>
        <v>51.926004838161539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>
        <f>VLOOKUP(A147,'Données projet'!$A$61:$I$81,2,0)</f>
        <v>379.92</v>
      </c>
      <c r="AG147" s="12">
        <f>VLOOKUP(A147,'Données projet'!$A$61:$I$81,9,0)</f>
        <v>7.3375000000000012</v>
      </c>
      <c r="AH147" s="12">
        <f t="array" ref="AH147">INDEX(AG:AG,MIN(IF(ISNUMBER(AG147:AG343),ROW(AG147:AG343),"")))</f>
        <v>7.3375000000000012</v>
      </c>
      <c r="AI147" s="13">
        <f>IF('Données projet'!$A$62&gt;35,AI146+AH147-AQ146,IF(A147&lt;'Données projet'!$A$62,$AF$205^A147,IF(A147='Données projet'!$A$62,'Données projet'!$B$62,AI146+AH147-AQ146)))</f>
        <v>379.91999999999979</v>
      </c>
      <c r="AJ147" s="13">
        <f>AI147*VLOOKUP('Données projet'!$B$10,Paramètres!$A$1:$I$89,3,0)*VLOOKUP('Données projet'!$B$10,Paramètres!$A$1:$I$89,5,0)</f>
        <v>385.23887999999982</v>
      </c>
      <c r="AK147" s="13">
        <f t="shared" si="143"/>
        <v>88.777557329023793</v>
      </c>
      <c r="AL147" s="20">
        <f t="shared" si="112"/>
        <v>825.57862834804939</v>
      </c>
      <c r="AM147" s="59">
        <f t="shared" si="113"/>
        <v>1118.9119616813828</v>
      </c>
      <c r="AN147" s="59">
        <f ca="1">AVERAGE(OFFSET($AM$3,0,0,'Données projet'!$E$10+1,1))-AVERAGE(OFFSET($H$3,0,0,'Données projet'!$E$10+1,1))</f>
        <v>486.4870616281359</v>
      </c>
      <c r="AO147" s="59">
        <f t="shared" si="144"/>
        <v>247.29100537955225</v>
      </c>
      <c r="AP147" s="15">
        <f>IF(ISNA(VLOOKUP(A147,'Données projet'!$A$61:$I$81,3,0)),0,VLOOKUP(A147,'Données projet'!$A$61:$I$81,3,0))</f>
        <v>10</v>
      </c>
      <c r="AQ147" s="15">
        <f>IF(ISNA(VLOOKUP(A147,'Données projet'!$A$61:$I$81,4,0)),0,VLOOKUP(A147,'Données projet'!$A$61:$I$81,4,0))</f>
        <v>60.949999999999989</v>
      </c>
      <c r="AR147" s="16">
        <f>IF(ISNA(VLOOKUP(A147,'Données projet'!$A$61:$I$81,5,0)),0%,VLOOKUP(A147,'Données projet'!$A$61:$I$81,5,0)*VLOOKUP('Données projet'!$B$10,Paramètres!$A$1:$I$89,7,0))</f>
        <v>0.15049999999999999</v>
      </c>
      <c r="AS147" s="16">
        <f>IF(ISNA(VLOOKUP(A147,'Données projet'!$A$61:$I$81,6,0)),0%,VLOOKUP(A147,'Données projet'!$A$61:$I$81,6,0)*VLOOKUP('Données projet'!$B$10,Paramètres!$A$1:$I$89,7,0))</f>
        <v>8.6000000000000007E-2</v>
      </c>
      <c r="AT147" s="16">
        <f>IF(ISNA(VLOOKUP(A147,'Données projet'!$A$61:$I$81,7,0)),0%,VLOOKUP(A147,'Données projet'!$A$61:$I$81,7,0))</f>
        <v>0.1</v>
      </c>
      <c r="AU147" s="21">
        <f>EXP(-LN(2)/35)*AU146+(1-EXP(-LN(2)/35))/(LN(2)/35)*AQ147*AR147*VLOOKUP('Données projet'!$B$10,Paramètres!$A$1:$I$89,3,0)*0.475*44/12</f>
        <v>33.279121647327884</v>
      </c>
      <c r="AV147" s="21">
        <f>EXP(-LN(2)/25)*AV146+(1-EXP(-LN(2)/25))/(LN(2)/25)*Calculateur!AQ147*Calculateur!AS147*VLOOKUP('Données projet'!$B$10,Paramètres!$A$1:$I$89,3,0)*0.475*44/12</f>
        <v>23.088424422837178</v>
      </c>
      <c r="AW147" s="21">
        <f>EXP(-LN(2)/2)*AW146+(1-EXP(-LN(2)/2))/(LN(2)/2)*AQ147*AT147*VLOOKUP('Données projet'!$B$10,Paramètres!$A$1:$I$89,3,0)*0.475*44/12</f>
        <v>5.9063400666521613</v>
      </c>
      <c r="AX147" s="21">
        <f t="shared" si="114"/>
        <v>62.273886136817225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4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30.944160000000061</v>
      </c>
      <c r="D148" s="11">
        <f t="shared" si="140"/>
        <v>9.5637321060626821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75.046200112284652</v>
      </c>
      <c r="H148" s="67">
        <f t="shared" si="110"/>
        <v>327.21791208472598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-2.2737367544323206E-13</v>
      </c>
      <c r="O148" s="13">
        <f>N148*VLOOKUP('Données projet'!$B$9,Paramètres!$A$1:$I$89,3,0)*VLOOKUP('Données projet'!$B$9,Paramètres!$A$1:$I$89,5,0)</f>
        <v>-1.3596945791505279E-13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329.62068845923676</v>
      </c>
      <c r="T148" s="59">
        <f t="shared" si="142"/>
        <v>243.22501652129546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42.305251696778981</v>
      </c>
      <c r="AA148" s="21">
        <f>EXP(-LN(2)/25)*AA147+(1-EXP(-LN(2)/25))/(LN(2)/25)*Calculateur!V148*Calculateur!X148*VLOOKUP('Données projet'!$B$9,Paramètres!$A$1:$I$89,3,0)*0.475*44/12</f>
        <v>8.5346386523682192</v>
      </c>
      <c r="AB148" s="21">
        <f>EXP(-LN(2)/2)*AB147+(1-EXP(-LN(2)/2))/(LN(2)/2)*V148*Y148*VLOOKUP('Données projet'!$B$9,Paramètres!$A$1:$I$89,3,0)*0.475*44/12</f>
        <v>1.1642514184927923E-8</v>
      </c>
      <c r="AC148" s="22">
        <f t="shared" si="111"/>
        <v>50.83989036078971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7.5191666666666634</v>
      </c>
      <c r="AI148" s="13">
        <f>IF('Données projet'!$A$62&gt;35,AI147+AH148-AQ147,IF(A148&lt;'Données projet'!$A$62,$AF$205^A148,IF(A148='Données projet'!$A$62,'Données projet'!$B$62,AI147+AH148-AQ147)))</f>
        <v>326.48916666666645</v>
      </c>
      <c r="AJ148" s="13">
        <f>AI148*VLOOKUP('Données projet'!$B$10,Paramètres!$A$1:$I$89,3,0)*VLOOKUP('Données projet'!$B$10,Paramètres!$A$1:$I$89,5,0)</f>
        <v>331.06001499999979</v>
      </c>
      <c r="AK148" s="13">
        <f t="shared" si="143"/>
        <v>77.650034289681813</v>
      </c>
      <c r="AL148" s="20">
        <f t="shared" si="112"/>
        <v>711.83666917952871</v>
      </c>
      <c r="AM148" s="59">
        <f t="shared" si="113"/>
        <v>1005.1700025128621</v>
      </c>
      <c r="AN148" s="59">
        <f ca="1">AVERAGE(OFFSET($AM$3,0,0,'Données projet'!$E$10+1,1))-AVERAGE(OFFSET($H$3,0,0,'Données projet'!$E$10+1,1))</f>
        <v>486.4870616281359</v>
      </c>
      <c r="AO148" s="59">
        <f t="shared" si="144"/>
        <v>247.29100537955225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32.626538370083701</v>
      </c>
      <c r="AV148" s="21">
        <f>EXP(-LN(2)/25)*AV147+(1-EXP(-LN(2)/25))/(LN(2)/25)*Calculateur!AQ148*Calculateur!AS148*VLOOKUP('Données projet'!$B$10,Paramètres!$A$1:$I$89,3,0)*0.475*44/12</f>
        <v>22.457070242827225</v>
      </c>
      <c r="AW148" s="21">
        <f>EXP(-LN(2)/2)*AW147+(1-EXP(-LN(2)/2))/(LN(2)/2)*AQ148*AT148*VLOOKUP('Données projet'!$B$10,Paramètres!$A$1:$I$89,3,0)*0.475*44/12</f>
        <v>4.1764131131235489</v>
      </c>
      <c r="AX148" s="21">
        <f t="shared" si="114"/>
        <v>59.260021726034473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4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31.157568000000062</v>
      </c>
      <c r="D149" s="11">
        <f t="shared" si="140"/>
        <v>9.6219881784828889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75.549493551715784</v>
      </c>
      <c r="H149" s="67">
        <f t="shared" si="110"/>
        <v>327.69106034419116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-2.2737367544323206E-13</v>
      </c>
      <c r="O149" s="13">
        <f>N149*VLOOKUP('Données projet'!$B$9,Paramètres!$A$1:$I$89,3,0)*VLOOKUP('Données projet'!$B$9,Paramètres!$A$1:$I$89,5,0)</f>
        <v>-1.3596945791505279E-13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329.62068845923676</v>
      </c>
      <c r="T149" s="59">
        <f t="shared" si="142"/>
        <v>243.22501652129546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41.475671514660782</v>
      </c>
      <c r="AA149" s="21">
        <f>EXP(-LN(2)/25)*AA148+(1-EXP(-LN(2)/25))/(LN(2)/25)*Calculateur!V149*Calculateur!X149*VLOOKUP('Données projet'!$B$9,Paramètres!$A$1:$I$89,3,0)*0.475*44/12</f>
        <v>8.3012585096020697</v>
      </c>
      <c r="AB149" s="21">
        <f>EXP(-LN(2)/2)*AB148+(1-EXP(-LN(2)/2))/(LN(2)/2)*V149*Y149*VLOOKUP('Données projet'!$B$9,Paramètres!$A$1:$I$89,3,0)*0.475*44/12</f>
        <v>8.2325007302231047E-9</v>
      </c>
      <c r="AC149" s="22">
        <f t="shared" si="111"/>
        <v>49.776930032495351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7.5191666666666634</v>
      </c>
      <c r="AI149" s="13">
        <f>IF('Données projet'!$A$62&gt;35,AI148+AH149-AQ148,IF(A149&lt;'Données projet'!$A$62,$AF$205^A149,IF(A149='Données projet'!$A$62,'Données projet'!$B$62,AI148+AH149-AQ148)))</f>
        <v>334.0083333333331</v>
      </c>
      <c r="AJ149" s="13">
        <f>AI149*VLOOKUP('Données projet'!$B$10,Paramètres!$A$1:$I$89,3,0)*VLOOKUP('Données projet'!$B$10,Paramètres!$A$1:$I$89,5,0)</f>
        <v>338.6844499999998</v>
      </c>
      <c r="AK149" s="13">
        <f t="shared" si="143"/>
        <v>79.228084167092831</v>
      </c>
      <c r="AL149" s="20">
        <f t="shared" si="112"/>
        <v>727.86433034101958</v>
      </c>
      <c r="AM149" s="59">
        <f t="shared" si="113"/>
        <v>1021.197663674353</v>
      </c>
      <c r="AN149" s="59">
        <f ca="1">AVERAGE(OFFSET($AM$3,0,0,'Données projet'!$E$10+1,1))-AVERAGE(OFFSET($H$3,0,0,'Données projet'!$E$10+1,1))</f>
        <v>486.4870616281359</v>
      </c>
      <c r="AO149" s="59">
        <f t="shared" si="144"/>
        <v>247.29100537955225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31.98675185286978</v>
      </c>
      <c r="AV149" s="21">
        <f>EXP(-LN(2)/25)*AV148+(1-EXP(-LN(2)/25))/(LN(2)/25)*Calculateur!AQ149*Calculateur!AS149*VLOOKUP('Données projet'!$B$10,Paramètres!$A$1:$I$89,3,0)*0.475*44/12</f>
        <v>21.842980476071116</v>
      </c>
      <c r="AW149" s="21">
        <f>EXP(-LN(2)/2)*AW148+(1-EXP(-LN(2)/2))/(LN(2)/2)*AQ149*AT149*VLOOKUP('Données projet'!$B$10,Paramètres!$A$1:$I$89,3,0)*0.475*44/12</f>
        <v>2.9531700333260811</v>
      </c>
      <c r="AX149" s="21">
        <f t="shared" si="114"/>
        <v>56.782902362266974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4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31.370976000000063</v>
      </c>
      <c r="D150" s="11">
        <f t="shared" si="140"/>
        <v>9.6801978237764086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76.052700978785893</v>
      </c>
      <c r="H150" s="67">
        <f t="shared" si="110"/>
        <v>328.16412774307736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-2.2737367544323206E-13</v>
      </c>
      <c r="O150" s="13">
        <f>N150*VLOOKUP('Données projet'!$B$9,Paramètres!$A$1:$I$89,3,0)*VLOOKUP('Données projet'!$B$9,Paramètres!$A$1:$I$89,5,0)</f>
        <v>-1.3596945791505279E-13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329.62068845923676</v>
      </c>
      <c r="T150" s="59">
        <f t="shared" si="142"/>
        <v>243.22501652129546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40.662358893919972</v>
      </c>
      <c r="AA150" s="21">
        <f>EXP(-LN(2)/25)*AA149+(1-EXP(-LN(2)/25))/(LN(2)/25)*Calculateur!V150*Calculateur!X150*VLOOKUP('Données projet'!$B$9,Paramètres!$A$1:$I$89,3,0)*0.475*44/12</f>
        <v>8.0742601591127894</v>
      </c>
      <c r="AB150" s="21">
        <f>EXP(-LN(2)/2)*AB149+(1-EXP(-LN(2)/2))/(LN(2)/2)*V150*Y150*VLOOKUP('Données projet'!$B$9,Paramètres!$A$1:$I$89,3,0)*0.475*44/12</f>
        <v>5.8212570924639616E-9</v>
      </c>
      <c r="AC150" s="22">
        <f t="shared" si="111"/>
        <v>48.736619058854018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7.5191666666666634</v>
      </c>
      <c r="AI150" s="13">
        <f>IF('Données projet'!$A$62&gt;35,AI149+AH150-AQ149,IF(A150&lt;'Données projet'!$A$62,$AF$205^A150,IF(A150='Données projet'!$A$62,'Données projet'!$B$62,AI149+AH150-AQ149)))</f>
        <v>341.52749999999975</v>
      </c>
      <c r="AJ150" s="13">
        <f>AI150*VLOOKUP('Données projet'!$B$10,Paramètres!$A$1:$I$89,3,0)*VLOOKUP('Données projet'!$B$10,Paramètres!$A$1:$I$89,5,0)</f>
        <v>346.3088849999998</v>
      </c>
      <c r="AK150" s="13">
        <f t="shared" si="143"/>
        <v>80.802003987912002</v>
      </c>
      <c r="AL150" s="20">
        <f t="shared" si="112"/>
        <v>743.88479832061319</v>
      </c>
      <c r="AM150" s="59">
        <f t="shared" si="113"/>
        <v>1037.2181316539466</v>
      </c>
      <c r="AN150" s="59">
        <f ca="1">AVERAGE(OFFSET($AM$3,0,0,'Données projet'!$E$10+1,1))-AVERAGE(OFFSET($H$3,0,0,'Données projet'!$E$10+1,1))</f>
        <v>486.4870616281359</v>
      </c>
      <c r="AO150" s="59">
        <f t="shared" si="144"/>
        <v>247.29100537955225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31.359511159027182</v>
      </c>
      <c r="AV150" s="21">
        <f>EXP(-LN(2)/25)*AV149+(1-EXP(-LN(2)/25))/(LN(2)/25)*Calculateur!AQ150*Calculateur!AS150*VLOOKUP('Données projet'!$B$10,Paramètres!$A$1:$I$89,3,0)*0.475*44/12</f>
        <v>21.245683026280531</v>
      </c>
      <c r="AW150" s="21">
        <f>EXP(-LN(2)/2)*AW149+(1-EXP(-LN(2)/2))/(LN(2)/2)*AQ150*AT150*VLOOKUP('Données projet'!$B$10,Paramètres!$A$1:$I$89,3,0)*0.475*44/12</f>
        <v>2.0882065565617745</v>
      </c>
      <c r="AX150" s="21">
        <f t="shared" si="114"/>
        <v>54.693400741869482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4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31.584384000000064</v>
      </c>
      <c r="D151" s="11">
        <f t="shared" si="140"/>
        <v>9.7383613944026362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76.555823046472369</v>
      </c>
      <c r="H151" s="67">
        <f t="shared" si="110"/>
        <v>328.63711489525139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-2.2737367544323206E-13</v>
      </c>
      <c r="O151" s="13">
        <f>N151*VLOOKUP('Données projet'!$B$9,Paramètres!$A$1:$I$89,3,0)*VLOOKUP('Données projet'!$B$9,Paramètres!$A$1:$I$89,5,0)</f>
        <v>-1.3596945791505279E-13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329.62068845923676</v>
      </c>
      <c r="T151" s="59">
        <f t="shared" si="142"/>
        <v>243.22501652129546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39.864994837600172</v>
      </c>
      <c r="AA151" s="21">
        <f>EXP(-LN(2)/25)*AA150+(1-EXP(-LN(2)/25))/(LN(2)/25)*Calculateur!V151*Calculateur!X151*VLOOKUP('Données projet'!$B$9,Paramètres!$A$1:$I$89,3,0)*0.475*44/12</f>
        <v>7.8534690904549622</v>
      </c>
      <c r="AB151" s="21">
        <f>EXP(-LN(2)/2)*AB150+(1-EXP(-LN(2)/2))/(LN(2)/2)*V151*Y151*VLOOKUP('Données projet'!$B$9,Paramètres!$A$1:$I$89,3,0)*0.475*44/12</f>
        <v>4.1162503651115523E-9</v>
      </c>
      <c r="AC151" s="22">
        <f t="shared" si="111"/>
        <v>47.718463932171389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7.5191666666666634</v>
      </c>
      <c r="AI151" s="13">
        <f>IF('Données projet'!$A$62&gt;35,AI150+AH151-AQ150,IF(A151&lt;'Données projet'!$A$62,$AF$205^A151,IF(A151='Données projet'!$A$62,'Données projet'!$B$62,AI150+AH151-AQ150)))</f>
        <v>349.0466666666664</v>
      </c>
      <c r="AJ151" s="13">
        <f>AI151*VLOOKUP('Données projet'!$B$10,Paramètres!$A$1:$I$89,3,0)*VLOOKUP('Données projet'!$B$10,Paramètres!$A$1:$I$89,5,0)</f>
        <v>353.93331999999975</v>
      </c>
      <c r="AK151" s="13">
        <f t="shared" si="143"/>
        <v>82.371895151305182</v>
      </c>
      <c r="AL151" s="20">
        <f t="shared" si="112"/>
        <v>759.89824972185613</v>
      </c>
      <c r="AM151" s="59">
        <f t="shared" si="113"/>
        <v>1053.2315830551895</v>
      </c>
      <c r="AN151" s="59">
        <f ca="1">AVERAGE(OFFSET($AM$3,0,0,'Données projet'!$E$10+1,1))-AVERAGE(OFFSET($H$3,0,0,'Données projet'!$E$10+1,1))</f>
        <v>486.4870616281359</v>
      </c>
      <c r="AO151" s="59">
        <f t="shared" si="144"/>
        <v>247.29100537955225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30.744570272611792</v>
      </c>
      <c r="AV151" s="21">
        <f>EXP(-LN(2)/25)*AV150+(1-EXP(-LN(2)/25))/(LN(2)/25)*Calculateur!AQ151*Calculateur!AS151*VLOOKUP('Données projet'!$B$10,Paramètres!$A$1:$I$89,3,0)*0.475*44/12</f>
        <v>20.664718706664978</v>
      </c>
      <c r="AW151" s="21">
        <f>EXP(-LN(2)/2)*AW150+(1-EXP(-LN(2)/2))/(LN(2)/2)*AQ151*AT151*VLOOKUP('Données projet'!$B$10,Paramètres!$A$1:$I$89,3,0)*0.475*44/12</f>
        <v>1.4765850166630405</v>
      </c>
      <c r="AX151" s="21">
        <f t="shared" si="114"/>
        <v>52.885873995939804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4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31.797792000000065</v>
      </c>
      <c r="D152" s="11">
        <f t="shared" si="140"/>
        <v>9.7964792377826555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77.058860398418531</v>
      </c>
      <c r="H152" s="67">
        <f t="shared" si="110"/>
        <v>329.1100224058049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-2.2737367544323206E-13</v>
      </c>
      <c r="O152" s="13">
        <f>N152*VLOOKUP('Données projet'!$B$9,Paramètres!$A$1:$I$89,3,0)*VLOOKUP('Données projet'!$B$9,Paramètres!$A$1:$I$89,5,0)</f>
        <v>-1.3596945791505279E-13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329.62068845923676</v>
      </c>
      <c r="T152" s="59">
        <f t="shared" si="142"/>
        <v>243.22501652129546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39.083266604080755</v>
      </c>
      <c r="AA152" s="21">
        <f>EXP(-LN(2)/25)*AA151+(1-EXP(-LN(2)/25))/(LN(2)/25)*Calculateur!V152*Calculateur!X152*VLOOKUP('Données projet'!$B$9,Paramètres!$A$1:$I$89,3,0)*0.475*44/12</f>
        <v>7.6387155651804814</v>
      </c>
      <c r="AB152" s="21">
        <f>EXP(-LN(2)/2)*AB151+(1-EXP(-LN(2)/2))/(LN(2)/2)*V152*Y152*VLOOKUP('Données projet'!$B$9,Paramètres!$A$1:$I$89,3,0)*0.475*44/12</f>
        <v>2.9106285462319808E-9</v>
      </c>
      <c r="AC152" s="22">
        <f t="shared" si="111"/>
        <v>46.72198217217187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7.5191666666666634</v>
      </c>
      <c r="AI152" s="13">
        <f>IF('Données projet'!$A$62&gt;35,AI151+AH152-AQ151,IF(A152&lt;'Données projet'!$A$62,$AF$205^A152,IF(A152='Données projet'!$A$62,'Données projet'!$B$62,AI151+AH152-AQ151)))</f>
        <v>356.56583333333305</v>
      </c>
      <c r="AJ152" s="13">
        <f>AI152*VLOOKUP('Données projet'!$B$10,Paramètres!$A$1:$I$89,3,0)*VLOOKUP('Données projet'!$B$10,Paramètres!$A$1:$I$89,5,0)</f>
        <v>361.5577549999997</v>
      </c>
      <c r="AK152" s="13">
        <f t="shared" si="143"/>
        <v>83.937854438215282</v>
      </c>
      <c r="AL152" s="20">
        <f t="shared" si="112"/>
        <v>775.904853104891</v>
      </c>
      <c r="AM152" s="59">
        <f t="shared" si="113"/>
        <v>1069.2381864382244</v>
      </c>
      <c r="AN152" s="59">
        <f ca="1">AVERAGE(OFFSET($AM$3,0,0,'Données projet'!$E$10+1,1))-AVERAGE(OFFSET($H$3,0,0,'Données projet'!$E$10+1,1))</f>
        <v>486.4870616281359</v>
      </c>
      <c r="AO152" s="59">
        <f t="shared" si="144"/>
        <v>247.29100537955225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30.141688001902104</v>
      </c>
      <c r="AV152" s="21">
        <f>EXP(-LN(2)/25)*AV151+(1-EXP(-LN(2)/25))/(LN(2)/25)*Calculateur!AQ152*Calculateur!AS152*VLOOKUP('Données projet'!$B$10,Paramètres!$A$1:$I$89,3,0)*0.475*44/12</f>
        <v>20.099640886920898</v>
      </c>
      <c r="AW152" s="21">
        <f>EXP(-LN(2)/2)*AW151+(1-EXP(-LN(2)/2))/(LN(2)/2)*AQ152*AT152*VLOOKUP('Données projet'!$B$10,Paramètres!$A$1:$I$89,3,0)*0.475*44/12</f>
        <v>1.0441032782808872</v>
      </c>
      <c r="AX152" s="21">
        <f t="shared" si="114"/>
        <v>51.285432167103892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4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32.011200000000066</v>
      </c>
      <c r="D153" s="11">
        <f t="shared" si="140"/>
        <v>9.8545516964045916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77.561813669128625</v>
      </c>
      <c r="H153" s="67">
        <f t="shared" si="110"/>
        <v>329.58285087123812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-2.2737367544323206E-13</v>
      </c>
      <c r="O153" s="13">
        <f>N153*VLOOKUP('Données projet'!$B$9,Paramètres!$A$1:$I$89,3,0)*VLOOKUP('Données projet'!$B$9,Paramètres!$A$1:$I$89,5,0)</f>
        <v>-1.3596945791505279E-13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329.62068845923676</v>
      </c>
      <c r="T153" s="59">
        <f t="shared" si="142"/>
        <v>243.22501652129546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38.316867584413508</v>
      </c>
      <c r="AA153" s="21">
        <f>EXP(-LN(2)/25)*AA152+(1-EXP(-LN(2)/25))/(LN(2)/25)*Calculateur!V153*Calculateur!X153*VLOOKUP('Données projet'!$B$9,Paramètres!$A$1:$I$89,3,0)*0.475*44/12</f>
        <v>7.4298344863480281</v>
      </c>
      <c r="AB153" s="21">
        <f>EXP(-LN(2)/2)*AB152+(1-EXP(-LN(2)/2))/(LN(2)/2)*V153*Y153*VLOOKUP('Données projet'!$B$9,Paramètres!$A$1:$I$89,3,0)*0.475*44/12</f>
        <v>2.0581251825557762E-9</v>
      </c>
      <c r="AC153" s="22">
        <f t="shared" si="111"/>
        <v>45.746702072819659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7.5191666666666634</v>
      </c>
      <c r="AI153" s="13">
        <f>IF('Données projet'!$A$62&gt;35,AI152+AH153-AQ152,IF(A153&lt;'Données projet'!$A$62,$AF$205^A153,IF(A153='Données projet'!$A$62,'Données projet'!$B$62,AI152+AH153-AQ152)))</f>
        <v>364.0849999999997</v>
      </c>
      <c r="AJ153" s="13">
        <f>AI153*VLOOKUP('Données projet'!$B$10,Paramètres!$A$1:$I$89,3,0)*VLOOKUP('Données projet'!$B$10,Paramètres!$A$1:$I$89,5,0)</f>
        <v>369.18218999999971</v>
      </c>
      <c r="AK153" s="13">
        <f t="shared" si="143"/>
        <v>85.499974314579831</v>
      </c>
      <c r="AL153" s="20">
        <f t="shared" si="112"/>
        <v>791.90476951455923</v>
      </c>
      <c r="AM153" s="59">
        <f t="shared" si="113"/>
        <v>1085.2381028478926</v>
      </c>
      <c r="AN153" s="59">
        <f ca="1">AVERAGE(OFFSET($AM$3,0,0,'Données projet'!$E$10+1,1))-AVERAGE(OFFSET($H$3,0,0,'Données projet'!$E$10+1,1))</f>
        <v>486.4870616281359</v>
      </c>
      <c r="AO153" s="59">
        <f t="shared" si="144"/>
        <v>247.29100537955225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29.550627884799155</v>
      </c>
      <c r="AV153" s="21">
        <f>EXP(-LN(2)/25)*AV152+(1-EXP(-LN(2)/25))/(LN(2)/25)*Calculateur!AQ153*Calculateur!AS153*VLOOKUP('Données projet'!$B$10,Paramètres!$A$1:$I$89,3,0)*0.475*44/12</f>
        <v>19.550015149873872</v>
      </c>
      <c r="AW153" s="21">
        <f>EXP(-LN(2)/2)*AW152+(1-EXP(-LN(2)/2))/(LN(2)/2)*AQ153*AT153*VLOOKUP('Données projet'!$B$10,Paramètres!$A$1:$I$89,3,0)*0.475*44/12</f>
        <v>0.73829250833152027</v>
      </c>
      <c r="AX153" s="21">
        <f t="shared" si="114"/>
        <v>49.838935543004546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4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32.224608000000067</v>
      </c>
      <c r="D154" s="11">
        <f t="shared" si="140"/>
        <v>9.9125791079260743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78.064683484157911</v>
      </c>
      <c r="H154" s="67">
        <f t="shared" si="110"/>
        <v>330.05560087963806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-2.2737367544323206E-13</v>
      </c>
      <c r="O154" s="13">
        <f>N154*VLOOKUP('Données projet'!$B$9,Paramètres!$A$1:$I$89,3,0)*VLOOKUP('Données projet'!$B$9,Paramètres!$A$1:$I$89,5,0)</f>
        <v>-1.3596945791505279E-13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329.62068845923676</v>
      </c>
      <c r="T154" s="59">
        <f t="shared" si="142"/>
        <v>243.22501652129546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37.565497182064696</v>
      </c>
      <c r="AA154" s="21">
        <f>EXP(-LN(2)/25)*AA153+(1-EXP(-LN(2)/25))/(LN(2)/25)*Calculateur!V154*Calculateur!X154*VLOOKUP('Données projet'!$B$9,Paramètres!$A$1:$I$89,3,0)*0.475*44/12</f>
        <v>7.2266652716008268</v>
      </c>
      <c r="AB154" s="21">
        <f>EXP(-LN(2)/2)*AB153+(1-EXP(-LN(2)/2))/(LN(2)/2)*V154*Y154*VLOOKUP('Données projet'!$B$9,Paramètres!$A$1:$I$89,3,0)*0.475*44/12</f>
        <v>1.4553142731159904E-9</v>
      </c>
      <c r="AC154" s="22">
        <f t="shared" ref="AC154:AC203" si="163">SUM(Z154:AB154)</f>
        <v>44.792162455120838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7.5191666666666634</v>
      </c>
      <c r="AI154" s="13">
        <f>IF('Données projet'!$A$62&gt;35,AI153+AH154-AQ153,IF(A154&lt;'Données projet'!$A$62,$AF$205^A154,IF(A154='Données projet'!$A$62,'Données projet'!$B$62,AI153+AH154-AQ153)))</f>
        <v>371.60416666666634</v>
      </c>
      <c r="AJ154" s="13">
        <f>AI154*VLOOKUP('Données projet'!$B$10,Paramètres!$A$1:$I$89,3,0)*VLOOKUP('Données projet'!$B$10,Paramètres!$A$1:$I$89,5,0)</f>
        <v>376.80662499999971</v>
      </c>
      <c r="AK154" s="13">
        <f t="shared" ref="AK154:AK203" si="164">EXP(-1.0587+0.8836*LN(AJ154)+0.284)</f>
        <v>87.058343208792692</v>
      </c>
      <c r="AL154" s="20">
        <f t="shared" ref="AL154:AL203" si="165">(AJ154+AK154)*0.475*44/12</f>
        <v>807.89815296364668</v>
      </c>
      <c r="AM154" s="59">
        <f t="shared" si="113"/>
        <v>1101.2314862969799</v>
      </c>
      <c r="AN154" s="59">
        <f ca="1">AVERAGE(OFFSET($AM$3,0,0,'Données projet'!$E$10+1,1))-AVERAGE(OFFSET($H$3,0,0,'Données projet'!$E$10+1,1))</f>
        <v>486.4870616281359</v>
      </c>
      <c r="AO154" s="59">
        <f t="shared" si="144"/>
        <v>247.29100537955225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28.97115809608152</v>
      </c>
      <c r="AV154" s="21">
        <f>EXP(-LN(2)/25)*AV153+(1-EXP(-LN(2)/25))/(LN(2)/25)*Calculateur!AQ154*Calculateur!AS154*VLOOKUP('Données projet'!$B$10,Paramètres!$A$1:$I$89,3,0)*0.475*44/12</f>
        <v>19.015418957509954</v>
      </c>
      <c r="AW154" s="21">
        <f>EXP(-LN(2)/2)*AW153+(1-EXP(-LN(2)/2))/(LN(2)/2)*AQ154*AT154*VLOOKUP('Données projet'!$B$10,Paramètres!$A$1:$I$89,3,0)*0.475*44/12</f>
        <v>0.52205163914044361</v>
      </c>
      <c r="AX154" s="21">
        <f t="shared" ref="AX154:AX203" si="166">SUM(AU154:AW154)</f>
        <v>48.508628692731918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4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32.438016000000069</v>
      </c>
      <c r="D155" s="11">
        <f t="shared" si="140"/>
        <v>9.9705618052738583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78.56747046029696</v>
      </c>
      <c r="H155" s="67">
        <f t="shared" si="110"/>
        <v>330.5282730108521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-2.2737367544323206E-13</v>
      </c>
      <c r="O155" s="13">
        <f>N155*VLOOKUP('Données projet'!$B$9,Paramètres!$A$1:$I$89,3,0)*VLOOKUP('Données projet'!$B$9,Paramètres!$A$1:$I$89,5,0)</f>
        <v>-1.3596945791505279E-13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329.62068845923676</v>
      </c>
      <c r="T155" s="59">
        <f t="shared" si="142"/>
        <v>243.22501652129546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36.828860695015251</v>
      </c>
      <c r="AA155" s="21">
        <f>EXP(-LN(2)/25)*AA154+(1-EXP(-LN(2)/25))/(LN(2)/25)*Calculateur!V155*Calculateur!X155*VLOOKUP('Données projet'!$B$9,Paramètres!$A$1:$I$89,3,0)*0.475*44/12</f>
        <v>7.0290517297150927</v>
      </c>
      <c r="AB155" s="21">
        <f>EXP(-LN(2)/2)*AB154+(1-EXP(-LN(2)/2))/(LN(2)/2)*V155*Y155*VLOOKUP('Données projet'!$B$9,Paramètres!$A$1:$I$89,3,0)*0.475*44/12</f>
        <v>1.0290625912778881E-9</v>
      </c>
      <c r="AC155" s="22">
        <f t="shared" si="163"/>
        <v>43.857912425759409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7.5191666666666634</v>
      </c>
      <c r="AI155" s="13">
        <f>IF('Données projet'!$A$62&gt;35,AI154+AH155-AQ154,IF(A155&lt;'Données projet'!$A$62,$AF$205^A155,IF(A155='Données projet'!$A$62,'Données projet'!$B$62,AI154+AH155-AQ154)))</f>
        <v>379.12333333333299</v>
      </c>
      <c r="AJ155" s="13">
        <f>AI155*VLOOKUP('Données projet'!$B$10,Paramètres!$A$1:$I$89,3,0)*VLOOKUP('Données projet'!$B$10,Paramètres!$A$1:$I$89,5,0)</f>
        <v>384.43105999999966</v>
      </c>
      <c r="AK155" s="13">
        <f t="shared" si="164"/>
        <v>88.613045766074748</v>
      </c>
      <c r="AL155" s="20">
        <f t="shared" si="165"/>
        <v>823.88515087591293</v>
      </c>
      <c r="AM155" s="59">
        <f t="shared" si="113"/>
        <v>1117.2184842092463</v>
      </c>
      <c r="AN155" s="59">
        <f ca="1">AVERAGE(OFFSET($AM$3,0,0,'Données projet'!$E$10+1,1))-AVERAGE(OFFSET($H$3,0,0,'Données projet'!$E$10+1,1))</f>
        <v>486.4870616281359</v>
      </c>
      <c r="AO155" s="59">
        <f t="shared" si="144"/>
        <v>247.29100537955225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28.403051356478969</v>
      </c>
      <c r="AV155" s="21">
        <f>EXP(-LN(2)/25)*AV154+(1-EXP(-LN(2)/25))/(LN(2)/25)*Calculateur!AQ155*Calculateur!AS155*VLOOKUP('Données projet'!$B$10,Paramètres!$A$1:$I$89,3,0)*0.475*44/12</f>
        <v>18.495441326139421</v>
      </c>
      <c r="AW155" s="21">
        <f>EXP(-LN(2)/2)*AW154+(1-EXP(-LN(2)/2))/(LN(2)/2)*AQ155*AT155*VLOOKUP('Données projet'!$B$10,Paramètres!$A$1:$I$89,3,0)*0.475*44/12</f>
        <v>0.36914625416576013</v>
      </c>
      <c r="AX155" s="21">
        <f t="shared" si="166"/>
        <v>47.267638936784152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4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32.65142400000007</v>
      </c>
      <c r="D156" s="11">
        <f t="shared" si="140"/>
        <v>10.028500116740814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79.070175205751539</v>
      </c>
      <c r="H156" s="67">
        <f t="shared" si="110"/>
        <v>331.00086783665705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-2.2737367544323206E-13</v>
      </c>
      <c r="O156" s="13">
        <f>N156*VLOOKUP('Données projet'!$B$9,Paramètres!$A$1:$I$89,3,0)*VLOOKUP('Données projet'!$B$9,Paramètres!$A$1:$I$89,5,0)</f>
        <v>-1.3596945791505279E-13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329.62068845923676</v>
      </c>
      <c r="T156" s="59">
        <f t="shared" si="142"/>
        <v>243.22501652129546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36.106669200172952</v>
      </c>
      <c r="AA156" s="21">
        <f>EXP(-LN(2)/25)*AA155+(1-EXP(-LN(2)/25))/(LN(2)/25)*Calculateur!V156*Calculateur!X156*VLOOKUP('Données projet'!$B$9,Paramètres!$A$1:$I$89,3,0)*0.475*44/12</f>
        <v>6.836841940524268</v>
      </c>
      <c r="AB156" s="21">
        <f>EXP(-LN(2)/2)*AB155+(1-EXP(-LN(2)/2))/(LN(2)/2)*V156*Y156*VLOOKUP('Données projet'!$B$9,Paramètres!$A$1:$I$89,3,0)*0.475*44/12</f>
        <v>7.2765713655799521E-10</v>
      </c>
      <c r="AC156" s="22">
        <f t="shared" si="163"/>
        <v>42.943511141424878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7.5191666666666634</v>
      </c>
      <c r="AI156" s="13">
        <f>IF('Données projet'!$A$62&gt;35,AI155+AH156-AQ155,IF(A156&lt;'Données projet'!$A$62,$AF$205^A156,IF(A156='Données projet'!$A$62,'Données projet'!$B$62,AI155+AH156-AQ155)))</f>
        <v>386.64249999999964</v>
      </c>
      <c r="AJ156" s="13">
        <f>AI156*VLOOKUP('Données projet'!$B$10,Paramètres!$A$1:$I$89,3,0)*VLOOKUP('Données projet'!$B$10,Paramètres!$A$1:$I$89,5,0)</f>
        <v>392.05549499999967</v>
      </c>
      <c r="AK156" s="13">
        <f t="shared" si="164"/>
        <v>90.164163082094575</v>
      </c>
      <c r="AL156" s="20">
        <f t="shared" si="165"/>
        <v>839.8659044929808</v>
      </c>
      <c r="AM156" s="59">
        <f t="shared" si="113"/>
        <v>1133.1992378263142</v>
      </c>
      <c r="AN156" s="59">
        <f ca="1">AVERAGE(OFFSET($AM$3,0,0,'Données projet'!$E$10+1,1))-AVERAGE(OFFSET($H$3,0,0,'Données projet'!$E$10+1,1))</f>
        <v>486.4870616281359</v>
      </c>
      <c r="AO156" s="59">
        <f t="shared" si="144"/>
        <v>247.29100537955225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27.846084843529127</v>
      </c>
      <c r="AV156" s="21">
        <f>EXP(-LN(2)/25)*AV155+(1-EXP(-LN(2)/25))/(LN(2)/25)*Calculateur!AQ156*Calculateur!AS156*VLOOKUP('Données projet'!$B$10,Paramètres!$A$1:$I$89,3,0)*0.475*44/12</f>
        <v>17.989682510443149</v>
      </c>
      <c r="AW156" s="21">
        <f>EXP(-LN(2)/2)*AW155+(1-EXP(-LN(2)/2))/(LN(2)/2)*AQ156*AT156*VLOOKUP('Données projet'!$B$10,Paramètres!$A$1:$I$89,3,0)*0.475*44/12</f>
        <v>0.26102581957022181</v>
      </c>
      <c r="AX156" s="21">
        <f t="shared" si="166"/>
        <v>46.096793173542494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4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32.864832000000071</v>
      </c>
      <c r="D157" s="11">
        <f t="shared" si="140"/>
        <v>10.086394366080286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79.57279832031729</v>
      </c>
      <c r="H157" s="67">
        <f t="shared" si="110"/>
        <v>331.47338592092331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-2.2737367544323206E-13</v>
      </c>
      <c r="O157" s="13">
        <f>N157*VLOOKUP('Données projet'!$B$9,Paramètres!$A$1:$I$89,3,0)*VLOOKUP('Données projet'!$B$9,Paramètres!$A$1:$I$89,5,0)</f>
        <v>-1.3596945791505279E-13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329.62068845923676</v>
      </c>
      <c r="T157" s="59">
        <f t="shared" si="142"/>
        <v>243.22501652129546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35.398639440051191</v>
      </c>
      <c r="AA157" s="21">
        <f>EXP(-LN(2)/25)*AA156+(1-EXP(-LN(2)/25))/(LN(2)/25)*Calculateur!V157*Calculateur!X157*VLOOKUP('Données projet'!$B$9,Paramètres!$A$1:$I$89,3,0)*0.475*44/12</f>
        <v>6.6498881381267401</v>
      </c>
      <c r="AB157" s="21">
        <f>EXP(-LN(2)/2)*AB156+(1-EXP(-LN(2)/2))/(LN(2)/2)*V157*Y157*VLOOKUP('Données projet'!$B$9,Paramètres!$A$1:$I$89,3,0)*0.475*44/12</f>
        <v>5.1453129563894404E-10</v>
      </c>
      <c r="AC157" s="22">
        <f t="shared" si="163"/>
        <v>42.048527578692465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7.5191666666666634</v>
      </c>
      <c r="AI157" s="13">
        <f>IF('Données projet'!$A$62&gt;35,AI156+AH157-AQ156,IF(A157&lt;'Données projet'!$A$62,$AF$205^A157,IF(A157='Données projet'!$A$62,'Données projet'!$B$62,AI156+AH157-AQ156)))</f>
        <v>394.16166666666629</v>
      </c>
      <c r="AJ157" s="13">
        <f>AI157*VLOOKUP('Données projet'!$B$10,Paramètres!$A$1:$I$89,3,0)*VLOOKUP('Données projet'!$B$10,Paramètres!$A$1:$I$89,5,0)</f>
        <v>399.67992999999967</v>
      </c>
      <c r="AK157" s="13">
        <f t="shared" si="164"/>
        <v>91.711772917902209</v>
      </c>
      <c r="AL157" s="20">
        <f t="shared" si="165"/>
        <v>855.84054924867905</v>
      </c>
      <c r="AM157" s="59">
        <f t="shared" si="113"/>
        <v>1149.1738825820123</v>
      </c>
      <c r="AN157" s="59">
        <f ca="1">AVERAGE(OFFSET($AM$3,0,0,'Données projet'!$E$10+1,1))-AVERAGE(OFFSET($H$3,0,0,'Données projet'!$E$10+1,1))</f>
        <v>486.4870616281359</v>
      </c>
      <c r="AO157" s="59">
        <f t="shared" si="144"/>
        <v>247.29100537955225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27.300040104182202</v>
      </c>
      <c r="AV157" s="21">
        <f>EXP(-LN(2)/25)*AV156+(1-EXP(-LN(2)/25))/(LN(2)/25)*Calculateur!AQ157*Calculateur!AS157*VLOOKUP('Données projet'!$B$10,Paramètres!$A$1:$I$89,3,0)*0.475*44/12</f>
        <v>17.497753696158796</v>
      </c>
      <c r="AW157" s="21">
        <f>EXP(-LN(2)/2)*AW156+(1-EXP(-LN(2)/2))/(LN(2)/2)*AQ157*AT157*VLOOKUP('Données projet'!$B$10,Paramètres!$A$1:$I$89,3,0)*0.475*44/12</f>
        <v>0.18457312708288007</v>
      </c>
      <c r="AX157" s="21">
        <f t="shared" si="166"/>
        <v>44.982366927423875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4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33.078240000000072</v>
      </c>
      <c r="D158" s="11">
        <f t="shared" si="140"/>
        <v>10.144244872597897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80.075340395549929</v>
      </c>
      <c r="H158" s="67">
        <f t="shared" si="110"/>
        <v>331.94582781977482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-2.2737367544323206E-13</v>
      </c>
      <c r="O158" s="13">
        <f>N158*VLOOKUP('Données projet'!$B$9,Paramètres!$A$1:$I$89,3,0)*VLOOKUP('Données projet'!$B$9,Paramètres!$A$1:$I$89,5,0)</f>
        <v>-1.3596945791505279E-13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329.62068845923676</v>
      </c>
      <c r="T158" s="59">
        <f t="shared" si="142"/>
        <v>243.22501652129546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34.704493711669905</v>
      </c>
      <c r="AA158" s="21">
        <f>EXP(-LN(2)/25)*AA157+(1-EXP(-LN(2)/25))/(LN(2)/25)*Calculateur!V158*Calculateur!X158*VLOOKUP('Données projet'!$B$9,Paramètres!$A$1:$I$89,3,0)*0.475*44/12</f>
        <v>6.4680465972872456</v>
      </c>
      <c r="AB158" s="21">
        <f>EXP(-LN(2)/2)*AB157+(1-EXP(-LN(2)/2))/(LN(2)/2)*V158*Y158*VLOOKUP('Données projet'!$B$9,Paramètres!$A$1:$I$89,3,0)*0.475*44/12</f>
        <v>3.638285682789976E-10</v>
      </c>
      <c r="AC158" s="22">
        <f t="shared" si="163"/>
        <v>41.172540309320979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7.5191666666666634</v>
      </c>
      <c r="AI158" s="13">
        <f>IF('Données projet'!$A$62&gt;35,AI157+AH158-AQ157,IF(A158&lt;'Données projet'!$A$62,$AF$205^A158,IF(A158='Données projet'!$A$62,'Données projet'!$B$62,AI157+AH158-AQ157)))</f>
        <v>401.68083333333294</v>
      </c>
      <c r="AJ158" s="13">
        <f>AI158*VLOOKUP('Données projet'!$B$10,Paramètres!$A$1:$I$89,3,0)*VLOOKUP('Données projet'!$B$10,Paramètres!$A$1:$I$89,5,0)</f>
        <v>407.30436499999962</v>
      </c>
      <c r="AK158" s="13">
        <f t="shared" si="164"/>
        <v>93.255949897998832</v>
      </c>
      <c r="AL158" s="20">
        <f t="shared" si="165"/>
        <v>871.80921511401391</v>
      </c>
      <c r="AM158" s="59">
        <f t="shared" si="113"/>
        <v>1165.1425484473473</v>
      </c>
      <c r="AN158" s="59">
        <f ca="1">AVERAGE(OFFSET($AM$3,0,0,'Données projet'!$E$10+1,1))-AVERAGE(OFFSET($H$3,0,0,'Données projet'!$E$10+1,1))</f>
        <v>486.4870616281359</v>
      </c>
      <c r="AO158" s="59">
        <f t="shared" si="144"/>
        <v>247.29100537955225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26.764702969119465</v>
      </c>
      <c r="AV158" s="21">
        <f>EXP(-LN(2)/25)*AV157+(1-EXP(-LN(2)/25))/(LN(2)/25)*Calculateur!AQ158*Calculateur!AS158*VLOOKUP('Données projet'!$B$10,Paramètres!$A$1:$I$89,3,0)*0.475*44/12</f>
        <v>17.019276701170458</v>
      </c>
      <c r="AW158" s="21">
        <f>EXP(-LN(2)/2)*AW157+(1-EXP(-LN(2)/2))/(LN(2)/2)*AQ158*AT158*VLOOKUP('Données projet'!$B$10,Paramètres!$A$1:$I$89,3,0)*0.475*44/12</f>
        <v>0.1305129097851109</v>
      </c>
      <c r="AX158" s="21">
        <f t="shared" si="166"/>
        <v>43.914492580075034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4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33.291648000000073</v>
      </c>
      <c r="D159" s="11">
        <f t="shared" si="140"/>
        <v>10.202051951240959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80.577802014930754</v>
      </c>
      <c r="H159" s="67">
        <f t="shared" si="110"/>
        <v>332.41819408174479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-2.2737367544323206E-13</v>
      </c>
      <c r="O159" s="13">
        <f>N159*VLOOKUP('Données projet'!$B$9,Paramètres!$A$1:$I$89,3,0)*VLOOKUP('Données projet'!$B$9,Paramètres!$A$1:$I$89,5,0)</f>
        <v>-1.3596945791505279E-13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329.62068845923676</v>
      </c>
      <c r="T159" s="59">
        <f t="shared" si="142"/>
        <v>243.22501652129546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34.02395975763509</v>
      </c>
      <c r="AA159" s="21">
        <f>EXP(-LN(2)/25)*AA158+(1-EXP(-LN(2)/25))/(LN(2)/25)*Calculateur!V159*Calculateur!X159*VLOOKUP('Données projet'!$B$9,Paramètres!$A$1:$I$89,3,0)*0.475*44/12</f>
        <v>6.2911775229446381</v>
      </c>
      <c r="AB159" s="21">
        <f>EXP(-LN(2)/2)*AB158+(1-EXP(-LN(2)/2))/(LN(2)/2)*V159*Y159*VLOOKUP('Données projet'!$B$9,Paramètres!$A$1:$I$89,3,0)*0.475*44/12</f>
        <v>2.5726564781947202E-10</v>
      </c>
      <c r="AC159" s="22">
        <f t="shared" si="163"/>
        <v>40.315137280836993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>
        <f>VLOOKUP(A159,'Données projet'!$A$61:$I$81,2,0)</f>
        <v>409.2</v>
      </c>
      <c r="AG159" s="12">
        <f>VLOOKUP(A159,'Données projet'!$A$61:$I$81,9,0)</f>
        <v>7.5191666666666634</v>
      </c>
      <c r="AH159" s="12">
        <f t="array" ref="AH159">INDEX(AG:AG,MIN(IF(ISNUMBER(AG159:AG355),ROW(AG159:AG355),"")))</f>
        <v>7.5191666666666634</v>
      </c>
      <c r="AI159" s="13">
        <f>IF('Données projet'!$A$62&gt;35,AI158+AH159-AQ158,IF(A159&lt;'Données projet'!$A$62,$AF$205^A159,IF(A159='Données projet'!$A$62,'Données projet'!$B$62,AI158+AH159-AQ158)))</f>
        <v>409.19999999999959</v>
      </c>
      <c r="AJ159" s="13">
        <f>AI159*VLOOKUP('Données projet'!$B$10,Paramètres!$A$1:$I$89,3,0)*VLOOKUP('Données projet'!$B$10,Paramètres!$A$1:$I$89,5,0)</f>
        <v>414.92879999999963</v>
      </c>
      <c r="AK159" s="13">
        <f t="shared" si="164"/>
        <v>94.796765693156289</v>
      </c>
      <c r="AL159" s="20">
        <f t="shared" si="165"/>
        <v>887.77202691557977</v>
      </c>
      <c r="AM159" s="59">
        <f t="shared" si="113"/>
        <v>1181.105360248913</v>
      </c>
      <c r="AN159" s="59">
        <f ca="1">AVERAGE(OFFSET($AM$3,0,0,'Données projet'!$E$10+1,1))-AVERAGE(OFFSET($H$3,0,0,'Données projet'!$E$10+1,1))</f>
        <v>486.4870616281359</v>
      </c>
      <c r="AO159" s="59">
        <f t="shared" si="144"/>
        <v>247.29100537955225</v>
      </c>
      <c r="AP159" s="15">
        <f>IF(ISNA(VLOOKUP(A159,'Données projet'!$A$61:$I$81,3,0)),0,VLOOKUP(A159,'Données projet'!$A$61:$I$81,3,0))</f>
        <v>11</v>
      </c>
      <c r="AQ159" s="15">
        <f>IF(ISNA(VLOOKUP(A159,'Données projet'!$A$61:$I$81,4,0)),0,VLOOKUP(A159,'Données projet'!$A$61:$I$81,4,0))</f>
        <v>65.69</v>
      </c>
      <c r="AR159" s="16">
        <f>IF(ISNA(VLOOKUP(A159,'Données projet'!$A$61:$I$81,5,0)),0%,VLOOKUP(A159,'Données projet'!$A$61:$I$81,5,0)*VLOOKUP('Données projet'!$B$10,Paramètres!$A$1:$I$89,7,0))</f>
        <v>0.215</v>
      </c>
      <c r="AS159" s="16">
        <f>IF(ISNA(VLOOKUP(A159,'Données projet'!$A$61:$I$81,6,0)),0%,VLOOKUP(A159,'Données projet'!$A$61:$I$81,6,0)*VLOOKUP('Données projet'!$B$10,Paramètres!$A$1:$I$89,7,0))</f>
        <v>8.6000000000000007E-2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42.071389784715464</v>
      </c>
      <c r="AV159" s="21">
        <f>EXP(-LN(2)/25)*AV158+(1-EXP(-LN(2)/25))/(LN(2)/25)*Calculateur!AQ159*Calculateur!AS159*VLOOKUP('Données projet'!$B$10,Paramètres!$A$1:$I$89,3,0)*0.475*44/12</f>
        <v>22.861560310601355</v>
      </c>
      <c r="AW159" s="21">
        <f>EXP(-LN(2)/2)*AW158+(1-EXP(-LN(2)/2))/(LN(2)/2)*AQ159*AT159*VLOOKUP('Données projet'!$B$10,Paramètres!$A$1:$I$89,3,0)*0.475*44/12</f>
        <v>9.2286563541440034E-2</v>
      </c>
      <c r="AX159" s="21">
        <f t="shared" si="166"/>
        <v>65.025236658858248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4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33.505056000000074</v>
      </c>
      <c r="D160" s="11">
        <f t="shared" si="140"/>
        <v>10.259815912685509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81.080183754028027</v>
      </c>
      <c r="H160" s="67">
        <f t="shared" si="110"/>
        <v>332.89048524792742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-2.2737367544323206E-13</v>
      </c>
      <c r="O160" s="13">
        <f>N160*VLOOKUP('Données projet'!$B$9,Paramètres!$A$1:$I$89,3,0)*VLOOKUP('Données projet'!$B$9,Paramètres!$A$1:$I$89,5,0)</f>
        <v>-1.3596945791505279E-13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329.62068845923676</v>
      </c>
      <c r="T160" s="59">
        <f t="shared" si="142"/>
        <v>243.22501652129546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33.356770659354176</v>
      </c>
      <c r="AA160" s="21">
        <f>EXP(-LN(2)/25)*AA159+(1-EXP(-LN(2)/25))/(LN(2)/25)*Calculateur!V160*Calculateur!X160*VLOOKUP('Données projet'!$B$9,Paramètres!$A$1:$I$89,3,0)*0.475*44/12</f>
        <v>6.1191449427410696</v>
      </c>
      <c r="AB160" s="21">
        <f>EXP(-LN(2)/2)*AB159+(1-EXP(-LN(2)/2))/(LN(2)/2)*V160*Y160*VLOOKUP('Données projet'!$B$9,Paramètres!$A$1:$I$89,3,0)*0.475*44/12</f>
        <v>1.819142841394988E-10</v>
      </c>
      <c r="AC160" s="22">
        <f t="shared" si="163"/>
        <v>39.475915602277155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7.6783333333333319</v>
      </c>
      <c r="AI160" s="13">
        <f>IF('Données projet'!$A$62&gt;35,AI159+AH160-AQ159,IF(A160&lt;'Données projet'!$A$62,$AF$205^A160,IF(A160='Données projet'!$A$62,'Données projet'!$B$62,AI159+AH160-AQ159)))</f>
        <v>351.18833333333293</v>
      </c>
      <c r="AJ160" s="13">
        <f>AI160*VLOOKUP('Données projet'!$B$10,Paramètres!$A$1:$I$89,3,0)*VLOOKUP('Données projet'!$B$10,Paramètres!$A$1:$I$89,5,0)</f>
        <v>356.10496999999958</v>
      </c>
      <c r="AK160" s="13">
        <f t="shared" si="164"/>
        <v>82.818320026492003</v>
      </c>
      <c r="AL160" s="20">
        <f t="shared" si="165"/>
        <v>764.45806346280631</v>
      </c>
      <c r="AM160" s="59">
        <f t="shared" si="113"/>
        <v>1057.7913967961397</v>
      </c>
      <c r="AN160" s="59">
        <f ca="1">AVERAGE(OFFSET($AM$3,0,0,'Données projet'!$E$10+1,1))-AVERAGE(OFFSET($H$3,0,0,'Données projet'!$E$10+1,1))</f>
        <v>486.4870616281359</v>
      </c>
      <c r="AO160" s="59">
        <f t="shared" si="144"/>
        <v>247.29100537955225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41.24639549205115</v>
      </c>
      <c r="AV160" s="21">
        <f>EXP(-LN(2)/25)*AV159+(1-EXP(-LN(2)/25))/(LN(2)/25)*Calculateur!AQ160*Calculateur!AS160*VLOOKUP('Données projet'!$B$10,Paramètres!$A$1:$I$89,3,0)*0.475*44/12</f>
        <v>22.236409741670755</v>
      </c>
      <c r="AW160" s="21">
        <f>EXP(-LN(2)/2)*AW159+(1-EXP(-LN(2)/2))/(LN(2)/2)*AQ160*AT160*VLOOKUP('Données projet'!$B$10,Paramètres!$A$1:$I$89,3,0)*0.475*44/12</f>
        <v>6.5256454892555452E-2</v>
      </c>
      <c r="AX160" s="21">
        <f t="shared" si="166"/>
        <v>63.54806168861446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4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33.718464000000075</v>
      </c>
      <c r="D161" s="11">
        <f t="shared" si="140"/>
        <v>10.317537063421058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81.582486180653873</v>
      </c>
      <c r="H161" s="67">
        <f t="shared" si="110"/>
        <v>333.36270185212516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-2.2737367544323206E-13</v>
      </c>
      <c r="O161" s="13">
        <f>N161*VLOOKUP('Données projet'!$B$9,Paramètres!$A$1:$I$89,3,0)*VLOOKUP('Données projet'!$B$9,Paramètres!$A$1:$I$89,5,0)</f>
        <v>-1.3596945791505279E-13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329.62068845923676</v>
      </c>
      <c r="T161" s="59">
        <f t="shared" si="142"/>
        <v>243.22501652129546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32.702664732345376</v>
      </c>
      <c r="AA161" s="21">
        <f>EXP(-LN(2)/25)*AA160+(1-EXP(-LN(2)/25))/(LN(2)/25)*Calculateur!V161*Calculateur!X161*VLOOKUP('Données projet'!$B$9,Paramètres!$A$1:$I$89,3,0)*0.475*44/12</f>
        <v>5.9518166024899681</v>
      </c>
      <c r="AB161" s="21">
        <f>EXP(-LN(2)/2)*AB160+(1-EXP(-LN(2)/2))/(LN(2)/2)*V161*Y161*VLOOKUP('Données projet'!$B$9,Paramètres!$A$1:$I$89,3,0)*0.475*44/12</f>
        <v>1.2863282390973601E-10</v>
      </c>
      <c r="AC161" s="22">
        <f t="shared" si="163"/>
        <v>38.654481334963975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7.6783333333333319</v>
      </c>
      <c r="AI161" s="13">
        <f>IF('Données projet'!$A$62&gt;35,AI160+AH161-AQ160,IF(A161&lt;'Données projet'!$A$62,$AF$205^A161,IF(A161='Données projet'!$A$62,'Données projet'!$B$62,AI160+AH161-AQ160)))</f>
        <v>358.86666666666628</v>
      </c>
      <c r="AJ161" s="13">
        <f>AI161*VLOOKUP('Données projet'!$B$10,Paramètres!$A$1:$I$89,3,0)*VLOOKUP('Données projet'!$B$10,Paramètres!$A$1:$I$89,5,0)</f>
        <v>363.89079999999962</v>
      </c>
      <c r="AK161" s="13">
        <f t="shared" si="164"/>
        <v>84.416260050559117</v>
      </c>
      <c r="AL161" s="20">
        <f t="shared" si="165"/>
        <v>780.80146292138977</v>
      </c>
      <c r="AM161" s="59">
        <f t="shared" si="113"/>
        <v>1074.1347962547231</v>
      </c>
      <c r="AN161" s="59">
        <f ca="1">AVERAGE(OFFSET($AM$3,0,0,'Données projet'!$E$10+1,1))-AVERAGE(OFFSET($H$3,0,0,'Données projet'!$E$10+1,1))</f>
        <v>486.4870616281359</v>
      </c>
      <c r="AO161" s="59">
        <f t="shared" si="144"/>
        <v>247.29100537955225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40.437578834269146</v>
      </c>
      <c r="AV161" s="21">
        <f>EXP(-LN(2)/25)*AV160+(1-EXP(-LN(2)/25))/(LN(2)/25)*Calculateur!AQ161*Calculateur!AS161*VLOOKUP('Données projet'!$B$10,Paramètres!$A$1:$I$89,3,0)*0.475*44/12</f>
        <v>21.6283539479228</v>
      </c>
      <c r="AW161" s="21">
        <f>EXP(-LN(2)/2)*AW160+(1-EXP(-LN(2)/2))/(LN(2)/2)*AQ161*AT161*VLOOKUP('Données projet'!$B$10,Paramètres!$A$1:$I$89,3,0)*0.475*44/12</f>
        <v>4.6143281770720017E-2</v>
      </c>
      <c r="AX161" s="21">
        <f t="shared" si="166"/>
        <v>62.112076063962668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4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33.931872000000077</v>
      </c>
      <c r="D162" s="11">
        <f t="shared" si="140"/>
        <v>10.375215705833142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82.084709855017323</v>
      </c>
      <c r="H162" s="67">
        <f t="shared" si="110"/>
        <v>333.83484442099285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-2.2737367544323206E-13</v>
      </c>
      <c r="O162" s="13">
        <f>N162*VLOOKUP('Données projet'!$B$9,Paramètres!$A$1:$I$89,3,0)*VLOOKUP('Données projet'!$B$9,Paramètres!$A$1:$I$89,5,0)</f>
        <v>-1.3596945791505279E-13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329.62068845923676</v>
      </c>
      <c r="T162" s="59">
        <f t="shared" si="142"/>
        <v>243.22501652129546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32.061385423600001</v>
      </c>
      <c r="AA162" s="21">
        <f>EXP(-LN(2)/25)*AA161+(1-EXP(-LN(2)/25))/(LN(2)/25)*Calculateur!V162*Calculateur!X162*VLOOKUP('Données projet'!$B$9,Paramètres!$A$1:$I$89,3,0)*0.475*44/12</f>
        <v>5.7890638645024479</v>
      </c>
      <c r="AB162" s="21">
        <f>EXP(-LN(2)/2)*AB161+(1-EXP(-LN(2)/2))/(LN(2)/2)*V162*Y162*VLOOKUP('Données projet'!$B$9,Paramètres!$A$1:$I$89,3,0)*0.475*44/12</f>
        <v>9.0957142069749401E-11</v>
      </c>
      <c r="AC162" s="22">
        <f t="shared" si="163"/>
        <v>37.850449288193403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7.6783333333333319</v>
      </c>
      <c r="AI162" s="13">
        <f>IF('Données projet'!$A$62&gt;35,AI161+AH162-AQ161,IF(A162&lt;'Données projet'!$A$62,$AF$205^A162,IF(A162='Données projet'!$A$62,'Données projet'!$B$62,AI161+AH162-AQ161)))</f>
        <v>366.54499999999962</v>
      </c>
      <c r="AJ162" s="13">
        <f>AI162*VLOOKUP('Données projet'!$B$10,Paramètres!$A$1:$I$89,3,0)*VLOOKUP('Données projet'!$B$10,Paramètres!$A$1:$I$89,5,0)</f>
        <v>371.67662999999965</v>
      </c>
      <c r="AK162" s="13">
        <f t="shared" si="164"/>
        <v>86.010225033473873</v>
      </c>
      <c r="AL162" s="20">
        <f t="shared" si="165"/>
        <v>797.13793918329975</v>
      </c>
      <c r="AM162" s="59">
        <f t="shared" si="113"/>
        <v>1090.471272516633</v>
      </c>
      <c r="AN162" s="59">
        <f ca="1">AVERAGE(OFFSET($AM$3,0,0,'Données projet'!$E$10+1,1))-AVERAGE(OFFSET($H$3,0,0,'Données projet'!$E$10+1,1))</f>
        <v>486.4870616281359</v>
      </c>
      <c r="AO162" s="59">
        <f t="shared" si="144"/>
        <v>247.29100537955225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39.644622577816804</v>
      </c>
      <c r="AV162" s="21">
        <f>EXP(-LN(2)/25)*AV161+(1-EXP(-LN(2)/25))/(LN(2)/25)*Calculateur!AQ162*Calculateur!AS162*VLOOKUP('Données projet'!$B$10,Paramètres!$A$1:$I$89,3,0)*0.475*44/12</f>
        <v>21.03692547183115</v>
      </c>
      <c r="AW162" s="21">
        <f>EXP(-LN(2)/2)*AW161+(1-EXP(-LN(2)/2))/(LN(2)/2)*AQ162*AT162*VLOOKUP('Données projet'!$B$10,Paramètres!$A$1:$I$89,3,0)*0.475*44/12</f>
        <v>3.2628227446277726E-2</v>
      </c>
      <c r="AX162" s="21">
        <f t="shared" si="166"/>
        <v>60.714176277094239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4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34.145280000000078</v>
      </c>
      <c r="D163" s="11">
        <f t="shared" si="140"/>
        <v>10.43285213828373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82.58685532987316</v>
      </c>
      <c r="H163" s="67">
        <f t="shared" si="110"/>
        <v>334.30691347417763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-2.2737367544323206E-13</v>
      </c>
      <c r="O163" s="13">
        <f>N163*VLOOKUP('Données projet'!$B$9,Paramètres!$A$1:$I$89,3,0)*VLOOKUP('Données projet'!$B$9,Paramètres!$A$1:$I$89,5,0)</f>
        <v>-1.3596945791505279E-13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329.62068845923676</v>
      </c>
      <c r="T163" s="59">
        <f t="shared" si="142"/>
        <v>243.22501652129546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31.432681210957366</v>
      </c>
      <c r="AA163" s="21">
        <f>EXP(-LN(2)/25)*AA162+(1-EXP(-LN(2)/25))/(LN(2)/25)*Calculateur!V163*Calculateur!X163*VLOOKUP('Données projet'!$B$9,Paramètres!$A$1:$I$89,3,0)*0.475*44/12</f>
        <v>5.6307616086939909</v>
      </c>
      <c r="AB163" s="21">
        <f>EXP(-LN(2)/2)*AB162+(1-EXP(-LN(2)/2))/(LN(2)/2)*V163*Y163*VLOOKUP('Données projet'!$B$9,Paramètres!$A$1:$I$89,3,0)*0.475*44/12</f>
        <v>6.4316411954868005E-11</v>
      </c>
      <c r="AC163" s="22">
        <f t="shared" si="163"/>
        <v>37.063442819715675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7.6783333333333319</v>
      </c>
      <c r="AI163" s="13">
        <f>IF('Données projet'!$A$62&gt;35,AI162+AH163-AQ162,IF(A163&lt;'Données projet'!$A$62,$AF$205^A163,IF(A163='Données projet'!$A$62,'Données projet'!$B$62,AI162+AH163-AQ162)))</f>
        <v>374.22333333333296</v>
      </c>
      <c r="AJ163" s="13">
        <f>AI163*VLOOKUP('Données projet'!$B$10,Paramètres!$A$1:$I$89,3,0)*VLOOKUP('Données projet'!$B$10,Paramètres!$A$1:$I$89,5,0)</f>
        <v>379.46245999999962</v>
      </c>
      <c r="AK163" s="13">
        <f t="shared" si="164"/>
        <v>87.600307836777574</v>
      </c>
      <c r="AL163" s="20">
        <f t="shared" si="165"/>
        <v>813.46765398238688</v>
      </c>
      <c r="AM163" s="59">
        <f t="shared" si="113"/>
        <v>1106.8009873157202</v>
      </c>
      <c r="AN163" s="59">
        <f ca="1">AVERAGE(OFFSET($AM$3,0,0,'Données projet'!$E$10+1,1))-AVERAGE(OFFSET($H$3,0,0,'Données projet'!$E$10+1,1))</f>
        <v>486.4870616281359</v>
      </c>
      <c r="AO163" s="59">
        <f t="shared" si="144"/>
        <v>247.29100537955225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38.867215709897927</v>
      </c>
      <c r="AV163" s="21">
        <f>EXP(-LN(2)/25)*AV162+(1-EXP(-LN(2)/25))/(LN(2)/25)*Calculateur!AQ163*Calculateur!AS163*VLOOKUP('Données projet'!$B$10,Paramètres!$A$1:$I$89,3,0)*0.475*44/12</f>
        <v>20.461669638520096</v>
      </c>
      <c r="AW163" s="21">
        <f>EXP(-LN(2)/2)*AW162+(1-EXP(-LN(2)/2))/(LN(2)/2)*AQ163*AT163*VLOOKUP('Données projet'!$B$10,Paramètres!$A$1:$I$89,3,0)*0.475*44/12</f>
        <v>2.3071640885360008E-2</v>
      </c>
      <c r="AX163" s="21">
        <f t="shared" si="166"/>
        <v>59.351956989303389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4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34.358688000000079</v>
      </c>
      <c r="D164" s="11">
        <f t="shared" si="140"/>
        <v>10.490446655189565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83.088923150667128</v>
      </c>
      <c r="H164" s="67">
        <f t="shared" si="110"/>
        <v>334.77890952445529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-2.2737367544323206E-13</v>
      </c>
      <c r="O164" s="13">
        <f>N164*VLOOKUP('Données projet'!$B$9,Paramètres!$A$1:$I$89,3,0)*VLOOKUP('Données projet'!$B$9,Paramètres!$A$1:$I$89,5,0)</f>
        <v>-1.3596945791505279E-13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329.62068845923676</v>
      </c>
      <c r="T164" s="59">
        <f t="shared" si="142"/>
        <v>243.22501652129546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30.816305504452949</v>
      </c>
      <c r="AA164" s="21">
        <f>EXP(-LN(2)/25)*AA163+(1-EXP(-LN(2)/25))/(LN(2)/25)*Calculateur!V164*Calculateur!X164*VLOOKUP('Données projet'!$B$9,Paramètres!$A$1:$I$89,3,0)*0.475*44/12</f>
        <v>5.4767881363953697</v>
      </c>
      <c r="AB164" s="21">
        <f>EXP(-LN(2)/2)*AB163+(1-EXP(-LN(2)/2))/(LN(2)/2)*V164*Y164*VLOOKUP('Données projet'!$B$9,Paramètres!$A$1:$I$89,3,0)*0.475*44/12</f>
        <v>4.54785710348747E-11</v>
      </c>
      <c r="AC164" s="22">
        <f t="shared" si="163"/>
        <v>36.293093640893801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7.6783333333333319</v>
      </c>
      <c r="AI164" s="13">
        <f>IF('Données projet'!$A$62&gt;35,AI163+AH164-AQ163,IF(A164&lt;'Données projet'!$A$62,$AF$205^A164,IF(A164='Données projet'!$A$62,'Données projet'!$B$62,AI163+AH164-AQ163)))</f>
        <v>381.9016666666663</v>
      </c>
      <c r="AJ164" s="13">
        <f>AI164*VLOOKUP('Données projet'!$B$10,Paramètres!$A$1:$I$89,3,0)*VLOOKUP('Données projet'!$B$10,Paramètres!$A$1:$I$89,5,0)</f>
        <v>387.24828999999966</v>
      </c>
      <c r="AK164" s="13">
        <f t="shared" si="164"/>
        <v>89.186597293517707</v>
      </c>
      <c r="AL164" s="20">
        <f t="shared" si="165"/>
        <v>829.79076203620934</v>
      </c>
      <c r="AM164" s="59">
        <f t="shared" si="113"/>
        <v>1123.1240953695426</v>
      </c>
      <c r="AN164" s="59">
        <f ca="1">AVERAGE(OFFSET($AM$3,0,0,'Données projet'!$E$10+1,1))-AVERAGE(OFFSET($H$3,0,0,'Données projet'!$E$10+1,1))</f>
        <v>486.4870616281359</v>
      </c>
      <c r="AO164" s="59">
        <f t="shared" si="144"/>
        <v>247.29100537955225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38.10505331648757</v>
      </c>
      <c r="AV164" s="21">
        <f>EXP(-LN(2)/25)*AV163+(1-EXP(-LN(2)/25))/(LN(2)/25)*Calculateur!AQ164*Calculateur!AS164*VLOOKUP('Données projet'!$B$10,Paramètres!$A$1:$I$89,3,0)*0.475*44/12</f>
        <v>19.902144206222324</v>
      </c>
      <c r="AW164" s="21">
        <f>EXP(-LN(2)/2)*AW163+(1-EXP(-LN(2)/2))/(LN(2)/2)*AQ164*AT164*VLOOKUP('Données projet'!$B$10,Paramètres!$A$1:$I$89,3,0)*0.475*44/12</f>
        <v>1.6314113723138863E-2</v>
      </c>
      <c r="AX164" s="21">
        <f t="shared" si="166"/>
        <v>58.023511636433035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4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34.57209600000008</v>
      </c>
      <c r="D165" s="11">
        <f t="shared" si="140"/>
        <v>10.547999547098504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83.590913855677385</v>
      </c>
      <c r="H165" s="67">
        <f t="shared" si="110"/>
        <v>335.25083307786338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-2.2737367544323206E-13</v>
      </c>
      <c r="O165" s="13">
        <f>N165*VLOOKUP('Données projet'!$B$9,Paramètres!$A$1:$I$89,3,0)*VLOOKUP('Données projet'!$B$9,Paramètres!$A$1:$I$89,5,0)</f>
        <v>-1.3596945791505279E-13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329.62068845923676</v>
      </c>
      <c r="T165" s="59">
        <f t="shared" si="142"/>
        <v>243.22501652129546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30.212016549601024</v>
      </c>
      <c r="AA165" s="21">
        <f>EXP(-LN(2)/25)*AA164+(1-EXP(-LN(2)/25))/(LN(2)/25)*Calculateur!V165*Calculateur!X165*VLOOKUP('Données projet'!$B$9,Paramètres!$A$1:$I$89,3,0)*0.475*44/12</f>
        <v>5.3270250767938672</v>
      </c>
      <c r="AB165" s="21">
        <f>EXP(-LN(2)/2)*AB164+(1-EXP(-LN(2)/2))/(LN(2)/2)*V165*Y165*VLOOKUP('Données projet'!$B$9,Paramètres!$A$1:$I$89,3,0)*0.475*44/12</f>
        <v>3.2158205977434003E-11</v>
      </c>
      <c r="AC165" s="22">
        <f t="shared" si="163"/>
        <v>35.53904162642705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7.6783333333333319</v>
      </c>
      <c r="AI165" s="13">
        <f>IF('Données projet'!$A$62&gt;35,AI164+AH165-AQ164,IF(A165&lt;'Données projet'!$A$62,$AF$205^A165,IF(A165='Données projet'!$A$62,'Données projet'!$B$62,AI164+AH165-AQ164)))</f>
        <v>389.57999999999964</v>
      </c>
      <c r="AJ165" s="13">
        <f>AI165*VLOOKUP('Données projet'!$B$10,Paramètres!$A$1:$I$89,3,0)*VLOOKUP('Données projet'!$B$10,Paramètres!$A$1:$I$89,5,0)</f>
        <v>395.03411999999969</v>
      </c>
      <c r="AK165" s="13">
        <f t="shared" si="164"/>
        <v>90.76917846043375</v>
      </c>
      <c r="AL165" s="20">
        <f t="shared" si="165"/>
        <v>846.10741148525494</v>
      </c>
      <c r="AM165" s="59">
        <f t="shared" si="113"/>
        <v>1139.4407448185882</v>
      </c>
      <c r="AN165" s="59">
        <f ca="1">AVERAGE(OFFSET($AM$3,0,0,'Données projet'!$E$10+1,1))-AVERAGE(OFFSET($H$3,0,0,'Données projet'!$E$10+1,1))</f>
        <v>486.4870616281359</v>
      </c>
      <c r="AO165" s="59">
        <f t="shared" si="144"/>
        <v>247.29100537955225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37.357836462738838</v>
      </c>
      <c r="AV165" s="21">
        <f>EXP(-LN(2)/25)*AV164+(1-EXP(-LN(2)/25))/(LN(2)/25)*Calculateur!AQ165*Calculateur!AS165*VLOOKUP('Données projet'!$B$10,Paramètres!$A$1:$I$89,3,0)*0.475*44/12</f>
        <v>19.357919026294898</v>
      </c>
      <c r="AW165" s="21">
        <f>EXP(-LN(2)/2)*AW164+(1-EXP(-LN(2)/2))/(LN(2)/2)*AQ165*AT165*VLOOKUP('Données projet'!$B$10,Paramètres!$A$1:$I$89,3,0)*0.475*44/12</f>
        <v>1.1535820442680004E-2</v>
      </c>
      <c r="AX165" s="21">
        <f t="shared" si="166"/>
        <v>56.727291309476421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4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34.785504000000081</v>
      </c>
      <c r="D166" s="11">
        <f t="shared" si="140"/>
        <v>10.605511100763943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84.092827976152293</v>
      </c>
      <c r="H166" s="67">
        <f t="shared" si="110"/>
        <v>335.72268463383068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-2.2737367544323206E-13</v>
      </c>
      <c r="O166" s="13">
        <f>N166*VLOOKUP('Données projet'!$B$9,Paramètres!$A$1:$I$89,3,0)*VLOOKUP('Données projet'!$B$9,Paramètres!$A$1:$I$89,5,0)</f>
        <v>-1.3596945791505279E-13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329.62068845923676</v>
      </c>
      <c r="T166" s="59">
        <f t="shared" si="142"/>
        <v>243.22501652129546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29.619577332573879</v>
      </c>
      <c r="AA166" s="21">
        <f>EXP(-LN(2)/25)*AA165+(1-EXP(-LN(2)/25))/(LN(2)/25)*Calculateur!V166*Calculateur!X166*VLOOKUP('Données projet'!$B$9,Paramètres!$A$1:$I$89,3,0)*0.475*44/12</f>
        <v>5.1813572959328651</v>
      </c>
      <c r="AB166" s="21">
        <f>EXP(-LN(2)/2)*AB165+(1-EXP(-LN(2)/2))/(LN(2)/2)*V166*Y166*VLOOKUP('Données projet'!$B$9,Paramètres!$A$1:$I$89,3,0)*0.475*44/12</f>
        <v>2.273928551743735E-11</v>
      </c>
      <c r="AC166" s="22">
        <f t="shared" si="163"/>
        <v>34.800934628529482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7.6783333333333319</v>
      </c>
      <c r="AI166" s="13">
        <f>IF('Données projet'!$A$62&gt;35,AI165+AH166-AQ165,IF(A166&lt;'Données projet'!$A$62,$AF$205^A166,IF(A166='Données projet'!$A$62,'Données projet'!$B$62,AI165+AH166-AQ165)))</f>
        <v>397.25833333333298</v>
      </c>
      <c r="AJ166" s="13">
        <f>AI166*VLOOKUP('Données projet'!$B$10,Paramètres!$A$1:$I$89,3,0)*VLOOKUP('Données projet'!$B$10,Paramètres!$A$1:$I$89,5,0)</f>
        <v>402.81994999999966</v>
      </c>
      <c r="AK166" s="13">
        <f t="shared" si="164"/>
        <v>92.348132849699439</v>
      </c>
      <c r="AL166" s="20">
        <f t="shared" si="165"/>
        <v>862.41774429655925</v>
      </c>
      <c r="AM166" s="59">
        <f t="shared" si="113"/>
        <v>1155.7510776298925</v>
      </c>
      <c r="AN166" s="59">
        <f ca="1">AVERAGE(OFFSET($AM$3,0,0,'Données projet'!$E$10+1,1))-AVERAGE(OFFSET($H$3,0,0,'Données projet'!$E$10+1,1))</f>
        <v>486.4870616281359</v>
      </c>
      <c r="AO166" s="59">
        <f t="shared" si="144"/>
        <v>247.29100537955225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36.625272075734841</v>
      </c>
      <c r="AV166" s="21">
        <f>EXP(-LN(2)/25)*AV165+(1-EXP(-LN(2)/25))/(LN(2)/25)*Calculateur!AQ166*Calculateur!AS166*VLOOKUP('Données projet'!$B$10,Paramètres!$A$1:$I$89,3,0)*0.475*44/12</f>
        <v>18.828575712532146</v>
      </c>
      <c r="AW166" s="21">
        <f>EXP(-LN(2)/2)*AW165+(1-EXP(-LN(2)/2))/(LN(2)/2)*AQ166*AT166*VLOOKUP('Données projet'!$B$10,Paramètres!$A$1:$I$89,3,0)*0.475*44/12</f>
        <v>8.1570568615694315E-3</v>
      </c>
      <c r="AX166" s="21">
        <f t="shared" si="166"/>
        <v>55.462004845128554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4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34.998912000000082</v>
      </c>
      <c r="D167" s="11">
        <f t="shared" si="140"/>
        <v>10.662981599217277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84.594666036444792</v>
      </c>
      <c r="H167" s="67">
        <f t="shared" si="110"/>
        <v>336.19446468530361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-2.2737367544323206E-13</v>
      </c>
      <c r="O167" s="13">
        <f>N167*VLOOKUP('Données projet'!$B$9,Paramètres!$A$1:$I$89,3,0)*VLOOKUP('Données projet'!$B$9,Paramètres!$A$1:$I$89,5,0)</f>
        <v>-1.3596945791505279E-13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329.62068845923676</v>
      </c>
      <c r="T167" s="59">
        <f t="shared" si="142"/>
        <v>243.22501652129546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29.038755487240394</v>
      </c>
      <c r="AA167" s="21">
        <f>EXP(-LN(2)/25)*AA166+(1-EXP(-LN(2)/25))/(LN(2)/25)*Calculateur!V167*Calculateur!X167*VLOOKUP('Données projet'!$B$9,Paramètres!$A$1:$I$89,3,0)*0.475*44/12</f>
        <v>5.0396728081998425</v>
      </c>
      <c r="AB167" s="21">
        <f>EXP(-LN(2)/2)*AB166+(1-EXP(-LN(2)/2))/(LN(2)/2)*V167*Y167*VLOOKUP('Données projet'!$B$9,Paramètres!$A$1:$I$89,3,0)*0.475*44/12</f>
        <v>1.6079102988717001E-11</v>
      </c>
      <c r="AC167" s="22">
        <f t="shared" si="163"/>
        <v>34.078428295456312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7.6783333333333319</v>
      </c>
      <c r="AI167" s="13">
        <f>IF('Données projet'!$A$62&gt;35,AI166+AH167-AQ166,IF(A167&lt;'Données projet'!$A$62,$AF$205^A167,IF(A167='Données projet'!$A$62,'Données projet'!$B$62,AI166+AH167-AQ166)))</f>
        <v>404.93666666666633</v>
      </c>
      <c r="AJ167" s="13">
        <f>AI167*VLOOKUP('Données projet'!$B$10,Paramètres!$A$1:$I$89,3,0)*VLOOKUP('Données projet'!$B$10,Paramètres!$A$1:$I$89,5,0)</f>
        <v>410.6057799999997</v>
      </c>
      <c r="AK167" s="13">
        <f t="shared" si="164"/>
        <v>93.923538642241823</v>
      </c>
      <c r="AL167" s="20">
        <f t="shared" si="165"/>
        <v>878.72189663523716</v>
      </c>
      <c r="AM167" s="59">
        <f t="shared" si="113"/>
        <v>1172.0552299685705</v>
      </c>
      <c r="AN167" s="59">
        <f ca="1">AVERAGE(OFFSET($AM$3,0,0,'Données projet'!$E$10+1,1))-AVERAGE(OFFSET($H$3,0,0,'Données projet'!$E$10+1,1))</f>
        <v>486.4870616281359</v>
      </c>
      <c r="AO167" s="59">
        <f t="shared" si="144"/>
        <v>247.29100537955225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35.907072829539835</v>
      </c>
      <c r="AV167" s="21">
        <f>EXP(-LN(2)/25)*AV166+(1-EXP(-LN(2)/25))/(LN(2)/25)*Calculateur!AQ167*Calculateur!AS167*VLOOKUP('Données projet'!$B$10,Paramètres!$A$1:$I$89,3,0)*0.475*44/12</f>
        <v>18.313707319521193</v>
      </c>
      <c r="AW167" s="21">
        <f>EXP(-LN(2)/2)*AW166+(1-EXP(-LN(2)/2))/(LN(2)/2)*AQ167*AT167*VLOOKUP('Données projet'!$B$10,Paramètres!$A$1:$I$89,3,0)*0.475*44/12</f>
        <v>5.7679102213400021E-3</v>
      </c>
      <c r="AX167" s="21">
        <f t="shared" si="166"/>
        <v>54.226548059282365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4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35.212320000000084</v>
      </c>
      <c r="D168" s="11">
        <f t="shared" si="140"/>
        <v>10.720411321838681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85.096428554143401</v>
      </c>
      <c r="H168" s="67">
        <f t="shared" si="110"/>
        <v>336.66617371886917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-2.2737367544323206E-13</v>
      </c>
      <c r="O168" s="13">
        <f>N168*VLOOKUP('Données projet'!$B$9,Paramètres!$A$1:$I$89,3,0)*VLOOKUP('Données projet'!$B$9,Paramètres!$A$1:$I$89,5,0)</f>
        <v>-1.3596945791505279E-13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329.62068845923676</v>
      </c>
      <c r="T168" s="59">
        <f t="shared" si="142"/>
        <v>243.22501652129546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28.469323204027553</v>
      </c>
      <c r="AA168" s="21">
        <f>EXP(-LN(2)/25)*AA167+(1-EXP(-LN(2)/25))/(LN(2)/25)*Calculateur!V168*Calculateur!X168*VLOOKUP('Données projet'!$B$9,Paramètres!$A$1:$I$89,3,0)*0.475*44/12</f>
        <v>4.9018626902347435</v>
      </c>
      <c r="AB168" s="21">
        <f>EXP(-LN(2)/2)*AB167+(1-EXP(-LN(2)/2))/(LN(2)/2)*V168*Y168*VLOOKUP('Données projet'!$B$9,Paramètres!$A$1:$I$89,3,0)*0.475*44/12</f>
        <v>1.1369642758718675E-11</v>
      </c>
      <c r="AC168" s="22">
        <f t="shared" si="163"/>
        <v>33.371185894273665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7.6783333333333319</v>
      </c>
      <c r="AI168" s="13">
        <f>IF('Données projet'!$A$62&gt;35,AI167+AH168-AQ167,IF(A168&lt;'Données projet'!$A$62,$AF$205^A168,IF(A168='Données projet'!$A$62,'Données projet'!$B$62,AI167+AH168-AQ167)))</f>
        <v>412.61499999999967</v>
      </c>
      <c r="AJ168" s="13">
        <f>AI168*VLOOKUP('Données projet'!$B$10,Paramètres!$A$1:$I$89,3,0)*VLOOKUP('Données projet'!$B$10,Paramètres!$A$1:$I$89,5,0)</f>
        <v>418.39160999999967</v>
      </c>
      <c r="AK168" s="13">
        <f t="shared" si="164"/>
        <v>95.495470884423355</v>
      </c>
      <c r="AL168" s="20">
        <f t="shared" si="165"/>
        <v>895.0199992070369</v>
      </c>
      <c r="AM168" s="59">
        <f t="shared" si="113"/>
        <v>1188.3533325403703</v>
      </c>
      <c r="AN168" s="59">
        <f ca="1">AVERAGE(OFFSET($AM$3,0,0,'Données projet'!$E$10+1,1))-AVERAGE(OFFSET($H$3,0,0,'Données projet'!$E$10+1,1))</f>
        <v>486.4870616281359</v>
      </c>
      <c r="AO168" s="59">
        <f t="shared" si="144"/>
        <v>247.29100537955225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35.202957032504429</v>
      </c>
      <c r="AV168" s="21">
        <f>EXP(-LN(2)/25)*AV167+(1-EXP(-LN(2)/25))/(LN(2)/25)*Calculateur!AQ168*Calculateur!AS168*VLOOKUP('Données projet'!$B$10,Paramètres!$A$1:$I$89,3,0)*0.475*44/12</f>
        <v>17.812918029792876</v>
      </c>
      <c r="AW168" s="21">
        <f>EXP(-LN(2)/2)*AW167+(1-EXP(-LN(2)/2))/(LN(2)/2)*AQ168*AT168*VLOOKUP('Données projet'!$B$10,Paramètres!$A$1:$I$89,3,0)*0.475*44/12</f>
        <v>4.0785284307847157E-3</v>
      </c>
      <c r="AX168" s="21">
        <f t="shared" si="166"/>
        <v>53.019953590728086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4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35.425728000000085</v>
      </c>
      <c r="D169" s="11">
        <f t="shared" si="140"/>
        <v>10.777800544426006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85.598116040199912</v>
      </c>
      <c r="H169" s="67">
        <f t="shared" si="110"/>
        <v>337.13781221487545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-2.2737367544323206E-13</v>
      </c>
      <c r="O169" s="13">
        <f>N169*VLOOKUP('Données projet'!$B$9,Paramètres!$A$1:$I$89,3,0)*VLOOKUP('Données projet'!$B$9,Paramètres!$A$1:$I$89,5,0)</f>
        <v>-1.3596945791505279E-13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329.62068845923676</v>
      </c>
      <c r="T169" s="59">
        <f t="shared" si="142"/>
        <v>243.22501652129546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27.911057140569117</v>
      </c>
      <c r="AA169" s="21">
        <f>EXP(-LN(2)/25)*AA168+(1-EXP(-LN(2)/25))/(LN(2)/25)*Calculateur!V169*Calculateur!X169*VLOOKUP('Données projet'!$B$9,Paramètres!$A$1:$I$89,3,0)*0.475*44/12</f>
        <v>4.7678209971925192</v>
      </c>
      <c r="AB169" s="21">
        <f>EXP(-LN(2)/2)*AB168+(1-EXP(-LN(2)/2))/(LN(2)/2)*V169*Y169*VLOOKUP('Données projet'!$B$9,Paramètres!$A$1:$I$89,3,0)*0.475*44/12</f>
        <v>8.0395514943585007E-12</v>
      </c>
      <c r="AC169" s="22">
        <f t="shared" si="163"/>
        <v>32.678878137769672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7.6783333333333319</v>
      </c>
      <c r="AI169" s="13">
        <f>IF('Données projet'!$A$62&gt;35,AI168+AH169-AQ168,IF(A169&lt;'Données projet'!$A$62,$AF$205^A169,IF(A169='Données projet'!$A$62,'Données projet'!$B$62,AI168+AH169-AQ168)))</f>
        <v>420.29333333333301</v>
      </c>
      <c r="AJ169" s="13">
        <f>AI169*VLOOKUP('Données projet'!$B$10,Paramètres!$A$1:$I$89,3,0)*VLOOKUP('Données projet'!$B$10,Paramètres!$A$1:$I$89,5,0)</f>
        <v>426.17743999999971</v>
      </c>
      <c r="AK169" s="13">
        <f t="shared" si="164"/>
        <v>97.064001669669764</v>
      </c>
      <c r="AL169" s="20">
        <f t="shared" si="165"/>
        <v>911.31217757467437</v>
      </c>
      <c r="AM169" s="59">
        <f t="shared" si="113"/>
        <v>1204.6455109080077</v>
      </c>
      <c r="AN169" s="59">
        <f ca="1">AVERAGE(OFFSET($AM$3,0,0,'Données projet'!$E$10+1,1))-AVERAGE(OFFSET($H$3,0,0,'Données projet'!$E$10+1,1))</f>
        <v>486.4870616281359</v>
      </c>
      <c r="AO169" s="59">
        <f t="shared" si="144"/>
        <v>247.29100537955225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34.512648516780658</v>
      </c>
      <c r="AV169" s="21">
        <f>EXP(-LN(2)/25)*AV168+(1-EXP(-LN(2)/25))/(LN(2)/25)*Calculateur!AQ169*Calculateur!AS169*VLOOKUP('Données projet'!$B$10,Paramètres!$A$1:$I$89,3,0)*0.475*44/12</f>
        <v>17.32582284952754</v>
      </c>
      <c r="AW169" s="21">
        <f>EXP(-LN(2)/2)*AW168+(1-EXP(-LN(2)/2))/(LN(2)/2)*AQ169*AT169*VLOOKUP('Données projet'!$B$10,Paramètres!$A$1:$I$89,3,0)*0.475*44/12</f>
        <v>2.8839551106700011E-3</v>
      </c>
      <c r="AX169" s="21">
        <f t="shared" si="166"/>
        <v>51.841355321418867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4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35.639136000000086</v>
      </c>
      <c r="D170" s="11">
        <f t="shared" si="140"/>
        <v>10.835149539261991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86.099728999053966</v>
      </c>
      <c r="H170" s="67">
        <f t="shared" si="110"/>
        <v>337.60938064754811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-2.2737367544323206E-13</v>
      </c>
      <c r="O170" s="13">
        <f>N170*VLOOKUP('Données projet'!$B$9,Paramètres!$A$1:$I$89,3,0)*VLOOKUP('Données projet'!$B$9,Paramètres!$A$1:$I$89,5,0)</f>
        <v>-1.3596945791505279E-13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329.62068845923676</v>
      </c>
      <c r="T170" s="59">
        <f t="shared" si="142"/>
        <v>243.22501652129546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27.363738334106426</v>
      </c>
      <c r="AA170" s="21">
        <f>EXP(-LN(2)/25)*AA169+(1-EXP(-LN(2)/25))/(LN(2)/25)*Calculateur!V170*Calculateur!X170*VLOOKUP('Données projet'!$B$9,Paramètres!$A$1:$I$89,3,0)*0.475*44/12</f>
        <v>4.6374446812954808</v>
      </c>
      <c r="AB170" s="21">
        <f>EXP(-LN(2)/2)*AB169+(1-EXP(-LN(2)/2))/(LN(2)/2)*V170*Y170*VLOOKUP('Données projet'!$B$9,Paramètres!$A$1:$I$89,3,0)*0.475*44/12</f>
        <v>5.6848213793593375E-12</v>
      </c>
      <c r="AC170" s="22">
        <f t="shared" si="163"/>
        <v>32.001183015407591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7.6783333333333319</v>
      </c>
      <c r="AI170" s="13">
        <f>IF('Données projet'!$A$62&gt;35,AI169+AH170-AQ169,IF(A170&lt;'Données projet'!$A$62,$AF$205^A170,IF(A170='Données projet'!$A$62,'Données projet'!$B$62,AI169+AH170-AQ169)))</f>
        <v>427.97166666666635</v>
      </c>
      <c r="AJ170" s="13">
        <f>AI170*VLOOKUP('Données projet'!$B$10,Paramètres!$A$1:$I$89,3,0)*VLOOKUP('Données projet'!$B$10,Paramètres!$A$1:$I$89,5,0)</f>
        <v>433.96326999999974</v>
      </c>
      <c r="AK170" s="13">
        <f t="shared" si="164"/>
        <v>98.629200306449263</v>
      </c>
      <c r="AL170" s="20">
        <f t="shared" si="165"/>
        <v>927.59855245039887</v>
      </c>
      <c r="AM170" s="59">
        <f t="shared" si="113"/>
        <v>1220.9318857837322</v>
      </c>
      <c r="AN170" s="59">
        <f ca="1">AVERAGE(OFFSET($AM$3,0,0,'Données projet'!$E$10+1,1))-AVERAGE(OFFSET($H$3,0,0,'Données projet'!$E$10+1,1))</f>
        <v>486.4870616281359</v>
      </c>
      <c r="AO170" s="59">
        <f t="shared" si="144"/>
        <v>247.29100537955225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33.83587653000361</v>
      </c>
      <c r="AV170" s="21">
        <f>EXP(-LN(2)/25)*AV169+(1-EXP(-LN(2)/25))/(LN(2)/25)*Calculateur!AQ170*Calculateur!AS170*VLOOKUP('Données projet'!$B$10,Paramètres!$A$1:$I$89,3,0)*0.475*44/12</f>
        <v>16.852047312581785</v>
      </c>
      <c r="AW170" s="21">
        <f>EXP(-LN(2)/2)*AW169+(1-EXP(-LN(2)/2))/(LN(2)/2)*AQ170*AT170*VLOOKUP('Données projet'!$B$10,Paramètres!$A$1:$I$89,3,0)*0.475*44/12</f>
        <v>2.0392642153923579E-3</v>
      </c>
      <c r="AX170" s="21">
        <f t="shared" si="166"/>
        <v>50.689963106800782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4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35.852544000000087</v>
      </c>
      <c r="D171" s="11">
        <f t="shared" si="140"/>
        <v>10.892458575179894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86.601267928754496</v>
      </c>
      <c r="H171" s="67">
        <f t="shared" si="110"/>
        <v>338.08087948510513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-2.2737367544323206E-13</v>
      </c>
      <c r="O171" s="13">
        <f>N171*VLOOKUP('Données projet'!$B$9,Paramètres!$A$1:$I$89,3,0)*VLOOKUP('Données projet'!$B$9,Paramètres!$A$1:$I$89,5,0)</f>
        <v>-1.3596945791505279E-13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329.62068845923676</v>
      </c>
      <c r="T171" s="59">
        <f t="shared" si="142"/>
        <v>243.22501652129546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26.82715211560696</v>
      </c>
      <c r="AA171" s="21">
        <f>EXP(-LN(2)/25)*AA170+(1-EXP(-LN(2)/25))/(LN(2)/25)*Calculateur!V171*Calculateur!X171*VLOOKUP('Données projet'!$B$9,Paramètres!$A$1:$I$89,3,0)*0.475*44/12</f>
        <v>4.5106335126128387</v>
      </c>
      <c r="AB171" s="21">
        <f>EXP(-LN(2)/2)*AB170+(1-EXP(-LN(2)/2))/(LN(2)/2)*V171*Y171*VLOOKUP('Données projet'!$B$9,Paramètres!$A$1:$I$89,3,0)*0.475*44/12</f>
        <v>4.0197757471792503E-12</v>
      </c>
      <c r="AC171" s="22">
        <f t="shared" si="163"/>
        <v>31.337785628223816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>
        <f>VLOOKUP(A171,'Données projet'!$A$61:$I$81,2,0)</f>
        <v>435.65</v>
      </c>
      <c r="AG171" s="12">
        <f>VLOOKUP(A171,'Données projet'!$A$61:$I$81,9,0)</f>
        <v>7.6783333333333319</v>
      </c>
      <c r="AH171" s="12">
        <f t="array" ref="AH171">INDEX(AG:AG,MIN(IF(ISNUMBER(AG171:AG367),ROW(AG171:AG367),"")))</f>
        <v>7.6783333333333319</v>
      </c>
      <c r="AI171" s="13">
        <f>IF('Données projet'!$A$62&gt;35,AI170+AH171-AQ170,IF(A171&lt;'Données projet'!$A$62,$AF$205^A171,IF(A171='Données projet'!$A$62,'Données projet'!$B$62,AI170+AH171-AQ170)))</f>
        <v>435.64999999999969</v>
      </c>
      <c r="AJ171" s="13">
        <f>AI171*VLOOKUP('Données projet'!$B$10,Paramètres!$A$1:$I$89,3,0)*VLOOKUP('Données projet'!$B$10,Paramètres!$A$1:$I$89,5,0)</f>
        <v>441.74909999999966</v>
      </c>
      <c r="AK171" s="13">
        <f t="shared" si="164"/>
        <v>100.19113347385638</v>
      </c>
      <c r="AL171" s="20">
        <f t="shared" si="165"/>
        <v>943.879239966966</v>
      </c>
      <c r="AM171" s="59">
        <f t="shared" si="113"/>
        <v>1237.2125733002993</v>
      </c>
      <c r="AN171" s="59">
        <f ca="1">AVERAGE(OFFSET($AM$3,0,0,'Données projet'!$E$10+1,1))-AVERAGE(OFFSET($H$3,0,0,'Données projet'!$E$10+1,1))</f>
        <v>486.4870616281359</v>
      </c>
      <c r="AO171" s="59">
        <f t="shared" si="144"/>
        <v>247.29100537955225</v>
      </c>
      <c r="AP171" s="15">
        <f>IF(ISNA(VLOOKUP(A171,'Données projet'!$A$61:$I$81,3,0)),0,VLOOKUP(A171,'Données projet'!$A$61:$I$81,3,0))</f>
        <v>12</v>
      </c>
      <c r="AQ171" s="15">
        <f>IF(ISNA(VLOOKUP(A171,'Données projet'!$A$61:$I$81,4,0)),0,VLOOKUP(A171,'Données projet'!$A$61:$I$81,4,0))</f>
        <v>71.37</v>
      </c>
      <c r="AR171" s="16">
        <f>IF(ISNA(VLOOKUP(A171,'Données projet'!$A$61:$I$81,5,0)),0%,VLOOKUP(A171,'Données projet'!$A$61:$I$81,5,0)*VLOOKUP('Données projet'!$B$10,Paramètres!$A$1:$I$89,7,0))</f>
        <v>0.215</v>
      </c>
      <c r="AS171" s="16">
        <f>IF(ISNA(VLOOKUP(A171,'Données projet'!$A$61:$I$81,6,0)),0%,VLOOKUP(A171,'Données projet'!$A$61:$I$81,6,0)*VLOOKUP('Données projet'!$B$10,Paramètres!$A$1:$I$89,7,0))</f>
        <v>8.6000000000000007E-2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50.372802378531105</v>
      </c>
      <c r="AV171" s="21">
        <f>EXP(-LN(2)/25)*AV170+(1-EXP(-LN(2)/25))/(LN(2)/25)*Calculateur!AQ171*Calculateur!AS171*VLOOKUP('Données projet'!$B$10,Paramètres!$A$1:$I$89,3,0)*0.475*44/12</f>
        <v>23.244308038786613</v>
      </c>
      <c r="AW171" s="21">
        <f>EXP(-LN(2)/2)*AW170+(1-EXP(-LN(2)/2))/(LN(2)/2)*AQ171*AT171*VLOOKUP('Données projet'!$B$10,Paramètres!$A$1:$I$89,3,0)*0.475*44/12</f>
        <v>1.4419775553350005E-3</v>
      </c>
      <c r="AX171" s="21">
        <f t="shared" si="166"/>
        <v>73.618552394873049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4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36.065952000000088</v>
      </c>
      <c r="D172" s="11">
        <f t="shared" si="140"/>
        <v>10.949727917627413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87.102733321078333</v>
      </c>
      <c r="H172" s="67">
        <f t="shared" si="110"/>
        <v>338.55230918986791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-2.2737367544323206E-13</v>
      </c>
      <c r="O172" s="13">
        <f>N172*VLOOKUP('Données projet'!$B$9,Paramètres!$A$1:$I$89,3,0)*VLOOKUP('Données projet'!$B$9,Paramètres!$A$1:$I$89,5,0)</f>
        <v>-1.3596945791505279E-13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329.62068845923676</v>
      </c>
      <c r="T172" s="59">
        <f t="shared" si="142"/>
        <v>243.22501652129546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26.30108802556699</v>
      </c>
      <c r="AA172" s="21">
        <f>EXP(-LN(2)/25)*AA171+(1-EXP(-LN(2)/25))/(LN(2)/25)*Calculateur!V172*Calculateur!X172*VLOOKUP('Données projet'!$B$9,Paramètres!$A$1:$I$89,3,0)*0.475*44/12</f>
        <v>4.3872900020065337</v>
      </c>
      <c r="AB172" s="21">
        <f>EXP(-LN(2)/2)*AB171+(1-EXP(-LN(2)/2))/(LN(2)/2)*V172*Y172*VLOOKUP('Données projet'!$B$9,Paramètres!$A$1:$I$89,3,0)*0.475*44/12</f>
        <v>2.8424106896796688E-12</v>
      </c>
      <c r="AC172" s="22">
        <f t="shared" si="163"/>
        <v>30.688378027576366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7.688333333333337</v>
      </c>
      <c r="AI172" s="13">
        <f>IF('Données projet'!$A$62&gt;35,AI171+AH172-AQ171,IF(A172&lt;'Données projet'!$A$62,$AF$205^A172,IF(A172='Données projet'!$A$62,'Données projet'!$B$62,AI171+AH172-AQ171)))</f>
        <v>371.96833333333302</v>
      </c>
      <c r="AJ172" s="13">
        <f>AI172*VLOOKUP('Données projet'!$B$10,Paramètres!$A$1:$I$89,3,0)*VLOOKUP('Données projet'!$B$10,Paramètres!$A$1:$I$89,5,0)</f>
        <v>377.1758899999997</v>
      </c>
      <c r="AK172" s="13">
        <f t="shared" si="164"/>
        <v>87.133724046486122</v>
      </c>
      <c r="AL172" s="20">
        <f t="shared" si="165"/>
        <v>808.6725777976294</v>
      </c>
      <c r="AM172" s="59">
        <f t="shared" si="113"/>
        <v>1102.0059111309627</v>
      </c>
      <c r="AN172" s="59">
        <f ca="1">AVERAGE(OFFSET($AM$3,0,0,'Données projet'!$E$10+1,1))-AVERAGE(OFFSET($H$3,0,0,'Données projet'!$E$10+1,1))</f>
        <v>486.4870616281359</v>
      </c>
      <c r="AO172" s="59">
        <f t="shared" si="144"/>
        <v>247.29100537955225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49.385022448263783</v>
      </c>
      <c r="AV172" s="21">
        <f>EXP(-LN(2)/25)*AV171+(1-EXP(-LN(2)/25))/(LN(2)/25)*Calculateur!AQ172*Calculateur!AS172*VLOOKUP('Données projet'!$B$10,Paramètres!$A$1:$I$89,3,0)*0.475*44/12</f>
        <v>22.608691213100958</v>
      </c>
      <c r="AW172" s="21">
        <f>EXP(-LN(2)/2)*AW171+(1-EXP(-LN(2)/2))/(LN(2)/2)*AQ172*AT172*VLOOKUP('Données projet'!$B$10,Paramètres!$A$1:$I$89,3,0)*0.475*44/12</f>
        <v>1.0196321076961789E-3</v>
      </c>
      <c r="AX172" s="21">
        <f t="shared" si="166"/>
        <v>71.994733293472436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4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36.279360000000089</v>
      </c>
      <c r="D173" s="11">
        <f t="shared" si="140"/>
        <v>11.006957828729112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87.604125661645682</v>
      </c>
      <c r="H173" s="67">
        <f t="shared" si="110"/>
        <v>339.02367021837006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-2.2737367544323206E-13</v>
      </c>
      <c r="O173" s="13">
        <f>N173*VLOOKUP('Données projet'!$B$9,Paramètres!$A$1:$I$89,3,0)*VLOOKUP('Données projet'!$B$9,Paramètres!$A$1:$I$89,5,0)</f>
        <v>-1.3596945791505279E-13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329.62068845923676</v>
      </c>
      <c r="T173" s="59">
        <f t="shared" si="142"/>
        <v>243.22501652129546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25.785339731465292</v>
      </c>
      <c r="AA173" s="21">
        <f>EXP(-LN(2)/25)*AA172+(1-EXP(-LN(2)/25))/(LN(2)/25)*Calculateur!V173*Calculateur!X173*VLOOKUP('Données projet'!$B$9,Paramètres!$A$1:$I$89,3,0)*0.475*44/12</f>
        <v>4.2673193261841114</v>
      </c>
      <c r="AB173" s="21">
        <f>EXP(-LN(2)/2)*AB172+(1-EXP(-LN(2)/2))/(LN(2)/2)*V173*Y173*VLOOKUP('Données projet'!$B$9,Paramètres!$A$1:$I$89,3,0)*0.475*44/12</f>
        <v>2.0098878735896252E-12</v>
      </c>
      <c r="AC173" s="22">
        <f t="shared" si="163"/>
        <v>30.052659057651415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7.688333333333337</v>
      </c>
      <c r="AI173" s="13">
        <f>IF('Données projet'!$A$62&gt;35,AI172+AH173-AQ172,IF(A173&lt;'Données projet'!$A$62,$AF$205^A173,IF(A173='Données projet'!$A$62,'Données projet'!$B$62,AI172+AH173-AQ172)))</f>
        <v>379.65666666666635</v>
      </c>
      <c r="AJ173" s="13">
        <f>AI173*VLOOKUP('Données projet'!$B$10,Paramètres!$A$1:$I$89,3,0)*VLOOKUP('Données projet'!$B$10,Paramètres!$A$1:$I$89,5,0)</f>
        <v>384.97185999999971</v>
      </c>
      <c r="AK173" s="13">
        <f t="shared" si="164"/>
        <v>88.723183476832745</v>
      </c>
      <c r="AL173" s="20">
        <f t="shared" si="165"/>
        <v>825.01886738881649</v>
      </c>
      <c r="AM173" s="59">
        <f t="shared" si="113"/>
        <v>1118.3522007221497</v>
      </c>
      <c r="AN173" s="59">
        <f ca="1">AVERAGE(OFFSET($AM$3,0,0,'Données projet'!$E$10+1,1))-AVERAGE(OFFSET($H$3,0,0,'Données projet'!$E$10+1,1))</f>
        <v>486.4870616281359</v>
      </c>
      <c r="AO173" s="59">
        <f t="shared" si="144"/>
        <v>247.29100537955225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48.416612279942733</v>
      </c>
      <c r="AV173" s="21">
        <f>EXP(-LN(2)/25)*AV172+(1-EXP(-LN(2)/25))/(LN(2)/25)*Calculateur!AQ173*Calculateur!AS173*VLOOKUP('Données projet'!$B$10,Paramètres!$A$1:$I$89,3,0)*0.475*44/12</f>
        <v>21.990455362939315</v>
      </c>
      <c r="AW173" s="21">
        <f>EXP(-LN(2)/2)*AW172+(1-EXP(-LN(2)/2))/(LN(2)/2)*AQ173*AT173*VLOOKUP('Données projet'!$B$10,Paramètres!$A$1:$I$89,3,0)*0.475*44/12</f>
        <v>7.2098877766750026E-4</v>
      </c>
      <c r="AX173" s="21">
        <f t="shared" si="166"/>
        <v>70.407788631659727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4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36.49276800000009</v>
      </c>
      <c r="D174" s="11">
        <f t="shared" si="140"/>
        <v>11.064148567347319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88.1054454300331</v>
      </c>
      <c r="H174" s="67">
        <f t="shared" si="110"/>
        <v>339.49496302146343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-2.2737367544323206E-13</v>
      </c>
      <c r="O174" s="13">
        <f>N174*VLOOKUP('Données projet'!$B$9,Paramètres!$A$1:$I$89,3,0)*VLOOKUP('Données projet'!$B$9,Paramètres!$A$1:$I$89,5,0)</f>
        <v>-1.3596945791505279E-13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329.62068845923676</v>
      </c>
      <c r="T174" s="59">
        <f t="shared" si="142"/>
        <v>243.22501652129546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25.279704946835533</v>
      </c>
      <c r="AA174" s="21">
        <f>EXP(-LN(2)/25)*AA173+(1-EXP(-LN(2)/25))/(LN(2)/25)*Calculateur!V174*Calculateur!X174*VLOOKUP('Données projet'!$B$9,Paramètres!$A$1:$I$89,3,0)*0.475*44/12</f>
        <v>4.1506292548010366</v>
      </c>
      <c r="AB174" s="21">
        <f>EXP(-LN(2)/2)*AB173+(1-EXP(-LN(2)/2))/(LN(2)/2)*V174*Y174*VLOOKUP('Données projet'!$B$9,Paramètres!$A$1:$I$89,3,0)*0.475*44/12</f>
        <v>1.4212053448398344E-12</v>
      </c>
      <c r="AC174" s="22">
        <f t="shared" si="163"/>
        <v>29.43033420163799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7.688333333333337</v>
      </c>
      <c r="AI174" s="13">
        <f>IF('Données projet'!$A$62&gt;35,AI173+AH174-AQ173,IF(A174&lt;'Données projet'!$A$62,$AF$205^A174,IF(A174='Données projet'!$A$62,'Données projet'!$B$62,AI173+AH174-AQ173)))</f>
        <v>387.34499999999969</v>
      </c>
      <c r="AJ174" s="13">
        <f>AI174*VLOOKUP('Données projet'!$B$10,Paramètres!$A$1:$I$89,3,0)*VLOOKUP('Données projet'!$B$10,Paramètres!$A$1:$I$89,5,0)</f>
        <v>392.76782999999972</v>
      </c>
      <c r="AK174" s="13">
        <f t="shared" si="164"/>
        <v>90.308900394988783</v>
      </c>
      <c r="AL174" s="20">
        <f t="shared" si="165"/>
        <v>841.35863877127156</v>
      </c>
      <c r="AM174" s="59">
        <f t="shared" si="113"/>
        <v>1134.6919721046049</v>
      </c>
      <c r="AN174" s="59">
        <f ca="1">AVERAGE(OFFSET($AM$3,0,0,'Données projet'!$E$10+1,1))-AVERAGE(OFFSET($H$3,0,0,'Données projet'!$E$10+1,1))</f>
        <v>486.4870616281359</v>
      </c>
      <c r="AO174" s="59">
        <f t="shared" si="144"/>
        <v>247.29100537955225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47.467192044350583</v>
      </c>
      <c r="AV174" s="21">
        <f>EXP(-LN(2)/25)*AV173+(1-EXP(-LN(2)/25))/(LN(2)/25)*Calculateur!AQ174*Calculateur!AS174*VLOOKUP('Données projet'!$B$10,Paramètres!$A$1:$I$89,3,0)*0.475*44/12</f>
        <v>21.38912520461195</v>
      </c>
      <c r="AW174" s="21">
        <f>EXP(-LN(2)/2)*AW173+(1-EXP(-LN(2)/2))/(LN(2)/2)*AQ174*AT174*VLOOKUP('Données projet'!$B$10,Paramètres!$A$1:$I$89,3,0)*0.475*44/12</f>
        <v>5.0981605384808947E-4</v>
      </c>
      <c r="AX174" s="21">
        <f t="shared" si="166"/>
        <v>68.85682706501639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4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36.706176000000092</v>
      </c>
      <c r="D175" s="11">
        <f t="shared" si="140"/>
        <v>11.121300389141565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88.606693099883501</v>
      </c>
      <c r="H175" s="67">
        <f t="shared" si="110"/>
        <v>339.96618804442176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-2.2737367544323206E-13</v>
      </c>
      <c r="O175" s="13">
        <f>N175*VLOOKUP('Données projet'!$B$9,Paramètres!$A$1:$I$89,3,0)*VLOOKUP('Données projet'!$B$9,Paramètres!$A$1:$I$89,5,0)</f>
        <v>-1.3596945791505279E-13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329.62068845923676</v>
      </c>
      <c r="T175" s="59">
        <f t="shared" si="142"/>
        <v>243.22501652129546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24.783985351925597</v>
      </c>
      <c r="AA175" s="21">
        <f>EXP(-LN(2)/25)*AA174+(1-EXP(-LN(2)/25))/(LN(2)/25)*Calculateur!V175*Calculateur!X175*VLOOKUP('Données projet'!$B$9,Paramètres!$A$1:$I$89,3,0)*0.475*44/12</f>
        <v>4.0371300795563965</v>
      </c>
      <c r="AB175" s="21">
        <f>EXP(-LN(2)/2)*AB174+(1-EXP(-LN(2)/2))/(LN(2)/2)*V175*Y175*VLOOKUP('Données projet'!$B$9,Paramètres!$A$1:$I$89,3,0)*0.475*44/12</f>
        <v>1.0049439367948126E-12</v>
      </c>
      <c r="AC175" s="22">
        <f t="shared" si="163"/>
        <v>28.821115431482998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7.688333333333337</v>
      </c>
      <c r="AI175" s="13">
        <f>IF('Données projet'!$A$62&gt;35,AI174+AH175-AQ174,IF(A175&lt;'Données projet'!$A$62,$AF$205^A175,IF(A175='Données projet'!$A$62,'Données projet'!$B$62,AI174+AH175-AQ174)))</f>
        <v>395.03333333333302</v>
      </c>
      <c r="AJ175" s="13">
        <f>AI175*VLOOKUP('Données projet'!$B$10,Paramètres!$A$1:$I$89,3,0)*VLOOKUP('Données projet'!$B$10,Paramètres!$A$1:$I$89,5,0)</f>
        <v>400.56379999999973</v>
      </c>
      <c r="AK175" s="13">
        <f t="shared" si="164"/>
        <v>91.890957647280629</v>
      </c>
      <c r="AL175" s="20">
        <f t="shared" si="165"/>
        <v>857.69203623567989</v>
      </c>
      <c r="AM175" s="59">
        <f t="shared" si="113"/>
        <v>1151.0253695690133</v>
      </c>
      <c r="AN175" s="59">
        <f ca="1">AVERAGE(OFFSET($AM$3,0,0,'Données projet'!$E$10+1,1))-AVERAGE(OFFSET($H$3,0,0,'Données projet'!$E$10+1,1))</f>
        <v>486.4870616281359</v>
      </c>
      <c r="AO175" s="59">
        <f t="shared" si="144"/>
        <v>247.29100537955225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46.536389360489231</v>
      </c>
      <c r="AV175" s="21">
        <f>EXP(-LN(2)/25)*AV174+(1-EXP(-LN(2)/25))/(LN(2)/25)*Calculateur!AQ175*Calculateur!AS175*VLOOKUP('Données projet'!$B$10,Paramètres!$A$1:$I$89,3,0)*0.475*44/12</f>
        <v>20.804238451086629</v>
      </c>
      <c r="AW175" s="21">
        <f>EXP(-LN(2)/2)*AW174+(1-EXP(-LN(2)/2))/(LN(2)/2)*AQ175*AT175*VLOOKUP('Données projet'!$B$10,Paramètres!$A$1:$I$89,3,0)*0.475*44/12</f>
        <v>3.6049438883375013E-4</v>
      </c>
      <c r="AX175" s="21">
        <f t="shared" si="166"/>
        <v>67.340988305964686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4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36.919584000000093</v>
      </c>
      <c r="D176" s="11">
        <f t="shared" si="140"/>
        <v>11.178413546626588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89.10786913901363</v>
      </c>
      <c r="H176" s="67">
        <f t="shared" si="110"/>
        <v>340.43734572704147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-2.2737367544323206E-13</v>
      </c>
      <c r="O176" s="13">
        <f>N176*VLOOKUP('Données projet'!$B$9,Paramètres!$A$1:$I$89,3,0)*VLOOKUP('Données projet'!$B$9,Paramètres!$A$1:$I$89,5,0)</f>
        <v>-1.3596945791505279E-13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329.62068845923676</v>
      </c>
      <c r="T176" s="59">
        <f t="shared" si="142"/>
        <v>243.22501652129546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24.297986515912747</v>
      </c>
      <c r="AA176" s="21">
        <f>EXP(-LN(2)/25)*AA175+(1-EXP(-LN(2)/25))/(LN(2)/25)*Calculateur!V176*Calculateur!X176*VLOOKUP('Données projet'!$B$9,Paramètres!$A$1:$I$89,3,0)*0.475*44/12</f>
        <v>3.9267345452274829</v>
      </c>
      <c r="AB176" s="21">
        <f>EXP(-LN(2)/2)*AB175+(1-EXP(-LN(2)/2))/(LN(2)/2)*V176*Y176*VLOOKUP('Données projet'!$B$9,Paramètres!$A$1:$I$89,3,0)*0.475*44/12</f>
        <v>7.1060267241991719E-13</v>
      </c>
      <c r="AC176" s="22">
        <f t="shared" si="163"/>
        <v>28.22472106114094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7.688333333333337</v>
      </c>
      <c r="AI176" s="13">
        <f>IF('Données projet'!$A$62&gt;35,AI175+AH176-AQ175,IF(A176&lt;'Données projet'!$A$62,$AF$205^A176,IF(A176='Données projet'!$A$62,'Données projet'!$B$62,AI175+AH176-AQ175)))</f>
        <v>402.72166666666635</v>
      </c>
      <c r="AJ176" s="13">
        <f>AI176*VLOOKUP('Données projet'!$B$10,Paramètres!$A$1:$I$89,3,0)*VLOOKUP('Données projet'!$B$10,Paramètres!$A$1:$I$89,5,0)</f>
        <v>408.35976999999968</v>
      </c>
      <c r="AK176" s="13">
        <f t="shared" si="164"/>
        <v>93.469434670776693</v>
      </c>
      <c r="AL176" s="20">
        <f t="shared" si="165"/>
        <v>874.01919813493544</v>
      </c>
      <c r="AM176" s="59">
        <f t="shared" si="113"/>
        <v>1167.3525314682688</v>
      </c>
      <c r="AN176" s="59">
        <f ca="1">AVERAGE(OFFSET($AM$3,0,0,'Données projet'!$E$10+1,1))-AVERAGE(OFFSET($H$3,0,0,'Données projet'!$E$10+1,1))</f>
        <v>486.4870616281359</v>
      </c>
      <c r="AO176" s="59">
        <f t="shared" si="144"/>
        <v>247.29100537955225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45.623839149524819</v>
      </c>
      <c r="AV176" s="21">
        <f>EXP(-LN(2)/25)*AV175+(1-EXP(-LN(2)/25))/(LN(2)/25)*Calculateur!AQ176*Calculateur!AS176*VLOOKUP('Données projet'!$B$10,Paramètres!$A$1:$I$89,3,0)*0.475*44/12</f>
        <v>20.235345456594313</v>
      </c>
      <c r="AW176" s="21">
        <f>EXP(-LN(2)/2)*AW175+(1-EXP(-LN(2)/2))/(LN(2)/2)*AQ176*AT176*VLOOKUP('Données projet'!$B$10,Paramètres!$A$1:$I$89,3,0)*0.475*44/12</f>
        <v>2.5490802692404473E-4</v>
      </c>
      <c r="AX176" s="21">
        <f t="shared" si="166"/>
        <v>65.859439514146047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4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37.132992000000094</v>
      </c>
      <c r="D177" s="11">
        <f t="shared" si="140"/>
        <v>11.235488289228966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89.608974009519102</v>
      </c>
      <c r="H177" s="67">
        <f t="shared" si="110"/>
        <v>340.90843650374063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-2.2737367544323206E-13</v>
      </c>
      <c r="O177" s="13">
        <f>N177*VLOOKUP('Données projet'!$B$9,Paramètres!$A$1:$I$89,3,0)*VLOOKUP('Données projet'!$B$9,Paramètres!$A$1:$I$89,5,0)</f>
        <v>-1.3596945791505279E-13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329.62068845923676</v>
      </c>
      <c r="T177" s="59">
        <f t="shared" si="142"/>
        <v>243.22501652129546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23.82151782064409</v>
      </c>
      <c r="AA177" s="21">
        <f>EXP(-LN(2)/25)*AA176+(1-EXP(-LN(2)/25))/(LN(2)/25)*Calculateur!V177*Calculateur!X177*VLOOKUP('Données projet'!$B$9,Paramètres!$A$1:$I$89,3,0)*0.475*44/12</f>
        <v>3.8193577825902425</v>
      </c>
      <c r="AB177" s="21">
        <f>EXP(-LN(2)/2)*AB176+(1-EXP(-LN(2)/2))/(LN(2)/2)*V177*Y177*VLOOKUP('Données projet'!$B$9,Paramètres!$A$1:$I$89,3,0)*0.475*44/12</f>
        <v>5.0247196839740629E-13</v>
      </c>
      <c r="AC177" s="22">
        <f t="shared" si="163"/>
        <v>27.640875603234832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7.688333333333337</v>
      </c>
      <c r="AI177" s="13">
        <f>IF('Données projet'!$A$62&gt;35,AI176+AH177-AQ176,IF(A177&lt;'Données projet'!$A$62,$AF$205^A177,IF(A177='Données projet'!$A$62,'Données projet'!$B$62,AI176+AH177-AQ176)))</f>
        <v>410.40999999999968</v>
      </c>
      <c r="AJ177" s="13">
        <f>AI177*VLOOKUP('Données projet'!$B$10,Paramètres!$A$1:$I$89,3,0)*VLOOKUP('Données projet'!$B$10,Paramètres!$A$1:$I$89,5,0)</f>
        <v>416.1557399999997</v>
      </c>
      <c r="AK177" s="13">
        <f t="shared" si="164"/>
        <v>95.044407695945651</v>
      </c>
      <c r="AL177" s="20">
        <f t="shared" si="165"/>
        <v>890.34025723710477</v>
      </c>
      <c r="AM177" s="59">
        <f t="shared" si="113"/>
        <v>1183.6735905704381</v>
      </c>
      <c r="AN177" s="59">
        <f ca="1">AVERAGE(OFFSET($AM$3,0,0,'Données projet'!$E$10+1,1))-AVERAGE(OFFSET($H$3,0,0,'Données projet'!$E$10+1,1))</f>
        <v>486.4870616281359</v>
      </c>
      <c r="AO177" s="59">
        <f t="shared" si="144"/>
        <v>247.29100537955225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44.72918349159675</v>
      </c>
      <c r="AV177" s="21">
        <f>EXP(-LN(2)/25)*AV176+(1-EXP(-LN(2)/25))/(LN(2)/25)*Calculateur!AQ177*Calculateur!AS177*VLOOKUP('Données projet'!$B$10,Paramètres!$A$1:$I$89,3,0)*0.475*44/12</f>
        <v>19.682008870953172</v>
      </c>
      <c r="AW177" s="21">
        <f>EXP(-LN(2)/2)*AW176+(1-EXP(-LN(2)/2))/(LN(2)/2)*AQ177*AT177*VLOOKUP('Données projet'!$B$10,Paramètres!$A$1:$I$89,3,0)*0.475*44/12</f>
        <v>1.8024719441687507E-4</v>
      </c>
      <c r="AX177" s="21">
        <f t="shared" si="166"/>
        <v>64.411372609744348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4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37.346400000000095</v>
      </c>
      <c r="D178" s="11">
        <f t="shared" si="140"/>
        <v>11.292524863342416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90.110008167876643</v>
      </c>
      <c r="H178" s="67">
        <f t="shared" si="110"/>
        <v>341.37946080365487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-2.2737367544323206E-13</v>
      </c>
      <c r="O178" s="13">
        <f>N178*VLOOKUP('Données projet'!$B$9,Paramètres!$A$1:$I$89,3,0)*VLOOKUP('Données projet'!$B$9,Paramètres!$A$1:$I$89,5,0)</f>
        <v>-1.3596945791505279E-13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329.62068845923676</v>
      </c>
      <c r="T178" s="59">
        <f t="shared" si="142"/>
        <v>243.22501652129546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23.35439238587244</v>
      </c>
      <c r="AA178" s="21">
        <f>EXP(-LN(2)/25)*AA177+(1-EXP(-LN(2)/25))/(LN(2)/25)*Calculateur!V178*Calculateur!X178*VLOOKUP('Données projet'!$B$9,Paramètres!$A$1:$I$89,3,0)*0.475*44/12</f>
        <v>3.7149172431740158</v>
      </c>
      <c r="AB178" s="21">
        <f>EXP(-LN(2)/2)*AB177+(1-EXP(-LN(2)/2))/(LN(2)/2)*V178*Y178*VLOOKUP('Données projet'!$B$9,Paramètres!$A$1:$I$89,3,0)*0.475*44/12</f>
        <v>3.553013362099586E-13</v>
      </c>
      <c r="AC178" s="22">
        <f t="shared" si="163"/>
        <v>27.069309629046813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7.688333333333337</v>
      </c>
      <c r="AI178" s="13">
        <f>IF('Données projet'!$A$62&gt;35,AI177+AH178-AQ177,IF(A178&lt;'Données projet'!$A$62,$AF$205^A178,IF(A178='Données projet'!$A$62,'Données projet'!$B$62,AI177+AH178-AQ177)))</f>
        <v>418.09833333333302</v>
      </c>
      <c r="AJ178" s="13">
        <f>AI178*VLOOKUP('Données projet'!$B$10,Paramètres!$A$1:$I$89,3,0)*VLOOKUP('Données projet'!$B$10,Paramètres!$A$1:$I$89,5,0)</f>
        <v>423.95170999999976</v>
      </c>
      <c r="AK178" s="13">
        <f t="shared" si="164"/>
        <v>96.615949933698687</v>
      </c>
      <c r="AL178" s="20">
        <f t="shared" si="165"/>
        <v>906.65534105119139</v>
      </c>
      <c r="AM178" s="59">
        <f t="shared" si="113"/>
        <v>1199.9886743845248</v>
      </c>
      <c r="AN178" s="59">
        <f ca="1">AVERAGE(OFFSET($AM$3,0,0,'Données projet'!$E$10+1,1))-AVERAGE(OFFSET($H$3,0,0,'Données projet'!$E$10+1,1))</f>
        <v>486.4870616281359</v>
      </c>
      <c r="AO178" s="59">
        <f t="shared" si="144"/>
        <v>247.29100537955225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43.852071485434585</v>
      </c>
      <c r="AV178" s="21">
        <f>EXP(-LN(2)/25)*AV177+(1-EXP(-LN(2)/25))/(LN(2)/25)*Calculateur!AQ178*Calculateur!AS178*VLOOKUP('Données projet'!$B$10,Paramètres!$A$1:$I$89,3,0)*0.475*44/12</f>
        <v>19.143803303345095</v>
      </c>
      <c r="AW178" s="21">
        <f>EXP(-LN(2)/2)*AW177+(1-EXP(-LN(2)/2))/(LN(2)/2)*AQ178*AT178*VLOOKUP('Données projet'!$B$10,Paramètres!$A$1:$I$89,3,0)*0.475*44/12</f>
        <v>1.2745401346202237E-4</v>
      </c>
      <c r="AX178" s="21">
        <f t="shared" si="166"/>
        <v>62.996002242793139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4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37.559808000000096</v>
      </c>
      <c r="D179" s="11">
        <f t="shared" si="140"/>
        <v>11.349523512381792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90.610972065044351</v>
      </c>
      <c r="H179" s="67">
        <f t="shared" si="110"/>
        <v>341.85041905073183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-2.2737367544323206E-13</v>
      </c>
      <c r="O179" s="13">
        <f>N179*VLOOKUP('Données projet'!$B$9,Paramètres!$A$1:$I$89,3,0)*VLOOKUP('Données projet'!$B$9,Paramètres!$A$1:$I$89,5,0)</f>
        <v>-1.3596945791505279E-13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329.62068845923676</v>
      </c>
      <c r="T179" s="59">
        <f t="shared" si="142"/>
        <v>243.22501652129546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22.896426995958283</v>
      </c>
      <c r="AA179" s="21">
        <f>EXP(-LN(2)/25)*AA178+(1-EXP(-LN(2)/25))/(LN(2)/25)*Calculateur!V179*Calculateur!X179*VLOOKUP('Données projet'!$B$9,Paramètres!$A$1:$I$89,3,0)*0.475*44/12</f>
        <v>3.6133326358004152</v>
      </c>
      <c r="AB179" s="21">
        <f>EXP(-LN(2)/2)*AB178+(1-EXP(-LN(2)/2))/(LN(2)/2)*V179*Y179*VLOOKUP('Données projet'!$B$9,Paramètres!$A$1:$I$89,3,0)*0.475*44/12</f>
        <v>2.5123598419870315E-13</v>
      </c>
      <c r="AC179" s="22">
        <f t="shared" si="163"/>
        <v>26.50975963175895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7.688333333333337</v>
      </c>
      <c r="AI179" s="13">
        <f>IF('Données projet'!$A$62&gt;35,AI178+AH179-AQ178,IF(A179&lt;'Données projet'!$A$62,$AF$205^A179,IF(A179='Données projet'!$A$62,'Données projet'!$B$62,AI178+AH179-AQ178)))</f>
        <v>425.78666666666635</v>
      </c>
      <c r="AJ179" s="13">
        <f>AI179*VLOOKUP('Données projet'!$B$10,Paramètres!$A$1:$I$89,3,0)*VLOOKUP('Données projet'!$B$10,Paramètres!$A$1:$I$89,5,0)</f>
        <v>431.74767999999972</v>
      </c>
      <c r="AK179" s="13">
        <f t="shared" si="164"/>
        <v>98.184131748284557</v>
      </c>
      <c r="AL179" s="20">
        <f t="shared" si="165"/>
        <v>922.96457212826181</v>
      </c>
      <c r="AM179" s="59">
        <f t="shared" si="113"/>
        <v>1216.2979054615951</v>
      </c>
      <c r="AN179" s="59">
        <f ca="1">AVERAGE(OFFSET($AM$3,0,0,'Données projet'!$E$10+1,1))-AVERAGE(OFFSET($H$3,0,0,'Données projet'!$E$10+1,1))</f>
        <v>486.4870616281359</v>
      </c>
      <c r="AO179" s="59">
        <f t="shared" si="144"/>
        <v>247.29100537955225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42.992159110727762</v>
      </c>
      <c r="AV179" s="21">
        <f>EXP(-LN(2)/25)*AV178+(1-EXP(-LN(2)/25))/(LN(2)/25)*Calculateur!AQ179*Calculateur!AS179*VLOOKUP('Données projet'!$B$10,Paramètres!$A$1:$I$89,3,0)*0.475*44/12</f>
        <v>18.620314995286261</v>
      </c>
      <c r="AW179" s="21">
        <f>EXP(-LN(2)/2)*AW178+(1-EXP(-LN(2)/2))/(LN(2)/2)*AQ179*AT179*VLOOKUP('Données projet'!$B$10,Paramètres!$A$1:$I$89,3,0)*0.475*44/12</f>
        <v>9.0123597208437533E-5</v>
      </c>
      <c r="AX179" s="21">
        <f t="shared" si="166"/>
        <v>61.61256422961123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4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37.773216000000097</v>
      </c>
      <c r="D180" s="11">
        <f t="shared" si="140"/>
        <v>11.406484476835784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91.111866146559109</v>
      </c>
      <c r="H180" s="67">
        <f t="shared" si="110"/>
        <v>342.32131166382248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-2.2737367544323206E-13</v>
      </c>
      <c r="O180" s="13">
        <f>N180*VLOOKUP('Données projet'!$B$9,Paramètres!$A$1:$I$89,3,0)*VLOOKUP('Données projet'!$B$9,Paramètres!$A$1:$I$89,5,0)</f>
        <v>-1.3596945791505279E-13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329.62068845923676</v>
      </c>
      <c r="T180" s="59">
        <f t="shared" si="142"/>
        <v>243.22501652129546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22.447442028009036</v>
      </c>
      <c r="AA180" s="21">
        <f>EXP(-LN(2)/25)*AA179+(1-EXP(-LN(2)/25))/(LN(2)/25)*Calculateur!V180*Calculateur!X180*VLOOKUP('Données projet'!$B$9,Paramètres!$A$1:$I$89,3,0)*0.475*44/12</f>
        <v>3.5145258648575477</v>
      </c>
      <c r="AB180" s="21">
        <f>EXP(-LN(2)/2)*AB179+(1-EXP(-LN(2)/2))/(LN(2)/2)*V180*Y180*VLOOKUP('Données projet'!$B$9,Paramètres!$A$1:$I$89,3,0)*0.475*44/12</f>
        <v>1.776506681049793E-13</v>
      </c>
      <c r="AC180" s="22">
        <f t="shared" si="163"/>
        <v>25.96196789286676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7.688333333333337</v>
      </c>
      <c r="AI180" s="13">
        <f>IF('Données projet'!$A$62&gt;35,AI179+AH180-AQ179,IF(A180&lt;'Données projet'!$A$62,$AF$205^A180,IF(A180='Données projet'!$A$62,'Données projet'!$B$62,AI179+AH180-AQ179)))</f>
        <v>433.47499999999968</v>
      </c>
      <c r="AJ180" s="13">
        <f>AI180*VLOOKUP('Données projet'!$B$10,Paramètres!$A$1:$I$89,3,0)*VLOOKUP('Données projet'!$B$10,Paramètres!$A$1:$I$89,5,0)</f>
        <v>439.54364999999967</v>
      </c>
      <c r="AK180" s="13">
        <f t="shared" si="164"/>
        <v>99.749020817344601</v>
      </c>
      <c r="AL180" s="20">
        <f t="shared" si="165"/>
        <v>939.26806834020806</v>
      </c>
      <c r="AM180" s="59">
        <f t="shared" si="113"/>
        <v>1232.6014016735414</v>
      </c>
      <c r="AN180" s="59">
        <f ca="1">AVERAGE(OFFSET($AM$3,0,0,'Données projet'!$E$10+1,1))-AVERAGE(OFFSET($H$3,0,0,'Données projet'!$E$10+1,1))</f>
        <v>486.4870616281359</v>
      </c>
      <c r="AO180" s="59">
        <f t="shared" si="144"/>
        <v>247.29100537955225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42.149109093194177</v>
      </c>
      <c r="AV180" s="21">
        <f>EXP(-LN(2)/25)*AV179+(1-EXP(-LN(2)/25))/(LN(2)/25)*Calculateur!AQ180*Calculateur!AS180*VLOOKUP('Données projet'!$B$10,Paramètres!$A$1:$I$89,3,0)*0.475*44/12</f>
        <v>18.111141502540349</v>
      </c>
      <c r="AW180" s="21">
        <f>EXP(-LN(2)/2)*AW179+(1-EXP(-LN(2)/2))/(LN(2)/2)*AQ180*AT180*VLOOKUP('Données projet'!$B$10,Paramètres!$A$1:$I$89,3,0)*0.475*44/12</f>
        <v>6.3727006731011183E-5</v>
      </c>
      <c r="AX180" s="21">
        <f t="shared" si="166"/>
        <v>60.260314322741259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4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37.986624000000099</v>
      </c>
      <c r="D181" s="11">
        <f t="shared" si="140"/>
        <v>11.463407994318453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91.612690852632269</v>
      </c>
      <c r="H181" s="67">
        <f t="shared" si="110"/>
        <v>342.79213905677148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-2.2737367544323206E-13</v>
      </c>
      <c r="O181" s="13">
        <f>N181*VLOOKUP('Données projet'!$B$9,Paramètres!$A$1:$I$89,3,0)*VLOOKUP('Données projet'!$B$9,Paramètres!$A$1:$I$89,5,0)</f>
        <v>-1.3596945791505279E-13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329.62068845923676</v>
      </c>
      <c r="T181" s="59">
        <f t="shared" si="142"/>
        <v>243.22501652129546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22.007261381427483</v>
      </c>
      <c r="AA181" s="21">
        <f>EXP(-LN(2)/25)*AA180+(1-EXP(-LN(2)/25))/(LN(2)/25)*Calculateur!V181*Calculateur!X181*VLOOKUP('Données projet'!$B$9,Paramètres!$A$1:$I$89,3,0)*0.475*44/12</f>
        <v>3.4184209702621353</v>
      </c>
      <c r="AB181" s="21">
        <f>EXP(-LN(2)/2)*AB180+(1-EXP(-LN(2)/2))/(LN(2)/2)*V181*Y181*VLOOKUP('Données projet'!$B$9,Paramètres!$A$1:$I$89,3,0)*0.475*44/12</f>
        <v>1.2561799209935157E-13</v>
      </c>
      <c r="AC181" s="22">
        <f t="shared" si="163"/>
        <v>25.425682351689744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7.688333333333337</v>
      </c>
      <c r="AI181" s="13">
        <f>IF('Données projet'!$A$62&gt;35,AI180+AH181-AQ180,IF(A181&lt;'Données projet'!$A$62,$AF$205^A181,IF(A181='Données projet'!$A$62,'Données projet'!$B$62,AI180+AH181-AQ180)))</f>
        <v>441.16333333333301</v>
      </c>
      <c r="AJ181" s="13">
        <f>AI181*VLOOKUP('Données projet'!$B$10,Paramètres!$A$1:$I$89,3,0)*VLOOKUP('Données projet'!$B$10,Paramètres!$A$1:$I$89,5,0)</f>
        <v>447.33961999999968</v>
      </c>
      <c r="AK181" s="13">
        <f t="shared" si="164"/>
        <v>101.31068228028938</v>
      </c>
      <c r="AL181" s="20">
        <f t="shared" si="165"/>
        <v>955.56594313817016</v>
      </c>
      <c r="AM181" s="59">
        <f t="shared" si="113"/>
        <v>1248.8992764715035</v>
      </c>
      <c r="AN181" s="59">
        <f ca="1">AVERAGE(OFFSET($AM$3,0,0,'Données projet'!$E$10+1,1))-AVERAGE(OFFSET($H$3,0,0,'Données projet'!$E$10+1,1))</f>
        <v>486.4870616281359</v>
      </c>
      <c r="AO181" s="59">
        <f t="shared" si="144"/>
        <v>247.29100537955225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41.322590772294689</v>
      </c>
      <c r="AV181" s="21">
        <f>EXP(-LN(2)/25)*AV180+(1-EXP(-LN(2)/25))/(LN(2)/25)*Calculateur!AQ181*Calculateur!AS181*VLOOKUP('Données projet'!$B$10,Paramètres!$A$1:$I$89,3,0)*0.475*44/12</f>
        <v>17.615891385729846</v>
      </c>
      <c r="AW181" s="21">
        <f>EXP(-LN(2)/2)*AW180+(1-EXP(-LN(2)/2))/(LN(2)/2)*AQ181*AT181*VLOOKUP('Données projet'!$B$10,Paramètres!$A$1:$I$89,3,0)*0.475*44/12</f>
        <v>4.5061798604218766E-5</v>
      </c>
      <c r="AX181" s="21">
        <f t="shared" si="166"/>
        <v>58.938527219823136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4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38.2000320000001</v>
      </c>
      <c r="D182" s="11">
        <f t="shared" si="140"/>
        <v>11.520294299619549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92.113446618242719</v>
      </c>
      <c r="H182" s="67">
        <f t="shared" si="110"/>
        <v>343.26290163850422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-2.2737367544323206E-13</v>
      </c>
      <c r="O182" s="13">
        <f>N182*VLOOKUP('Données projet'!$B$9,Paramètres!$A$1:$I$89,3,0)*VLOOKUP('Données projet'!$B$9,Paramètres!$A$1:$I$89,5,0)</f>
        <v>-1.3596945791505279E-13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329.62068845923676</v>
      </c>
      <c r="T182" s="59">
        <f t="shared" si="142"/>
        <v>243.22501652129546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21.57571240884171</v>
      </c>
      <c r="AA182" s="21">
        <f>EXP(-LN(2)/25)*AA181+(1-EXP(-LN(2)/25))/(LN(2)/25)*Calculateur!V182*Calculateur!X182*VLOOKUP('Données projet'!$B$9,Paramètres!$A$1:$I$89,3,0)*0.475*44/12</f>
        <v>3.3249440690633714</v>
      </c>
      <c r="AB182" s="21">
        <f>EXP(-LN(2)/2)*AB181+(1-EXP(-LN(2)/2))/(LN(2)/2)*V182*Y182*VLOOKUP('Données projet'!$B$9,Paramètres!$A$1:$I$89,3,0)*0.475*44/12</f>
        <v>8.8825334052489649E-14</v>
      </c>
      <c r="AC182" s="22">
        <f t="shared" si="163"/>
        <v>24.900656477905169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7.688333333333337</v>
      </c>
      <c r="AI182" s="13">
        <f>IF('Données projet'!$A$62&gt;35,AI181+AH182-AQ181,IF(A182&lt;'Données projet'!$A$62,$AF$205^A182,IF(A182='Données projet'!$A$62,'Données projet'!$B$62,AI181+AH182-AQ181)))</f>
        <v>448.85166666666635</v>
      </c>
      <c r="AJ182" s="13">
        <f>AI182*VLOOKUP('Données projet'!$B$10,Paramètres!$A$1:$I$89,3,0)*VLOOKUP('Données projet'!$B$10,Paramètres!$A$1:$I$89,5,0)</f>
        <v>455.13558999999975</v>
      </c>
      <c r="AK182" s="13">
        <f t="shared" si="164"/>
        <v>102.86917887604061</v>
      </c>
      <c r="AL182" s="20">
        <f t="shared" si="165"/>
        <v>971.85830579243668</v>
      </c>
      <c r="AM182" s="59">
        <f t="shared" si="113"/>
        <v>1265.1916391257701</v>
      </c>
      <c r="AN182" s="59">
        <f ca="1">AVERAGE(OFFSET($AM$3,0,0,'Données projet'!$E$10+1,1))-AVERAGE(OFFSET($H$3,0,0,'Données projet'!$E$10+1,1))</f>
        <v>486.4870616281359</v>
      </c>
      <c r="AO182" s="59">
        <f t="shared" si="144"/>
        <v>247.29100537955225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40.512279971541645</v>
      </c>
      <c r="AV182" s="21">
        <f>EXP(-LN(2)/25)*AV181+(1-EXP(-LN(2)/25))/(LN(2)/25)*Calculateur!AQ182*Calculateur!AS182*VLOOKUP('Données projet'!$B$10,Paramètres!$A$1:$I$89,3,0)*0.475*44/12</f>
        <v>17.134183909407597</v>
      </c>
      <c r="AW182" s="21">
        <f>EXP(-LN(2)/2)*AW181+(1-EXP(-LN(2)/2))/(LN(2)/2)*AQ182*AT182*VLOOKUP('Données projet'!$B$10,Paramètres!$A$1:$I$89,3,0)*0.475*44/12</f>
        <v>3.1863503365505592E-5</v>
      </c>
      <c r="AX182" s="21">
        <f t="shared" si="166"/>
        <v>57.646495744452608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4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38.413440000000101</v>
      </c>
      <c r="D183" s="11">
        <f t="shared" si="140"/>
        <v>11.577143624753635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92.614133873227999</v>
      </c>
      <c r="H183" s="67">
        <f t="shared" si="110"/>
        <v>343.73359981311279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-2.2737367544323206E-13</v>
      </c>
      <c r="O183" s="13">
        <f>N183*VLOOKUP('Données projet'!$B$9,Paramètres!$A$1:$I$89,3,0)*VLOOKUP('Données projet'!$B$9,Paramètres!$A$1:$I$89,5,0)</f>
        <v>-1.3596945791505279E-13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329.62068845923676</v>
      </c>
      <c r="T183" s="59">
        <f t="shared" si="142"/>
        <v>243.22501652129546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21.152625848389462</v>
      </c>
      <c r="AA183" s="21">
        <f>EXP(-LN(2)/25)*AA182+(1-EXP(-LN(2)/25))/(LN(2)/25)*Calculateur!V183*Calculateur!X183*VLOOKUP('Données projet'!$B$9,Paramètres!$A$1:$I$89,3,0)*0.475*44/12</f>
        <v>3.2340232986436241</v>
      </c>
      <c r="AB183" s="21">
        <f>EXP(-LN(2)/2)*AB182+(1-EXP(-LN(2)/2))/(LN(2)/2)*V183*Y183*VLOOKUP('Données projet'!$B$9,Paramètres!$A$1:$I$89,3,0)*0.475*44/12</f>
        <v>6.2808996049675786E-14</v>
      </c>
      <c r="AC183" s="22">
        <f t="shared" si="163"/>
        <v>24.38664914703315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>
        <f>VLOOKUP(A183,'Données projet'!$A$61:$I$81,2,0)</f>
        <v>456.54</v>
      </c>
      <c r="AG183" s="12">
        <f>VLOOKUP(A183,'Données projet'!$A$61:$I$81,9,0)</f>
        <v>7.688333333333337</v>
      </c>
      <c r="AH183" s="12">
        <f t="array" ref="AH183">INDEX(AG:AG,MIN(IF(ISNUMBER(AG183:AG379),ROW(AG183:AG379),"")))</f>
        <v>7.688333333333337</v>
      </c>
      <c r="AI183" s="13">
        <f>IF('Données projet'!$A$62&gt;35,AI182+AH183-AQ182,IF(A183&lt;'Données projet'!$A$62,$AF$205^A183,IF(A183='Données projet'!$A$62,'Données projet'!$B$62,AI182+AH183-AQ182)))</f>
        <v>456.53999999999968</v>
      </c>
      <c r="AJ183" s="13">
        <f>AI183*VLOOKUP('Données projet'!$B$10,Paramètres!$A$1:$I$89,3,0)*VLOOKUP('Données projet'!$B$10,Paramètres!$A$1:$I$89,5,0)</f>
        <v>462.93155999999971</v>
      </c>
      <c r="AK183" s="13">
        <f t="shared" si="164"/>
        <v>104.42457107106746</v>
      </c>
      <c r="AL183" s="20">
        <f t="shared" si="165"/>
        <v>988.145261615442</v>
      </c>
      <c r="AM183" s="59">
        <f t="shared" si="113"/>
        <v>1281.4785949487753</v>
      </c>
      <c r="AN183" s="59">
        <f ca="1">AVERAGE(OFFSET($AM$3,0,0,'Données projet'!$E$10+1,1))-AVERAGE(OFFSET($H$3,0,0,'Données projet'!$E$10+1,1))</f>
        <v>486.4870616281359</v>
      </c>
      <c r="AO183" s="59">
        <f t="shared" si="144"/>
        <v>247.29100537955225</v>
      </c>
      <c r="AP183" s="15">
        <f>IF(ISNA(VLOOKUP(A183,'Données projet'!$A$61:$I$81,3,0)),0,VLOOKUP(A183,'Données projet'!$A$61:$I$81,3,0))</f>
        <v>13</v>
      </c>
      <c r="AQ183" s="15">
        <f>IF(ISNA(VLOOKUP(A183,'Données projet'!$A$61:$I$81,4,0)),0,VLOOKUP(A183,'Données projet'!$A$61:$I$81,4,0))</f>
        <v>175.59000000000003</v>
      </c>
      <c r="AR183" s="16">
        <f>IF(ISNA(VLOOKUP(A183,'Données projet'!$A$61:$I$81,5,0)),0%,VLOOKUP(A183,'Données projet'!$A$61:$I$81,5,0)*VLOOKUP('Données projet'!$B$10,Paramètres!$A$1:$I$89,7,0))</f>
        <v>0.215</v>
      </c>
      <c r="AS183" s="16">
        <f>IF(ISNA(VLOOKUP(A183,'Données projet'!$A$61:$I$81,6,0)),0%,VLOOKUP(A183,'Données projet'!$A$61:$I$81,6,0)*VLOOKUP('Données projet'!$B$10,Paramètres!$A$1:$I$89,7,0))</f>
        <v>8.6000000000000007E-2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82.035680546187592</v>
      </c>
      <c r="AV183" s="21">
        <f>EXP(-LN(2)/25)*AV182+(1-EXP(-LN(2)/25))/(LN(2)/25)*Calculateur!AQ183*Calculateur!AS183*VLOOKUP('Données projet'!$B$10,Paramètres!$A$1:$I$89,3,0)*0.475*44/12</f>
        <v>33.526128863976865</v>
      </c>
      <c r="AW183" s="21">
        <f>EXP(-LN(2)/2)*AW182+(1-EXP(-LN(2)/2))/(LN(2)/2)*AQ183*AT183*VLOOKUP('Données projet'!$B$10,Paramètres!$A$1:$I$89,3,0)*0.475*44/12</f>
        <v>2.2530899302109383E-5</v>
      </c>
      <c r="AX183" s="21">
        <f t="shared" si="166"/>
        <v>115.56183194106376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4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38.626848000000102</v>
      </c>
      <c r="D184" s="11">
        <f t="shared" si="140"/>
        <v>11.633956199008152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93.114753042373195</v>
      </c>
      <c r="H184" s="67">
        <f t="shared" si="110"/>
        <v>344.20423397993937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-2.2737367544323206E-13</v>
      </c>
      <c r="O184" s="13">
        <f>N184*VLOOKUP('Données projet'!$B$9,Paramètres!$A$1:$I$89,3,0)*VLOOKUP('Données projet'!$B$9,Paramètres!$A$1:$I$89,5,0)</f>
        <v>-1.3596945791505279E-13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329.62068845923676</v>
      </c>
      <c r="T184" s="59">
        <f t="shared" si="142"/>
        <v>243.22501652129546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20.737835757330362</v>
      </c>
      <c r="AA184" s="21">
        <f>EXP(-LN(2)/25)*AA183+(1-EXP(-LN(2)/25))/(LN(2)/25)*Calculateur!V184*Calculateur!X184*VLOOKUP('Données projet'!$B$9,Paramètres!$A$1:$I$89,3,0)*0.475*44/12</f>
        <v>3.1455887614723204</v>
      </c>
      <c r="AB184" s="21">
        <f>EXP(-LN(2)/2)*AB183+(1-EXP(-LN(2)/2))/(LN(2)/2)*V184*Y184*VLOOKUP('Données projet'!$B$9,Paramètres!$A$1:$I$89,3,0)*0.475*44/12</f>
        <v>4.4412667026244825E-14</v>
      </c>
      <c r="AC184" s="22">
        <f t="shared" si="163"/>
        <v>23.88342451880273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4.7974999999999994</v>
      </c>
      <c r="AI184" s="13">
        <f>IF('Données projet'!$A$62&gt;35,AI183+AH184-AQ183,IF(A184&lt;'Données projet'!$A$62,$AF$205^A184,IF(A184='Données projet'!$A$62,'Données projet'!$B$62,AI183+AH184-AQ183)))</f>
        <v>285.74749999999966</v>
      </c>
      <c r="AJ184" s="13">
        <f>AI184*VLOOKUP('Données projet'!$B$10,Paramètres!$A$1:$I$89,3,0)*VLOOKUP('Données projet'!$B$10,Paramètres!$A$1:$I$89,5,0)</f>
        <v>289.74796499999968</v>
      </c>
      <c r="AK184" s="13">
        <f t="shared" si="164"/>
        <v>69.022913217160536</v>
      </c>
      <c r="AL184" s="20">
        <f t="shared" si="165"/>
        <v>624.85927956155399</v>
      </c>
      <c r="AM184" s="59">
        <f t="shared" si="113"/>
        <v>918.19261289488736</v>
      </c>
      <c r="AN184" s="59">
        <f ca="1">AVERAGE(OFFSET($AM$3,0,0,'Données projet'!$E$10+1,1))-AVERAGE(OFFSET($H$3,0,0,'Données projet'!$E$10+1,1))</f>
        <v>486.4870616281359</v>
      </c>
      <c r="AO184" s="59">
        <f t="shared" si="144"/>
        <v>247.29100537955225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80.427010887501254</v>
      </c>
      <c r="AV184" s="21">
        <f>EXP(-LN(2)/25)*AV183+(1-EXP(-LN(2)/25))/(LN(2)/25)*Calculateur!AQ184*Calculateur!AS184*VLOOKUP('Données projet'!$B$10,Paramètres!$A$1:$I$89,3,0)*0.475*44/12</f>
        <v>32.609355107128927</v>
      </c>
      <c r="AW184" s="21">
        <f>EXP(-LN(2)/2)*AW183+(1-EXP(-LN(2)/2))/(LN(2)/2)*AQ184*AT184*VLOOKUP('Données projet'!$B$10,Paramètres!$A$1:$I$89,3,0)*0.475*44/12</f>
        <v>1.5931751682752796E-5</v>
      </c>
      <c r="AX184" s="21">
        <f t="shared" si="166"/>
        <v>113.03638192638186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4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38.840256000000103</v>
      </c>
      <c r="D185" s="11">
        <f t="shared" si="140"/>
        <v>11.690732248990331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93.615304545498063</v>
      </c>
      <c r="H185" s="67">
        <f t="shared" si="110"/>
        <v>344.67480453365835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-2.2737367544323206E-13</v>
      </c>
      <c r="O185" s="13">
        <f>N185*VLOOKUP('Données projet'!$B$9,Paramètres!$A$1:$I$89,3,0)*VLOOKUP('Données projet'!$B$9,Paramètres!$A$1:$I$89,5,0)</f>
        <v>-1.3596945791505279E-13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329.62068845923676</v>
      </c>
      <c r="T185" s="59">
        <f t="shared" si="142"/>
        <v>243.22501652129546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20.331179446959958</v>
      </c>
      <c r="AA185" s="21">
        <f>EXP(-LN(2)/25)*AA184+(1-EXP(-LN(2)/25))/(LN(2)/25)*Calculateur!V185*Calculateur!X185*VLOOKUP('Données projet'!$B$9,Paramètres!$A$1:$I$89,3,0)*0.475*44/12</f>
        <v>3.0595724713705361</v>
      </c>
      <c r="AB185" s="21">
        <f>EXP(-LN(2)/2)*AB184+(1-EXP(-LN(2)/2))/(LN(2)/2)*V185*Y185*VLOOKUP('Données projet'!$B$9,Paramètres!$A$1:$I$89,3,0)*0.475*44/12</f>
        <v>3.1404498024837893E-14</v>
      </c>
      <c r="AC185" s="22">
        <f t="shared" si="163"/>
        <v>23.390751918330526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4.7974999999999994</v>
      </c>
      <c r="AI185" s="13">
        <f>IF('Données projet'!$A$62&gt;35,AI184+AH185-AQ184,IF(A185&lt;'Données projet'!$A$62,$AF$205^A185,IF(A185='Données projet'!$A$62,'Données projet'!$B$62,AI184+AH185-AQ184)))</f>
        <v>290.54499999999967</v>
      </c>
      <c r="AJ185" s="13">
        <f>AI185*VLOOKUP('Données projet'!$B$10,Paramètres!$A$1:$I$89,3,0)*VLOOKUP('Données projet'!$B$10,Paramètres!$A$1:$I$89,5,0)</f>
        <v>294.61262999999968</v>
      </c>
      <c r="AK185" s="13">
        <f t="shared" si="164"/>
        <v>70.045875436649951</v>
      </c>
      <c r="AL185" s="20">
        <f t="shared" si="165"/>
        <v>635.11356363549817</v>
      </c>
      <c r="AM185" s="59">
        <f t="shared" si="113"/>
        <v>928.44689696883142</v>
      </c>
      <c r="AN185" s="59">
        <f ca="1">AVERAGE(OFFSET($AM$3,0,0,'Données projet'!$E$10+1,1))-AVERAGE(OFFSET($H$3,0,0,'Données projet'!$E$10+1,1))</f>
        <v>486.4870616281359</v>
      </c>
      <c r="AO185" s="59">
        <f t="shared" si="144"/>
        <v>247.29100537955225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78.849886259630154</v>
      </c>
      <c r="AV185" s="21">
        <f>EXP(-LN(2)/25)*AV184+(1-EXP(-LN(2)/25))/(LN(2)/25)*Calculateur!AQ185*Calculateur!AS185*VLOOKUP('Données projet'!$B$10,Paramètres!$A$1:$I$89,3,0)*0.475*44/12</f>
        <v>31.71765057687303</v>
      </c>
      <c r="AW185" s="21">
        <f>EXP(-LN(2)/2)*AW184+(1-EXP(-LN(2)/2))/(LN(2)/2)*AQ185*AT185*VLOOKUP('Données projet'!$B$10,Paramètres!$A$1:$I$89,3,0)*0.475*44/12</f>
        <v>1.1265449651054692E-5</v>
      </c>
      <c r="AX185" s="21">
        <f t="shared" si="166"/>
        <v>110.56754810195284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4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39.053664000000104</v>
      </c>
      <c r="D186" s="11">
        <f t="shared" si="140"/>
        <v>11.747471998673101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94.115788797541938</v>
      </c>
      <c r="H186" s="67">
        <f t="shared" si="110"/>
        <v>345.14531186435585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-2.2737367544323206E-13</v>
      </c>
      <c r="O186" s="13">
        <f>N186*VLOOKUP('Données projet'!$B$9,Paramètres!$A$1:$I$89,3,0)*VLOOKUP('Données projet'!$B$9,Paramètres!$A$1:$I$89,5,0)</f>
        <v>-1.3596945791505279E-13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329.62068845923676</v>
      </c>
      <c r="T186" s="59">
        <f t="shared" si="142"/>
        <v>243.22501652129546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19.932497418800057</v>
      </c>
      <c r="AA186" s="21">
        <f>EXP(-LN(2)/25)*AA185+(1-EXP(-LN(2)/25))/(LN(2)/25)*Calculateur!V186*Calculateur!X186*VLOOKUP('Données projet'!$B$9,Paramètres!$A$1:$I$89,3,0)*0.475*44/12</f>
        <v>2.9759083012449854</v>
      </c>
      <c r="AB186" s="21">
        <f>EXP(-LN(2)/2)*AB185+(1-EXP(-LN(2)/2))/(LN(2)/2)*V186*Y186*VLOOKUP('Données projet'!$B$9,Paramètres!$A$1:$I$89,3,0)*0.475*44/12</f>
        <v>2.2206333513122412E-14</v>
      </c>
      <c r="AC186" s="22">
        <f t="shared" si="163"/>
        <v>22.908405720045064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4.7974999999999994</v>
      </c>
      <c r="AI186" s="13">
        <f>IF('Données projet'!$A$62&gt;35,AI185+AH186-AQ185,IF(A186&lt;'Données projet'!$A$62,$AF$205^A186,IF(A186='Données projet'!$A$62,'Données projet'!$B$62,AI185+AH186-AQ185)))</f>
        <v>295.34249999999969</v>
      </c>
      <c r="AJ186" s="13">
        <f>AI186*VLOOKUP('Données projet'!$B$10,Paramètres!$A$1:$I$89,3,0)*VLOOKUP('Données projet'!$B$10,Paramètres!$A$1:$I$89,5,0)</f>
        <v>299.47729499999969</v>
      </c>
      <c r="AK186" s="13">
        <f t="shared" si="164"/>
        <v>71.066873311318389</v>
      </c>
      <c r="AL186" s="20">
        <f t="shared" si="165"/>
        <v>645.36442647554566</v>
      </c>
      <c r="AM186" s="59">
        <f t="shared" si="113"/>
        <v>938.69775980887903</v>
      </c>
      <c r="AN186" s="59">
        <f ca="1">AVERAGE(OFFSET($AM$3,0,0,'Données projet'!$E$10+1,1))-AVERAGE(OFFSET($H$3,0,0,'Données projet'!$E$10+1,1))</f>
        <v>486.4870616281359</v>
      </c>
      <c r="AO186" s="59">
        <f t="shared" si="144"/>
        <v>247.29100537955225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77.303688083760562</v>
      </c>
      <c r="AV186" s="21">
        <f>EXP(-LN(2)/25)*AV185+(1-EXP(-LN(2)/25))/(LN(2)/25)*Calculateur!AQ186*Calculateur!AS186*VLOOKUP('Données projet'!$B$10,Paramètres!$A$1:$I$89,3,0)*0.475*44/12</f>
        <v>30.850329753889685</v>
      </c>
      <c r="AW186" s="21">
        <f>EXP(-LN(2)/2)*AW185+(1-EXP(-LN(2)/2))/(LN(2)/2)*AQ186*AT186*VLOOKUP('Données projet'!$B$10,Paramètres!$A$1:$I$89,3,0)*0.475*44/12</f>
        <v>7.9658758413763979E-6</v>
      </c>
      <c r="AX186" s="21">
        <f t="shared" si="166"/>
        <v>108.15402580352608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4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39.267072000000105</v>
      </c>
      <c r="D187" s="11">
        <f t="shared" si="140"/>
        <v>11.804175669439928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94.616206208646801</v>
      </c>
      <c r="H187" s="67">
        <f t="shared" si="110"/>
        <v>345.61575635760806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-2.2737367544323206E-13</v>
      </c>
      <c r="O187" s="13">
        <f>N187*VLOOKUP('Données projet'!$B$9,Paramètres!$A$1:$I$89,3,0)*VLOOKUP('Données projet'!$B$9,Paramètres!$A$1:$I$89,5,0)</f>
        <v>-1.3596945791505279E-13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329.62068845923676</v>
      </c>
      <c r="T187" s="59">
        <f t="shared" si="142"/>
        <v>243.22501652129546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19.541633302040349</v>
      </c>
      <c r="AA187" s="21">
        <f>EXP(-LN(2)/25)*AA186+(1-EXP(-LN(2)/25))/(LN(2)/25)*Calculateur!V187*Calculateur!X187*VLOOKUP('Données projet'!$B$9,Paramètres!$A$1:$I$89,3,0)*0.475*44/12</f>
        <v>2.8945319322512253</v>
      </c>
      <c r="AB187" s="21">
        <f>EXP(-LN(2)/2)*AB186+(1-EXP(-LN(2)/2))/(LN(2)/2)*V187*Y187*VLOOKUP('Données projet'!$B$9,Paramètres!$A$1:$I$89,3,0)*0.475*44/12</f>
        <v>1.5702249012418947E-14</v>
      </c>
      <c r="AC187" s="22">
        <f t="shared" si="163"/>
        <v>22.43616523429159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>
        <f>VLOOKUP(A187,'Données projet'!$A$61:$I$81,2,0)</f>
        <v>300.14</v>
      </c>
      <c r="AG187" s="12">
        <f>VLOOKUP(A187,'Données projet'!$A$61:$I$81,9,0)</f>
        <v>4.7974999999999994</v>
      </c>
      <c r="AH187" s="12">
        <f t="array" ref="AH187">INDEX(AG:AG,MIN(IF(ISNUMBER(AG187:AG383),ROW(AG187:AG383),"")))</f>
        <v>4.7974999999999994</v>
      </c>
      <c r="AI187" s="13">
        <f>IF('Données projet'!$A$62&gt;35,AI186+AH187-AQ186,IF(A187&lt;'Données projet'!$A$62,$AF$205^A187,IF(A187='Données projet'!$A$62,'Données projet'!$B$62,AI186+AH187-AQ186)))</f>
        <v>300.1399999999997</v>
      </c>
      <c r="AJ187" s="13">
        <f>AI187*VLOOKUP('Données projet'!$B$10,Paramètres!$A$1:$I$89,3,0)*VLOOKUP('Données projet'!$B$10,Paramètres!$A$1:$I$89,5,0)</f>
        <v>304.34195999999969</v>
      </c>
      <c r="AK187" s="13">
        <f t="shared" si="164"/>
        <v>72.085942433343163</v>
      </c>
      <c r="AL187" s="20">
        <f t="shared" si="165"/>
        <v>655.61193007140548</v>
      </c>
      <c r="AM187" s="59">
        <f t="shared" si="113"/>
        <v>948.94526340473885</v>
      </c>
      <c r="AN187" s="59">
        <f ca="1">AVERAGE(OFFSET($AM$3,0,0,'Données projet'!$E$10+1,1))-AVERAGE(OFFSET($H$3,0,0,'Données projet'!$E$10+1,1))</f>
        <v>486.4870616281359</v>
      </c>
      <c r="AO187" s="59">
        <f t="shared" si="144"/>
        <v>247.29100537955225</v>
      </c>
      <c r="AP187" s="15">
        <f>IF(ISNA(VLOOKUP(A187,'Données projet'!$A$61:$I$81,3,0)),0,VLOOKUP(A187,'Données projet'!$A$61:$I$81,3,0))</f>
        <v>14</v>
      </c>
      <c r="AQ187" s="15">
        <f>IF(ISNA(VLOOKUP(A187,'Données projet'!$A$61:$I$81,4,0)),0,VLOOKUP(A187,'Données projet'!$A$61:$I$81,4,0))</f>
        <v>101.19999999999999</v>
      </c>
      <c r="AR187" s="16">
        <f>IF(ISNA(VLOOKUP(A187,'Données projet'!$A$61:$I$81,5,0)),0%,VLOOKUP(A187,'Données projet'!$A$61:$I$81,5,0)*VLOOKUP('Données projet'!$B$10,Paramètres!$A$1:$I$89,7,0))</f>
        <v>0.215</v>
      </c>
      <c r="AS187" s="16">
        <f>IF(ISNA(VLOOKUP(A187,'Données projet'!$A$61:$I$81,6,0)),0%,VLOOKUP(A187,'Données projet'!$A$61:$I$81,6,0)*VLOOKUP('Données projet'!$B$10,Paramètres!$A$1:$I$89,7,0))</f>
        <v>8.6000000000000007E-2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100.17737397216023</v>
      </c>
      <c r="AV187" s="21">
        <f>EXP(-LN(2)/25)*AV186+(1-EXP(-LN(2)/25))/(LN(2)/25)*Calculateur!AQ187*Calculateur!AS187*VLOOKUP('Données projet'!$B$10,Paramètres!$A$1:$I$89,3,0)*0.475*44/12</f>
        <v>39.724139086128069</v>
      </c>
      <c r="AW187" s="21">
        <f>EXP(-LN(2)/2)*AW186+(1-EXP(-LN(2)/2))/(LN(2)/2)*AQ187*AT187*VLOOKUP('Données projet'!$B$10,Paramètres!$A$1:$I$89,3,0)*0.475*44/12</f>
        <v>5.6327248255273458E-6</v>
      </c>
      <c r="AX187" s="21">
        <f t="shared" si="166"/>
        <v>139.90151869101311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4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39.480480000000107</v>
      </c>
      <c r="D188" s="11">
        <f t="shared" si="140"/>
        <v>11.860843480128631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95.116557184238502</v>
      </c>
      <c r="H188" s="67">
        <f t="shared" si="110"/>
        <v>346.08613839455757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-2.2737367544323206E-13</v>
      </c>
      <c r="O188" s="13">
        <f>N188*VLOOKUP('Données projet'!$B$9,Paramètres!$A$1:$I$89,3,0)*VLOOKUP('Données projet'!$B$9,Paramètres!$A$1:$I$89,5,0)</f>
        <v>-1.3596945791505279E-13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329.62068845923676</v>
      </c>
      <c r="T188" s="59">
        <f t="shared" si="142"/>
        <v>243.22501652129546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19.158433792206726</v>
      </c>
      <c r="AA188" s="21">
        <f>EXP(-LN(2)/25)*AA187+(1-EXP(-LN(2)/25))/(LN(2)/25)*Calculateur!V188*Calculateur!X188*VLOOKUP('Données projet'!$B$9,Paramètres!$A$1:$I$89,3,0)*0.475*44/12</f>
        <v>2.8153808043469968</v>
      </c>
      <c r="AB188" s="21">
        <f>EXP(-LN(2)/2)*AB187+(1-EXP(-LN(2)/2))/(LN(2)/2)*V188*Y188*VLOOKUP('Données projet'!$B$9,Paramètres!$A$1:$I$89,3,0)*0.475*44/12</f>
        <v>1.1103166756561206E-14</v>
      </c>
      <c r="AC188" s="22">
        <f t="shared" si="163"/>
        <v>21.973814596553733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3.0825000000000031</v>
      </c>
      <c r="AI188" s="13">
        <f>IF('Données projet'!$A$62&gt;35,AI187+AH188-AQ187,IF(A188&lt;'Données projet'!$A$62,$AF$205^A188,IF(A188='Données projet'!$A$62,'Données projet'!$B$62,AI187+AH188-AQ187)))</f>
        <v>202.0224999999997</v>
      </c>
      <c r="AJ188" s="13">
        <f>AI188*VLOOKUP('Données projet'!$B$10,Paramètres!$A$1:$I$89,3,0)*VLOOKUP('Données projet'!$B$10,Paramètres!$A$1:$I$89,5,0)</f>
        <v>204.8508149999997</v>
      </c>
      <c r="AK188" s="13">
        <f t="shared" si="164"/>
        <v>50.808738613533862</v>
      </c>
      <c r="AL188" s="20">
        <f t="shared" si="165"/>
        <v>445.27372254357095</v>
      </c>
      <c r="AM188" s="59">
        <f t="shared" si="113"/>
        <v>738.60705587690427</v>
      </c>
      <c r="AN188" s="59">
        <f ca="1">AVERAGE(OFFSET($AM$3,0,0,'Données projet'!$E$10+1,1))-AVERAGE(OFFSET($H$3,0,0,'Données projet'!$E$10+1,1))</f>
        <v>486.4870616281359</v>
      </c>
      <c r="AO188" s="59">
        <f t="shared" si="144"/>
        <v>247.29100537955225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98.212956770730955</v>
      </c>
      <c r="AV188" s="21">
        <f>EXP(-LN(2)/25)*AV187+(1-EXP(-LN(2)/25))/(LN(2)/25)*Calculateur!AQ188*Calculateur!AS188*VLOOKUP('Données projet'!$B$10,Paramètres!$A$1:$I$89,3,0)*0.475*44/12</f>
        <v>38.637880413816212</v>
      </c>
      <c r="AW188" s="21">
        <f>EXP(-LN(2)/2)*AW187+(1-EXP(-LN(2)/2))/(LN(2)/2)*AQ188*AT188*VLOOKUP('Données projet'!$B$10,Paramètres!$A$1:$I$89,3,0)*0.475*44/12</f>
        <v>3.982937920688199E-6</v>
      </c>
      <c r="AX188" s="21">
        <f t="shared" si="166"/>
        <v>136.8508411674851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4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39.693888000000108</v>
      </c>
      <c r="D189" s="11">
        <f t="shared" si="140"/>
        <v>11.9174756470743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95.61684212510626</v>
      </c>
      <c r="H189" s="67">
        <f t="shared" si="110"/>
        <v>346.55645835198794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-2.2737367544323206E-13</v>
      </c>
      <c r="O189" s="13">
        <f>N189*VLOOKUP('Données projet'!$B$9,Paramètres!$A$1:$I$89,3,0)*VLOOKUP('Données projet'!$B$9,Paramètres!$A$1:$I$89,5,0)</f>
        <v>-1.3596945791505279E-13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329.62068845923676</v>
      </c>
      <c r="T189" s="59">
        <f t="shared" si="142"/>
        <v>243.22501652129546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18.78274859103232</v>
      </c>
      <c r="AA189" s="21">
        <f>EXP(-LN(2)/25)*AA188+(1-EXP(-LN(2)/25))/(LN(2)/25)*Calculateur!V189*Calculateur!X189*VLOOKUP('Données projet'!$B$9,Paramètres!$A$1:$I$89,3,0)*0.475*44/12</f>
        <v>2.7383940681976862</v>
      </c>
      <c r="AB189" s="21">
        <f>EXP(-LN(2)/2)*AB188+(1-EXP(-LN(2)/2))/(LN(2)/2)*V189*Y189*VLOOKUP('Données projet'!$B$9,Paramètres!$A$1:$I$89,3,0)*0.475*44/12</f>
        <v>7.8511245062094733E-15</v>
      </c>
      <c r="AC189" s="22">
        <f t="shared" si="163"/>
        <v>21.521142659230012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3.0825000000000031</v>
      </c>
      <c r="AI189" s="13">
        <f>IF('Données projet'!$A$62&gt;35,AI188+AH189-AQ188,IF(A189&lt;'Données projet'!$A$62,$AF$205^A189,IF(A189='Données projet'!$A$62,'Données projet'!$B$62,AI188+AH189-AQ188)))</f>
        <v>205.10499999999971</v>
      </c>
      <c r="AJ189" s="13">
        <f>AI189*VLOOKUP('Données projet'!$B$10,Paramètres!$A$1:$I$89,3,0)*VLOOKUP('Données projet'!$B$10,Paramètres!$A$1:$I$89,5,0)</f>
        <v>207.97646999999969</v>
      </c>
      <c r="AK189" s="13">
        <f t="shared" si="164"/>
        <v>51.493144603798712</v>
      </c>
      <c r="AL189" s="20">
        <f t="shared" si="165"/>
        <v>451.90957876828219</v>
      </c>
      <c r="AM189" s="59">
        <f t="shared" si="113"/>
        <v>745.2429121016155</v>
      </c>
      <c r="AN189" s="59">
        <f ca="1">AVERAGE(OFFSET($AM$3,0,0,'Données projet'!$E$10+1,1))-AVERAGE(OFFSET($H$3,0,0,'Données projet'!$E$10+1,1))</f>
        <v>486.4870616281359</v>
      </c>
      <c r="AO189" s="59">
        <f t="shared" si="144"/>
        <v>247.29100537955225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96.287060592445528</v>
      </c>
      <c r="AV189" s="21">
        <f>EXP(-LN(2)/25)*AV188+(1-EXP(-LN(2)/25))/(LN(2)/25)*Calculateur!AQ189*Calculateur!AS189*VLOOKUP('Données projet'!$B$10,Paramètres!$A$1:$I$89,3,0)*0.475*44/12</f>
        <v>37.581325542022583</v>
      </c>
      <c r="AW189" s="21">
        <f>EXP(-LN(2)/2)*AW188+(1-EXP(-LN(2)/2))/(LN(2)/2)*AQ189*AT189*VLOOKUP('Données projet'!$B$10,Paramètres!$A$1:$I$89,3,0)*0.475*44/12</f>
        <v>2.8163624127636729E-6</v>
      </c>
      <c r="AX189" s="21">
        <f t="shared" si="166"/>
        <v>133.86838895083051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4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39.907296000000109</v>
      </c>
      <c r="D190" s="11">
        <f t="shared" si="140"/>
        <v>11.974072384151187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96.117061427480294</v>
      </c>
      <c r="H190" s="67">
        <f t="shared" si="110"/>
        <v>347.02671660239685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-2.2737367544323206E-13</v>
      </c>
      <c r="O190" s="13">
        <f>N190*VLOOKUP('Données projet'!$B$9,Paramètres!$A$1:$I$89,3,0)*VLOOKUP('Données projet'!$B$9,Paramètres!$A$1:$I$89,5,0)</f>
        <v>-1.3596945791505279E-13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329.62068845923676</v>
      </c>
      <c r="T190" s="59">
        <f t="shared" si="142"/>
        <v>243.22501652129546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18.414430347507597</v>
      </c>
      <c r="AA190" s="21">
        <f>EXP(-LN(2)/25)*AA189+(1-EXP(-LN(2)/25))/(LN(2)/25)*Calculateur!V190*Calculateur!X190*VLOOKUP('Données projet'!$B$9,Paramètres!$A$1:$I$89,3,0)*0.475*44/12</f>
        <v>2.6635125383969349</v>
      </c>
      <c r="AB190" s="21">
        <f>EXP(-LN(2)/2)*AB189+(1-EXP(-LN(2)/2))/(LN(2)/2)*V190*Y190*VLOOKUP('Données projet'!$B$9,Paramètres!$A$1:$I$89,3,0)*0.475*44/12</f>
        <v>5.5515833782806031E-15</v>
      </c>
      <c r="AC190" s="22">
        <f t="shared" si="163"/>
        <v>21.077942885904541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3.0825000000000031</v>
      </c>
      <c r="AI190" s="13">
        <f>IF('Données projet'!$A$62&gt;35,AI189+AH190-AQ189,IF(A190&lt;'Données projet'!$A$62,$AF$205^A190,IF(A190='Données projet'!$A$62,'Données projet'!$B$62,AI189+AH190-AQ189)))</f>
        <v>208.18749999999972</v>
      </c>
      <c r="AJ190" s="13">
        <f>AI190*VLOOKUP('Données projet'!$B$10,Paramètres!$A$1:$I$89,3,0)*VLOOKUP('Données projet'!$B$10,Paramètres!$A$1:$I$89,5,0)</f>
        <v>211.10212499999972</v>
      </c>
      <c r="AK190" s="13">
        <f t="shared" si="164"/>
        <v>52.176354318882368</v>
      </c>
      <c r="AL190" s="20">
        <f t="shared" si="165"/>
        <v>458.54335148038626</v>
      </c>
      <c r="AM190" s="59">
        <f t="shared" si="113"/>
        <v>751.87668481371952</v>
      </c>
      <c r="AN190" s="59">
        <f ca="1">AVERAGE(OFFSET($AM$3,0,0,'Données projet'!$E$10+1,1))-AVERAGE(OFFSET($H$3,0,0,'Données projet'!$E$10+1,1))</f>
        <v>486.4870616281359</v>
      </c>
      <c r="AO190" s="59">
        <f t="shared" si="144"/>
        <v>247.29100537955225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94.398930063535602</v>
      </c>
      <c r="AV190" s="21">
        <f>EXP(-LN(2)/25)*AV189+(1-EXP(-LN(2)/25))/(LN(2)/25)*Calculateur!AQ190*Calculateur!AS190*VLOOKUP('Données projet'!$B$10,Paramètres!$A$1:$I$89,3,0)*0.475*44/12</f>
        <v>36.55366221875996</v>
      </c>
      <c r="AW190" s="21">
        <f>EXP(-LN(2)/2)*AW189+(1-EXP(-LN(2)/2))/(LN(2)/2)*AQ190*AT190*VLOOKUP('Données projet'!$B$10,Paramètres!$A$1:$I$89,3,0)*0.475*44/12</f>
        <v>1.9914689603440995E-6</v>
      </c>
      <c r="AX190" s="21">
        <f t="shared" si="166"/>
        <v>130.95259427376453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4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40.12070400000011</v>
      </c>
      <c r="D191" s="11">
        <f t="shared" si="140"/>
        <v>12.030633902813697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96.617215483107671</v>
      </c>
      <c r="H191" s="67">
        <f t="shared" si="110"/>
        <v>347.49691351406739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-2.2737367544323206E-13</v>
      </c>
      <c r="O191" s="13">
        <f>N191*VLOOKUP('Données projet'!$B$9,Paramètres!$A$1:$I$89,3,0)*VLOOKUP('Données projet'!$B$9,Paramètres!$A$1:$I$89,5,0)</f>
        <v>-1.3596945791505279E-13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329.62068845923676</v>
      </c>
      <c r="T191" s="59">
        <f t="shared" si="142"/>
        <v>243.22501652129546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18.053334600086448</v>
      </c>
      <c r="AA191" s="21">
        <f>EXP(-LN(2)/25)*AA190+(1-EXP(-LN(2)/25))/(LN(2)/25)*Calculateur!V191*Calculateur!X191*VLOOKUP('Données projet'!$B$9,Paramètres!$A$1:$I$89,3,0)*0.475*44/12</f>
        <v>2.5906786479664339</v>
      </c>
      <c r="AB191" s="21">
        <f>EXP(-LN(2)/2)*AB190+(1-EXP(-LN(2)/2))/(LN(2)/2)*V191*Y191*VLOOKUP('Données projet'!$B$9,Paramètres!$A$1:$I$89,3,0)*0.475*44/12</f>
        <v>3.9255622531047366E-15</v>
      </c>
      <c r="AC191" s="22">
        <f t="shared" si="163"/>
        <v>20.644013248052886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>
        <f>VLOOKUP(A191,'Données projet'!$A$61:$I$81,2,0)</f>
        <v>211.27</v>
      </c>
      <c r="AG191" s="12">
        <f>VLOOKUP(A191,'Données projet'!$A$61:$I$81,9,0)</f>
        <v>3.0825000000000031</v>
      </c>
      <c r="AH191" s="12">
        <f t="array" ref="AH191">INDEX(AG:AG,MIN(IF(ISNUMBER(AG191:AG387),ROW(AG191:AG387),"")))</f>
        <v>3.0825000000000031</v>
      </c>
      <c r="AI191" s="13">
        <f>IF('Données projet'!$A$62&gt;35,AI190+AH191-AQ190,IF(A191&lt;'Données projet'!$A$62,$AF$205^A191,IF(A191='Données projet'!$A$62,'Données projet'!$B$62,AI190+AH191-AQ190)))</f>
        <v>211.26999999999973</v>
      </c>
      <c r="AJ191" s="13">
        <f>AI191*VLOOKUP('Données projet'!$B$10,Paramètres!$A$1:$I$89,3,0)*VLOOKUP('Données projet'!$B$10,Paramètres!$A$1:$I$89,5,0)</f>
        <v>214.22777999999974</v>
      </c>
      <c r="AK191" s="13">
        <f t="shared" si="164"/>
        <v>52.858387517427865</v>
      </c>
      <c r="AL191" s="20">
        <f t="shared" si="165"/>
        <v>465.17507509285309</v>
      </c>
      <c r="AM191" s="59">
        <f t="shared" si="113"/>
        <v>758.50840842618641</v>
      </c>
      <c r="AN191" s="59">
        <f ca="1">AVERAGE(OFFSET($AM$3,0,0,'Données projet'!$E$10+1,1))-AVERAGE(OFFSET($H$3,0,0,'Données projet'!$E$10+1,1))</f>
        <v>486.4870616281359</v>
      </c>
      <c r="AO191" s="59">
        <f t="shared" si="144"/>
        <v>247.29100537955225</v>
      </c>
      <c r="AP191" s="15">
        <f>IF(ISNA(VLOOKUP(A191,'Données projet'!$A$61:$I$81,3,0)),0,VLOOKUP(A191,'Données projet'!$A$61:$I$81,3,0))</f>
        <v>15</v>
      </c>
      <c r="AQ191" s="15">
        <f>IF(ISNA(VLOOKUP(A191,'Données projet'!$A$61:$I$81,4,0)),0,VLOOKUP(A191,'Données projet'!$A$61:$I$81,4,0))</f>
        <v>72.180000000000007</v>
      </c>
      <c r="AR191" s="16">
        <f>IF(ISNA(VLOOKUP(A191,'Données projet'!$A$61:$I$81,5,0)),0%,VLOOKUP(A191,'Données projet'!$A$61:$I$81,5,0)*VLOOKUP('Données projet'!$B$10,Paramètres!$A$1:$I$89,7,0))</f>
        <v>0.215</v>
      </c>
      <c r="AS191" s="16">
        <f>IF(ISNA(VLOOKUP(A191,'Données projet'!$A$61:$I$81,6,0)),0%,VLOOKUP(A191,'Données projet'!$A$61:$I$81,6,0)*VLOOKUP('Données projet'!$B$10,Paramètres!$A$1:$I$89,7,0))</f>
        <v>8.6000000000000007E-2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109.94346428601369</v>
      </c>
      <c r="AV191" s="21">
        <f>EXP(-LN(2)/25)*AV190+(1-EXP(-LN(2)/25))/(LN(2)/25)*Calculateur!AQ191*Calculateur!AS191*VLOOKUP('Données projet'!$B$10,Paramètres!$A$1:$I$89,3,0)*0.475*44/12</f>
        <v>42.484958963814016</v>
      </c>
      <c r="AW191" s="21">
        <f>EXP(-LN(2)/2)*AW190+(1-EXP(-LN(2)/2))/(LN(2)/2)*AQ191*AT191*VLOOKUP('Données projet'!$B$10,Paramètres!$A$1:$I$89,3,0)*0.475*44/12</f>
        <v>1.4081812063818365E-6</v>
      </c>
      <c r="AX191" s="21">
        <f t="shared" si="166"/>
        <v>152.42842465800894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4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40.334112000000111</v>
      </c>
      <c r="D192" s="11">
        <f t="shared" si="140"/>
        <v>12.087160412136525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97.117304679326821</v>
      </c>
      <c r="H192" s="67">
        <f t="shared" si="110"/>
        <v>347.967049451138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-2.2737367544323206E-13</v>
      </c>
      <c r="O192" s="13">
        <f>N192*VLOOKUP('Données projet'!$B$9,Paramètres!$A$1:$I$89,3,0)*VLOOKUP('Données projet'!$B$9,Paramètres!$A$1:$I$89,5,0)</f>
        <v>-1.3596945791505279E-13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329.62068845923676</v>
      </c>
      <c r="T192" s="59">
        <f t="shared" si="142"/>
        <v>243.22501652129546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17.699319720025567</v>
      </c>
      <c r="AA192" s="21">
        <f>EXP(-LN(2)/25)*AA191+(1-EXP(-LN(2)/25))/(LN(2)/25)*Calculateur!V192*Calculateur!X192*VLOOKUP('Données projet'!$B$9,Paramètres!$A$1:$I$89,3,0)*0.475*44/12</f>
        <v>2.5198364040999226</v>
      </c>
      <c r="AB192" s="21">
        <f>EXP(-LN(2)/2)*AB191+(1-EXP(-LN(2)/2))/(LN(2)/2)*V192*Y192*VLOOKUP('Données projet'!$B$9,Paramètres!$A$1:$I$89,3,0)*0.475*44/12</f>
        <v>2.7757916891403015E-15</v>
      </c>
      <c r="AC192" s="22">
        <f t="shared" si="163"/>
        <v>20.219156124125494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1.9733333333333292</v>
      </c>
      <c r="AI192" s="13">
        <f>IF('Données projet'!$A$62&gt;35,AI191+AH192-AQ191,IF(A192&lt;'Données projet'!$A$62,$AF$205^A192,IF(A192='Données projet'!$A$62,'Données projet'!$B$62,AI191+AH192-AQ191)))</f>
        <v>141.06333333333305</v>
      </c>
      <c r="AJ192" s="13">
        <f>AI192*VLOOKUP('Données projet'!$B$10,Paramètres!$A$1:$I$89,3,0)*VLOOKUP('Données projet'!$B$10,Paramètres!$A$1:$I$89,5,0)</f>
        <v>143.03821999999974</v>
      </c>
      <c r="AK192" s="13">
        <f t="shared" si="164"/>
        <v>36.992146964895987</v>
      </c>
      <c r="AL192" s="20">
        <f t="shared" si="165"/>
        <v>313.55288913052675</v>
      </c>
      <c r="AM192" s="59">
        <f t="shared" si="113"/>
        <v>606.88622246386012</v>
      </c>
      <c r="AN192" s="59">
        <f ca="1">AVERAGE(OFFSET($AM$3,0,0,'Données projet'!$E$10+1,1))-AVERAGE(OFFSET($H$3,0,0,'Données projet'!$E$10+1,1))</f>
        <v>486.4870616281359</v>
      </c>
      <c r="AO192" s="59">
        <f t="shared" si="144"/>
        <v>247.29100537955225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107.78754001025666</v>
      </c>
      <c r="AV192" s="21">
        <f>EXP(-LN(2)/25)*AV191+(1-EXP(-LN(2)/25))/(LN(2)/25)*Calculateur!AQ192*Calculateur!AS192*VLOOKUP('Données projet'!$B$10,Paramètres!$A$1:$I$89,3,0)*0.475*44/12</f>
        <v>41.323205526761633</v>
      </c>
      <c r="AW192" s="21">
        <f>EXP(-LN(2)/2)*AW191+(1-EXP(-LN(2)/2))/(LN(2)/2)*AQ192*AT192*VLOOKUP('Données projet'!$B$10,Paramètres!$A$1:$I$89,3,0)*0.475*44/12</f>
        <v>9.9573448017204974E-7</v>
      </c>
      <c r="AX192" s="21">
        <f t="shared" si="166"/>
        <v>149.11074653275276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4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40.547520000000112</v>
      </c>
      <c r="D193" s="11">
        <f t="shared" si="140"/>
        <v>12.143652118853833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97.617329399139933</v>
      </c>
      <c r="H193" s="67">
        <f t="shared" si="110"/>
        <v>348.43712477367063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-2.2737367544323206E-13</v>
      </c>
      <c r="O193" s="13">
        <f>N193*VLOOKUP('Données projet'!$B$9,Paramètres!$A$1:$I$89,3,0)*VLOOKUP('Données projet'!$B$9,Paramètres!$A$1:$I$89,5,0)</f>
        <v>-1.3596945791505279E-13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329.62068845923676</v>
      </c>
      <c r="T193" s="59">
        <f t="shared" si="142"/>
        <v>243.22501652129546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17.352246855834927</v>
      </c>
      <c r="AA193" s="21">
        <f>EXP(-LN(2)/25)*AA192+(1-EXP(-LN(2)/25))/(LN(2)/25)*Calculateur!V193*Calculateur!X193*VLOOKUP('Données projet'!$B$9,Paramètres!$A$1:$I$89,3,0)*0.475*44/12</f>
        <v>2.4509313451173731</v>
      </c>
      <c r="AB193" s="21">
        <f>EXP(-LN(2)/2)*AB192+(1-EXP(-LN(2)/2))/(LN(2)/2)*V193*Y193*VLOOKUP('Données projet'!$B$9,Paramètres!$A$1:$I$89,3,0)*0.475*44/12</f>
        <v>1.9627811265523683E-15</v>
      </c>
      <c r="AC193" s="22">
        <f t="shared" si="163"/>
        <v>19.803178200952303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1.9733333333333292</v>
      </c>
      <c r="AI193" s="13">
        <f>IF('Données projet'!$A$62&gt;35,AI192+AH193-AQ192,IF(A193&lt;'Données projet'!$A$62,$AF$205^A193,IF(A193='Données projet'!$A$62,'Données projet'!$B$62,AI192+AH193-AQ192)))</f>
        <v>143.03666666666638</v>
      </c>
      <c r="AJ193" s="13">
        <f>AI193*VLOOKUP('Données projet'!$B$10,Paramètres!$A$1:$I$89,3,0)*VLOOKUP('Données projet'!$B$10,Paramètres!$A$1:$I$89,5,0)</f>
        <v>145.0391799999997</v>
      </c>
      <c r="AK193" s="13">
        <f t="shared" si="164"/>
        <v>37.449024342936362</v>
      </c>
      <c r="AL193" s="20">
        <f t="shared" si="165"/>
        <v>317.8336225639469</v>
      </c>
      <c r="AM193" s="59">
        <f t="shared" si="113"/>
        <v>611.16695589728022</v>
      </c>
      <c r="AN193" s="59">
        <f ca="1">AVERAGE(OFFSET($AM$3,0,0,'Données projet'!$E$10+1,1))-AVERAGE(OFFSET($H$3,0,0,'Données projet'!$E$10+1,1))</f>
        <v>486.4870616281359</v>
      </c>
      <c r="AO193" s="59">
        <f t="shared" si="144"/>
        <v>247.29100537955225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105.67389209456327</v>
      </c>
      <c r="AV193" s="21">
        <f>EXP(-LN(2)/25)*AV192+(1-EXP(-LN(2)/25))/(LN(2)/25)*Calculateur!AQ193*Calculateur!AS193*VLOOKUP('Données projet'!$B$10,Paramètres!$A$1:$I$89,3,0)*0.475*44/12</f>
        <v>40.193220298539401</v>
      </c>
      <c r="AW193" s="21">
        <f>EXP(-LN(2)/2)*AW192+(1-EXP(-LN(2)/2))/(LN(2)/2)*AQ193*AT193*VLOOKUP('Données projet'!$B$10,Paramètres!$A$1:$I$89,3,0)*0.475*44/12</f>
        <v>7.0409060319091823E-7</v>
      </c>
      <c r="AX193" s="21">
        <f t="shared" si="166"/>
        <v>145.86711309719328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4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40.760928000000114</v>
      </c>
      <c r="D194" s="11">
        <f t="shared" si="140"/>
        <v>12.200109227397684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98.117290021284319</v>
      </c>
      <c r="H194" s="67">
        <f t="shared" si="110"/>
        <v>348.90713983771786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-2.2737367544323206E-13</v>
      </c>
      <c r="O194" s="13">
        <f>N194*VLOOKUP('Données projet'!$B$9,Paramètres!$A$1:$I$89,3,0)*VLOOKUP('Données projet'!$B$9,Paramètres!$A$1:$I$89,5,0)</f>
        <v>-1.3596945791505279E-13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329.62068845923676</v>
      </c>
      <c r="T194" s="59">
        <f t="shared" si="142"/>
        <v>243.22501652129546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17.01197987881752</v>
      </c>
      <c r="AA194" s="21">
        <f>EXP(-LN(2)/25)*AA193+(1-EXP(-LN(2)/25))/(LN(2)/25)*Calculateur!V194*Calculateur!X194*VLOOKUP('Données projet'!$B$9,Paramètres!$A$1:$I$89,3,0)*0.475*44/12</f>
        <v>2.3839104985962609</v>
      </c>
      <c r="AB194" s="21">
        <f>EXP(-LN(2)/2)*AB193+(1-EXP(-LN(2)/2))/(LN(2)/2)*V194*Y194*VLOOKUP('Données projet'!$B$9,Paramètres!$A$1:$I$89,3,0)*0.475*44/12</f>
        <v>1.3878958445701508E-15</v>
      </c>
      <c r="AC194" s="22">
        <f t="shared" si="163"/>
        <v>19.395890377413782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>
        <f>VLOOKUP(A194,'Données projet'!$A$61:$I$81,2,0)</f>
        <v>145.01</v>
      </c>
      <c r="AG194" s="12">
        <f>VLOOKUP(A194,'Données projet'!$A$61:$I$81,9,0)</f>
        <v>1.9733333333333292</v>
      </c>
      <c r="AH194" s="12">
        <f t="array" ref="AH194">INDEX(AG:AG,MIN(IF(ISNUMBER(AG194:AG390),ROW(AG194:AG390),"")))</f>
        <v>1.9733333333333292</v>
      </c>
      <c r="AI194" s="13">
        <f>IF('Données projet'!$A$62&gt;35,AI193+AH194-AQ193,IF(A194&lt;'Données projet'!$A$62,$AF$205^A194,IF(A194='Données projet'!$A$62,'Données projet'!$B$62,AI193+AH194-AQ193)))</f>
        <v>145.00999999999971</v>
      </c>
      <c r="AJ194" s="13">
        <f>AI194*VLOOKUP('Données projet'!$B$10,Paramètres!$A$1:$I$89,3,0)*VLOOKUP('Données projet'!$B$10,Paramètres!$A$1:$I$89,5,0)</f>
        <v>147.04013999999972</v>
      </c>
      <c r="AK194" s="13">
        <f t="shared" si="164"/>
        <v>37.905168606806875</v>
      </c>
      <c r="AL194" s="20">
        <f t="shared" si="165"/>
        <v>322.11307915685478</v>
      </c>
      <c r="AM194" s="59">
        <f t="shared" si="113"/>
        <v>615.4464124901881</v>
      </c>
      <c r="AN194" s="59">
        <f ca="1">AVERAGE(OFFSET($AM$3,0,0,'Données projet'!$E$10+1,1))-AVERAGE(OFFSET($H$3,0,0,'Données projet'!$E$10+1,1))</f>
        <v>486.4870616281359</v>
      </c>
      <c r="AO194" s="59">
        <f t="shared" si="144"/>
        <v>247.29100537955225</v>
      </c>
      <c r="AP194" s="15">
        <f>IF(ISNA(VLOOKUP(A194,'Données projet'!$A$61:$I$81,3,0)),0,VLOOKUP(A194,'Données projet'!$A$61:$I$81,3,0))</f>
        <v>16</v>
      </c>
      <c r="AQ194" s="15">
        <f>IF(ISNA(VLOOKUP(A194,'Données projet'!$A$61:$I$81,4,0)),0,VLOOKUP(A194,'Données projet'!$A$61:$I$81,4,0))</f>
        <v>145.01</v>
      </c>
      <c r="AR194" s="16">
        <f>IF(ISNA(VLOOKUP(A194,'Données projet'!$A$61:$I$81,5,0)),0%,VLOOKUP(A194,'Données projet'!$A$61:$I$81,5,0)*VLOOKUP('Données projet'!$B$10,Paramètres!$A$1:$I$89,7,0))</f>
        <v>0.19350000000000001</v>
      </c>
      <c r="AS194" s="16">
        <f>IF(ISNA(VLOOKUP(A194,'Données projet'!$A$61:$I$81,6,0)),0%,VLOOKUP(A194,'Données projet'!$A$61:$I$81,6,0)*VLOOKUP('Données projet'!$B$10,Paramètres!$A$1:$I$89,7,0))</f>
        <v>2.1500000000000002E-2</v>
      </c>
      <c r="AT194" s="16">
        <f>IF(ISNA(VLOOKUP(A194,'Données projet'!$A$61:$I$81,7,0)),0%,VLOOKUP(A194,'Données projet'!$A$61:$I$81,7,0))</f>
        <v>0.05</v>
      </c>
      <c r="AU194" s="21">
        <f>EXP(-LN(2)/35)*AU193+(1-EXP(-LN(2)/35))/(LN(2)/35)*AQ194*AR194*VLOOKUP('Données projet'!$B$10,Paramètres!$A$1:$I$89,3,0)*0.475*44/12</f>
        <v>135.05483002385387</v>
      </c>
      <c r="AV194" s="21">
        <f>EXP(-LN(2)/25)*AV193+(1-EXP(-LN(2)/25))/(LN(2)/25)*Calculateur!AQ194*Calculateur!AS194*VLOOKUP('Données projet'!$B$10,Paramètres!$A$1:$I$89,3,0)*0.475*44/12</f>
        <v>42.575167409995252</v>
      </c>
      <c r="AW194" s="21">
        <f>EXP(-LN(2)/2)*AW193+(1-EXP(-LN(2)/2))/(LN(2)/2)*AQ194*AT194*VLOOKUP('Données projet'!$B$10,Paramètres!$A$1:$I$89,3,0)*0.475*44/12</f>
        <v>6.9368169787344574</v>
      </c>
      <c r="AX194" s="21">
        <f t="shared" si="166"/>
        <v>184.5668144125836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4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40.974336000000115</v>
      </c>
      <c r="D195" s="11">
        <f t="shared" si="140"/>
        <v>12.256531939935536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98.617186920301833</v>
      </c>
      <c r="H195" s="67">
        <f t="shared" si="110"/>
        <v>349.37709499538795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-2.2737367544323206E-13</v>
      </c>
      <c r="O195" s="13">
        <f>N195*VLOOKUP('Données projet'!$B$9,Paramètres!$A$1:$I$89,3,0)*VLOOKUP('Données projet'!$B$9,Paramètres!$A$1:$I$89,5,0)</f>
        <v>-1.3596945791505279E-13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329.62068845923676</v>
      </c>
      <c r="T195" s="59">
        <f t="shared" si="142"/>
        <v>243.22501652129546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16.678385329677063</v>
      </c>
      <c r="AA195" s="21">
        <f>EXP(-LN(2)/25)*AA194+(1-EXP(-LN(2)/25))/(LN(2)/25)*Calculateur!V195*Calculateur!X195*VLOOKUP('Données projet'!$B$9,Paramètres!$A$1:$I$89,3,0)*0.475*44/12</f>
        <v>2.3187223406477417</v>
      </c>
      <c r="AB195" s="21">
        <f>EXP(-LN(2)/2)*AB194+(1-EXP(-LN(2)/2))/(LN(2)/2)*V195*Y195*VLOOKUP('Données projet'!$B$9,Paramètres!$A$1:$I$89,3,0)*0.475*44/12</f>
        <v>9.8139056327618416E-16</v>
      </c>
      <c r="AC195" s="22">
        <f t="shared" si="163"/>
        <v>18.997107670324805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-2.8421709430404007E-13</v>
      </c>
      <c r="AJ195" s="13">
        <f>AI195*VLOOKUP('Données projet'!$B$10,Paramètres!$A$1:$I$89,3,0)*VLOOKUP('Données projet'!$B$10,Paramètres!$A$1:$I$89,5,0)</f>
        <v>-2.8819613362429665E-13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486.4870616281359</v>
      </c>
      <c r="AO195" s="59">
        <f t="shared" si="144"/>
        <v>247.29100537955225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132.40648718239851</v>
      </c>
      <c r="AV195" s="21">
        <f>EXP(-LN(2)/25)*AV194+(1-EXP(-LN(2)/25))/(LN(2)/25)*Calculateur!AQ195*Calculateur!AS195*VLOOKUP('Données projet'!$B$10,Paramètres!$A$1:$I$89,3,0)*0.475*44/12</f>
        <v>41.410947218238185</v>
      </c>
      <c r="AW195" s="21">
        <f>EXP(-LN(2)/2)*AW194+(1-EXP(-LN(2)/2))/(LN(2)/2)*AQ195*AT195*VLOOKUP('Données projet'!$B$10,Paramètres!$A$1:$I$89,3,0)*0.475*44/12</f>
        <v>4.9050703255131136</v>
      </c>
      <c r="AX195" s="21">
        <f t="shared" si="166"/>
        <v>178.72250472614982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4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41.187744000000116</v>
      </c>
      <c r="D196" s="11">
        <f t="shared" si="140"/>
        <v>12.312920456407037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99.117020466606945</v>
      </c>
      <c r="H196" s="67">
        <f t="shared" ref="H196:H203" si="192">(B196+E196+F196)*44/12+(C196+D196)*0.475*44/12</f>
        <v>349.84699059490913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-2.2737367544323206E-13</v>
      </c>
      <c r="O196" s="13">
        <f>N196*VLOOKUP('Données projet'!$B$9,Paramètres!$A$1:$I$89,3,0)*VLOOKUP('Données projet'!$B$9,Paramètres!$A$1:$I$89,5,0)</f>
        <v>-1.3596945791505279E-13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329.62068845923676</v>
      </c>
      <c r="T196" s="59">
        <f t="shared" si="142"/>
        <v>243.22501652129546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16.351332366172667</v>
      </c>
      <c r="AA196" s="21">
        <f>EXP(-LN(2)/25)*AA195+(1-EXP(-LN(2)/25))/(LN(2)/25)*Calculateur!V196*Calculateur!X196*VLOOKUP('Données projet'!$B$9,Paramètres!$A$1:$I$89,3,0)*0.475*44/12</f>
        <v>2.2553167563064207</v>
      </c>
      <c r="AB196" s="21">
        <f>EXP(-LN(2)/2)*AB195+(1-EXP(-LN(2)/2))/(LN(2)/2)*V196*Y196*VLOOKUP('Données projet'!$B$9,Paramètres!$A$1:$I$89,3,0)*0.475*44/12</f>
        <v>6.9394792228507538E-16</v>
      </c>
      <c r="AC196" s="22">
        <f t="shared" si="163"/>
        <v>18.606649122479087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-2.8421709430404007E-13</v>
      </c>
      <c r="AJ196" s="13">
        <f>AI196*VLOOKUP('Données projet'!$B$10,Paramètres!$A$1:$I$89,3,0)*VLOOKUP('Données projet'!$B$10,Paramètres!$A$1:$I$89,5,0)</f>
        <v>-2.8819613362429665E-13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486.4870616281359</v>
      </c>
      <c r="AO196" s="59">
        <f t="shared" si="144"/>
        <v>247.29100537955225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129.81007672873446</v>
      </c>
      <c r="AV196" s="21">
        <f>EXP(-LN(2)/25)*AV195+(1-EXP(-LN(2)/25))/(LN(2)/25)*Calculateur!AQ196*Calculateur!AS196*VLOOKUP('Données projet'!$B$10,Paramètres!$A$1:$I$89,3,0)*0.475*44/12</f>
        <v>40.278562688848396</v>
      </c>
      <c r="AW196" s="21">
        <f>EXP(-LN(2)/2)*AW195+(1-EXP(-LN(2)/2))/(LN(2)/2)*AQ196*AT196*VLOOKUP('Données projet'!$B$10,Paramètres!$A$1:$I$89,3,0)*0.475*44/12</f>
        <v>3.4684084893672291</v>
      </c>
      <c r="AX196" s="21">
        <f t="shared" si="166"/>
        <v>173.55704790695006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4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41.401152000000117</v>
      </c>
      <c r="D197" s="11">
        <f t="shared" ref="D197:D203" si="202">IFERROR(EXP(-1.0587+0.8836*LN(C197)+0.284),0)</f>
        <v>12.369274974559966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99.616791026553415</v>
      </c>
      <c r="H197" s="67">
        <f t="shared" si="192"/>
        <v>350.31682698069216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-2.2737367544323206E-13</v>
      </c>
      <c r="O197" s="13">
        <f>N197*VLOOKUP('Données projet'!$B$9,Paramètres!$A$1:$I$89,3,0)*VLOOKUP('Données projet'!$B$9,Paramètres!$A$1:$I$89,5,0)</f>
        <v>-1.3596945791505279E-13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329.62068845923676</v>
      </c>
      <c r="T197" s="59">
        <f t="shared" ref="T197:T203" si="204">$T$3</f>
        <v>243.22501652129546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16.030692711799979</v>
      </c>
      <c r="AA197" s="21">
        <f>EXP(-LN(2)/25)*AA196+(1-EXP(-LN(2)/25))/(LN(2)/25)*Calculateur!V197*Calculateur!X197*VLOOKUP('Données projet'!$B$9,Paramètres!$A$1:$I$89,3,0)*0.475*44/12</f>
        <v>2.1936450010032682</v>
      </c>
      <c r="AB197" s="21">
        <f>EXP(-LN(2)/2)*AB196+(1-EXP(-LN(2)/2))/(LN(2)/2)*V197*Y197*VLOOKUP('Données projet'!$B$9,Paramètres!$A$1:$I$89,3,0)*0.475*44/12</f>
        <v>4.9069528163809208E-16</v>
      </c>
      <c r="AC197" s="22">
        <f t="shared" si="163"/>
        <v>18.224337712803248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-2.8421709430404007E-13</v>
      </c>
      <c r="AJ197" s="13">
        <f>AI197*VLOOKUP('Données projet'!$B$10,Paramètres!$A$1:$I$89,3,0)*VLOOKUP('Données projet'!$B$10,Paramètres!$A$1:$I$89,5,0)</f>
        <v>-2.8819613362429665E-13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486.4870616281359</v>
      </c>
      <c r="AO197" s="59">
        <f t="shared" ref="AO197:AO203" si="205">$AO$3</f>
        <v>247.29100537955225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127.26458030041276</v>
      </c>
      <c r="AV197" s="21">
        <f>EXP(-LN(2)/25)*AV196+(1-EXP(-LN(2)/25))/(LN(2)/25)*Calculateur!AQ197*Calculateur!AS197*VLOOKUP('Données projet'!$B$10,Paramètres!$A$1:$I$89,3,0)*0.475*44/12</f>
        <v>39.177143273964283</v>
      </c>
      <c r="AW197" s="21">
        <f>EXP(-LN(2)/2)*AW196+(1-EXP(-LN(2)/2))/(LN(2)/2)*AQ197*AT197*VLOOKUP('Données projet'!$B$10,Paramètres!$A$1:$I$89,3,0)*0.475*44/12</f>
        <v>2.4525351627565573</v>
      </c>
      <c r="AX197" s="21">
        <f t="shared" si="166"/>
        <v>168.89425873713361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4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41.614560000000118</v>
      </c>
      <c r="D198" s="11">
        <f t="shared" si="202"/>
        <v>12.425595689985435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100.11649896249956</v>
      </c>
      <c r="H198" s="67">
        <f t="shared" si="192"/>
        <v>350.78660449339151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-2.2737367544323206E-13</v>
      </c>
      <c r="O198" s="13">
        <f>N198*VLOOKUP('Données projet'!$B$9,Paramètres!$A$1:$I$89,3,0)*VLOOKUP('Données projet'!$B$9,Paramètres!$A$1:$I$89,5,0)</f>
        <v>-1.3596945791505279E-13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329.62068845923676</v>
      </c>
      <c r="T198" s="59">
        <f t="shared" si="204"/>
        <v>243.22501652129546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15.716340605478662</v>
      </c>
      <c r="AA198" s="21">
        <f>EXP(-LN(2)/25)*AA197+(1-EXP(-LN(2)/25))/(LN(2)/25)*Calculateur!V198*Calculateur!X198*VLOOKUP('Données projet'!$B$9,Paramètres!$A$1:$I$89,3,0)*0.475*44/12</f>
        <v>2.133659663092057</v>
      </c>
      <c r="AB198" s="21">
        <f>EXP(-LN(2)/2)*AB197+(1-EXP(-LN(2)/2))/(LN(2)/2)*V198*Y198*VLOOKUP('Données projet'!$B$9,Paramètres!$A$1:$I$89,3,0)*0.475*44/12</f>
        <v>3.4697396114253769E-16</v>
      </c>
      <c r="AC198" s="22">
        <f t="shared" si="163"/>
        <v>17.850000268570717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-2.8421709430404007E-13</v>
      </c>
      <c r="AJ198" s="13">
        <f>AI198*VLOOKUP('Données projet'!$B$10,Paramètres!$A$1:$I$89,3,0)*VLOOKUP('Données projet'!$B$10,Paramètres!$A$1:$I$89,5,0)</f>
        <v>-2.8819613362429665E-13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486.4870616281359</v>
      </c>
      <c r="AO198" s="59">
        <f t="shared" si="205"/>
        <v>247.29100537955225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124.76899950445095</v>
      </c>
      <c r="AV198" s="21">
        <f>EXP(-LN(2)/25)*AV197+(1-EXP(-LN(2)/25))/(LN(2)/25)*Calculateur!AQ198*Calculateur!AS198*VLOOKUP('Données projet'!$B$10,Paramètres!$A$1:$I$89,3,0)*0.475*44/12</f>
        <v>38.105842230901303</v>
      </c>
      <c r="AW198" s="21">
        <f>EXP(-LN(2)/2)*AW197+(1-EXP(-LN(2)/2))/(LN(2)/2)*AQ198*AT198*VLOOKUP('Données projet'!$B$10,Paramètres!$A$1:$I$89,3,0)*0.475*44/12</f>
        <v>1.7342042446836148</v>
      </c>
      <c r="AX198" s="21">
        <f t="shared" si="166"/>
        <v>164.60904598003586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4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41.827968000000119</v>
      </c>
      <c r="D199" s="11">
        <f t="shared" si="202"/>
        <v>12.481882796152334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100.61614463287191</v>
      </c>
      <c r="H199" s="67">
        <f t="shared" si="192"/>
        <v>351.25632346996554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-2.2737367544323206E-13</v>
      </c>
      <c r="O199" s="13">
        <f>N199*VLOOKUP('Données projet'!$B$9,Paramètres!$A$1:$I$89,3,0)*VLOOKUP('Données projet'!$B$9,Paramètres!$A$1:$I$89,5,0)</f>
        <v>-1.3596945791505279E-13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329.62068845923676</v>
      </c>
      <c r="T199" s="59">
        <f t="shared" si="204"/>
        <v>243.22501652129546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15.408152752226453</v>
      </c>
      <c r="AA199" s="21">
        <f>EXP(-LN(2)/25)*AA198+(1-EXP(-LN(2)/25))/(LN(2)/25)*Calculateur!V199*Calculateur!X199*VLOOKUP('Données projet'!$B$9,Paramètres!$A$1:$I$89,3,0)*0.475*44/12</f>
        <v>2.0753146274005196</v>
      </c>
      <c r="AB199" s="21">
        <f>EXP(-LN(2)/2)*AB198+(1-EXP(-LN(2)/2))/(LN(2)/2)*V199*Y199*VLOOKUP('Données projet'!$B$9,Paramètres!$A$1:$I$89,3,0)*0.475*44/12</f>
        <v>2.4534764081904604E-16</v>
      </c>
      <c r="AC199" s="22">
        <f t="shared" si="163"/>
        <v>17.483467379626973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-2.8421709430404007E-13</v>
      </c>
      <c r="AJ199" s="13">
        <f>AI199*VLOOKUP('Données projet'!$B$10,Paramètres!$A$1:$I$89,3,0)*VLOOKUP('Données projet'!$B$10,Paramètres!$A$1:$I$89,5,0)</f>
        <v>-2.8819613362429665E-13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486.4870616281359</v>
      </c>
      <c r="AO199" s="59">
        <f t="shared" si="205"/>
        <v>247.29100537955225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122.32235552574396</v>
      </c>
      <c r="AV199" s="21">
        <f>EXP(-LN(2)/25)*AV198+(1-EXP(-LN(2)/25))/(LN(2)/25)*Calculateur!AQ199*Calculateur!AS199*VLOOKUP('Données projet'!$B$10,Paramètres!$A$1:$I$89,3,0)*0.475*44/12</f>
        <v>37.063835971198152</v>
      </c>
      <c r="AW199" s="21">
        <f>EXP(-LN(2)/2)*AW198+(1-EXP(-LN(2)/2))/(LN(2)/2)*AQ199*AT199*VLOOKUP('Données projet'!$B$10,Paramètres!$A$1:$I$89,3,0)*0.475*44/12</f>
        <v>1.2262675813782788</v>
      </c>
      <c r="AX199" s="21">
        <f t="shared" si="166"/>
        <v>160.61245907832037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4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42.04137600000012</v>
      </c>
      <c r="D200" s="11">
        <f t="shared" si="202"/>
        <v>12.538136484441097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101.11572839222794</v>
      </c>
      <c r="H200" s="67">
        <f t="shared" si="192"/>
        <v>351.72598424373513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-2.2737367544323206E-13</v>
      </c>
      <c r="O200" s="13">
        <f>N200*VLOOKUP('Données projet'!$B$9,Paramètres!$A$1:$I$89,3,0)*VLOOKUP('Données projet'!$B$9,Paramètres!$A$1:$I$89,5,0)</f>
        <v>-1.3596945791505279E-13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329.62068845923676</v>
      </c>
      <c r="T200" s="59">
        <f t="shared" si="204"/>
        <v>243.22501652129546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15.106008274800491</v>
      </c>
      <c r="AA200" s="21">
        <f>EXP(-LN(2)/25)*AA199+(1-EXP(-LN(2)/25))/(LN(2)/25)*Calculateur!V200*Calculateur!X200*VLOOKUP('Données projet'!$B$9,Paramètres!$A$1:$I$89,3,0)*0.475*44/12</f>
        <v>2.0185650397781996</v>
      </c>
      <c r="AB200" s="21">
        <f>EXP(-LN(2)/2)*AB199+(1-EXP(-LN(2)/2))/(LN(2)/2)*V200*Y200*VLOOKUP('Données projet'!$B$9,Paramètres!$A$1:$I$89,3,0)*0.475*44/12</f>
        <v>1.7348698057126885E-16</v>
      </c>
      <c r="AC200" s="22">
        <f t="shared" si="163"/>
        <v>17.12457331457869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-2.8421709430404007E-13</v>
      </c>
      <c r="AJ200" s="13">
        <f>AI200*VLOOKUP('Données projet'!$B$10,Paramètres!$A$1:$I$89,3,0)*VLOOKUP('Données projet'!$B$10,Paramètres!$A$1:$I$89,5,0)</f>
        <v>-2.8819613362429665E-13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486.4870616281359</v>
      </c>
      <c r="AO200" s="59">
        <f t="shared" si="205"/>
        <v>247.29100537955225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119.92368874315393</v>
      </c>
      <c r="AV200" s="21">
        <f>EXP(-LN(2)/25)*AV199+(1-EXP(-LN(2)/25))/(LN(2)/25)*Calculateur!AQ200*Calculateur!AS200*VLOOKUP('Données projet'!$B$10,Paramètres!$A$1:$I$89,3,0)*0.475*44/12</f>
        <v>36.050323427463319</v>
      </c>
      <c r="AW200" s="21">
        <f>EXP(-LN(2)/2)*AW199+(1-EXP(-LN(2)/2))/(LN(2)/2)*AQ200*AT200*VLOOKUP('Données projet'!$B$10,Paramètres!$A$1:$I$89,3,0)*0.475*44/12</f>
        <v>0.8671021223418075</v>
      </c>
      <c r="AX200" s="21">
        <f t="shared" si="166"/>
        <v>156.84111429295905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4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42.254784000000122</v>
      </c>
      <c r="D201" s="11">
        <f t="shared" si="202"/>
        <v>12.594356944176692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101.61525059131704</v>
      </c>
      <c r="H201" s="67">
        <f t="shared" si="192"/>
        <v>352.19558714444128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-2.2737367544323206E-13</v>
      </c>
      <c r="O201" s="13">
        <f>N201*VLOOKUP('Données projet'!$B$9,Paramètres!$A$1:$I$89,3,0)*VLOOKUP('Données projet'!$B$9,Paramètres!$A$1:$I$89,5,0)</f>
        <v>-1.3596945791505279E-13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329.62068845923676</v>
      </c>
      <c r="T201" s="59">
        <f t="shared" si="204"/>
        <v>243.22501652129546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14.809788666286918</v>
      </c>
      <c r="AA201" s="21">
        <f>EXP(-LN(2)/25)*AA200+(1-EXP(-LN(2)/25))/(LN(2)/25)*Calculateur!V201*Calculateur!X201*VLOOKUP('Données projet'!$B$9,Paramètres!$A$1:$I$89,3,0)*0.475*44/12</f>
        <v>1.9633672726137428</v>
      </c>
      <c r="AB201" s="21">
        <f>EXP(-LN(2)/2)*AB200+(1-EXP(-LN(2)/2))/(LN(2)/2)*V201*Y201*VLOOKUP('Données projet'!$B$9,Paramètres!$A$1:$I$89,3,0)*0.475*44/12</f>
        <v>1.2267382040952302E-16</v>
      </c>
      <c r="AC201" s="22">
        <f t="shared" si="163"/>
        <v>16.773155938900661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-2.8421709430404007E-13</v>
      </c>
      <c r="AJ201" s="13">
        <f>AI201*VLOOKUP('Données projet'!$B$10,Paramètres!$A$1:$I$89,3,0)*VLOOKUP('Données projet'!$B$10,Paramètres!$A$1:$I$89,5,0)</f>
        <v>-2.8819613362429665E-13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486.4870616281359</v>
      </c>
      <c r="AO201" s="59">
        <f t="shared" si="205"/>
        <v>247.29100537955225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117.57205835312823</v>
      </c>
      <c r="AV201" s="21">
        <f>EXP(-LN(2)/25)*AV200+(1-EXP(-LN(2)/25))/(LN(2)/25)*Calculateur!AQ201*Calculateur!AS201*VLOOKUP('Données projet'!$B$10,Paramètres!$A$1:$I$89,3,0)*0.475*44/12</f>
        <v>35.064525437535217</v>
      </c>
      <c r="AW201" s="21">
        <f>EXP(-LN(2)/2)*AW200+(1-EXP(-LN(2)/2))/(LN(2)/2)*AQ201*AT201*VLOOKUP('Données projet'!$B$10,Paramètres!$A$1:$I$89,3,0)*0.475*44/12</f>
        <v>0.61313379068913954</v>
      </c>
      <c r="AX201" s="21">
        <f t="shared" si="166"/>
        <v>153.2497175813526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4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42.468192000000123</v>
      </c>
      <c r="D202" s="11">
        <f t="shared" si="202"/>
        <v>12.650544362661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102.11471157714061</v>
      </c>
      <c r="H202" s="67">
        <f t="shared" si="192"/>
        <v>352.66513249830149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-2.2737367544323206E-13</v>
      </c>
      <c r="O202" s="13">
        <f>N202*VLOOKUP('Données projet'!$B$9,Paramètres!$A$1:$I$89,3,0)*VLOOKUP('Données projet'!$B$9,Paramètres!$A$1:$I$89,5,0)</f>
        <v>-1.3596945791505279E-13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329.62068845923676</v>
      </c>
      <c r="T202" s="59">
        <f t="shared" si="204"/>
        <v>243.22501652129546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14.519377743620176</v>
      </c>
      <c r="AA202" s="21">
        <f>EXP(-LN(2)/25)*AA201+(1-EXP(-LN(2)/25))/(LN(2)/25)*Calculateur!V202*Calculateur!X202*VLOOKUP('Données projet'!$B$9,Paramètres!$A$1:$I$89,3,0)*0.475*44/12</f>
        <v>1.9096788912951224</v>
      </c>
      <c r="AB202" s="21">
        <f>EXP(-LN(2)/2)*AB201+(1-EXP(-LN(2)/2))/(LN(2)/2)*V202*Y202*VLOOKUP('Données projet'!$B$9,Paramètres!$A$1:$I$89,3,0)*0.475*44/12</f>
        <v>8.6743490285634423E-17</v>
      </c>
      <c r="AC202" s="22">
        <f t="shared" si="163"/>
        <v>16.429056634915298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-2.8421709430404007E-13</v>
      </c>
      <c r="AJ202" s="13">
        <f>AI202*VLOOKUP('Données projet'!$B$10,Paramètres!$A$1:$I$89,3,0)*VLOOKUP('Données projet'!$B$10,Paramètres!$A$1:$I$89,5,0)</f>
        <v>-2.8819613362429665E-13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486.4870616281359</v>
      </c>
      <c r="AO202" s="59">
        <f t="shared" si="205"/>
        <v>247.29100537955225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115.26654200069802</v>
      </c>
      <c r="AV202" s="21">
        <f>EXP(-LN(2)/25)*AV201+(1-EXP(-LN(2)/25))/(LN(2)/25)*Calculateur!AQ202*Calculateur!AS202*VLOOKUP('Données projet'!$B$10,Paramètres!$A$1:$I$89,3,0)*0.475*44/12</f>
        <v>34.105684145482563</v>
      </c>
      <c r="AW202" s="21">
        <f>EXP(-LN(2)/2)*AW201+(1-EXP(-LN(2)/2))/(LN(2)/2)*AQ202*AT202*VLOOKUP('Données projet'!$B$10,Paramètres!$A$1:$I$89,3,0)*0.475*44/12</f>
        <v>0.43355106117090386</v>
      </c>
      <c r="AX202" s="21">
        <f t="shared" si="166"/>
        <v>149.8057772073515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4.65" thickBot="1" x14ac:dyDescent="0.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42.681600000000124</v>
      </c>
      <c r="D203" s="11">
        <f t="shared" si="202"/>
        <v>12.706698925204464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102.6141116930106</v>
      </c>
      <c r="H203" s="67">
        <f t="shared" si="192"/>
        <v>353.13462062806468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-2.2737367544323206E-13</v>
      </c>
      <c r="O203" s="13">
        <f>N203*VLOOKUP('Données projet'!$B$9,Paramètres!$A$1:$I$89,3,0)*VLOOKUP('Données projet'!$B$9,Paramètres!$A$1:$I$89,5,0)</f>
        <v>-1.3596945791505279E-13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329.62068845923676</v>
      </c>
      <c r="T203" s="59">
        <f t="shared" si="204"/>
        <v>243.22501652129546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14.234661602013755</v>
      </c>
      <c r="AA203" s="21">
        <f>EXP(-LN(2)/25)*AA202+(1-EXP(-LN(2)/25))/(LN(2)/25)*Calculateur!V203*Calculateur!X203*VLOOKUP('Données projet'!$B$9,Paramètres!$A$1:$I$89,3,0)*0.475*44/12</f>
        <v>1.857458621587009</v>
      </c>
      <c r="AB203" s="21">
        <f>EXP(-LN(2)/2)*AB202+(1-EXP(-LN(2)/2))/(LN(2)/2)*V203*Y203*VLOOKUP('Données projet'!$B$9,Paramètres!$A$1:$I$89,3,0)*0.475*44/12</f>
        <v>6.133691020476151E-17</v>
      </c>
      <c r="AC203" s="22">
        <f t="shared" si="163"/>
        <v>16.092120223600766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-2.8421709430404007E-13</v>
      </c>
      <c r="AJ203" s="13">
        <f>AI203*VLOOKUP('Données projet'!$B$10,Paramètres!$A$1:$I$89,3,0)*VLOOKUP('Données projet'!$B$10,Paramètres!$A$1:$I$89,5,0)</f>
        <v>-2.8819613362429665E-13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486.4870616281359</v>
      </c>
      <c r="AO203" s="59">
        <f t="shared" si="205"/>
        <v>247.29100537955225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113.00623541771284</v>
      </c>
      <c r="AV203" s="21">
        <f>EXP(-LN(2)/25)*AV202+(1-EXP(-LN(2)/25))/(LN(2)/25)*Calculateur!AQ203*Calculateur!AS203*VLOOKUP('Données projet'!$B$10,Paramètres!$A$1:$I$89,3,0)*0.475*44/12</f>
        <v>33.173062418984365</v>
      </c>
      <c r="AW203" s="21">
        <f>EXP(-LN(2)/2)*AW202+(1-EXP(-LN(2)/2))/(LN(2)/2)*AQ203*AT203*VLOOKUP('Données projet'!$B$10,Paramètres!$A$1:$I$89,3,0)*0.475*44/12</f>
        <v>0.30656689534456982</v>
      </c>
      <c r="AX203" s="21">
        <f t="shared" si="166"/>
        <v>146.48586473204176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4.65" thickBot="1" x14ac:dyDescent="0.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4.65" thickBot="1" x14ac:dyDescent="0.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1.2474449991725556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1.0924684246274448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6484375" defaultRowHeight="14.25" x14ac:dyDescent="0.45"/>
  <cols>
    <col min="1" max="1" width="23.46484375" style="4" bestFit="1" customWidth="1"/>
    <col min="2" max="2" width="27.59765625" style="4" bestFit="1" customWidth="1"/>
    <col min="3" max="3" width="11.9296875" style="4" bestFit="1" customWidth="1"/>
    <col min="4" max="4" width="40" style="4" bestFit="1" customWidth="1"/>
    <col min="5" max="5" width="11.9296875" style="4" bestFit="1" customWidth="1"/>
    <col min="6" max="6" width="13.59765625" style="4" bestFit="1" customWidth="1"/>
    <col min="7" max="7" width="11.46484375" style="4" bestFit="1" customWidth="1"/>
    <col min="8" max="8" width="39" style="4" bestFit="1" customWidth="1"/>
    <col min="9" max="9" width="16.59765625" style="4" customWidth="1"/>
    <col min="10" max="14" width="11.46484375" style="4"/>
    <col min="15" max="15" width="23.46484375" style="4" bestFit="1" customWidth="1"/>
    <col min="16" max="16384" width="11.46484375" style="4"/>
  </cols>
  <sheetData>
    <row r="1" spans="1:16" ht="43.15" thickBot="1" x14ac:dyDescent="0.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4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4.65" thickBot="1" x14ac:dyDescent="0.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4.65" thickBot="1" x14ac:dyDescent="0.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4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4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4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4.65" thickBot="1" x14ac:dyDescent="0.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4.65" thickBot="1" x14ac:dyDescent="0.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4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4.65" thickBot="1" x14ac:dyDescent="0.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4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4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4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4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4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4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4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4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4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4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4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4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4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4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4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4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4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4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4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4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4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4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4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4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4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4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4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4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4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4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4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4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4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4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4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4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4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4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4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4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4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4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4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4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4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4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4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4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4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4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4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4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4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4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4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4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4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4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4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4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4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4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4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4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4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4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4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4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4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4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4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4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4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4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4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4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4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4.65" thickBot="1" x14ac:dyDescent="0.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45">
      <c r="A93" s="122" t="s">
        <v>208</v>
      </c>
    </row>
    <row r="94" spans="1:14" x14ac:dyDescent="0.45">
      <c r="A94" s="122" t="s">
        <v>209</v>
      </c>
    </row>
    <row r="95" spans="1:14" x14ac:dyDescent="0.4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F1" zoomScale="90" zoomScaleNormal="90" workbookViewId="0">
      <selection activeCell="M14" sqref="M14"/>
    </sheetView>
  </sheetViews>
  <sheetFormatPr baseColWidth="10" defaultColWidth="11.46484375" defaultRowHeight="14.25" x14ac:dyDescent="0.45"/>
  <cols>
    <col min="1" max="1" width="22.9296875" style="1" bestFit="1" customWidth="1"/>
    <col min="2" max="2" width="10.53125" style="1" bestFit="1" customWidth="1"/>
    <col min="3" max="3" width="15.53125" style="1" bestFit="1" customWidth="1"/>
    <col min="4" max="4" width="13.46484375" style="1" bestFit="1" customWidth="1"/>
    <col min="5" max="8" width="11.46484375" style="1"/>
    <col min="9" max="13" width="11.46484375" style="62"/>
    <col min="14" max="15" width="11.46484375" style="1"/>
    <col min="16" max="17" width="13.46484375" style="1" customWidth="1"/>
    <col min="18" max="16384" width="11.46484375" style="1"/>
  </cols>
  <sheetData>
    <row r="1" spans="1:62" ht="14.65" thickBot="1" x14ac:dyDescent="0.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5.9" thickBot="1" x14ac:dyDescent="0.8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4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4.65" thickBot="1" x14ac:dyDescent="0.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7.4" thickBot="1" x14ac:dyDescent="0.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45">
      <c r="A6" s="145" t="str">
        <f>IF('Données projet'!$B$9="","",'Données projet'!$B$9)</f>
        <v>Pin laricio</v>
      </c>
      <c r="B6" s="146">
        <f>'Données projet'!D9</f>
        <v>0.89</v>
      </c>
      <c r="C6" s="147">
        <f ca="1">IF(OR('Données projet'!B9="",'Données projet'!C9="",'Données projet'!C9=0%),0,Calculateur!S3)</f>
        <v>329.62068845923676</v>
      </c>
      <c r="D6" s="147">
        <f>IF(OR('Données projet'!B9="",'Données projet'!C9="",'Données projet'!C9=0%),0,Calculateur!T3)</f>
        <v>243.22501652129546</v>
      </c>
      <c r="E6" s="147">
        <f ca="1">MIN(C6,D6)</f>
        <v>243.22501652129546</v>
      </c>
      <c r="F6" s="147">
        <f ca="1">E6*B6</f>
        <v>216.47026470395295</v>
      </c>
      <c r="G6" s="147">
        <f ca="1">F6*(100%-'Données projet'!$C$24)*(100%-'Données projet'!$C$25)*(100%-'Données projet'!$C$26)*(100%-'Données projet'!$C$27)</f>
        <v>194.82323823355765</v>
      </c>
      <c r="H6" s="148">
        <f>IF(OR('Données projet'!B9="",'Données projet'!C9="",'Données projet'!C9=0%),0,AVERAGE(Calculateur!$AC$3:$AC$33)*B6)</f>
        <v>5.6408208907809856</v>
      </c>
      <c r="I6" s="149">
        <f>H6*(100%-'Données projet'!$C$24)*(100%-'Données projet'!$C$25)*(100%-'Données projet'!$C$26)*(100%-'Données projet'!$C$27)</f>
        <v>5.0767388017028869</v>
      </c>
      <c r="J6" s="150">
        <f>IF(OR('Données projet'!B9="",'Données projet'!C9="",'Données projet'!C9=0%),0,SUM(Calculateur!$V$3:$V$33)*VLOOKUP('Données projet'!$B$9,Paramètres!$A$1:$I$89,9,0)*B6)</f>
        <v>34.653484999999996</v>
      </c>
      <c r="K6" s="151">
        <f>J6*(100%-'Données projet'!$C$24)*(100%-'Données projet'!$C$25)*(100%-'Données projet'!$C$26)*(100%-'Données projet'!$C$27)</f>
        <v>31.188136499999999</v>
      </c>
      <c r="L6" s="152">
        <f ca="1">G6+I6+K6</f>
        <v>231.0881135352605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45">
      <c r="A7" s="153" t="str">
        <f>IF('Données projet'!$B$10="","",'Données projet'!$B$10)</f>
        <v>Chêne pubescent</v>
      </c>
      <c r="B7" s="154">
        <f>'Données projet'!D10</f>
        <v>0.11</v>
      </c>
      <c r="C7" s="147">
        <f ca="1">IF(OR('Données projet'!B10="",'Données projet'!C10="",'Données projet'!C10=0%),0,Calculateur!AN3)</f>
        <v>486.4870616281359</v>
      </c>
      <c r="D7" s="147">
        <f>IF(OR('Données projet'!B10="",'Données projet'!C10="",'Données projet'!C10=0%),0,Calculateur!AO3)</f>
        <v>247.29100537955225</v>
      </c>
      <c r="E7" s="147">
        <f t="shared" ref="E7:E15" ca="1" si="0">MIN(C7,D7)</f>
        <v>247.29100537955225</v>
      </c>
      <c r="F7" s="147">
        <f t="shared" ref="F7:F15" ca="1" si="1">E7*B7</f>
        <v>27.202010591750746</v>
      </c>
      <c r="G7" s="147">
        <f ca="1">F7*(100%-'Données projet'!$C$24)*(100%-'Données projet'!$C$25)*(100%-'Données projet'!$C$26)*(100%-'Données projet'!$C$27)</f>
        <v>24.481809532575671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ca="1" si="2">G7+I7+K7</f>
        <v>24.481809532575671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45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45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4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4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4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4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4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4.65" thickBot="1" x14ac:dyDescent="0.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4.65" thickBot="1" x14ac:dyDescent="0.5">
      <c r="A16" s="209"/>
      <c r="B16" s="213"/>
      <c r="C16" s="214"/>
      <c r="D16" s="23"/>
      <c r="E16" s="23"/>
      <c r="F16" s="165">
        <f t="shared" ref="F16:L16" ca="1" si="3">SUM(F6:F15)</f>
        <v>243.67227529570368</v>
      </c>
      <c r="G16" s="166">
        <f t="shared" ca="1" si="3"/>
        <v>219.30504776613333</v>
      </c>
      <c r="H16" s="167">
        <f t="shared" si="3"/>
        <v>5.6408208907809856</v>
      </c>
      <c r="I16" s="167">
        <f t="shared" si="3"/>
        <v>5.0767388017028869</v>
      </c>
      <c r="J16" s="168">
        <f t="shared" si="3"/>
        <v>34.653484999999996</v>
      </c>
      <c r="K16" s="168">
        <f t="shared" si="3"/>
        <v>31.188136499999999</v>
      </c>
      <c r="L16" s="169">
        <f t="shared" ca="1" si="3"/>
        <v>255.56992306783619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4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4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4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4.65" thickBot="1" x14ac:dyDescent="0.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4.65" thickBot="1" x14ac:dyDescent="0.5">
      <c r="A21" s="170" t="str">
        <f>A6</f>
        <v>Pin laricio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4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4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4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4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4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4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4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4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4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4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4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4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4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4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4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4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4.65" thickBot="1" x14ac:dyDescent="0.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4.65" thickBot="1" x14ac:dyDescent="0.5">
      <c r="A39" s="170" t="str">
        <f>A7</f>
        <v>Chêne pubescent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4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4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4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4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4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4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4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4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4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4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4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4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4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4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4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4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4.65" thickBot="1" x14ac:dyDescent="0.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4.65" thickBot="1" x14ac:dyDescent="0.5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4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4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4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4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4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4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4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4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4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4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4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4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4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4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4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4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4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4.65" thickBot="1" x14ac:dyDescent="0.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4.65" thickBot="1" x14ac:dyDescent="0.5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4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4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4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4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4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4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4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4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4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4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4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4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4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4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4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4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4.65" thickBot="1" x14ac:dyDescent="0.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4.65" thickBot="1" x14ac:dyDescent="0.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4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4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4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4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4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4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4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4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4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4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4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4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4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4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4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4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4.65" thickBot="1" x14ac:dyDescent="0.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4.65" thickBot="1" x14ac:dyDescent="0.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4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4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4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4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4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4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4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4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4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4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4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4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4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4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4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4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4.65" thickBot="1" x14ac:dyDescent="0.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4.65" thickBot="1" x14ac:dyDescent="0.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4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4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4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4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4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4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4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4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4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4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4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4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4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4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4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4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4.65" thickBot="1" x14ac:dyDescent="0.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4.65" thickBot="1" x14ac:dyDescent="0.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4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4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4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4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4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4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4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4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4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4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4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4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4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4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4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4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4.65" thickBot="1" x14ac:dyDescent="0.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4.65" thickBot="1" x14ac:dyDescent="0.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4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4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4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4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4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4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4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4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4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4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4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4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4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4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4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4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4.65" thickBot="1" x14ac:dyDescent="0.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4.65" thickBot="1" x14ac:dyDescent="0.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4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4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4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4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4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4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4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4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4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4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4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4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4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4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4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4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4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4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4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4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4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4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4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4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4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4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4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4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4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4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4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4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4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4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4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4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4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4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4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4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4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4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4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4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4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4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4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4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4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4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4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4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4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4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4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4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4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4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4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4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4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4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4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4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4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4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4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4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4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4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4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4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4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4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4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4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4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4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4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4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4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4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4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4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4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4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4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4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4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4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4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4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4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4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4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4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4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4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4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4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4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4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4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4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4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4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4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4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4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4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4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4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4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4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4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4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4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4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4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4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4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4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4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4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4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4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4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4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4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4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4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4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4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4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4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4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4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4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4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4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4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4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4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4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4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4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4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4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4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4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4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4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4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4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4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4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4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4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4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4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4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4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4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4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4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4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4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4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4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4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4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M9" zoomScale="80" zoomScaleNormal="80" workbookViewId="0">
      <selection activeCell="N19" sqref="N19"/>
    </sheetView>
  </sheetViews>
  <sheetFormatPr baseColWidth="10" defaultColWidth="11.46484375" defaultRowHeight="14.25" x14ac:dyDescent="0.45"/>
  <cols>
    <col min="1" max="1" width="11.46484375" style="1"/>
    <col min="2" max="2" width="30.9296875" style="1" bestFit="1" customWidth="1"/>
    <col min="3" max="3" width="18.06640625" style="1" bestFit="1" customWidth="1"/>
    <col min="4" max="5" width="11.46484375" style="1"/>
    <col min="6" max="6" width="14" style="1" customWidth="1"/>
    <col min="7" max="7" width="17.53125" style="1" customWidth="1"/>
    <col min="8" max="8" width="21.59765625" style="1" customWidth="1"/>
    <col min="9" max="9" width="37" style="1" customWidth="1"/>
    <col min="10" max="10" width="11.46484375" style="1"/>
    <col min="11" max="11" width="8.9296875" style="1" customWidth="1"/>
    <col min="12" max="12" width="11.46484375" style="1"/>
    <col min="13" max="13" width="21" style="1" customWidth="1"/>
    <col min="14" max="16" width="11.46484375" style="1"/>
    <col min="17" max="17" width="8" style="1" customWidth="1"/>
    <col min="18" max="18" width="11.46484375" style="1"/>
    <col min="19" max="19" width="31" style="1" customWidth="1"/>
    <col min="20" max="20" width="18.06640625" style="1" customWidth="1"/>
    <col min="21" max="21" width="16.46484375" style="1" customWidth="1"/>
    <col min="22" max="22" width="17.9296875" style="1" customWidth="1"/>
    <col min="23" max="16384" width="11.46484375" style="1"/>
  </cols>
  <sheetData>
    <row r="1" spans="1:42" ht="14.65" thickBot="1" x14ac:dyDescent="0.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5.9" thickBot="1" x14ac:dyDescent="0.8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4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45">
      <c r="A4" s="4"/>
      <c r="B4" s="4"/>
      <c r="C4" s="4"/>
      <c r="D4" s="4"/>
      <c r="E4" s="4"/>
      <c r="G4" s="4"/>
      <c r="H4" s="262" t="s">
        <v>315</v>
      </c>
      <c r="I4" s="262"/>
      <c r="K4" s="286" t="s">
        <v>253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4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4.65" thickBot="1" x14ac:dyDescent="0.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8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6" t="s">
        <v>310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4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4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4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Pin laricio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1543.6128312437288</v>
      </c>
      <c r="U10" s="178">
        <f>'Données projet'!D9</f>
        <v>0.89</v>
      </c>
      <c r="V10" s="177">
        <f>U10*T10</f>
        <v>1373.8154198069187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4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Chêne pubescent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225.56550779320392</v>
      </c>
      <c r="U11" s="178">
        <f>'Données projet'!D10</f>
        <v>0.11</v>
      </c>
      <c r="V11" s="177">
        <f t="shared" ref="V11" si="0">U11*T11</f>
        <v>24.812205857252433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4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/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4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45">
      <c r="A14" s="46" t="s">
        <v>165</v>
      </c>
      <c r="B14" s="174" t="str">
        <f>IF('Données projet'!$B$9="","",'Données projet'!$B$9)</f>
        <v>Pin laricio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45">
      <c r="A15" s="4"/>
      <c r="B15" s="4"/>
      <c r="C15" s="4"/>
      <c r="D15" s="4"/>
      <c r="E15" s="4"/>
      <c r="F15" s="230"/>
      <c r="G15" s="289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4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89"/>
      <c r="H16" s="190"/>
      <c r="I16" s="191"/>
      <c r="J16" s="202"/>
      <c r="K16" s="208"/>
      <c r="L16" s="286" t="s">
        <v>254</v>
      </c>
      <c r="M16" s="287"/>
      <c r="N16" s="2">
        <v>80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45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289"/>
      <c r="J17" s="202"/>
      <c r="K17" s="208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19.199999999999985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4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89"/>
      <c r="J18" s="202"/>
      <c r="K18" s="208"/>
      <c r="L18" s="259" t="s">
        <v>255</v>
      </c>
      <c r="M18" s="261"/>
      <c r="N18" s="192">
        <v>12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4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89"/>
      <c r="H19" s="212" t="s">
        <v>178</v>
      </c>
      <c r="I19" s="212" t="s">
        <v>287</v>
      </c>
      <c r="J19" s="93"/>
      <c r="K19" s="173"/>
      <c r="L19" s="286" t="s">
        <v>288</v>
      </c>
      <c r="M19" s="287"/>
      <c r="N19" s="179">
        <f>N17*N18</f>
        <v>230.39999999999981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4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89"/>
      <c r="H20" s="190">
        <v>1</v>
      </c>
      <c r="I20" s="191">
        <v>6546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4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3</v>
      </c>
      <c r="I21" s="191">
        <v>800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4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4</v>
      </c>
      <c r="I22" s="191">
        <v>600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45">
      <c r="A23" s="180">
        <f>'Données projet'!A36</f>
        <v>22</v>
      </c>
      <c r="B23" s="181">
        <f>'Données projet'!D36</f>
        <v>52.620000000000005</v>
      </c>
      <c r="C23" s="193">
        <v>10.9375</v>
      </c>
      <c r="D23" s="182">
        <f>B23*C23</f>
        <v>575.53125</v>
      </c>
      <c r="E23" s="193">
        <v>60</v>
      </c>
      <c r="F23" s="230"/>
      <c r="H23" s="190">
        <v>5</v>
      </c>
      <c r="I23" s="191">
        <v>600</v>
      </c>
      <c r="K23" s="208"/>
      <c r="L23" s="288" t="s">
        <v>260</v>
      </c>
      <c r="M23" s="288"/>
      <c r="N23" s="288"/>
      <c r="O23" s="23"/>
      <c r="P23" s="23"/>
      <c r="Q23" s="234"/>
      <c r="R23" s="23"/>
      <c r="S23" s="36" t="s">
        <v>264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-6551.1319241719802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45">
      <c r="A24" s="180">
        <f>'Données projet'!A37</f>
        <v>27</v>
      </c>
      <c r="B24" s="181">
        <f>'Données projet'!D37</f>
        <v>37.929999999999993</v>
      </c>
      <c r="C24" s="193">
        <v>10.9375</v>
      </c>
      <c r="D24" s="182">
        <f t="shared" ref="D24:D42" si="2">B24*C24</f>
        <v>414.85937499999994</v>
      </c>
      <c r="E24" s="193">
        <v>60</v>
      </c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1.6345209097324696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45">
      <c r="A25" s="180">
        <f>'Données projet'!A38</f>
        <v>33</v>
      </c>
      <c r="B25" s="181">
        <f>'Données projet'!D38</f>
        <v>50.460000000000008</v>
      </c>
      <c r="C25" s="193">
        <v>10.9375</v>
      </c>
      <c r="D25" s="182">
        <f t="shared" si="2"/>
        <v>551.90625000000011</v>
      </c>
      <c r="E25" s="193">
        <v>60</v>
      </c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303">
        <f ca="1">T23-T24</f>
        <v>-6552.7664450817128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45">
      <c r="A26" s="180">
        <f>'Données projet'!A39</f>
        <v>41</v>
      </c>
      <c r="B26" s="181">
        <f>'Données projet'!D39</f>
        <v>72.16</v>
      </c>
      <c r="C26" s="193">
        <v>24</v>
      </c>
      <c r="D26" s="182">
        <f t="shared" si="2"/>
        <v>1731.84</v>
      </c>
      <c r="E26" s="193">
        <v>60</v>
      </c>
      <c r="F26" s="233"/>
      <c r="G26" s="229"/>
      <c r="H26" s="190"/>
      <c r="I26" s="191"/>
      <c r="K26" s="208"/>
      <c r="L26" s="290" t="s">
        <v>258</v>
      </c>
      <c r="M26" s="291"/>
      <c r="N26" s="291"/>
      <c r="O26" s="291"/>
      <c r="P26" s="292"/>
      <c r="Q26" s="234"/>
      <c r="R26" s="23"/>
      <c r="S26" s="186" t="s">
        <v>265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45">
      <c r="A27" s="180">
        <f>'Données projet'!A40</f>
        <v>50</v>
      </c>
      <c r="B27" s="181">
        <f>'Données projet'!D40</f>
        <v>70.20999999999998</v>
      </c>
      <c r="C27" s="193">
        <v>24</v>
      </c>
      <c r="D27" s="182">
        <f t="shared" si="2"/>
        <v>1685.0399999999995</v>
      </c>
      <c r="E27" s="193">
        <v>60</v>
      </c>
      <c r="F27" s="233"/>
      <c r="G27" s="229"/>
      <c r="H27" s="190"/>
      <c r="I27" s="191"/>
      <c r="K27" s="208"/>
      <c r="L27" s="293"/>
      <c r="M27" s="294"/>
      <c r="N27" s="294"/>
      <c r="O27" s="294"/>
      <c r="P27" s="295"/>
      <c r="Q27" s="234"/>
      <c r="R27" s="23"/>
      <c r="S27" s="299" t="s">
        <v>267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45">
      <c r="A28" s="180">
        <f>'Données projet'!A41</f>
        <v>60</v>
      </c>
      <c r="B28" s="181">
        <f>'Données projet'!D41</f>
        <v>69.839999999999975</v>
      </c>
      <c r="C28" s="193">
        <v>24</v>
      </c>
      <c r="D28" s="182">
        <f t="shared" si="2"/>
        <v>1676.1599999999994</v>
      </c>
      <c r="E28" s="193">
        <v>60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45">
      <c r="A29" s="180">
        <f>'Données projet'!A42</f>
        <v>70</v>
      </c>
      <c r="B29" s="181">
        <f>'Données projet'!D42</f>
        <v>67.88</v>
      </c>
      <c r="C29" s="193">
        <v>24</v>
      </c>
      <c r="D29" s="182">
        <f t="shared" si="2"/>
        <v>1629.12</v>
      </c>
      <c r="E29" s="193">
        <v>60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45">
      <c r="A30" s="180">
        <f>'Données projet'!A43</f>
        <v>80</v>
      </c>
      <c r="B30" s="181">
        <f>'Données projet'!D43</f>
        <v>520.03</v>
      </c>
      <c r="C30" s="193">
        <v>31.5</v>
      </c>
      <c r="D30" s="182">
        <f t="shared" si="2"/>
        <v>16380.945</v>
      </c>
      <c r="E30" s="193">
        <v>60</v>
      </c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45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4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4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4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4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4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4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4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4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4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4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4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4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4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45">
      <c r="A45" s="46" t="s">
        <v>166</v>
      </c>
      <c r="B45" s="174" t="str">
        <f>IF('Données projet'!$B$10="","",'Données projet'!$B$10)</f>
        <v>Chêne pubescent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4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4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45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4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4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4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4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4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45">
      <c r="A54" s="180">
        <f>'Données projet'!A62</f>
        <v>60</v>
      </c>
      <c r="B54" s="181">
        <f>'Données projet'!D62</f>
        <v>72.87</v>
      </c>
      <c r="C54" s="191">
        <v>12.5</v>
      </c>
      <c r="D54" s="179">
        <f>B54*C54</f>
        <v>910.875</v>
      </c>
      <c r="E54" s="193">
        <v>60</v>
      </c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45">
      <c r="A55" s="180">
        <f>'Données projet'!A63</f>
        <v>69</v>
      </c>
      <c r="B55" s="181">
        <f>'Données projet'!D63</f>
        <v>42.22</v>
      </c>
      <c r="C55" s="191">
        <v>12.5</v>
      </c>
      <c r="D55" s="179">
        <f t="shared" ref="D55:D73" si="4">B55*C55</f>
        <v>527.75</v>
      </c>
      <c r="E55" s="193">
        <v>60</v>
      </c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45">
      <c r="A56" s="180">
        <f>'Données projet'!A64</f>
        <v>77</v>
      </c>
      <c r="B56" s="181">
        <f>'Données projet'!D64</f>
        <v>33.950000000000017</v>
      </c>
      <c r="C56" s="191">
        <v>12.5</v>
      </c>
      <c r="D56" s="179">
        <f t="shared" si="4"/>
        <v>424.37500000000023</v>
      </c>
      <c r="E56" s="193">
        <v>60</v>
      </c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45">
      <c r="A57" s="180">
        <f>'Données projet'!A65</f>
        <v>86</v>
      </c>
      <c r="B57" s="181">
        <f>'Données projet'!D65</f>
        <v>37.54000000000002</v>
      </c>
      <c r="C57" s="191">
        <v>45.375</v>
      </c>
      <c r="D57" s="179">
        <f t="shared" si="4"/>
        <v>1703.377500000001</v>
      </c>
      <c r="E57" s="193">
        <v>60</v>
      </c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45">
      <c r="A58" s="180">
        <f>'Données projet'!A66</f>
        <v>95</v>
      </c>
      <c r="B58" s="181">
        <f>'Données projet'!D66</f>
        <v>42.199999999999989</v>
      </c>
      <c r="C58" s="191">
        <v>45.375</v>
      </c>
      <c r="D58" s="179">
        <f t="shared" si="4"/>
        <v>1914.8249999999996</v>
      </c>
      <c r="E58" s="193">
        <v>60</v>
      </c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45">
      <c r="A59" s="180">
        <f>'Données projet'!A67</f>
        <v>104</v>
      </c>
      <c r="B59" s="181">
        <f>'Données projet'!D67</f>
        <v>39.400000000000006</v>
      </c>
      <c r="C59" s="191">
        <v>45.375</v>
      </c>
      <c r="D59" s="179">
        <f t="shared" si="4"/>
        <v>1787.7750000000003</v>
      </c>
      <c r="E59" s="193">
        <v>60</v>
      </c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45">
      <c r="A60" s="180">
        <f>'Données projet'!A68</f>
        <v>113</v>
      </c>
      <c r="B60" s="181">
        <f>'Données projet'!D68</f>
        <v>41.639999999999986</v>
      </c>
      <c r="C60" s="191">
        <v>45.375</v>
      </c>
      <c r="D60" s="179">
        <f t="shared" si="4"/>
        <v>1889.4149999999993</v>
      </c>
      <c r="E60" s="193">
        <v>60</v>
      </c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45">
      <c r="A61" s="180">
        <f>'Données projet'!A69</f>
        <v>122</v>
      </c>
      <c r="B61" s="181">
        <f>'Données projet'!D69</f>
        <v>45.829999999999984</v>
      </c>
      <c r="C61" s="191">
        <v>45.375</v>
      </c>
      <c r="D61" s="179">
        <f t="shared" si="4"/>
        <v>2079.5362499999992</v>
      </c>
      <c r="E61" s="193">
        <v>60</v>
      </c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45">
      <c r="A62" s="180">
        <f>'Données projet'!A70</f>
        <v>132</v>
      </c>
      <c r="B62" s="181">
        <f>'Données projet'!D70</f>
        <v>48.699999999999989</v>
      </c>
      <c r="C62" s="191">
        <v>45.375</v>
      </c>
      <c r="D62" s="179">
        <f t="shared" si="4"/>
        <v>2209.7624999999994</v>
      </c>
      <c r="E62" s="193">
        <v>60</v>
      </c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45">
      <c r="A63" s="180">
        <f>'Données projet'!A71</f>
        <v>144</v>
      </c>
      <c r="B63" s="181">
        <f>'Données projet'!D71</f>
        <v>60.949999999999989</v>
      </c>
      <c r="C63" s="191">
        <v>45.375</v>
      </c>
      <c r="D63" s="179">
        <f t="shared" si="4"/>
        <v>2765.6062499999994</v>
      </c>
      <c r="E63" s="193">
        <v>60</v>
      </c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45">
      <c r="A64" s="180">
        <f>'Données projet'!A72</f>
        <v>156</v>
      </c>
      <c r="B64" s="181">
        <f>'Données projet'!D72</f>
        <v>65.69</v>
      </c>
      <c r="C64" s="191">
        <v>138</v>
      </c>
      <c r="D64" s="179">
        <f t="shared" si="4"/>
        <v>9065.2199999999993</v>
      </c>
      <c r="E64" s="193">
        <v>60</v>
      </c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45">
      <c r="A65" s="180">
        <f>'Données projet'!A73</f>
        <v>168</v>
      </c>
      <c r="B65" s="181">
        <f>'Données projet'!D73</f>
        <v>71.37</v>
      </c>
      <c r="C65" s="191">
        <v>138</v>
      </c>
      <c r="D65" s="179">
        <f t="shared" si="4"/>
        <v>9849.0600000000013</v>
      </c>
      <c r="E65" s="193">
        <v>60</v>
      </c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45">
      <c r="A66" s="180">
        <f>'Données projet'!A74</f>
        <v>180</v>
      </c>
      <c r="B66" s="181">
        <f>'Données projet'!D74</f>
        <v>175.59000000000003</v>
      </c>
      <c r="C66" s="191">
        <v>138</v>
      </c>
      <c r="D66" s="179">
        <f t="shared" si="4"/>
        <v>24231.420000000006</v>
      </c>
      <c r="E66" s="193">
        <v>60</v>
      </c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45">
      <c r="A67" s="180">
        <f>'Données projet'!A75</f>
        <v>184</v>
      </c>
      <c r="B67" s="181">
        <f>'Données projet'!D75</f>
        <v>101.19999999999999</v>
      </c>
      <c r="C67" s="191">
        <v>138</v>
      </c>
      <c r="D67" s="179">
        <f t="shared" si="4"/>
        <v>13965.599999999999</v>
      </c>
      <c r="E67" s="193">
        <v>60</v>
      </c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45">
      <c r="A68" s="180">
        <f>'Données projet'!A76</f>
        <v>188</v>
      </c>
      <c r="B68" s="181">
        <f>'Données projet'!D76</f>
        <v>72.180000000000007</v>
      </c>
      <c r="C68" s="191">
        <v>138</v>
      </c>
      <c r="D68" s="179">
        <f t="shared" si="4"/>
        <v>9960.84</v>
      </c>
      <c r="E68" s="193">
        <v>60</v>
      </c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45">
      <c r="A69" s="180">
        <f>'Données projet'!A77</f>
        <v>191</v>
      </c>
      <c r="B69" s="181">
        <f>'Données projet'!D77</f>
        <v>145.01</v>
      </c>
      <c r="C69" s="191">
        <v>156.375</v>
      </c>
      <c r="D69" s="179">
        <f t="shared" si="4"/>
        <v>22675.938749999998</v>
      </c>
      <c r="E69" s="193">
        <v>60</v>
      </c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4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4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4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4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4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4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45">
      <c r="A76" s="46" t="s">
        <v>167</v>
      </c>
      <c r="B76" s="174" t="str">
        <f>IF('Données projet'!B11="","",'Données projet'!B11)</f>
        <v/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4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4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45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4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4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4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4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4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45">
      <c r="A85" s="180">
        <f>'Données projet'!A88</f>
        <v>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45">
      <c r="A86" s="180">
        <f>'Données projet'!A89</f>
        <v>0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45">
      <c r="A87" s="180">
        <f>'Données projet'!A90</f>
        <v>0</v>
      </c>
      <c r="B87" s="181">
        <f>'Données projet'!D90</f>
        <v>0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45">
      <c r="A88" s="180">
        <f>'Données projet'!A91</f>
        <v>0</v>
      </c>
      <c r="B88" s="181">
        <f>'Données projet'!D91</f>
        <v>0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45">
      <c r="A89" s="180">
        <f>'Données projet'!A92</f>
        <v>0</v>
      </c>
      <c r="B89" s="181">
        <f>'Données projet'!D92</f>
        <v>0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45">
      <c r="A90" s="180">
        <f>'Données projet'!A93</f>
        <v>0</v>
      </c>
      <c r="B90" s="181">
        <f>'Données projet'!D93</f>
        <v>0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45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45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45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4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0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4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0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4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5"/>
        <v>0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4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7">$P$25/(1+$M$4)^O97</f>
        <v>0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4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7"/>
        <v>0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4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>
        <f>IF(O98+1&lt;=MIN('Données projet'!$E$9:$E$18),O98+1,"STOP")</f>
        <v>66</v>
      </c>
      <c r="P99" s="185">
        <f t="shared" si="7"/>
        <v>0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4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>
        <f>IF(O99+1&lt;=MIN('Données projet'!$E$9:$E$18),O99+1,"STOP")</f>
        <v>67</v>
      </c>
      <c r="P100" s="185">
        <f t="shared" si="7"/>
        <v>0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4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>
        <f>IF(O100+1&lt;=MIN('Données projet'!$E$9:$E$18),O100+1,"STOP")</f>
        <v>68</v>
      </c>
      <c r="P101" s="185">
        <f t="shared" si="7"/>
        <v>0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4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>
        <f>IF(O101+1&lt;=MIN('Données projet'!$E$9:$E$18),O101+1,"STOP")</f>
        <v>69</v>
      </c>
      <c r="P102" s="185">
        <f t="shared" si="7"/>
        <v>0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4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>
        <f>IF(O102+1&lt;=MIN('Données projet'!$E$9:$E$18),O102+1,"STOP")</f>
        <v>70</v>
      </c>
      <c r="P103" s="185">
        <f t="shared" si="7"/>
        <v>0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4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>
        <f>IF(O103+1&lt;=MIN('Données projet'!$E$9:$E$18),O103+1,"STOP")</f>
        <v>71</v>
      </c>
      <c r="P104" s="185">
        <f t="shared" si="7"/>
        <v>0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4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>
        <f>IF(O104+1&lt;=MIN('Données projet'!$E$9:$E$18),O104+1,"STOP")</f>
        <v>72</v>
      </c>
      <c r="P105" s="185">
        <f t="shared" si="7"/>
        <v>0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4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>
        <f>IF(O105+1&lt;=MIN('Données projet'!$E$9:$E$18),O105+1,"STOP")</f>
        <v>73</v>
      </c>
      <c r="P106" s="185">
        <f t="shared" si="7"/>
        <v>0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45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>
        <f>IF(O106+1&lt;=MIN('Données projet'!$E$9:$E$18),O106+1,"STOP")</f>
        <v>74</v>
      </c>
      <c r="P107" s="185">
        <f t="shared" si="7"/>
        <v>0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4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>
        <f>IF(O107+1&lt;=MIN('Données projet'!$E$9:$E$18),O107+1,"STOP")</f>
        <v>75</v>
      </c>
      <c r="P108" s="185">
        <f t="shared" si="7"/>
        <v>0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4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>
        <f>IF(O108+1&lt;=MIN('Données projet'!$E$9:$E$18),O108+1,"STOP")</f>
        <v>76</v>
      </c>
      <c r="P109" s="185">
        <f t="shared" si="7"/>
        <v>0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4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>
        <f>IF(O109+1&lt;=MIN('Données projet'!$E$9:$E$18),O109+1,"STOP")</f>
        <v>77</v>
      </c>
      <c r="P110" s="185">
        <f t="shared" si="7"/>
        <v>0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4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>
        <f>IF(O110+1&lt;=MIN('Données projet'!$E$9:$E$18),O110+1,"STOP")</f>
        <v>78</v>
      </c>
      <c r="P111" s="185">
        <f t="shared" si="7"/>
        <v>0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4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>
        <f>IF(O111+1&lt;=MIN('Données projet'!$E$9:$E$18),O111+1,"STOP")</f>
        <v>79</v>
      </c>
      <c r="P112" s="185">
        <f t="shared" si="7"/>
        <v>0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4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>
        <f>IF(O112+1&lt;=MIN('Données projet'!$E$9:$E$18),O112+1,"STOP")</f>
        <v>80</v>
      </c>
      <c r="P113" s="185">
        <f t="shared" si="7"/>
        <v>0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4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str">
        <f>IF(O113+1&lt;=MIN('Données projet'!$E$9:$E$18),O113+1,"STOP")</f>
        <v>STOP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4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45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45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45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45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45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45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45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45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4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4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4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4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4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4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4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4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4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4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4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4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4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4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4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4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4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4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4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4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4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4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4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4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4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4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4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4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4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4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4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4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4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4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4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4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4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4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4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4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4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4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4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4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4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4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4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4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4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4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4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4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4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4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4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4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4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4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4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4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4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4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4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4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4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4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4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4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4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4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4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4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4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4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4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4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4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4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4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4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4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4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4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4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4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4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4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4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4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4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4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4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4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4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4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4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4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4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4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4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4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4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4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4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4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4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4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4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4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4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4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4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4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4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4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4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4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4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4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4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4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4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4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4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4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4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4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4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4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4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4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4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4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4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4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4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4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4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4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4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4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4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4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4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4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4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4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4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4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4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4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4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4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4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4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4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4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4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4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4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4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4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4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4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4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4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4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4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4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4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4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4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4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4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4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4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4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4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4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4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4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4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4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4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4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4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4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4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4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4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4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4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4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4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4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4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4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4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4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4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4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4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4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4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4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4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4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4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4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4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4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4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4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4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4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4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4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4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4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4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4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4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4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4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4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4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4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4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4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4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4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4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4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4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4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4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4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4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4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4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4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4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4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4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4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4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4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4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4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4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4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4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4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4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4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4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4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4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4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4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4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4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4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4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4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4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4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4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4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4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4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4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4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4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4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4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4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4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4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4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4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4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4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4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4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4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4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4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4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4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4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4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4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4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4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4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4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4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4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4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4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4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4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4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4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4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4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4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4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4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4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4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4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4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4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4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4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4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4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4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4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4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4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4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4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4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4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4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4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4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4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4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4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4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4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4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4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4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4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4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4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4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4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4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4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4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4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4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4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4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4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4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4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4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4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4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4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4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4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4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4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4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4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4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4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4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4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4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4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4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4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4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4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4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4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4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4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4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4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4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4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4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4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4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4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4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4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4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4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4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4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4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4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4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4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4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4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4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4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4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4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4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4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4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4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4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4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4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4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4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4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4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4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4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4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4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4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4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4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4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4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4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4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4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4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4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4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4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4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6884909D472E4887D0D71289C24DC5" ma:contentTypeVersion="15" ma:contentTypeDescription="Create a new document." ma:contentTypeScope="" ma:versionID="a73ee3bb35a9bd7478c61e6e8e2bc4ee">
  <xsd:schema xmlns:xsd="http://www.w3.org/2001/XMLSchema" xmlns:xs="http://www.w3.org/2001/XMLSchema" xmlns:p="http://schemas.microsoft.com/office/2006/metadata/properties" xmlns:ns2="0b31a522-a3bf-48c4-bec5-a17f159ba481" xmlns:ns3="e2382d34-9bb8-44b7-b653-fe70b92f328c" targetNamespace="http://schemas.microsoft.com/office/2006/metadata/properties" ma:root="true" ma:fieldsID="0e87dbacb70e8a9550b50faea6e54f53" ns2:_="" ns3:_="">
    <xsd:import namespace="0b31a522-a3bf-48c4-bec5-a17f159ba481"/>
    <xsd:import namespace="e2382d34-9bb8-44b7-b653-fe70b92f32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31a522-a3bf-48c4-bec5-a17f159ba4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1090b2c-5079-4c1b-ae3e-0f22ffb919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382d34-9bb8-44b7-b653-fe70b92f328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ea42f30-ac50-40fe-8b72-1112505a2dd8}" ma:internalName="TaxCatchAll" ma:showField="CatchAllData" ma:web="e2382d34-9bb8-44b7-b653-fe70b92f32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382d34-9bb8-44b7-b653-fe70b92f328c" xsi:nil="true"/>
    <lcf76f155ced4ddcb4097134ff3c332f xmlns="0b31a522-a3bf-48c4-bec5-a17f159ba481">
      <Terms xmlns="http://schemas.microsoft.com/office/infopath/2007/PartnerControls"/>
    </lcf76f155ced4ddcb4097134ff3c332f>
    <_Flow_SignoffStatus xmlns="0b31a522-a3bf-48c4-bec5-a17f159ba481" xsi:nil="true"/>
  </documentManagement>
</p:properties>
</file>

<file path=customXml/itemProps1.xml><?xml version="1.0" encoding="utf-8"?>
<ds:datastoreItem xmlns:ds="http://schemas.openxmlformats.org/officeDocument/2006/customXml" ds:itemID="{2023F7E4-5705-49ED-ADAE-581C57D989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31a522-a3bf-48c4-bec5-a17f159ba481"/>
    <ds:schemaRef ds:uri="e2382d34-9bb8-44b7-b653-fe70b92f32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7375F83-DE23-4706-80ED-4A8DA07E8E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A6861AC-80B4-4803-8030-7424409AD984}">
  <ds:schemaRefs>
    <ds:schemaRef ds:uri="http://schemas.microsoft.com/office/2006/metadata/properties"/>
    <ds:schemaRef ds:uri="http://schemas.microsoft.com/office/infopath/2007/PartnerControls"/>
    <ds:schemaRef ds:uri="e2382d34-9bb8-44b7-b653-fe70b92f328c"/>
    <ds:schemaRef ds:uri="0b31a522-a3bf-48c4-bec5-a17f159ba48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Lucas ELLENS</cp:lastModifiedBy>
  <dcterms:created xsi:type="dcterms:W3CDTF">2021-02-01T08:22:39Z</dcterms:created>
  <dcterms:modified xsi:type="dcterms:W3CDTF">2024-03-05T09:41:53Z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0x010100A36884909D472E4887D0D71289C24DC5</vt:lpwstr>
  </property>
  <property fmtid="{D5CDD505-2E9C-101B-9397-08002B2CF9AE}" pid="3" name="Order">
    <vt:r8>2102600</vt:r8>
  </property>
  <property fmtid="{D5CDD505-2E9C-101B-9397-08002B2CF9AE}" pid="4" name="MediaServiceImageTags">
    <vt:lpwstr/>
  </property>
</Properties>
</file>