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GUYOT SIONNEST - 14867052 LE/"/>
    </mc:Choice>
  </mc:AlternateContent>
  <xr:revisionPtr revIDLastSave="159" documentId="13_ncr:1_{91C62E09-7A97-40C6-8A6D-8C8B5668C142}" xr6:coauthVersionLast="47" xr6:coauthVersionMax="47" xr10:uidLastSave="{BF2A1D00-A8ED-4413-9CF3-F5707E89C7DA}"/>
  <bookViews>
    <workbookView xWindow="-28920" yWindow="1755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" i="6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G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D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A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EB161" i="2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HH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EA164" i="2"/>
  <c r="DI163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DG167" i="2"/>
  <c r="EA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D171" i="2"/>
  <c r="EB172" i="2"/>
  <c r="HG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B175" i="2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EA178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D178" i="2"/>
  <c r="HH179" i="2"/>
  <c r="EV179" i="2"/>
  <c r="DF179" i="2"/>
  <c r="EA179" i="2"/>
  <c r="ED179" i="2" s="1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B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B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A193" i="2" l="1"/>
  <c r="EB193" i="2"/>
  <c r="ED192" i="2"/>
  <c r="DI192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A195" i="2" l="1"/>
  <c r="EB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W197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/>
  <c r="DI200" i="2"/>
  <c r="ED200" i="2" l="1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D201" i="2" l="1"/>
  <c r="HG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142" i="2" a="1"/>
  <c r="EI142" i="2" s="1"/>
  <c r="DN155" i="2" a="1"/>
  <c r="DN155" i="2" s="1"/>
  <c r="EI195" i="2" a="1"/>
  <c r="EI195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7" i="2" a="1"/>
  <c r="DN167" i="2" s="1"/>
  <c r="DN31" i="2" a="1"/>
  <c r="DN31" i="2" s="1"/>
  <c r="DN6" i="2" a="1"/>
  <c r="DN6" i="2" s="1"/>
  <c r="DO6" i="2" s="1"/>
  <c r="CS134" i="2" a="1"/>
  <c r="CS134" i="2" s="1"/>
  <c r="CS72" i="2" a="1"/>
  <c r="CS72" i="2" s="1"/>
  <c r="BX107" i="2" a="1"/>
  <c r="BX107" i="2" s="1"/>
  <c r="FD82" i="2" a="1"/>
  <c r="FD82" i="2" s="1"/>
  <c r="HJ202" i="2"/>
  <c r="EY202" i="2"/>
  <c r="AX200" i="2"/>
  <c r="CS114" i="2" l="1" a="1"/>
  <c r="CS114" i="2" s="1"/>
  <c r="CS77" i="2" a="1"/>
  <c r="CS77" i="2" s="1"/>
  <c r="CS161" i="2" a="1"/>
  <c r="CS161" i="2" s="1"/>
  <c r="CS66" i="2" a="1"/>
  <c r="CS66" i="2" s="1"/>
  <c r="DN187" i="2" a="1"/>
  <c r="DN187" i="2" s="1"/>
  <c r="DN115" i="2" a="1"/>
  <c r="DN115" i="2" s="1"/>
  <c r="DN153" i="2" a="1"/>
  <c r="DN153" i="2" s="1"/>
  <c r="DN170" i="2" a="1"/>
  <c r="DN170" i="2" s="1"/>
  <c r="DN110" i="2" a="1"/>
  <c r="DN110" i="2" s="1"/>
  <c r="AH151" i="2" a="1"/>
  <c r="AH151" i="2" s="1"/>
  <c r="DN162" i="2" a="1"/>
  <c r="DN162" i="2" s="1"/>
  <c r="DN114" i="2" a="1"/>
  <c r="DN114" i="2" s="1"/>
  <c r="DN103" i="2" a="1"/>
  <c r="DN103" i="2" s="1"/>
  <c r="DN25" i="2" a="1"/>
  <c r="DN25" i="2" s="1"/>
  <c r="DN30" i="2" a="1"/>
  <c r="DN30" i="2" s="1"/>
  <c r="DN135" i="2" a="1"/>
  <c r="DN135" i="2" s="1"/>
  <c r="DN184" i="2" a="1"/>
  <c r="DN184" i="2" s="1"/>
  <c r="DN46" i="2" a="1"/>
  <c r="DN46" i="2" s="1"/>
  <c r="DN38" i="2" a="1"/>
  <c r="DN38" i="2" s="1"/>
  <c r="DN123" i="2" a="1"/>
  <c r="DN123" i="2" s="1"/>
  <c r="DN152" i="2" a="1"/>
  <c r="DN152" i="2" s="1"/>
  <c r="DN16" i="2" a="1"/>
  <c r="DN16" i="2" s="1"/>
  <c r="DN45" i="2" a="1"/>
  <c r="DN45" i="2" s="1"/>
  <c r="DN50" i="2" a="1"/>
  <c r="DN50" i="2" s="1"/>
  <c r="DN113" i="2" a="1"/>
  <c r="DN113" i="2" s="1"/>
  <c r="DN164" i="2" a="1"/>
  <c r="DN164" i="2" s="1"/>
  <c r="DN176" i="2" a="1"/>
  <c r="DN176" i="2" s="1"/>
  <c r="DN80" i="2" a="1"/>
  <c r="DN80" i="2" s="1"/>
  <c r="DN41" i="2" a="1"/>
  <c r="DN41" i="2" s="1"/>
  <c r="DN168" i="2" a="1"/>
  <c r="DN168" i="2" s="1"/>
  <c r="DN63" i="2" a="1"/>
  <c r="DN63" i="2" s="1"/>
  <c r="DN192" i="2" a="1"/>
  <c r="DN192" i="2" s="1"/>
  <c r="DN133" i="2" a="1"/>
  <c r="DN133" i="2" s="1"/>
  <c r="DN186" i="2" a="1"/>
  <c r="DN186" i="2" s="1"/>
  <c r="DN65" i="2" a="1"/>
  <c r="DN65" i="2" s="1"/>
  <c r="DN137" i="2" a="1"/>
  <c r="DN137" i="2" s="1"/>
  <c r="DN70" i="2" a="1"/>
  <c r="DN70" i="2" s="1"/>
  <c r="DN86" i="2" a="1"/>
  <c r="DN86" i="2" s="1"/>
  <c r="DN124" i="2" a="1"/>
  <c r="DN124" i="2" s="1"/>
  <c r="DN129" i="2" a="1"/>
  <c r="DN129" i="2" s="1"/>
  <c r="DN49" i="2" a="1"/>
  <c r="DN49" i="2" s="1"/>
  <c r="DN132" i="2" a="1"/>
  <c r="DN132" i="2" s="1"/>
  <c r="DN29" i="2" a="1"/>
  <c r="DN29" i="2" s="1"/>
  <c r="DN150" i="2" a="1"/>
  <c r="DN150" i="2" s="1"/>
  <c r="DN190" i="2" a="1"/>
  <c r="DN190" i="2" s="1"/>
  <c r="DN43" i="2" a="1"/>
  <c r="DN43" i="2" s="1"/>
  <c r="DN66" i="2" a="1"/>
  <c r="DN66" i="2" s="1"/>
  <c r="DN188" i="2" a="1"/>
  <c r="DN188" i="2" s="1"/>
  <c r="DN55" i="2" a="1"/>
  <c r="DN55" i="2" s="1"/>
  <c r="DN177" i="2" a="1"/>
  <c r="DN177" i="2" s="1"/>
  <c r="CS56" i="2" a="1"/>
  <c r="CS56" i="2" s="1"/>
  <c r="CS185" i="2" a="1"/>
  <c r="CS185" i="2" s="1"/>
  <c r="CS120" i="2" a="1"/>
  <c r="CS120" i="2" s="1"/>
  <c r="CS137" i="2" a="1"/>
  <c r="CS137" i="2" s="1"/>
  <c r="CS116" i="2" a="1"/>
  <c r="CS116" i="2" s="1"/>
  <c r="CS24" i="2" a="1"/>
  <c r="CS24" i="2" s="1"/>
  <c r="CS129" i="2" a="1"/>
  <c r="CS129" i="2" s="1"/>
  <c r="CS38" i="2" a="1"/>
  <c r="CS38" i="2" s="1"/>
  <c r="CS52" i="2" a="1"/>
  <c r="CS52" i="2" s="1"/>
  <c r="CS105" i="2" a="1"/>
  <c r="CS105" i="2" s="1"/>
  <c r="AH163" i="2" a="1"/>
  <c r="AH163" i="2" s="1"/>
  <c r="AH62" i="2" a="1"/>
  <c r="AH62" i="2" s="1"/>
  <c r="AH199" i="2" a="1"/>
  <c r="AH199" i="2" s="1"/>
  <c r="AH166" i="2" a="1"/>
  <c r="AH166" i="2" s="1"/>
  <c r="AH19" i="2" a="1"/>
  <c r="AH19" i="2" s="1"/>
  <c r="AH92" i="2" a="1"/>
  <c r="AH92" i="2" s="1"/>
  <c r="AH90" i="2" a="1"/>
  <c r="AH90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CY137" i="2" l="1"/>
  <c r="CY50" i="2"/>
  <c r="CY196" i="2"/>
  <c r="CY112" i="2"/>
  <c r="CY107" i="2"/>
  <c r="CY161" i="2"/>
  <c r="CY22" i="2"/>
  <c r="CY168" i="2"/>
  <c r="CY158" i="2"/>
  <c r="CY78" i="2"/>
  <c r="CY91" i="2"/>
  <c r="CY67" i="2"/>
  <c r="CY135" i="2"/>
  <c r="CY157" i="2"/>
  <c r="CY7" i="2"/>
  <c r="CY31" i="2"/>
  <c r="CY110" i="2"/>
  <c r="CY23" i="2"/>
  <c r="CY38" i="2"/>
  <c r="CY45" i="2"/>
  <c r="CY189" i="2"/>
  <c r="CY89" i="2"/>
  <c r="CY86" i="2"/>
  <c r="CY11" i="2"/>
  <c r="CY179" i="2"/>
  <c r="CY143" i="2"/>
  <c r="CY98" i="2"/>
  <c r="CY35" i="2"/>
  <c r="CY46" i="2"/>
  <c r="CY148" i="2"/>
  <c r="CY33" i="2"/>
  <c r="CY47" i="2"/>
  <c r="CY186" i="2"/>
  <c r="CY141" i="2"/>
  <c r="CY27" i="2"/>
  <c r="CY192" i="2"/>
  <c r="CY203" i="2"/>
  <c r="CY52" i="2"/>
  <c r="CY163" i="2"/>
  <c r="CY195" i="2"/>
  <c r="CY193" i="2"/>
  <c r="CY152" i="2"/>
  <c r="CY114" i="2"/>
  <c r="CY122" i="2"/>
  <c r="CY104" i="2"/>
  <c r="CY9" i="2"/>
  <c r="CY83" i="2"/>
  <c r="CY16" i="2"/>
  <c r="CY115" i="2"/>
  <c r="CY119" i="2"/>
  <c r="CY147" i="2"/>
  <c r="CY24" i="2"/>
  <c r="CY58" i="2"/>
  <c r="CY96" i="2"/>
  <c r="CY144" i="2"/>
  <c r="CY190" i="2"/>
  <c r="CY197" i="2"/>
  <c r="CY134" i="2"/>
  <c r="CY79" i="2"/>
  <c r="CY51" i="2"/>
  <c r="CY62" i="2"/>
  <c r="CY12" i="2"/>
  <c r="CY166" i="2"/>
  <c r="CY202" i="2"/>
  <c r="CY194" i="2"/>
  <c r="CY116" i="2"/>
  <c r="CY150" i="2"/>
  <c r="CY173" i="2"/>
  <c r="CY129" i="2"/>
  <c r="CY142" i="2"/>
  <c r="CY198" i="2"/>
  <c r="CY72" i="2"/>
  <c r="CY13" i="2"/>
  <c r="CY39" i="2"/>
  <c r="CY18" i="2"/>
  <c r="CY65" i="2"/>
  <c r="CY44" i="2"/>
  <c r="CY42" i="2"/>
  <c r="CY37" i="2"/>
  <c r="CY6" i="2"/>
  <c r="CY73" i="2"/>
  <c r="CY160" i="2"/>
  <c r="CY167" i="2"/>
  <c r="CY76" i="2"/>
  <c r="CY111" i="2"/>
  <c r="CY184" i="2"/>
  <c r="CY187" i="2"/>
  <c r="CY100" i="2"/>
  <c r="CY63" i="2"/>
  <c r="CY70" i="2"/>
  <c r="CY57" i="2"/>
  <c r="CY139" i="2"/>
  <c r="CY118" i="2"/>
  <c r="CY93" i="2"/>
  <c r="CY201" i="2"/>
  <c r="CY125" i="2"/>
  <c r="CY53" i="2"/>
  <c r="CY138" i="2"/>
  <c r="CY170" i="2"/>
  <c r="CY145" i="2"/>
  <c r="CY99" i="2"/>
  <c r="CY180" i="2"/>
  <c r="CY182" i="2"/>
  <c r="CY102" i="2"/>
  <c r="CY25" i="2"/>
  <c r="CY8" i="2"/>
  <c r="CY15" i="2"/>
  <c r="CY199" i="2"/>
  <c r="CY105" i="2"/>
  <c r="CY32" i="2"/>
  <c r="CY60" i="2"/>
  <c r="CY200" i="2"/>
  <c r="CY109" i="2"/>
  <c r="CY156" i="2"/>
  <c r="CY64" i="2"/>
  <c r="CY40" i="2"/>
  <c r="CY92" i="2"/>
  <c r="CY71" i="2"/>
  <c r="CY41" i="2"/>
  <c r="CY10" i="2"/>
  <c r="CY55" i="2"/>
  <c r="CY19" i="2"/>
  <c r="CY146" i="2"/>
  <c r="CY61" i="2"/>
  <c r="CY165" i="2"/>
  <c r="CY20" i="2"/>
  <c r="CY153" i="2"/>
  <c r="CY130" i="2"/>
  <c r="CY133" i="2"/>
  <c r="CY80" i="2"/>
  <c r="CY123" i="2"/>
  <c r="CY154" i="2"/>
  <c r="CY87" i="2"/>
  <c r="CY113" i="2"/>
  <c r="CY68" i="2"/>
  <c r="CY159" i="2"/>
  <c r="CY59" i="2"/>
  <c r="CY174" i="2"/>
  <c r="CY162" i="2"/>
  <c r="CY88" i="2"/>
  <c r="CY17" i="2"/>
  <c r="CY124" i="2"/>
  <c r="CY178" i="2"/>
  <c r="CY101" i="2"/>
  <c r="CY30" i="2"/>
  <c r="CY81" i="2"/>
  <c r="CY14" i="2"/>
  <c r="CY117" i="2"/>
  <c r="CY121" i="2"/>
  <c r="CY3" i="2"/>
  <c r="C10" i="4" s="1"/>
  <c r="E10" i="4" s="1"/>
  <c r="F10" i="4" s="1"/>
  <c r="G10" i="4" s="1"/>
  <c r="L10" i="4" s="1"/>
  <c r="CY132" i="2"/>
  <c r="CY69" i="2"/>
  <c r="CY26" i="2"/>
  <c r="CY149" i="2"/>
  <c r="CY84" i="2"/>
  <c r="CY172" i="2"/>
  <c r="CY48" i="2"/>
  <c r="CY5" i="2"/>
  <c r="CY43" i="2"/>
  <c r="CY120" i="2"/>
  <c r="CY126" i="2"/>
  <c r="CY188" i="2"/>
  <c r="CY97" i="2"/>
  <c r="CY175" i="2"/>
  <c r="CY131" i="2"/>
  <c r="CY177" i="2"/>
  <c r="CY183" i="2"/>
  <c r="CY191" i="2"/>
  <c r="CY74" i="2"/>
  <c r="CY75" i="2"/>
  <c r="CY77" i="2"/>
  <c r="CY136" i="2"/>
  <c r="CY106" i="2"/>
  <c r="CY171" i="2"/>
  <c r="CY56" i="2"/>
  <c r="CY29" i="2"/>
  <c r="CY85" i="2"/>
  <c r="CY181" i="2"/>
  <c r="CY54" i="2"/>
  <c r="CY151" i="2"/>
  <c r="CY103" i="2"/>
  <c r="CY66" i="2"/>
  <c r="CY28" i="2"/>
  <c r="CY169" i="2"/>
  <c r="CY155" i="2"/>
  <c r="CY108" i="2"/>
  <c r="CY185" i="2"/>
  <c r="CY36" i="2"/>
  <c r="CY140" i="2"/>
  <c r="CY176" i="2"/>
  <c r="CY49" i="2"/>
  <c r="CY34" i="2"/>
  <c r="CY94" i="2"/>
  <c r="CY128" i="2"/>
  <c r="CY95" i="2"/>
  <c r="CY164" i="2"/>
  <c r="CY127" i="2"/>
  <c r="CY82" i="2"/>
  <c r="CY90" i="2"/>
  <c r="CY21" i="2"/>
  <c r="CY4" i="2"/>
  <c r="DT169" i="2"/>
  <c r="DT186" i="2"/>
  <c r="DT108" i="2"/>
  <c r="DT12" i="2"/>
  <c r="DT67" i="2"/>
  <c r="DT38" i="2"/>
  <c r="DT80" i="2"/>
  <c r="DT112" i="2"/>
  <c r="DT52" i="2"/>
  <c r="DT87" i="2"/>
  <c r="DT158" i="2"/>
  <c r="DT153" i="2"/>
  <c r="DT142" i="2"/>
  <c r="DT62" i="2"/>
  <c r="DT50" i="2"/>
  <c r="DT97" i="2"/>
  <c r="DT41" i="2"/>
  <c r="DT99" i="2"/>
  <c r="DT44" i="2"/>
  <c r="DT55" i="2"/>
  <c r="DT173" i="2"/>
  <c r="DT26" i="2"/>
  <c r="DT100" i="2"/>
  <c r="DT126" i="2"/>
  <c r="DT180" i="2"/>
  <c r="DT10" i="2"/>
  <c r="DT168" i="2"/>
  <c r="DT136" i="2"/>
  <c r="DT96" i="2"/>
  <c r="DT172" i="2"/>
  <c r="DT125" i="2"/>
  <c r="DT122" i="2"/>
  <c r="DT107" i="2"/>
  <c r="DT191" i="2"/>
  <c r="DT69" i="2"/>
  <c r="DT27" i="2"/>
  <c r="DT120" i="2"/>
  <c r="DT34" i="2"/>
  <c r="DT162" i="2"/>
  <c r="DT11" i="2"/>
  <c r="DT21" i="2"/>
  <c r="DT110" i="2"/>
  <c r="DT145" i="2"/>
  <c r="DT32" i="2"/>
  <c r="DT152" i="2"/>
  <c r="DT47" i="2"/>
  <c r="DT102" i="2"/>
  <c r="DT170" i="2"/>
  <c r="DT194" i="2"/>
  <c r="DT178" i="2"/>
  <c r="DT130" i="2"/>
  <c r="DT121" i="2"/>
  <c r="DT160" i="2"/>
  <c r="DT17" i="2"/>
  <c r="DT70" i="2"/>
  <c r="DT19" i="2"/>
  <c r="DT111" i="2"/>
  <c r="DT75" i="2"/>
  <c r="DT37" i="2"/>
  <c r="DT15" i="2"/>
  <c r="DT77" i="2"/>
  <c r="DT199" i="2"/>
  <c r="DT40" i="2"/>
  <c r="DT118" i="2"/>
  <c r="DT147" i="2"/>
  <c r="DT58" i="2"/>
  <c r="DT156" i="2"/>
  <c r="DT57" i="2"/>
  <c r="DT4" i="2"/>
  <c r="DT73" i="2"/>
  <c r="DT36" i="2"/>
  <c r="DT149" i="2"/>
  <c r="DT42" i="2"/>
  <c r="DT28" i="2"/>
  <c r="DT8" i="2"/>
  <c r="DT161" i="2"/>
  <c r="DT7" i="2"/>
  <c r="DT45" i="2"/>
  <c r="DT117" i="2"/>
  <c r="DT127" i="2"/>
  <c r="DT86" i="2"/>
  <c r="DT119" i="2"/>
  <c r="DT150" i="2"/>
  <c r="DT139" i="2"/>
  <c r="DT92" i="2"/>
  <c r="DT181" i="2"/>
  <c r="DT59" i="2"/>
  <c r="DT106" i="2"/>
  <c r="DT146" i="2"/>
  <c r="DT174" i="2"/>
  <c r="DT141" i="2"/>
  <c r="DT140" i="2"/>
  <c r="DT192" i="2"/>
  <c r="DT203" i="2"/>
  <c r="DT101" i="2"/>
  <c r="DT23" i="2"/>
  <c r="DT66" i="2"/>
  <c r="DT129" i="2"/>
  <c r="DT105" i="2"/>
  <c r="DT35" i="2"/>
  <c r="DT195" i="2"/>
  <c r="DT46" i="2"/>
  <c r="DT31" i="2"/>
  <c r="DT151" i="2"/>
  <c r="DT98" i="2"/>
  <c r="DT68" i="2"/>
  <c r="DT74" i="2"/>
  <c r="DT128" i="2"/>
  <c r="DT43" i="2"/>
  <c r="DT54" i="2"/>
  <c r="DT88" i="2"/>
  <c r="DT33" i="2"/>
  <c r="DT13" i="2"/>
  <c r="DT154" i="2"/>
  <c r="DT79" i="2"/>
  <c r="DT165" i="2"/>
  <c r="DT157" i="2"/>
  <c r="DT133" i="2"/>
  <c r="DT82" i="2"/>
  <c r="DT164" i="2"/>
  <c r="DT124" i="2"/>
  <c r="DT78" i="2"/>
  <c r="DT143" i="2"/>
  <c r="DT176" i="2"/>
  <c r="DT90" i="2"/>
  <c r="DT22" i="2"/>
  <c r="DT103" i="2"/>
  <c r="DT193" i="2"/>
  <c r="DT49" i="2"/>
  <c r="DT155" i="2"/>
  <c r="DT6" i="2"/>
  <c r="DT131" i="2"/>
  <c r="DT29" i="2"/>
  <c r="DT85" i="2"/>
  <c r="DT20" i="2"/>
  <c r="DT179" i="2"/>
  <c r="DT197" i="2"/>
  <c r="DT132" i="2"/>
  <c r="DT14" i="2"/>
  <c r="DT84" i="2"/>
  <c r="DT202" i="2"/>
  <c r="DT138" i="2"/>
  <c r="DT171" i="2"/>
  <c r="DT48" i="2"/>
  <c r="DT64" i="2"/>
  <c r="DT201" i="2"/>
  <c r="DT60" i="2"/>
  <c r="DT123" i="2"/>
  <c r="DT175" i="2"/>
  <c r="DT137" i="2"/>
  <c r="DT72" i="2"/>
  <c r="DT183" i="2"/>
  <c r="DT18" i="2"/>
  <c r="DT190" i="2"/>
  <c r="DT114" i="2"/>
  <c r="DT24" i="2"/>
  <c r="DT188" i="2"/>
  <c r="DT134" i="2"/>
  <c r="DT76" i="2"/>
  <c r="DT91" i="2"/>
  <c r="DT83" i="2"/>
  <c r="DT9" i="2"/>
  <c r="DT196" i="2"/>
  <c r="DT163" i="2"/>
  <c r="DT185" i="2"/>
  <c r="DT198" i="2"/>
  <c r="DT167" i="2"/>
  <c r="DT65" i="2"/>
  <c r="DT187" i="2"/>
  <c r="DT166" i="2"/>
  <c r="DT135" i="2"/>
  <c r="DT144" i="2"/>
  <c r="DT177" i="2"/>
  <c r="DT30" i="2"/>
  <c r="DT113" i="2"/>
  <c r="DT51" i="2"/>
  <c r="DT61" i="2"/>
  <c r="DT89" i="2"/>
  <c r="DT95" i="2"/>
  <c r="DT93" i="2"/>
  <c r="DT3" i="2"/>
  <c r="C11" i="4" s="1"/>
  <c r="E11" i="4" s="1"/>
  <c r="F11" i="4" s="1"/>
  <c r="G11" i="4" s="1"/>
  <c r="L11" i="4" s="1"/>
  <c r="DT5" i="2"/>
  <c r="DT159" i="2"/>
  <c r="DT184" i="2"/>
  <c r="DT53" i="2"/>
  <c r="DT94" i="2"/>
  <c r="DT182" i="2"/>
  <c r="DT25" i="2"/>
  <c r="DT115" i="2"/>
  <c r="DT104" i="2"/>
  <c r="DT16" i="2"/>
  <c r="DT63" i="2"/>
  <c r="DT56" i="2"/>
  <c r="DT71" i="2"/>
  <c r="DT148" i="2"/>
  <c r="DT189" i="2"/>
  <c r="DT39" i="2"/>
  <c r="DT200" i="2"/>
  <c r="DT116" i="2"/>
  <c r="DT109" i="2"/>
  <c r="DT81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16" i="2"/>
  <c r="BI153" i="2"/>
  <c r="BI137" i="2"/>
  <c r="BI148" i="2"/>
  <c r="BI126" i="2"/>
  <c r="BI59" i="2"/>
  <c r="BI177" i="2"/>
  <c r="BI161" i="2"/>
  <c r="BI154" i="2"/>
  <c r="BI30" i="2"/>
  <c r="BI195" i="2"/>
  <c r="BI166" i="2"/>
  <c r="BI13" i="2"/>
  <c r="BI123" i="2"/>
  <c r="BI14" i="2"/>
  <c r="BI101" i="2"/>
  <c r="BI93" i="2"/>
  <c r="BI98" i="2"/>
  <c r="BI112" i="2"/>
  <c r="BI89" i="2"/>
  <c r="BI83" i="2"/>
  <c r="BI3" i="2"/>
  <c r="C8" i="4" s="1"/>
  <c r="E8" i="4" s="1"/>
  <c r="F8" i="4" s="1"/>
  <c r="G8" i="4" s="1"/>
  <c r="L8" i="4" s="1"/>
  <c r="BI130" i="2"/>
  <c r="BI23" i="2"/>
  <c r="BI141" i="2"/>
  <c r="BI115" i="2"/>
  <c r="BI171" i="2"/>
  <c r="BI180" i="2"/>
  <c r="BI41" i="2"/>
  <c r="BI6" i="2"/>
  <c r="BI50" i="2"/>
  <c r="BI94" i="2"/>
  <c r="BI58" i="2"/>
  <c r="BI122" i="2"/>
  <c r="BI127" i="2"/>
  <c r="BI175" i="2"/>
  <c r="BI5" i="2"/>
  <c r="BI24" i="2"/>
  <c r="BI25" i="2"/>
  <c r="BI169" i="2"/>
  <c r="BI76" i="2"/>
  <c r="BI86" i="2"/>
  <c r="BI160" i="2"/>
  <c r="BI8" i="2"/>
  <c r="BI163" i="2"/>
  <c r="BI102" i="2"/>
  <c r="BI90" i="2"/>
  <c r="BI27" i="2"/>
  <c r="BI114" i="2"/>
  <c r="BI36" i="2"/>
  <c r="BI186" i="2"/>
  <c r="BI4" i="2"/>
  <c r="BI79" i="2"/>
  <c r="BI165" i="2"/>
  <c r="BI39" i="2"/>
  <c r="BI49" i="2"/>
  <c r="BI42" i="2"/>
  <c r="BI125" i="2"/>
  <c r="BI26" i="2"/>
  <c r="BI172" i="2"/>
  <c r="BI151" i="2"/>
  <c r="BI119" i="2"/>
  <c r="BI82" i="2"/>
  <c r="BI60" i="2"/>
  <c r="BI56" i="2"/>
  <c r="BI193" i="2"/>
  <c r="BI80" i="2"/>
  <c r="BI144" i="2"/>
  <c r="BI147" i="2"/>
  <c r="BI45" i="2"/>
  <c r="BI104" i="2"/>
  <c r="BI168" i="2"/>
  <c r="BI99" i="2"/>
  <c r="BI96" i="2"/>
  <c r="BI57" i="2"/>
  <c r="BI108" i="2"/>
  <c r="BI132" i="2"/>
  <c r="BI138" i="2"/>
  <c r="BI92" i="2"/>
  <c r="BI131" i="2"/>
  <c r="BI18" i="2"/>
  <c r="BI88" i="2"/>
  <c r="BI64" i="2"/>
  <c r="BI40" i="2"/>
  <c r="BI68" i="2"/>
  <c r="BI106" i="2"/>
  <c r="BI173" i="2"/>
  <c r="BI65" i="2"/>
  <c r="BI164" i="2"/>
  <c r="BI73" i="2"/>
  <c r="BI118" i="2"/>
  <c r="BI9" i="2"/>
  <c r="BI22" i="2"/>
  <c r="BI11" i="2"/>
  <c r="BI179" i="2"/>
  <c r="BI75" i="2"/>
  <c r="BI54" i="2"/>
  <c r="BI185" i="2"/>
  <c r="BI87" i="2"/>
  <c r="BI191" i="2"/>
  <c r="BI53" i="2"/>
  <c r="BI143" i="2"/>
  <c r="BI140" i="2"/>
  <c r="BI158" i="2"/>
  <c r="BI38" i="2"/>
  <c r="BI52" i="2"/>
  <c r="BI91" i="2"/>
  <c r="BI194" i="2"/>
  <c r="BI69" i="2"/>
  <c r="BI81" i="2"/>
  <c r="BI16" i="2"/>
  <c r="BI32" i="2"/>
  <c r="BI162" i="2"/>
  <c r="BI78" i="2"/>
  <c r="BI20" i="2"/>
  <c r="BI51" i="2"/>
  <c r="BI110" i="2"/>
  <c r="BI105" i="2"/>
  <c r="BI187" i="2"/>
  <c r="BI190" i="2"/>
  <c r="BI109" i="2"/>
  <c r="BI135" i="2"/>
  <c r="BI63" i="2"/>
  <c r="BI33" i="2"/>
  <c r="BI37" i="2"/>
  <c r="BI111" i="2"/>
  <c r="BI198" i="2"/>
  <c r="BI66" i="2"/>
  <c r="BI97" i="2"/>
  <c r="BI84" i="2"/>
  <c r="BI100" i="2"/>
  <c r="BI149" i="2"/>
  <c r="BI124" i="2"/>
  <c r="BI150" i="2"/>
  <c r="BI28" i="2"/>
  <c r="BI155" i="2"/>
  <c r="BI107" i="2"/>
  <c r="BI19" i="2"/>
  <c r="BI70" i="2"/>
  <c r="BI136" i="2"/>
  <c r="BI189" i="2"/>
  <c r="BI10" i="2"/>
  <c r="BI34" i="2"/>
  <c r="BI152" i="2"/>
  <c r="BI12" i="2"/>
  <c r="BI121" i="2"/>
  <c r="BI103" i="2"/>
  <c r="BI174" i="2"/>
  <c r="BI176" i="2"/>
  <c r="BI31" i="2"/>
  <c r="BI129" i="2"/>
  <c r="BI134" i="2"/>
  <c r="BI200" i="2"/>
  <c r="BI196" i="2"/>
  <c r="BI67" i="2"/>
  <c r="BI142" i="2"/>
  <c r="BI17" i="2"/>
  <c r="BI48" i="2"/>
  <c r="BI44" i="2"/>
  <c r="BI71" i="2"/>
  <c r="BI7" i="2"/>
  <c r="BI133" i="2"/>
  <c r="BI178" i="2"/>
  <c r="BI29" i="2"/>
  <c r="BI146" i="2"/>
  <c r="BI139" i="2"/>
  <c r="BI85" i="2"/>
  <c r="BI192" i="2"/>
  <c r="BI188" i="2"/>
  <c r="BI46" i="2"/>
  <c r="BI202" i="2"/>
  <c r="BI197" i="2"/>
  <c r="BI120" i="2"/>
  <c r="BI170" i="2"/>
  <c r="BI72" i="2"/>
  <c r="BI61" i="2"/>
  <c r="BI15" i="2"/>
  <c r="BI145" i="2"/>
  <c r="BI199" i="2"/>
  <c r="BI157" i="2"/>
  <c r="BI95" i="2"/>
  <c r="BI201" i="2"/>
  <c r="BI74" i="2"/>
  <c r="BI167" i="2"/>
  <c r="BI183" i="2"/>
  <c r="BI43" i="2"/>
  <c r="BI55" i="2"/>
  <c r="BI181" i="2"/>
  <c r="BI203" i="2"/>
  <c r="BI184" i="2"/>
  <c r="BI159" i="2"/>
  <c r="BI128" i="2"/>
  <c r="BI113" i="2"/>
  <c r="BI182" i="2"/>
  <c r="BI35" i="2"/>
  <c r="BI77" i="2"/>
  <c r="BI62" i="2"/>
  <c r="BI156" i="2"/>
  <c r="BI21" i="2"/>
  <c r="BI117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<sst xmlns="http://schemas.openxmlformats.org/spreadsheetml/2006/main" count="1181" uniqueCount="328">
  <si>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</si>
  <si>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</si>
  <si>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</si>
  <si>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</si>
  <si>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</si>
  <si>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</si>
  <si>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</si>
  <si>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</si>
  <si>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</si>
  <si>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</si>
  <si>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</si>
  <si>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</si>
  <si>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</si>
  <si>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</si>
  <si>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</si>
  <si>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</si>
  <si>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</si>
  <si>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</si>
  <si>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</si>
  <si>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</si>
  <si>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</si>
  <si>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</si>
  <si>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</si>
  <si>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</si>
  <si>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</si>
  <si>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</si>
  <si>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</si>
  <si>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</si>
  <si>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</si>
  <si>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</si>
  <si>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</si>
  <si>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</si>
  <si>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</si>
  <si>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</si>
  <si>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</si>
  <si>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</si>
  <si>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</si>
  <si>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</si>
  <si>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</si>
  <si>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</si>
  <si>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</si>
  <si>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</si>
  <si>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</si>
  <si>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</si>
  <si>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</si>
  <si>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</si>
  <si>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</si>
  <si>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</si>
  <si>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</si>
  <si>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</si>
  <si>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</si>
  <si>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</si>
  <si>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</si>
  <si>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</si>
  <si>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</si>
  <si>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</si>
  <si>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</si>
  <si>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</si>
  <si>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</si>
  <si>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</si>
  <si>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</si>
  <si>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</si>
  <si>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</si>
  <si>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</si>
  <si>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</si>
  <si>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</si>
  <si>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</si>
  <si>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</si>
  <si>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</si>
  <si>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</si>
  <si>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</si>
  <si>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</si>
  <si>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</si>
  <si>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</si>
  <si>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</si>
  <si>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</si>
  <si>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</si>
  <si>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</si>
  <si>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</si>
  <si>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</si>
  <si>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</si>
  <si>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</si>
  <si>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</si>
  <si>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</si>
  <si>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</si>
  <si>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</si>
  <si>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</si>
  <si>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</si>
  <si>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</si>
  <si>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</si>
  <si>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</si>
  <si>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</si>
  <si>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</si>
  <si>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</si>
  <si>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</si>
  <si>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</si>
  <si>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</si>
  <si>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</si>
  <si>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</si>
  <si>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</si>
  <si>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</si>
  <si>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</si>
  <si>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</si>
  <si>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</si>
  <si>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</si>
  <si>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</si>
  <si>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</si>
  <si>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</si>
  <si>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</si>
  <si>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</si>
  <si>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</si>
  <si>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</si>
  <si>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</si>
  <si>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</si>
  <si>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</si>
  <si>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</si>
  <si>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</si>
  <si>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</si>
  <si>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</si>
  <si>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</si>
  <si>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</si>
  <si>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</si>
  <si>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</si>
  <si>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</si>
  <si>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</si>
  <si>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</si>
  <si>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</si>
  <si>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</si>
  <si>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</si>
  <si>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</si>
  <si>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</si>
  <si>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</si>
  <si>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</si>
  <si>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</si>
  <si>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</si>
  <si>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</si>
  <si>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</si>
  <si>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</si>
  <si>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</si>
  <si>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</si>
  <si>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</si>
  <si>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</si>
  <si>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</si>
  <si>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</si>
  <si>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</si>
  <si>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</si>
  <si>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</si>
  <si>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</si>
  <si>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</si>
  <si>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</si>
  <si>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</si>
  <si>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</si>
  <si>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</si>
  <si>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</si>
  <si>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</si>
  <si>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</si>
  <si>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</si>
  <si>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</si>
  <si>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</si>
  <si>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</si>
  <si>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</si>
  <si>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</si>
  <si>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</si>
  <si>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</si>
  <si>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</si>
  <si>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</si>
  <si>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</si>
  <si>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</si>
  <si>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</si>
  <si>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</si>
  <si>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</si>
  <si>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</si>
  <si>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</si>
  <si>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</si>
  <si>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</si>
  <si>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</si>
  <si>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</si>
  <si>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</si>
  <si>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</si>
  <si>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</si>
  <si>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</si>
  <si>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</si>
  <si>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</si>
  <si>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</si>
  <si>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</si>
  <si>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</si>
  <si>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</si>
  <si>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</si>
  <si>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</si>
  <si>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</si>
  <si>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</si>
  <si>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</si>
  <si>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</si>
  <si>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</si>
  <si>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</si>
  <si>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</si>
  <si>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</si>
  <si>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</si>
  <si>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</si>
  <si>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</si>
  <si>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</si>
  <si>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</si>
  <si>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</si>
  <si>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</si>
  <si>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</si>
  <si>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</si>
  <si>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</si>
  <si>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</si>
  <si>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</si>
  <si>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</si>
  <si>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</si>
  <si>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</si>
  <si>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</si>
  <si>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</si>
  <si>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</si>
  <si>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</si>
  <si>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</si>
  <si>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</si>
  <si>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</si>
  <si>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</si>
  <si>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</si>
  <si>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</si>
  <si>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</si>
  <si>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</si>
  <si>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</si>
  <si>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</si>
  <si>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</si>
  <si>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</si>
  <si>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</si>
  <si>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</si>
  <si>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</si>
  <si>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</si>
  <si>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</si>
  <si>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</si>
  <si>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</si>
  <si>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</si>
  <si>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</si>
  <si>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</si>
  <si>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</si>
  <si>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</si>
  <si>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</si>
  <si>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</si>
  <si>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</si>
  <si>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</si>
  <si>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</si>
  <si>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</si>
  <si>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</si>
  <si>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</si>
  <si>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</si>
  <si>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</si>
  <si>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</si>
  <si>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</si>
  <si>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</si>
  <si>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</si>
  <si>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</si>
  <si>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</si>
  <si>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</si>
  <si>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</si>
  <si>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</si>
  <si>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</si>
  <si>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</si>
  <si>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</si>
  <si>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</si>
  <si>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</si>
  <si>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</si>
  <si>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</si>
  <si>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</si>
  <si>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</si>
  <si>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</si>
  <si>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</si>
  <si>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</si>
  <si>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</si>
  <si>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</si>
  <si>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</si>
  <si>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</si>
  <si>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</si>
  <si>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</si>
  <si>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</si>
  <si>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</si>
  <si>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</si>
  <si>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</si>
  <si>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</si>
  <si>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</si>
  <si>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</si>
  <si>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</si>
  <si>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</si>
  <si>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</si>
  <si>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</si>
  <si>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</si>
  <si>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</si>
  <si>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</si>
  <si>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</si>
  <si>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</si>
  <si>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</si>
  <si>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</si>
  <si>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</si>
  <si>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</si>
  <si>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</si>
  <si>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</si>
  <si>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</si>
  <si>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</si>
  <si>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</si>
  <si>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</si>
  <si>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</si>
  <si>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</si>
  <si>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</si>
  <si>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</si>
  <si>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</si>
  <si>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</si>
  <si>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</si>
  <si>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</si>
  <si>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</si>
  <si>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</si>
  <si>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</si>
  <si>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</si>
  <si>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</si>
  <si>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</si>
  <si>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</si>
  <si>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</si>
  <si>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</si>
  <si>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</si>
  <si>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</si>
  <si>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</si>
  <si>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</si>
  <si>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F2 LOIRE ONF</t>
  </si>
  <si>
    <t>Duyck</t>
  </si>
  <si>
    <t>ONF_F3 N-E France</t>
  </si>
  <si>
    <t>UK For. Com_F8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</si>
</sst>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2.4666401082077529</c:v>
                </c:pt>
                <c:pt idx="2">
                  <c:v>3.038131488248808</c:v>
                </c:pt>
                <c:pt idx="3">
                  <c:v>3.7425387547668367</c:v>
                </c:pt>
                <c:pt idx="4">
                  <c:v>4.6108866206039663</c:v>
                </c:pt>
                <c:pt idx="5">
                  <c:v>5.6814658439892973</c:v>
                </c:pt>
                <c:pt idx="6">
                  <c:v>7.0015402599437531</c:v>
                </c:pt>
                <c:pt idx="7">
                  <c:v>8.6294560019543258</c:v>
                </c:pt>
                <c:pt idx="8">
                  <c:v>10.637247922670763</c:v>
                </c:pt>
                <c:pt idx="9">
                  <c:v>13.113860719985803</c:v>
                </c:pt>
                <c:pt idx="10">
                  <c:v>16.169130111381239</c:v>
                </c:pt>
                <c:pt idx="11">
                  <c:v>19.938703844324056</c:v>
                </c:pt>
                <c:pt idx="12">
                  <c:v>24.590124955629083</c:v>
                </c:pt>
                <c:pt idx="13">
                  <c:v>30.33035244444093</c:v>
                </c:pt>
                <c:pt idx="14">
                  <c:v>37.415059812099081</c:v>
                </c:pt>
                <c:pt idx="15">
                  <c:v>46.160132732540724</c:v>
                </c:pt>
                <c:pt idx="16">
                  <c:v>53.544050503850364</c:v>
                </c:pt>
                <c:pt idx="17">
                  <c:v>64.237401598357238</c:v>
                </c:pt>
                <c:pt idx="18">
                  <c:v>74.884579280274849</c:v>
                </c:pt>
                <c:pt idx="19">
                  <c:v>85.493098566478125</c:v>
                </c:pt>
                <c:pt idx="20">
                  <c:v>96.068445641261476</c:v>
                </c:pt>
                <c:pt idx="21">
                  <c:v>80.193291162399461</c:v>
                </c:pt>
                <c:pt idx="22">
                  <c:v>91.886046932171325</c:v>
                </c:pt>
                <c:pt idx="23">
                  <c:v>103.54156485887916</c:v>
                </c:pt>
                <c:pt idx="24">
                  <c:v>115.16463575201853</c:v>
                </c:pt>
                <c:pt idx="25">
                  <c:v>126.75900094885519</c:v>
                </c:pt>
                <c:pt idx="26">
                  <c:v>109.79548104191571</c:v>
                </c:pt>
                <c:pt idx="27">
                  <c:v>122.38693696465789</c:v>
                </c:pt>
                <c:pt idx="28">
                  <c:v>134.94687886983328</c:v>
                </c:pt>
                <c:pt idx="29">
                  <c:v>147.47865649814872</c:v>
                </c:pt>
                <c:pt idx="30">
                  <c:v>159.98500254922158</c:v>
                </c:pt>
                <c:pt idx="31">
                  <c:v>172.46818680341792</c:v>
                </c:pt>
                <c:pt idx="32">
                  <c:v>145.84557228360381</c:v>
                </c:pt>
                <c:pt idx="33">
                  <c:v>158.35509811111217</c:v>
                </c:pt>
                <c:pt idx="34">
                  <c:v>170.84118819614926</c:v>
                </c:pt>
                <c:pt idx="35">
                  <c:v>183.30579795772098</c:v>
                </c:pt>
                <c:pt idx="36">
                  <c:v>195.75059480584989</c:v>
                </c:pt>
                <c:pt idx="37">
                  <c:v>208.17701657982505</c:v>
                </c:pt>
                <c:pt idx="38">
                  <c:v>181.29426173871184</c:v>
                </c:pt>
                <c:pt idx="39">
                  <c:v>193.35586169716734</c:v>
                </c:pt>
                <c:pt idx="40">
                  <c:v>205.39996584148545</c:v>
                </c:pt>
                <c:pt idx="41">
                  <c:v>217.42774527281196</c:v>
                </c:pt>
                <c:pt idx="42">
                  <c:v>229.44023082304497</c:v>
                </c:pt>
                <c:pt idx="43">
                  <c:v>241.43833647949381</c:v>
                </c:pt>
                <c:pt idx="44">
                  <c:v>253.42287790323667</c:v>
                </c:pt>
                <c:pt idx="45">
                  <c:v>218.29453042918621</c:v>
                </c:pt>
                <c:pt idx="46">
                  <c:v>229.47870880055882</c:v>
                </c:pt>
                <c:pt idx="47">
                  <c:v>240.6504241738447</c:v>
                </c:pt>
                <c:pt idx="48">
                  <c:v>251.81033702718767</c:v>
                </c:pt>
                <c:pt idx="49">
                  <c:v>262.95904447060485</c:v>
                </c:pt>
                <c:pt idx="50">
                  <c:v>274.09708881265965</c:v>
                </c:pt>
                <c:pt idx="51">
                  <c:v>285.224964660598</c:v>
                </c:pt>
                <c:pt idx="52">
                  <c:v>296.34312485361016</c:v>
                </c:pt>
                <c:pt idx="53">
                  <c:v>254.90083615003348</c:v>
                </c:pt>
                <c:pt idx="54">
                  <c:v>264.97271844500727</c:v>
                </c:pt>
                <c:pt idx="55">
                  <c:v>275.03597041080951</c:v>
                </c:pt>
                <c:pt idx="56">
                  <c:v>285.09095256078473</c:v>
                </c:pt>
                <c:pt idx="57">
                  <c:v>295.13799788320961</c:v>
                </c:pt>
                <c:pt idx="58">
                  <c:v>305.17741482861635</c:v>
                </c:pt>
                <c:pt idx="59">
                  <c:v>315.2094898832018</c:v>
                </c:pt>
                <c:pt idx="60">
                  <c:v>325.23448979729528</c:v>
                </c:pt>
                <c:pt idx="61">
                  <c:v>284.19750247594328</c:v>
                </c:pt>
                <c:pt idx="62">
                  <c:v>293.4863491195228</c:v>
                </c:pt>
                <c:pt idx="63">
                  <c:v>302.76863479871071</c:v>
                </c:pt>
                <c:pt idx="64">
                  <c:v>312.04458917169069</c:v>
                </c:pt>
                <c:pt idx="65">
                  <c:v>321.31442711818204</c:v>
                </c:pt>
                <c:pt idx="66">
                  <c:v>330.57835009864004</c:v>
                </c:pt>
                <c:pt idx="67">
                  <c:v>339.83654735304776</c:v>
                </c:pt>
                <c:pt idx="68">
                  <c:v>349.08919696217669</c:v>
                </c:pt>
                <c:pt idx="69">
                  <c:v>358.33646679039742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2.1840002048843661</c:v>
                </c:pt>
                <c:pt idx="2">
                  <c:v>2.7539039091267692</c:v>
                </c:pt>
                <c:pt idx="3">
                  <c:v>3.4731078023855084</c:v>
                </c:pt>
                <c:pt idx="4">
                  <c:v>4.3808697663619798</c:v>
                </c:pt>
                <c:pt idx="5">
                  <c:v>5.5268061034535796</c:v>
                </c:pt>
                <c:pt idx="6">
                  <c:v>6.9736334297828648</c:v>
                </c:pt>
                <c:pt idx="7">
                  <c:v>8.8006384949715102</c:v>
                </c:pt>
                <c:pt idx="8">
                  <c:v>11.108069703220364</c:v>
                </c:pt>
                <c:pt idx="9">
                  <c:v>14.022695820056965</c:v>
                </c:pt>
                <c:pt idx="10">
                  <c:v>17.704842888704938</c:v>
                </c:pt>
                <c:pt idx="11">
                  <c:v>22.357303455629751</c:v>
                </c:pt>
                <c:pt idx="12">
                  <c:v>28.236617517648664</c:v>
                </c:pt>
                <c:pt idx="13">
                  <c:v>35.667358116863085</c:v>
                </c:pt>
                <c:pt idx="14">
                  <c:v>45.060223790575982</c:v>
                </c:pt>
                <c:pt idx="15">
                  <c:v>56.934954730586902</c:v>
                </c:pt>
                <c:pt idx="16">
                  <c:v>51.843545813809293</c:v>
                </c:pt>
                <c:pt idx="17">
                  <c:v>69.167301187373923</c:v>
                </c:pt>
                <c:pt idx="18">
                  <c:v>86.378756193793791</c:v>
                </c:pt>
                <c:pt idx="19">
                  <c:v>103.50361847180874</c:v>
                </c:pt>
                <c:pt idx="20">
                  <c:v>120.55829551377816</c:v>
                </c:pt>
                <c:pt idx="21">
                  <c:v>97.90214978108321</c:v>
                </c:pt>
                <c:pt idx="22">
                  <c:v>116.44740463134538</c:v>
                </c:pt>
                <c:pt idx="23">
                  <c:v>134.92034809985532</c:v>
                </c:pt>
                <c:pt idx="24">
                  <c:v>153.3322955751384</c:v>
                </c:pt>
                <c:pt idx="25">
                  <c:v>171.69161142115618</c:v>
                </c:pt>
                <c:pt idx="26">
                  <c:v>148.07743258285993</c:v>
                </c:pt>
                <c:pt idx="27">
                  <c:v>165.28596765319438</c:v>
                </c:pt>
                <c:pt idx="28">
                  <c:v>182.45217779473441</c:v>
                </c:pt>
                <c:pt idx="29">
                  <c:v>199.58060763371597</c:v>
                </c:pt>
                <c:pt idx="30">
                  <c:v>216.67495686509289</c:v>
                </c:pt>
                <c:pt idx="31">
                  <c:v>191.74660946762219</c:v>
                </c:pt>
                <c:pt idx="32">
                  <c:v>207.40747716194713</c:v>
                </c:pt>
                <c:pt idx="33">
                  <c:v>223.04103536231375</c:v>
                </c:pt>
                <c:pt idx="34">
                  <c:v>238.64946815456815</c:v>
                </c:pt>
                <c:pt idx="35">
                  <c:v>254.23465040940448</c:v>
                </c:pt>
                <c:pt idx="36">
                  <c:v>227.66828578510027</c:v>
                </c:pt>
                <c:pt idx="37">
                  <c:v>241.53731564574147</c:v>
                </c:pt>
                <c:pt idx="38">
                  <c:v>255.38822954763404</c:v>
                </c:pt>
                <c:pt idx="39">
                  <c:v>269.22214864231626</c:v>
                </c:pt>
                <c:pt idx="40">
                  <c:v>283.04006939986522</c:v>
                </c:pt>
                <c:pt idx="41">
                  <c:v>254.52305628500744</c:v>
                </c:pt>
                <c:pt idx="42">
                  <c:v>266.34143288880705</c:v>
                </c:pt>
                <c:pt idx="43">
                  <c:v>278.14799417366703</c:v>
                </c:pt>
                <c:pt idx="44">
                  <c:v>289.94331256428518</c:v>
                </c:pt>
                <c:pt idx="45">
                  <c:v>301.72791008451253</c:v>
                </c:pt>
                <c:pt idx="46">
                  <c:v>280.45038555869701</c:v>
                </c:pt>
                <c:pt idx="47">
                  <c:v>290.80595767435875</c:v>
                </c:pt>
                <c:pt idx="48">
                  <c:v>301.15329302528215</c:v>
                </c:pt>
                <c:pt idx="49">
                  <c:v>311.49271468133566</c:v>
                </c:pt>
                <c:pt idx="50">
                  <c:v>321.82452250125186</c:v>
                </c:pt>
                <c:pt idx="51">
                  <c:v>306.03676500452571</c:v>
                </c:pt>
                <c:pt idx="52">
                  <c:v>314.65045048417011</c:v>
                </c:pt>
                <c:pt idx="53">
                  <c:v>323.25890960508121</c:v>
                </c:pt>
                <c:pt idx="54">
                  <c:v>331.86230128321324</c:v>
                </c:pt>
                <c:pt idx="55">
                  <c:v>340.46077551603128</c:v>
                </c:pt>
                <c:pt idx="56">
                  <c:v>329.28180677177016</c:v>
                </c:pt>
                <c:pt idx="57">
                  <c:v>336.7353644960258</c:v>
                </c:pt>
                <c:pt idx="58">
                  <c:v>344.18528987135346</c:v>
                </c:pt>
                <c:pt idx="59">
                  <c:v>351.63167268082196</c:v>
                </c:pt>
                <c:pt idx="60">
                  <c:v>359.07459859126033</c:v>
                </c:pt>
                <c:pt idx="61">
                  <c:v>348.1953152639291</c:v>
                </c:pt>
                <c:pt idx="62">
                  <c:v>354.49474104178239</c:v>
                </c:pt>
                <c:pt idx="63">
                  <c:v>360.79171467277774</c:v>
                </c:pt>
                <c:pt idx="64">
                  <c:v>367.08628503631934</c:v>
                </c:pt>
                <c:pt idx="65">
                  <c:v>373.37849919705491</c:v>
                </c:pt>
                <c:pt idx="66">
                  <c:v>363.08092490118565</c:v>
                </c:pt>
                <c:pt idx="67">
                  <c:v>368.51653895153322</c:v>
                </c:pt>
                <c:pt idx="68">
                  <c:v>373.95040340997576</c:v>
                </c:pt>
                <c:pt idx="69">
                  <c:v>379.38254731510438</c:v>
                </c:pt>
                <c:pt idx="70">
                  <c:v>384.81299880518804</c:v>
                </c:pt>
                <c:pt idx="71">
                  <c:v>375.3800806123125</c:v>
                </c:pt>
                <c:pt idx="72">
                  <c:v>380.24009882927476</c:v>
                </c:pt>
                <c:pt idx="73">
                  <c:v>385.09876568097212</c:v>
                </c:pt>
                <c:pt idx="74">
                  <c:v>389.95610064267231</c:v>
                </c:pt>
                <c:pt idx="75">
                  <c:v>394.81212266433687</c:v>
                </c:pt>
                <c:pt idx="76">
                  <c:v>385.95603867315367</c:v>
                </c:pt>
                <c:pt idx="77">
                  <c:v>389.95610064267231</c:v>
                </c:pt>
                <c:pt idx="78">
                  <c:v>393.95527218452713</c:v>
                </c:pt>
                <c:pt idx="79">
                  <c:v>397.95356362471392</c:v>
                </c:pt>
                <c:pt idx="80">
                  <c:v>401.95098506454946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2.8167663049162832</c:v>
                </c:pt>
                <c:pt idx="2">
                  <c:v>3.5524452752527771</c:v>
                </c:pt>
                <c:pt idx="3">
                  <c:v>4.4810160304681945</c:v>
                </c:pt>
                <c:pt idx="4">
                  <c:v>5.6532387557440282</c:v>
                </c:pt>
                <c:pt idx="5">
                  <c:v>7.133276837391672</c:v>
                </c:pt>
                <c:pt idx="6">
                  <c:v>9.002247118422753</c:v>
                </c:pt>
                <c:pt idx="7">
                  <c:v>11.362713273379695</c:v>
                </c:pt>
                <c:pt idx="8">
                  <c:v>14.344373503714223</c:v>
                </c:pt>
                <c:pt idx="9">
                  <c:v>18.111260823932788</c:v>
                </c:pt>
                <c:pt idx="10">
                  <c:v>22.870859223592827</c:v>
                </c:pt>
                <c:pt idx="11">
                  <c:v>28.885646762333149</c:v>
                </c:pt>
                <c:pt idx="12">
                  <c:v>36.48771328793655</c:v>
                </c:pt>
                <c:pt idx="13">
                  <c:v>46.097273704206465</c:v>
                </c:pt>
                <c:pt idx="14">
                  <c:v>58.246117380438761</c:v>
                </c:pt>
                <c:pt idx="15">
                  <c:v>73.607312852834198</c:v>
                </c:pt>
                <c:pt idx="16">
                  <c:v>67.020773057882352</c:v>
                </c:pt>
                <c:pt idx="17">
                  <c:v>89.433224652663043</c:v>
                </c:pt>
                <c:pt idx="18">
                  <c:v>111.70385301179901</c:v>
                </c:pt>
                <c:pt idx="19">
                  <c:v>133.8651241066807</c:v>
                </c:pt>
                <c:pt idx="20">
                  <c:v>155.93775882820458</c:v>
                </c:pt>
                <c:pt idx="21">
                  <c:v>126.61600564455136</c:v>
                </c:pt>
                <c:pt idx="22">
                  <c:v>150.61714980411784</c:v>
                </c:pt>
                <c:pt idx="23">
                  <c:v>174.52697249791549</c:v>
                </c:pt>
                <c:pt idx="24">
                  <c:v>198.35976383962796</c:v>
                </c:pt>
                <c:pt idx="25">
                  <c:v>222.12608711761615</c:v>
                </c:pt>
                <c:pt idx="26">
                  <c:v>191.55758507110065</c:v>
                </c:pt>
                <c:pt idx="27">
                  <c:v>213.83373999500802</c:v>
                </c:pt>
                <c:pt idx="28">
                  <c:v>236.05644310479684</c:v>
                </c:pt>
                <c:pt idx="29">
                  <c:v>258.23143377259919</c:v>
                </c:pt>
                <c:pt idx="30">
                  <c:v>280.36338431358689</c:v>
                </c:pt>
                <c:pt idx="31">
                  <c:v>248.08915865906408</c:v>
                </c:pt>
                <c:pt idx="32">
                  <c:v>268.36470618638242</c:v>
                </c:pt>
                <c:pt idx="33">
                  <c:v>288.60576477216426</c:v>
                </c:pt>
                <c:pt idx="34">
                  <c:v>308.81509268095925</c:v>
                </c:pt>
                <c:pt idx="35">
                  <c:v>328.99505767197456</c:v>
                </c:pt>
                <c:pt idx="36">
                  <c:v>294.59690838804573</c:v>
                </c:pt>
                <c:pt idx="37">
                  <c:v>312.5542734716102</c:v>
                </c:pt>
                <c:pt idx="38">
                  <c:v>330.48876005573732</c:v>
                </c:pt>
                <c:pt idx="39">
                  <c:v>348.4017840337396</c:v>
                </c:pt>
                <c:pt idx="40">
                  <c:v>366.29460383970854</c:v>
                </c:pt>
                <c:pt idx="41">
                  <c:v>329.36849727470798</c:v>
                </c:pt>
                <c:pt idx="42">
                  <c:v>344.67160985755481</c:v>
                </c:pt>
                <c:pt idx="43">
                  <c:v>359.9598009685954</c:v>
                </c:pt>
                <c:pt idx="44">
                  <c:v>375.23379351840316</c:v>
                </c:pt>
                <c:pt idx="45">
                  <c:v>390.49424676672476</c:v>
                </c:pt>
                <c:pt idx="46">
                  <c:v>362.94118566705453</c:v>
                </c:pt>
                <c:pt idx="47">
                  <c:v>376.35086351579008</c:v>
                </c:pt>
                <c:pt idx="48">
                  <c:v>389.75013922020366</c:v>
                </c:pt>
                <c:pt idx="49">
                  <c:v>403.13942078264876</c:v>
                </c:pt>
                <c:pt idx="50">
                  <c:v>416.51908689232118</c:v>
                </c:pt>
                <c:pt idx="51">
                  <c:v>396.07407711953448</c:v>
                </c:pt>
                <c:pt idx="52">
                  <c:v>407.22865549260882</c:v>
                </c:pt>
                <c:pt idx="53">
                  <c:v>418.37663353903218</c:v>
                </c:pt>
                <c:pt idx="54">
                  <c:v>429.51821195249204</c:v>
                </c:pt>
                <c:pt idx="55">
                  <c:v>440.65358016358778</c:v>
                </c:pt>
                <c:pt idx="56">
                  <c:v>426.17639891086424</c:v>
                </c:pt>
                <c:pt idx="57">
                  <c:v>435.82900470393218</c:v>
                </c:pt>
                <c:pt idx="58">
                  <c:v>445.47702323258522</c:v>
                </c:pt>
                <c:pt idx="59">
                  <c:v>455.12056788314334</c:v>
                </c:pt>
                <c:pt idx="60">
                  <c:v>464.7597468435597</c:v>
                </c:pt>
                <c:pt idx="61">
                  <c:v>450.67025003611349</c:v>
                </c:pt>
                <c:pt idx="62">
                  <c:v>458.82845530839751</c:v>
                </c:pt>
                <c:pt idx="63">
                  <c:v>466.98356378402349</c:v>
                </c:pt>
                <c:pt idx="64">
                  <c:v>475.13563719240005</c:v>
                </c:pt>
                <c:pt idx="65">
                  <c:v>483.28473497109462</c:v>
                </c:pt>
                <c:pt idx="66">
                  <c:v>469.94830210518904</c:v>
                </c:pt>
                <c:pt idx="67">
                  <c:v>476.98796406826</c:v>
                </c:pt>
                <c:pt idx="68">
                  <c:v>484.02541648570531</c:v>
                </c:pt>
                <c:pt idx="69">
                  <c:v>491.06069603012844</c:v>
                </c:pt>
                <c:pt idx="70">
                  <c:v>498.09383823712528</c:v>
                </c:pt>
                <c:pt idx="71">
                  <c:v>485.87701503548419</c:v>
                </c:pt>
                <c:pt idx="72">
                  <c:v>492.17133336598067</c:v>
                </c:pt>
                <c:pt idx="73">
                  <c:v>498.4639450680906</c:v>
                </c:pt>
                <c:pt idx="74">
                  <c:v>504.75487473697353</c:v>
                </c:pt>
                <c:pt idx="75">
                  <c:v>511.04414630438458</c:v>
                </c:pt>
                <c:pt idx="76">
                  <c:v>499.57423066075035</c:v>
                </c:pt>
                <c:pt idx="77">
                  <c:v>504.75487473697353</c:v>
                </c:pt>
                <c:pt idx="78">
                  <c:v>509.93439429922063</c:v>
                </c:pt>
                <c:pt idx="79">
                  <c:v>515.11280238810866</c:v>
                </c:pt>
                <c:pt idx="80">
                  <c:v>520.29011176051029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7.9348268839058393</c:v>
                </c:pt>
                <c:pt idx="2">
                  <c:v>15.517090525941128</c:v>
                </c:pt>
                <c:pt idx="3">
                  <c:v>22.985493938419882</c:v>
                </c:pt>
                <c:pt idx="4">
                  <c:v>30.383711256164688</c:v>
                </c:pt>
                <c:pt idx="5">
                  <c:v>37.731537028809953</c:v>
                </c:pt>
                <c:pt idx="6">
                  <c:v>45.040262893912661</c:v>
                </c:pt>
                <c:pt idx="7">
                  <c:v>52.317168133608305</c:v>
                </c:pt>
                <c:pt idx="8">
                  <c:v>59.567323055290082</c:v>
                </c:pt>
                <c:pt idx="9">
                  <c:v>66.794454399391569</c:v>
                </c:pt>
                <c:pt idx="10">
                  <c:v>74.001412157424696</c:v>
                </c:pt>
                <c:pt idx="11">
                  <c:v>81.190443338320719</c:v>
                </c:pt>
                <c:pt idx="12">
                  <c:v>88.363362971016116</c:v>
                </c:pt>
                <c:pt idx="13">
                  <c:v>95.521666329523114</c:v>
                </c:pt>
                <c:pt idx="14">
                  <c:v>102.6666055778236</c:v>
                </c:pt>
                <c:pt idx="15">
                  <c:v>109.79924386311403</c:v>
                </c:pt>
                <c:pt idx="16">
                  <c:v>116.92049456001179</c:v>
                </c:pt>
                <c:pt idx="17">
                  <c:v>124.03115041829483</c:v>
                </c:pt>
                <c:pt idx="18">
                  <c:v>131.13190565447152</c:v>
                </c:pt>
                <c:pt idx="19">
                  <c:v>138.22337299336959</c:v>
                </c:pt>
                <c:pt idx="20">
                  <c:v>145.30609701967319</c:v>
                </c:pt>
                <c:pt idx="21">
                  <c:v>152.38056478326666</c:v>
                </c:pt>
                <c:pt idx="22">
                  <c:v>159.44721432727769</c:v>
                </c:pt>
                <c:pt idx="23">
                  <c:v>166.50644162173626</c:v>
                </c:pt>
                <c:pt idx="24">
                  <c:v>173.55860625735497</c:v>
                </c:pt>
                <c:pt idx="25">
                  <c:v>180.60403616360529</c:v>
                </c:pt>
                <c:pt idx="26">
                  <c:v>187.64303155065241</c:v>
                </c:pt>
                <c:pt idx="27">
                  <c:v>194.67586822778131</c:v>
                </c:pt>
                <c:pt idx="28">
                  <c:v>201.70280041638287</c:v>
                </c:pt>
                <c:pt idx="29">
                  <c:v>208.72406314979355</c:v>
                </c:pt>
                <c:pt idx="30">
                  <c:v>215.73987433282181</c:v>
                </c:pt>
                <c:pt idx="31">
                  <c:v>222.7504365189578</c:v>
                </c:pt>
                <c:pt idx="32">
                  <c:v>229.75593845182368</c:v>
                </c:pt>
                <c:pt idx="33">
                  <c:v>236.75655640852983</c:v>
                </c:pt>
                <c:pt idx="34">
                  <c:v>243.75245537562498</c:v>
                </c:pt>
                <c:pt idx="35">
                  <c:v>250.74379008281184</c:v>
                </c:pt>
                <c:pt idx="36">
                  <c:v>257.73070591520286</c:v>
                </c:pt>
                <c:pt idx="37">
                  <c:v>264.71333972136563</c:v>
                </c:pt>
                <c:pt idx="38">
                  <c:v>271.69182053155362</c:v>
                </c:pt>
                <c:pt idx="39">
                  <c:v>278.66627019820879</c:v>
                </c:pt>
                <c:pt idx="40">
                  <c:v>285.63680396892198</c:v>
                </c:pt>
                <c:pt idx="41">
                  <c:v>292.60353100048502</c:v>
                </c:pt>
                <c:pt idx="42">
                  <c:v>299.56655482137893</c:v>
                </c:pt>
                <c:pt idx="43">
                  <c:v>306.52597374897516</c:v>
                </c:pt>
                <c:pt idx="44">
                  <c:v>313.48188126683385</c:v>
                </c:pt>
                <c:pt idx="45">
                  <c:v>320.43436636673522</c:v>
                </c:pt>
                <c:pt idx="46">
                  <c:v>327.38351385945117</c:v>
                </c:pt>
                <c:pt idx="47">
                  <c:v>334.32940465773095</c:v>
                </c:pt>
                <c:pt idx="48">
                  <c:v>341.27211603452292</c:v>
                </c:pt>
                <c:pt idx="49">
                  <c:v>348.21172185907125</c:v>
                </c:pt>
                <c:pt idx="50">
                  <c:v>355.14829281319425</c:v>
                </c:pt>
                <c:pt idx="51">
                  <c:v>362.08189658977221</c:v>
                </c:pt>
                <c:pt idx="52">
                  <c:v>369.01259807522791</c:v>
                </c:pt>
                <c:pt idx="53">
                  <c:v>375.94045951757306</c:v>
                </c:pt>
                <c:pt idx="54">
                  <c:v>382.8655406814126</c:v>
                </c:pt>
                <c:pt idx="55">
                  <c:v>389.78789899114423</c:v>
                </c:pt>
                <c:pt idx="56">
                  <c:v>396.70758966344698</c:v>
                </c:pt>
                <c:pt idx="57">
                  <c:v>403.62466583003965</c:v>
                </c:pt>
                <c:pt idx="58">
                  <c:v>410.53917865157979</c:v>
                </c:pt>
                <c:pt idx="59">
                  <c:v>417.45117742348617</c:v>
                </c:pt>
                <c:pt idx="60">
                  <c:v>424.36070967438195</c:v>
                </c:pt>
                <c:pt idx="61">
                  <c:v>288.18730679977051</c:v>
                </c:pt>
                <c:pt idx="62">
                  <c:v>302.47198070570596</c:v>
                </c:pt>
                <c:pt idx="63">
                  <c:v>316.74164591285154</c:v>
                </c:pt>
                <c:pt idx="64">
                  <c:v>330.99707386423012</c:v>
                </c:pt>
                <c:pt idx="65">
                  <c:v>345.23896411987533</c:v>
                </c:pt>
                <c:pt idx="66">
                  <c:v>359.46795380642266</c:v>
                </c:pt>
                <c:pt idx="67">
                  <c:v>373.68462549187933</c:v>
                </c:pt>
                <c:pt idx="68">
                  <c:v>387.88951379915807</c:v>
                </c:pt>
                <c:pt idx="69">
                  <c:v>402.08311100010451</c:v>
                </c:pt>
                <c:pt idx="70">
                  <c:v>328.91011552785579</c:v>
                </c:pt>
                <c:pt idx="71">
                  <c:v>342.84500036388135</c:v>
                </c:pt>
                <c:pt idx="72">
                  <c:v>356.76743992635789</c:v>
                </c:pt>
                <c:pt idx="73">
                  <c:v>370.67798829998833</c:v>
                </c:pt>
                <c:pt idx="74">
                  <c:v>384.57715458703962</c:v>
                </c:pt>
                <c:pt idx="75">
                  <c:v>398.46540808711467</c:v>
                </c:pt>
                <c:pt idx="76">
                  <c:v>412.3431827169984</c:v>
                </c:pt>
                <c:pt idx="77">
                  <c:v>426.21088080440586</c:v>
                </c:pt>
                <c:pt idx="78">
                  <c:v>370.20260469110161</c:v>
                </c:pt>
                <c:pt idx="79">
                  <c:v>384.10358289738252</c:v>
                </c:pt>
                <c:pt idx="80">
                  <c:v>397.99363067483574</c:v>
                </c:pt>
                <c:pt idx="81">
                  <c:v>411.87318321337824</c:v>
                </c:pt>
                <c:pt idx="82">
                  <c:v>425.74264398092276</c:v>
                </c:pt>
                <c:pt idx="83">
                  <c:v>439.60238801543551</c:v>
                </c:pt>
                <c:pt idx="84">
                  <c:v>453.45276478019287</c:v>
                </c:pt>
                <c:pt idx="85">
                  <c:v>467.29410065203678</c:v>
                </c:pt>
                <c:pt idx="86">
                  <c:v>481.12670109948903</c:v>
                </c:pt>
                <c:pt idx="87">
                  <c:v>417.92486805030893</c:v>
                </c:pt>
                <c:pt idx="88">
                  <c:v>431.82201320823901</c:v>
                </c:pt>
                <c:pt idx="89">
                  <c:v>445.70955372287375</c:v>
                </c:pt>
                <c:pt idx="90">
                  <c:v>459.58783097189752</c:v>
                </c:pt>
                <c:pt idx="91">
                  <c:v>473.4571640373162</c:v>
                </c:pt>
                <c:pt idx="92">
                  <c:v>487.31785178574552</c:v>
                </c:pt>
                <c:pt idx="93">
                  <c:v>501.17017469973308</c:v>
                </c:pt>
                <c:pt idx="94">
                  <c:v>515.01439649611177</c:v>
                </c:pt>
                <c:pt idx="95">
                  <c:v>528.85076556131935</c:v>
                </c:pt>
                <c:pt idx="96">
                  <c:v>456.25823673536746</c:v>
                </c:pt>
                <c:pt idx="97">
                  <c:v>470.16615638603167</c:v>
                </c:pt>
                <c:pt idx="98">
                  <c:v>484.06531560972599</c:v>
                </c:pt>
                <c:pt idx="99">
                  <c:v>497.95600132779902</c:v>
                </c:pt>
                <c:pt idx="100">
                  <c:v>511.83848315243455</c:v>
                </c:pt>
                <c:pt idx="101">
                  <c:v>525.71301488182235</c:v>
                </c:pt>
                <c:pt idx="102">
                  <c:v>539.57983582931536</c:v>
                </c:pt>
                <c:pt idx="103">
                  <c:v>553.43917200888438</c:v>
                </c:pt>
                <c:pt idx="104">
                  <c:v>567.29123719568713</c:v>
                </c:pt>
                <c:pt idx="105">
                  <c:v>500.76273642622454</c:v>
                </c:pt>
                <c:pt idx="106">
                  <c:v>514.8551556957724</c:v>
                </c:pt>
                <c:pt idx="107">
                  <c:v>528.93943541715112</c:v>
                </c:pt>
                <c:pt idx="108">
                  <c:v>543.01582278718149</c:v>
                </c:pt>
                <c:pt idx="109">
                  <c:v>557.0845511461456</c:v>
                </c:pt>
                <c:pt idx="110">
                  <c:v>571.14584109211796</c:v>
                </c:pt>
                <c:pt idx="111">
                  <c:v>585.19990147989529</c:v>
                </c:pt>
                <c:pt idx="112">
                  <c:v>599.24693031901279</c:v>
                </c:pt>
                <c:pt idx="113">
                  <c:v>613.28711558321936</c:v>
                </c:pt>
                <c:pt idx="114">
                  <c:v>542.53862974826052</c:v>
                </c:pt>
                <c:pt idx="115">
                  <c:v>556.85289709565188</c:v>
                </c:pt>
                <c:pt idx="116">
                  <c:v>571.15946063462252</c:v>
                </c:pt>
                <c:pt idx="117">
                  <c:v>585.45854043456723</c:v>
                </c:pt>
                <c:pt idx="118">
                  <c:v>599.75034494340457</c:v>
                </c:pt>
                <c:pt idx="119">
                  <c:v>614.03507186934644</c:v>
                </c:pt>
                <c:pt idx="120">
                  <c:v>628.31290897638928</c:v>
                </c:pt>
                <c:pt idx="121">
                  <c:v>642.58403480377649</c:v>
                </c:pt>
                <c:pt idx="122">
                  <c:v>656.84861931825901</c:v>
                </c:pt>
                <c:pt idx="123">
                  <c:v>577.87919984414941</c:v>
                </c:pt>
                <c:pt idx="124">
                  <c:v>592.4032440297533</c:v>
                </c:pt>
                <c:pt idx="125">
                  <c:v>606.91987898108778</c:v>
                </c:pt>
                <c:pt idx="126">
                  <c:v>621.42930679167</c:v>
                </c:pt>
                <c:pt idx="127">
                  <c:v>635.93171935349449</c:v>
                </c:pt>
                <c:pt idx="128">
                  <c:v>650.42729909771822</c:v>
                </c:pt>
                <c:pt idx="129">
                  <c:v>664.91621966592049</c:v>
                </c:pt>
                <c:pt idx="130">
                  <c:v>679.39864651985215</c:v>
                </c:pt>
                <c:pt idx="131">
                  <c:v>693.87473749652361</c:v>
                </c:pt>
                <c:pt idx="132">
                  <c:v>708.3446433145931</c:v>
                </c:pt>
                <c:pt idx="133">
                  <c:v>624.1119505589121</c:v>
                </c:pt>
                <c:pt idx="134">
                  <c:v>639.07065813849192</c:v>
                </c:pt>
                <c:pt idx="135">
                  <c:v>654.02213550578983</c:v>
                </c:pt>
                <c:pt idx="136">
                  <c:v>668.96657113032506</c:v>
                </c:pt>
                <c:pt idx="137">
                  <c:v>683.90414437995207</c:v>
                </c:pt>
                <c:pt idx="138">
                  <c:v>698.83502615369832</c:v>
                </c:pt>
                <c:pt idx="139">
                  <c:v>713.75937945774365</c:v>
                </c:pt>
                <c:pt idx="140">
                  <c:v>728.67735993075883</c:v>
                </c:pt>
                <c:pt idx="141">
                  <c:v>743.58911632402123</c:v>
                </c:pt>
                <c:pt idx="142">
                  <c:v>758.49479094104538</c:v>
                </c:pt>
                <c:pt idx="143">
                  <c:v>773.39452004089162</c:v>
                </c:pt>
                <c:pt idx="144">
                  <c:v>788.28843420880264</c:v>
                </c:pt>
                <c:pt idx="145">
                  <c:v>679.69414667999979</c:v>
                </c:pt>
                <c:pt idx="146">
                  <c:v>694.99652870254488</c:v>
                </c:pt>
                <c:pt idx="147">
                  <c:v>710.29201169407168</c:v>
                </c:pt>
                <c:pt idx="148">
                  <c:v>725.58076503627569</c:v>
                </c:pt>
                <c:pt idx="149">
                  <c:v>740.86295039636786</c:v>
                </c:pt>
                <c:pt idx="150">
                  <c:v>756.13872223358032</c:v>
                </c:pt>
                <c:pt idx="151">
                  <c:v>771.40822826265219</c:v>
                </c:pt>
                <c:pt idx="152">
                  <c:v>786.67160987874149</c:v>
                </c:pt>
                <c:pt idx="153">
                  <c:v>801.92900254767562</c:v>
                </c:pt>
                <c:pt idx="154">
                  <c:v>817.18053616498548</c:v>
                </c:pt>
                <c:pt idx="155">
                  <c:v>832.42633538677239</c:v>
                </c:pt>
                <c:pt idx="156">
                  <c:v>847.66651993509458</c:v>
                </c:pt>
                <c:pt idx="157">
                  <c:v>729.93421625601695</c:v>
                </c:pt>
                <c:pt idx="158">
                  <c:v>745.53794628468529</c:v>
                </c:pt>
                <c:pt idx="159">
                  <c:v>761.13503622704968</c:v>
                </c:pt>
                <c:pt idx="160">
                  <c:v>776.72564120317713</c:v>
                </c:pt>
                <c:pt idx="161">
                  <c:v>792.309909603758</c:v>
                </c:pt>
                <c:pt idx="162">
                  <c:v>807.88798351136938</c:v>
                </c:pt>
                <c:pt idx="163">
                  <c:v>823.45999908758722</c:v>
                </c:pt>
                <c:pt idx="164">
                  <c:v>839.02608692932472</c:v>
                </c:pt>
                <c:pt idx="165">
                  <c:v>854.58637239737743</c:v>
                </c:pt>
                <c:pt idx="166">
                  <c:v>870.14097591982454</c:v>
                </c:pt>
                <c:pt idx="167">
                  <c:v>885.69001327262743</c:v>
                </c:pt>
                <c:pt idx="168">
                  <c:v>901.23359583952379</c:v>
                </c:pt>
                <c:pt idx="169">
                  <c:v>772.14760109782401</c:v>
                </c:pt>
                <c:pt idx="170">
                  <c:v>787.754010163918</c:v>
                </c:pt>
                <c:pt idx="171">
                  <c:v>803.35416757047312</c:v>
                </c:pt>
                <c:pt idx="172">
                  <c:v>818.94821170769308</c:v>
                </c:pt>
                <c:pt idx="173">
                  <c:v>834.53627527080562</c:v>
                </c:pt>
                <c:pt idx="174">
                  <c:v>850.11848559859118</c:v>
                </c:pt>
                <c:pt idx="175">
                  <c:v>865.6949649858251</c:v>
                </c:pt>
                <c:pt idx="176">
                  <c:v>881.26583097209289</c:v>
                </c:pt>
                <c:pt idx="177">
                  <c:v>896.83119660914872</c:v>
                </c:pt>
                <c:pt idx="178">
                  <c:v>912.39117070877421</c:v>
                </c:pt>
                <c:pt idx="179">
                  <c:v>927.94585807286694</c:v>
                </c:pt>
                <c:pt idx="180">
                  <c:v>943.49535970731733</c:v>
                </c:pt>
                <c:pt idx="181">
                  <c:v>596.65205110487057</c:v>
                </c:pt>
                <c:pt idx="182">
                  <c:v>606.44243354148568</c:v>
                </c:pt>
                <c:pt idx="183">
                  <c:v>616.22953464876537</c:v>
                </c:pt>
                <c:pt idx="184">
                  <c:v>626.01341388147284</c:v>
                </c:pt>
                <c:pt idx="185">
                  <c:v>425.18816872945314</c:v>
                </c:pt>
                <c:pt idx="186">
                  <c:v>431.52402561764438</c:v>
                </c:pt>
                <c:pt idx="187">
                  <c:v>437.85788419433567</c:v>
                </c:pt>
                <c:pt idx="188">
                  <c:v>444.18977746524746</c:v>
                </c:pt>
                <c:pt idx="189">
                  <c:v>299.42016224308082</c:v>
                </c:pt>
                <c:pt idx="190">
                  <c:v>303.50750955716296</c:v>
                </c:pt>
                <c:pt idx="191">
                  <c:v>307.59363224458792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8.7993752311729647</c:v>
                </c:pt>
                <c:pt idx="2">
                  <c:v>17.211237003553233</c:v>
                </c:pt>
                <c:pt idx="3">
                  <c:v>25.497951380702258</c:v>
                </c:pt>
                <c:pt idx="4">
                  <c:v>33.707521991572065</c:v>
                </c:pt>
                <c:pt idx="5">
                  <c:v>41.861705654466746</c:v>
                </c:pt>
                <c:pt idx="6">
                  <c:v>49.972913366919435</c:v>
                </c:pt>
                <c:pt idx="7">
                  <c:v>58.049146019161583</c:v>
                </c:pt>
                <c:pt idx="8">
                  <c:v>66.095976547114375</c:v>
                </c:pt>
                <c:pt idx="9">
                  <c:v>74.117501129573213</c:v>
                </c:pt>
                <c:pt idx="10">
                  <c:v>82.116852282742869</c:v>
                </c:pt>
                <c:pt idx="11">
                  <c:v>90.096499765518956</c:v>
                </c:pt>
                <c:pt idx="12">
                  <c:v>98.058438533862343</c:v>
                </c:pt>
                <c:pt idx="13">
                  <c:v>106.00431209093937</c:v>
                </c:pt>
                <c:pt idx="14">
                  <c:v>113.93549672995925</c:v>
                </c:pt>
                <c:pt idx="15">
                  <c:v>121.85316098977781</c:v>
                </c:pt>
                <c:pt idx="16">
                  <c:v>129.75830878945177</c:v>
                </c:pt>
                <c:pt idx="17">
                  <c:v>137.65181146544478</c:v>
                </c:pt>
                <c:pt idx="18">
                  <c:v>145.53443205317384</c:v>
                </c:pt>
                <c:pt idx="19">
                  <c:v>153.40684401796128</c:v>
                </c:pt>
                <c:pt idx="20">
                  <c:v>161.26964593013292</c:v>
                </c:pt>
                <c:pt idx="21">
                  <c:v>169.12337312168833</c:v>
                </c:pt>
                <c:pt idx="22">
                  <c:v>176.96850705974427</c:v>
                </c:pt>
                <c:pt idx="23">
                  <c:v>184.80548296753929</c:v>
                </c:pt>
                <c:pt idx="24">
                  <c:v>192.63469608264836</c:v>
                </c:pt>
                <c:pt idx="25">
                  <c:v>200.45650684277072</c:v>
                </c:pt>
                <c:pt idx="26">
                  <c:v>208.27124521843561</c:v>
                </c:pt>
                <c:pt idx="27">
                  <c:v>216.07921436038941</c:v>
                </c:pt>
                <c:pt idx="28">
                  <c:v>223.88069369143884</c:v>
                </c:pt>
                <c:pt idx="29">
                  <c:v>231.67594154418998</c:v>
                </c:pt>
                <c:pt idx="30">
                  <c:v>239.46519742473978</c:v>
                </c:pt>
                <c:pt idx="31">
                  <c:v>247.24868396606379</c:v>
                </c:pt>
                <c:pt idx="32">
                  <c:v>255.02660862227276</c:v>
                </c:pt>
                <c:pt idx="33">
                  <c:v>262.79916514513837</c:v>
                </c:pt>
                <c:pt idx="34">
                  <c:v>270.56653487661737</c:v>
                </c:pt>
                <c:pt idx="35">
                  <c:v>278.3288878850413</c:v>
                </c:pt>
                <c:pt idx="36">
                  <c:v>286.08638396780555</c:v>
                </c:pt>
                <c:pt idx="37">
                  <c:v>293.83917353951779</c:v>
                </c:pt>
                <c:pt idx="38">
                  <c:v>301.58739842142865</c:v>
                </c:pt>
                <c:pt idx="39">
                  <c:v>309.33119254542777</c:v>
                </c:pt>
                <c:pt idx="40">
                  <c:v>317.07068258380326</c:v>
                </c:pt>
                <c:pt idx="41">
                  <c:v>324.80598851425265</c:v>
                </c:pt>
                <c:pt idx="42">
                  <c:v>332.53722412821793</c:v>
                </c:pt>
                <c:pt idx="43">
                  <c:v>340.26449748944543</c:v>
                </c:pt>
                <c:pt idx="44">
                  <c:v>347.98791134868566</c:v>
                </c:pt>
                <c:pt idx="45">
                  <c:v>355.70756351963126</c:v>
                </c:pt>
                <c:pt idx="46">
                  <c:v>363.42354722049572</c:v>
                </c:pt>
                <c:pt idx="47">
                  <c:v>371.13595138505201</c:v>
                </c:pt>
                <c:pt idx="48">
                  <c:v>378.8448609464524</c:v>
                </c:pt>
                <c:pt idx="49">
                  <c:v>386.55035709672961</c:v>
                </c:pt>
                <c:pt idx="50">
                  <c:v>394.2525175245155</c:v>
                </c:pt>
                <c:pt idx="51">
                  <c:v>401.95141663320538</c:v>
                </c:pt>
                <c:pt idx="52">
                  <c:v>409.64712574152765</c:v>
                </c:pt>
                <c:pt idx="53">
                  <c:v>417.339713268249</c:v>
                </c:pt>
                <c:pt idx="54">
                  <c:v>425.02924490254554</c:v>
                </c:pt>
                <c:pt idx="55">
                  <c:v>432.71578376139695</c:v>
                </c:pt>
                <c:pt idx="56">
                  <c:v>440.39939053520919</c:v>
                </c:pt>
                <c:pt idx="57">
                  <c:v>448.08012362274195</c:v>
                </c:pt>
                <c:pt idx="58">
                  <c:v>455.75803925629947</c:v>
                </c:pt>
                <c:pt idx="59">
                  <c:v>463.4331916180422</c:v>
                </c:pt>
                <c:pt idx="60">
                  <c:v>471.10563294819008</c:v>
                </c:pt>
                <c:pt idx="61">
                  <c:v>319.90255551176659</c:v>
                </c:pt>
                <c:pt idx="62">
                  <c:v>335.7632098793685</c:v>
                </c:pt>
                <c:pt idx="63">
                  <c:v>351.60736770935841</c:v>
                </c:pt>
                <c:pt idx="64">
                  <c:v>367.43587691926911</c:v>
                </c:pt>
                <c:pt idx="65">
                  <c:v>383.24950641775575</c:v>
                </c:pt>
                <c:pt idx="66">
                  <c:v>399.04895649094306</c:v>
                </c:pt>
                <c:pt idx="67">
                  <c:v>414.8348674578333</c:v>
                </c:pt>
                <c:pt idx="68">
                  <c:v>430.60782693945293</c:v>
                </c:pt>
                <c:pt idx="69">
                  <c:v>446.36837600742547</c:v>
                </c:pt>
                <c:pt idx="70">
                  <c:v>365.11861382272195</c:v>
                </c:pt>
                <c:pt idx="71">
                  <c:v>380.59133379198806</c:v>
                </c:pt>
                <c:pt idx="72">
                  <c:v>396.05037476575535</c:v>
                </c:pt>
                <c:pt idx="73">
                  <c:v>411.4963457561218</c:v>
                </c:pt>
                <c:pt idx="74">
                  <c:v>426.92980633356177</c:v>
                </c:pt>
                <c:pt idx="75">
                  <c:v>442.35127232017652</c:v>
                </c:pt>
                <c:pt idx="76">
                  <c:v>457.76122064768839</c:v>
                </c:pt>
                <c:pt idx="77">
                  <c:v>473.16009352726968</c:v>
                </c:pt>
                <c:pt idx="78">
                  <c:v>410.96848797020226</c:v>
                </c:pt>
                <c:pt idx="79">
                  <c:v>426.40395619574662</c:v>
                </c:pt>
                <c:pt idx="80">
                  <c:v>441.8274104397463</c:v>
                </c:pt>
                <c:pt idx="81">
                  <c:v>457.2393290332638</c:v>
                </c:pt>
                <c:pt idx="82">
                  <c:v>472.64015544069844</c:v>
                </c:pt>
                <c:pt idx="83">
                  <c:v>488.03030187819269</c:v>
                </c:pt>
                <c:pt idx="84">
                  <c:v>503.41015245193472</c:v>
                </c:pt>
                <c:pt idx="85">
                  <c:v>518.78006589307904</c:v>
                </c:pt>
                <c:pt idx="86">
                  <c:v>534.14037795178194</c:v>
                </c:pt>
                <c:pt idx="87">
                  <c:v>463.95918343835666</c:v>
                </c:pt>
                <c:pt idx="88">
                  <c:v>479.39079950540798</c:v>
                </c:pt>
                <c:pt idx="89">
                  <c:v>494.81185880390854</c:v>
                </c:pt>
                <c:pt idx="90">
                  <c:v>510.22273655291565</c:v>
                </c:pt>
                <c:pt idx="91">
                  <c:v>525.62378346559842</c:v>
                </c:pt>
                <c:pt idx="92">
                  <c:v>541.01532803574764</c:v>
                </c:pt>
                <c:pt idx="93">
                  <c:v>556.3976785506419</c:v>
                </c:pt>
                <c:pt idx="94">
                  <c:v>571.77112486982867</c:v>
                </c:pt>
                <c:pt idx="95">
                  <c:v>587.13594000273326</c:v>
                </c:pt>
                <c:pt idx="96">
                  <c:v>506.52544051570618</c:v>
                </c:pt>
                <c:pt idx="97">
                  <c:v>521.96931158908649</c:v>
                </c:pt>
                <c:pt idx="98">
                  <c:v>537.40355379889695</c:v>
                </c:pt>
                <c:pt idx="99">
                  <c:v>552.82848250950667</c:v>
                </c:pt>
                <c:pt idx="100">
                  <c:v>568.24439406023112</c:v>
                </c:pt>
                <c:pt idx="101">
                  <c:v>583.65156740872328</c:v>
                </c:pt>
                <c:pt idx="102">
                  <c:v>599.05026559189162</c:v>
                </c:pt>
                <c:pt idx="103">
                  <c:v>614.44073702887056</c:v>
                </c:pt>
                <c:pt idx="104">
                  <c:v>629.82321668672728</c:v>
                </c:pt>
                <c:pt idx="105">
                  <c:v>555.94523626273178</c:v>
                </c:pt>
                <c:pt idx="106">
                  <c:v>571.59429391411868</c:v>
                </c:pt>
                <c:pt idx="107">
                  <c:v>587.23440512954915</c:v>
                </c:pt>
                <c:pt idx="108">
                  <c:v>602.86584161090138</c:v>
                </c:pt>
                <c:pt idx="109">
                  <c:v>618.48885982989157</c:v>
                </c:pt>
                <c:pt idx="110">
                  <c:v>634.10370225287136</c:v>
                </c:pt>
                <c:pt idx="111">
                  <c:v>649.7105984387822</c:v>
                </c:pt>
                <c:pt idx="112">
                  <c:v>665.3097660261941</c:v>
                </c:pt>
                <c:pt idx="113">
                  <c:v>680.90141162302621</c:v>
                </c:pt>
                <c:pt idx="114">
                  <c:v>602.33593058246788</c:v>
                </c:pt>
                <c:pt idx="115">
                  <c:v>618.23161233243434</c:v>
                </c:pt>
                <c:pt idx="116">
                  <c:v>634.11882658184322</c:v>
                </c:pt>
                <c:pt idx="117">
                  <c:v>649.99781521595798</c:v>
                </c:pt>
                <c:pt idx="118">
                  <c:v>665.86880734650686</c:v>
                </c:pt>
                <c:pt idx="119">
                  <c:v>681.7320202808661</c:v>
                </c:pt>
                <c:pt idx="120">
                  <c:v>697.58766039640921</c:v>
                </c:pt>
                <c:pt idx="121">
                  <c:v>713.43592393128949</c:v>
                </c:pt>
                <c:pt idx="122">
                  <c:v>729.27699770136269</c:v>
                </c:pt>
                <c:pt idx="123">
                  <c:v>641.58102098527127</c:v>
                </c:pt>
                <c:pt idx="124">
                  <c:v>657.70987078466521</c:v>
                </c:pt>
                <c:pt idx="125">
                  <c:v>673.83057685930942</c:v>
                </c:pt>
                <c:pt idx="126">
                  <c:v>689.94336133660818</c:v>
                </c:pt>
                <c:pt idx="127">
                  <c:v>706.04843513114872</c:v>
                </c:pt>
                <c:pt idx="128">
                  <c:v>722.1459987588097</c:v>
                </c:pt>
                <c:pt idx="129">
                  <c:v>738.23624307456794</c:v>
                </c:pt>
                <c:pt idx="130">
                  <c:v>754.31934994268988</c:v>
                </c:pt>
                <c:pt idx="131">
                  <c:v>770.39549284684733</c:v>
                </c:pt>
                <c:pt idx="132">
                  <c:v>786.46483744670547</c:v>
                </c:pt>
                <c:pt idx="133">
                  <c:v>692.92245804350057</c:v>
                </c:pt>
                <c:pt idx="134">
                  <c:v>709.53426826681732</c:v>
                </c:pt>
                <c:pt idx="135">
                  <c:v>726.13813153413741</c:v>
                </c:pt>
                <c:pt idx="136">
                  <c:v>742.73425499829648</c:v>
                </c:pt>
                <c:pt idx="137">
                  <c:v>759.32283580820115</c:v>
                </c:pt>
                <c:pt idx="138">
                  <c:v>775.90406180440175</c:v>
                </c:pt>
                <c:pt idx="139">
                  <c:v>792.47811215216768</c:v>
                </c:pt>
                <c:pt idx="140">
                  <c:v>809.04515791890708</c:v>
                </c:pt>
                <c:pt idx="141">
                  <c:v>825.60536260187348</c:v>
                </c:pt>
                <c:pt idx="142">
                  <c:v>842.15888261138127</c:v>
                </c:pt>
                <c:pt idx="143">
                  <c:v>858.7058677140908</c:v>
                </c:pt>
                <c:pt idx="144">
                  <c:v>875.24646144039127</c:v>
                </c:pt>
                <c:pt idx="145">
                  <c:v>754.64751121537518</c:v>
                </c:pt>
                <c:pt idx="146">
                  <c:v>771.64127934390501</c:v>
                </c:pt>
                <c:pt idx="147">
                  <c:v>788.6274645282856</c:v>
                </c:pt>
                <c:pt idx="148">
                  <c:v>805.60625294131898</c:v>
                </c:pt>
                <c:pt idx="149">
                  <c:v>822.57782227657208</c:v>
                </c:pt>
                <c:pt idx="150">
                  <c:v>839.54234230509417</c:v>
                </c:pt>
                <c:pt idx="151">
                  <c:v>856.49997538484661</c:v>
                </c:pt>
                <c:pt idx="152">
                  <c:v>873.45087692773961</c:v>
                </c:pt>
                <c:pt idx="153">
                  <c:v>890.39519582856747</c:v>
                </c:pt>
                <c:pt idx="154">
                  <c:v>907.33307485963485</c:v>
                </c:pt>
                <c:pt idx="155">
                  <c:v>924.26465103442115</c:v>
                </c:pt>
                <c:pt idx="156">
                  <c:v>941.19005594324472</c:v>
                </c:pt>
                <c:pt idx="157">
                  <c:v>810.4409530835228</c:v>
                </c:pt>
                <c:pt idx="158">
                  <c:v>827.76963481805433</c:v>
                </c:pt>
                <c:pt idx="159">
                  <c:v>845.09101822279797</c:v>
                </c:pt>
                <c:pt idx="160">
                  <c:v>862.40527379514651</c:v>
                </c:pt>
                <c:pt idx="161">
                  <c:v>879.71256463602185</c:v>
                </c:pt>
                <c:pt idx="162">
                  <c:v>897.01304691289761</c:v>
                </c:pt>
                <c:pt idx="163">
                  <c:v>914.30687028528803</c:v>
                </c:pt>
                <c:pt idx="164">
                  <c:v>931.59417829640859</c:v>
                </c:pt>
                <c:pt idx="165">
                  <c:v>948.87510873429164</c:v>
                </c:pt>
                <c:pt idx="166">
                  <c:v>966.14979396526485</c:v>
                </c:pt>
                <c:pt idx="167">
                  <c:v>983.41836124236488</c:v>
                </c:pt>
                <c:pt idx="168">
                  <c:v>1000.6809329909969</c:v>
                </c:pt>
                <c:pt idx="169">
                  <c:v>857.32109170264118</c:v>
                </c:pt>
                <c:pt idx="170">
                  <c:v>874.6529500380534</c:v>
                </c:pt>
                <c:pt idx="171">
                  <c:v>891.97793697587383</c:v>
                </c:pt>
                <c:pt idx="172">
                  <c:v>909.29620462517153</c:v>
                </c:pt>
                <c:pt idx="173">
                  <c:v>926.60789883548705</c:v>
                </c:pt>
                <c:pt idx="174">
                  <c:v>943.9131595689181</c:v>
                </c:pt>
                <c:pt idx="175">
                  <c:v>961.21212124353849</c:v>
                </c:pt>
                <c:pt idx="176">
                  <c:v>978.50491305083915</c:v>
                </c:pt>
                <c:pt idx="177">
                  <c:v>995.79165924959455</c:v>
                </c:pt>
                <c:pt idx="178">
                  <c:v>1013.0724794382913</c:v>
                </c:pt>
                <c:pt idx="179">
                  <c:v>1030.3474888080234</c:v>
                </c:pt>
                <c:pt idx="180">
                  <c:v>1047.616798377574</c:v>
                </c:pt>
                <c:pt idx="181">
                  <c:v>662.42815744246298</c:v>
                </c:pt>
                <c:pt idx="182">
                  <c:v>673.3003729435535</c:v>
                </c:pt>
                <c:pt idx="183">
                  <c:v>684.1689818313356</c:v>
                </c:pt>
                <c:pt idx="184">
                  <c:v>695.03404945442833</c:v>
                </c:pt>
                <c:pt idx="185">
                  <c:v>472.02445690713603</c:v>
                </c:pt>
                <c:pt idx="186">
                  <c:v>479.05990808533096</c:v>
                </c:pt>
                <c:pt idx="187">
                  <c:v>486.09316285587761</c:v>
                </c:pt>
                <c:pt idx="188">
                  <c:v>493.12425749641096</c:v>
                </c:pt>
                <c:pt idx="189">
                  <c:v>332.37468002913414</c:v>
                </c:pt>
                <c:pt idx="190">
                  <c:v>336.91299182213612</c:v>
                </c:pt>
                <c:pt idx="191">
                  <c:v>341.44995758907726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B46" sqref="B46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8" t="s">
        <v>231</v>
      </c>
      <c r="B5" s="268"/>
      <c r="C5" s="24">
        <v>1.94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14</v>
      </c>
      <c r="C9" s="32">
        <v>0.8</v>
      </c>
      <c r="D9" s="33">
        <f t="shared" ref="D9:D18" si="0">C9*$C$5</f>
        <v>1.552</v>
      </c>
      <c r="E9" s="34">
        <v>183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29</v>
      </c>
      <c r="C10" s="32">
        <v>2.2222222222222223E-2</v>
      </c>
      <c r="D10" s="33">
        <f t="shared" si="0"/>
        <v>4.3111111111111114E-2</v>
      </c>
      <c r="E10" s="34">
        <v>69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50</v>
      </c>
      <c r="C11" s="32">
        <v>6.6666666666666666E-2</v>
      </c>
      <c r="D11" s="33">
        <f t="shared" si="0"/>
        <v>0.12933333333333333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 t="s">
        <v>21</v>
      </c>
      <c r="C12" s="32">
        <v>6.6666666666666666E-2</v>
      </c>
      <c r="D12" s="33">
        <f t="shared" si="0"/>
        <v>0.12933333333333333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 t="s">
        <v>1</v>
      </c>
      <c r="C13" s="32">
        <v>2.2222222222222223E-2</v>
      </c>
      <c r="D13" s="33">
        <f t="shared" si="0"/>
        <v>4.3111111111111114E-2</v>
      </c>
      <c r="E13" s="34">
        <v>191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 t="s">
        <v>52</v>
      </c>
      <c r="C14" s="32">
        <v>2.2222222222222223E-2</v>
      </c>
      <c r="D14" s="33">
        <f t="shared" si="0"/>
        <v>4.3111111111111114E-2</v>
      </c>
      <c r="E14" s="34">
        <v>191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1.94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324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42</v>
      </c>
      <c r="B36" s="60">
        <v>171.96</v>
      </c>
      <c r="C36" s="60">
        <v>1</v>
      </c>
      <c r="D36" s="60">
        <v>44.510000000000005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4.0942857142857143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50</v>
      </c>
      <c r="B37" s="60">
        <v>208.33</v>
      </c>
      <c r="C37" s="60">
        <v>2</v>
      </c>
      <c r="D37" s="60">
        <v>37.54000000000002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10.110000000000001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58</v>
      </c>
      <c r="B38" s="60">
        <v>253.7</v>
      </c>
      <c r="C38" s="60">
        <v>3</v>
      </c>
      <c r="D38" s="60">
        <v>47.789999999999992</v>
      </c>
      <c r="E38" s="51">
        <v>0</v>
      </c>
      <c r="F38" s="51">
        <v>0.8</v>
      </c>
      <c r="G38" s="51">
        <v>0.2</v>
      </c>
      <c r="H38" s="51">
        <v>0</v>
      </c>
      <c r="I38" s="53">
        <f t="shared" si="1"/>
        <v>10.36375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66</v>
      </c>
      <c r="B39" s="60">
        <v>286.77</v>
      </c>
      <c r="C39" s="60">
        <v>4</v>
      </c>
      <c r="D39" s="60">
        <v>53.679999999999978</v>
      </c>
      <c r="E39" s="51">
        <v>0.35</v>
      </c>
      <c r="F39" s="51">
        <v>0.2</v>
      </c>
      <c r="G39" s="51">
        <v>0.1</v>
      </c>
      <c r="H39" s="51">
        <v>0.35</v>
      </c>
      <c r="I39" s="49">
        <f t="shared" si="1"/>
        <v>10.107499999999998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74</v>
      </c>
      <c r="B40" s="60">
        <v>310.95999999999998</v>
      </c>
      <c r="C40" s="60">
        <v>5</v>
      </c>
      <c r="D40" s="60">
        <v>51.339999999999975</v>
      </c>
      <c r="E40" s="51">
        <v>0.35</v>
      </c>
      <c r="F40" s="51">
        <v>0.2</v>
      </c>
      <c r="G40" s="51">
        <v>0.1</v>
      </c>
      <c r="H40" s="51">
        <v>0.35</v>
      </c>
      <c r="I40" s="49">
        <f t="shared" si="1"/>
        <v>9.733749999999997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84</v>
      </c>
      <c r="B41" s="60">
        <v>355.09</v>
      </c>
      <c r="C41" s="60">
        <v>6</v>
      </c>
      <c r="D41" s="60">
        <v>66.69</v>
      </c>
      <c r="E41" s="51">
        <v>0.35</v>
      </c>
      <c r="F41" s="51">
        <v>0.2</v>
      </c>
      <c r="G41" s="51">
        <v>0.1</v>
      </c>
      <c r="H41" s="51">
        <v>0.35</v>
      </c>
      <c r="I41" s="53">
        <f t="shared" si="1"/>
        <v>9.546999999999997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94</v>
      </c>
      <c r="B42" s="60">
        <v>380.13</v>
      </c>
      <c r="C42" s="60">
        <v>7</v>
      </c>
      <c r="D42" s="60">
        <v>67.350000000000023</v>
      </c>
      <c r="E42" s="51">
        <v>0.35</v>
      </c>
      <c r="F42" s="51">
        <v>0.2</v>
      </c>
      <c r="G42" s="51">
        <v>0.1</v>
      </c>
      <c r="H42" s="51">
        <v>0.35</v>
      </c>
      <c r="I42" s="53">
        <f t="shared" si="1"/>
        <v>9.1730000000000018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104</v>
      </c>
      <c r="B43" s="60">
        <v>402.2</v>
      </c>
      <c r="C43" s="60">
        <v>8</v>
      </c>
      <c r="D43" s="60">
        <v>66.089999999999975</v>
      </c>
      <c r="E43" s="51">
        <v>0.35</v>
      </c>
      <c r="F43" s="51">
        <v>0.2</v>
      </c>
      <c r="G43" s="51">
        <v>0.1</v>
      </c>
      <c r="H43" s="51">
        <v>0.35</v>
      </c>
      <c r="I43" s="49">
        <f t="shared" si="1"/>
        <v>8.9420000000000019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>
        <v>114</v>
      </c>
      <c r="B44" s="60">
        <v>424.56</v>
      </c>
      <c r="C44" s="60">
        <v>9</v>
      </c>
      <c r="D44" s="60">
        <v>61.860000000000014</v>
      </c>
      <c r="E44" s="51">
        <v>0.35</v>
      </c>
      <c r="F44" s="51">
        <v>0.2</v>
      </c>
      <c r="G44" s="51">
        <v>0.1</v>
      </c>
      <c r="H44" s="51">
        <v>0.35</v>
      </c>
      <c r="I44" s="49">
        <f t="shared" si="1"/>
        <v>8.8449999999999989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>
        <v>124</v>
      </c>
      <c r="B45" s="60">
        <v>451.86</v>
      </c>
      <c r="C45" s="60">
        <v>10</v>
      </c>
      <c r="D45" s="60">
        <v>57.81</v>
      </c>
      <c r="E45" s="51">
        <v>0.35</v>
      </c>
      <c r="F45" s="51">
        <v>0.2</v>
      </c>
      <c r="G45" s="51">
        <v>0.1</v>
      </c>
      <c r="H45" s="51">
        <v>0.35</v>
      </c>
      <c r="I45" s="49">
        <f t="shared" si="1"/>
        <v>8.9160000000000021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>
        <v>134</v>
      </c>
      <c r="B46" s="60">
        <v>484.28</v>
      </c>
      <c r="C46" s="60">
        <v>11</v>
      </c>
      <c r="D46" s="60">
        <v>60.779999999999973</v>
      </c>
      <c r="E46" s="51">
        <v>0.5</v>
      </c>
      <c r="F46" s="51">
        <v>0.2</v>
      </c>
      <c r="G46" s="51">
        <v>0</v>
      </c>
      <c r="H46" s="51">
        <v>0.3</v>
      </c>
      <c r="I46" s="49">
        <f t="shared" si="1"/>
        <v>9.0229999999999961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>
        <v>144</v>
      </c>
      <c r="B47" s="60">
        <v>514.94000000000005</v>
      </c>
      <c r="C47" s="60">
        <v>12</v>
      </c>
      <c r="D47" s="60">
        <v>61.800000000000068</v>
      </c>
      <c r="E47" s="51">
        <v>0.5</v>
      </c>
      <c r="F47" s="51">
        <v>0.2</v>
      </c>
      <c r="G47" s="51">
        <v>0</v>
      </c>
      <c r="H47" s="51">
        <v>0.3</v>
      </c>
      <c r="I47" s="49">
        <f t="shared" si="1"/>
        <v>9.1440000000000055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>
        <v>154</v>
      </c>
      <c r="B48" s="60">
        <v>546.49</v>
      </c>
      <c r="C48" s="60">
        <v>13</v>
      </c>
      <c r="D48" s="60">
        <v>61.050000000000011</v>
      </c>
      <c r="E48" s="51">
        <v>0.5</v>
      </c>
      <c r="F48" s="51">
        <v>0.2</v>
      </c>
      <c r="G48" s="51">
        <v>0</v>
      </c>
      <c r="H48" s="51">
        <v>0.3</v>
      </c>
      <c r="I48" s="49">
        <f t="shared" si="1"/>
        <v>9.3350000000000026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>
        <v>164</v>
      </c>
      <c r="B49" s="60">
        <v>580.32000000000005</v>
      </c>
      <c r="C49" s="60">
        <v>14</v>
      </c>
      <c r="D49" s="60">
        <v>66.020000000000095</v>
      </c>
      <c r="E49" s="51">
        <v>0.5</v>
      </c>
      <c r="F49" s="51">
        <v>0.2</v>
      </c>
      <c r="G49" s="51">
        <v>0</v>
      </c>
      <c r="H49" s="51">
        <v>0.3</v>
      </c>
      <c r="I49" s="49">
        <f t="shared" si="1"/>
        <v>9.4880000000000049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>
        <v>174</v>
      </c>
      <c r="B50" s="50">
        <v>610.52</v>
      </c>
      <c r="C50" s="50">
        <v>15</v>
      </c>
      <c r="D50" s="50">
        <v>240</v>
      </c>
      <c r="E50" s="51">
        <v>0.45</v>
      </c>
      <c r="F50" s="51">
        <v>0.05</v>
      </c>
      <c r="G50" s="51">
        <v>0.05</v>
      </c>
      <c r="H50" s="51">
        <v>0.45</v>
      </c>
      <c r="I50" s="49">
        <f t="shared" si="1"/>
        <v>9.6220000000000034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>
        <v>177</v>
      </c>
      <c r="B51" s="50">
        <v>388.94</v>
      </c>
      <c r="C51" s="50">
        <v>16</v>
      </c>
      <c r="D51" s="50">
        <v>128.66000000000003</v>
      </c>
      <c r="E51" s="51">
        <v>0.45</v>
      </c>
      <c r="F51" s="51">
        <v>0.05</v>
      </c>
      <c r="G51" s="51">
        <v>0.05</v>
      </c>
      <c r="H51" s="51">
        <v>0.45</v>
      </c>
      <c r="I51" s="49">
        <f t="shared" si="1"/>
        <v>6.140000000000005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>
        <v>180</v>
      </c>
      <c r="B52" s="50">
        <v>271.56</v>
      </c>
      <c r="C52" s="50">
        <v>17</v>
      </c>
      <c r="D52" s="50">
        <v>86.97</v>
      </c>
      <c r="E52" s="51">
        <v>0.45</v>
      </c>
      <c r="F52" s="51">
        <v>0.05</v>
      </c>
      <c r="G52" s="51">
        <v>0.05</v>
      </c>
      <c r="H52" s="51">
        <v>0.45</v>
      </c>
      <c r="I52" s="49">
        <f t="shared" si="1"/>
        <v>3.76000000000001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>
        <v>183</v>
      </c>
      <c r="B53" s="50">
        <v>191.47</v>
      </c>
      <c r="C53" s="50">
        <v>18</v>
      </c>
      <c r="D53" s="50">
        <v>191.47</v>
      </c>
      <c r="E53" s="51">
        <v>0.45</v>
      </c>
      <c r="F53" s="51">
        <v>0.05</v>
      </c>
      <c r="G53" s="51">
        <v>0.05</v>
      </c>
      <c r="H53" s="51">
        <v>0.45</v>
      </c>
      <c r="I53" s="49">
        <f t="shared" si="1"/>
        <v>2.2933333333333317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C57" s="23" t="s">
        <v>325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Merisier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15</v>
      </c>
      <c r="B62" s="60">
        <v>25.641025641025639</v>
      </c>
      <c r="C62" s="60">
        <v>1</v>
      </c>
      <c r="D62" s="60">
        <v>1.9230769230769229</v>
      </c>
      <c r="E62" s="51">
        <v>0</v>
      </c>
      <c r="F62" s="51">
        <v>0.25</v>
      </c>
      <c r="G62" s="51">
        <v>0.25</v>
      </c>
      <c r="H62" s="51">
        <v>0.5</v>
      </c>
      <c r="I62" s="53">
        <f>IFERROR(B62/A62,"")</f>
        <v>1.7094017094017093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20</v>
      </c>
      <c r="B63" s="60">
        <v>54.487179487179482</v>
      </c>
      <c r="C63" s="60">
        <v>2</v>
      </c>
      <c r="D63" s="60">
        <v>16.025641025641026</v>
      </c>
      <c r="E63" s="51">
        <v>0</v>
      </c>
      <c r="F63" s="51">
        <v>0.25</v>
      </c>
      <c r="G63" s="51">
        <v>0.25</v>
      </c>
      <c r="H63" s="51">
        <v>0.5</v>
      </c>
      <c r="I63" s="49">
        <f>IF(A63&lt;&gt;0,(B63-(B62-D62))/(A63-A62),"")</f>
        <v>6.1538461538461533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25</v>
      </c>
      <c r="B64" s="60">
        <v>72.435897435897431</v>
      </c>
      <c r="C64" s="60">
        <v>3</v>
      </c>
      <c r="D64" s="60">
        <v>17.307692307692307</v>
      </c>
      <c r="E64" s="51">
        <v>0</v>
      </c>
      <c r="F64" s="51">
        <v>0.25</v>
      </c>
      <c r="G64" s="51">
        <v>0.25</v>
      </c>
      <c r="H64" s="51">
        <v>0.5</v>
      </c>
      <c r="I64" s="49">
        <f>IF(A64&lt;&gt;0,(B64-(B63-D63))/(A64-A63),"")</f>
        <v>6.7948717948717956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31</v>
      </c>
      <c r="B65" s="60">
        <v>99.358974358974351</v>
      </c>
      <c r="C65" s="60">
        <v>4</v>
      </c>
      <c r="D65" s="60">
        <v>23.076923076923077</v>
      </c>
      <c r="E65" s="51">
        <v>0.25</v>
      </c>
      <c r="F65" s="51">
        <v>0.25</v>
      </c>
      <c r="G65" s="51">
        <v>0.25</v>
      </c>
      <c r="H65" s="51">
        <v>0.25</v>
      </c>
      <c r="I65" s="49">
        <f>IF(A65&lt;&gt;0,(B65-(B64-D64))/(A65-A64),"")</f>
        <v>7.3717948717948714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37</v>
      </c>
      <c r="B66" s="60">
        <v>120.51282051282051</v>
      </c>
      <c r="C66" s="60">
        <v>5</v>
      </c>
      <c r="D66" s="60">
        <v>23.076923076923077</v>
      </c>
      <c r="E66" s="51">
        <v>0.25</v>
      </c>
      <c r="F66" s="51">
        <v>0.25</v>
      </c>
      <c r="G66" s="51">
        <v>0.25</v>
      </c>
      <c r="H66" s="51">
        <v>0.25</v>
      </c>
      <c r="I66" s="49">
        <f t="shared" ref="I66:I81" si="2">IF(A66&lt;&gt;0,(B66-(B65-D65))/(A66-A65),"")</f>
        <v>7.3717948717948731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44</v>
      </c>
      <c r="B67" s="60">
        <v>147.43589743589743</v>
      </c>
      <c r="C67" s="60">
        <v>6</v>
      </c>
      <c r="D67" s="60">
        <v>27.564102564102562</v>
      </c>
      <c r="E67" s="51">
        <v>0.25</v>
      </c>
      <c r="F67" s="51">
        <v>0.25</v>
      </c>
      <c r="G67" s="51">
        <v>0.25</v>
      </c>
      <c r="H67" s="51">
        <v>0.25</v>
      </c>
      <c r="I67" s="49">
        <f t="shared" si="2"/>
        <v>7.1428571428571432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52</v>
      </c>
      <c r="B68" s="60">
        <v>173.07692307692307</v>
      </c>
      <c r="C68" s="60">
        <v>7</v>
      </c>
      <c r="D68" s="60">
        <v>30.769230769230766</v>
      </c>
      <c r="E68" s="51">
        <v>0.25</v>
      </c>
      <c r="F68" s="51">
        <v>0.25</v>
      </c>
      <c r="G68" s="51">
        <v>0.25</v>
      </c>
      <c r="H68" s="51">
        <v>0.25</v>
      </c>
      <c r="I68" s="49">
        <f t="shared" si="2"/>
        <v>6.6506410256410255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60</v>
      </c>
      <c r="B69" s="50">
        <v>190.38461538461539</v>
      </c>
      <c r="C69" s="50">
        <v>8</v>
      </c>
      <c r="D69" s="50">
        <v>30.128205128205128</v>
      </c>
      <c r="E69" s="51">
        <v>0.25</v>
      </c>
      <c r="F69" s="51">
        <v>0.25</v>
      </c>
      <c r="G69" s="51">
        <v>0.25</v>
      </c>
      <c r="H69" s="51">
        <v>0.25</v>
      </c>
      <c r="I69" s="49">
        <f t="shared" si="2"/>
        <v>6.0096153846153868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>
        <v>69</v>
      </c>
      <c r="B70" s="50">
        <v>210.25641025641025</v>
      </c>
      <c r="C70" s="50">
        <v>9</v>
      </c>
      <c r="D70" s="50">
        <v>210.25641025641025</v>
      </c>
      <c r="E70" s="51">
        <v>0.25</v>
      </c>
      <c r="F70" s="51">
        <v>0.25</v>
      </c>
      <c r="G70" s="51">
        <v>0.25</v>
      </c>
      <c r="H70" s="51">
        <v>0.25</v>
      </c>
      <c r="I70" s="49">
        <f t="shared" si="2"/>
        <v>5.5555555555555554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C83" s="23" t="s">
        <v>327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Tilleul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15</v>
      </c>
      <c r="B88" s="60">
        <v>37</v>
      </c>
      <c r="C88" s="60">
        <v>1</v>
      </c>
      <c r="D88" s="60">
        <v>15</v>
      </c>
      <c r="E88" s="51">
        <v>0</v>
      </c>
      <c r="F88" s="51">
        <v>0.25</v>
      </c>
      <c r="G88" s="51">
        <v>0.25</v>
      </c>
      <c r="H88" s="87">
        <v>0.5</v>
      </c>
      <c r="I88" s="53">
        <f>IFERROR(B88/A88,"")</f>
        <v>2.4666666666666668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20</v>
      </c>
      <c r="B89" s="60">
        <v>80</v>
      </c>
      <c r="C89" s="60">
        <v>2</v>
      </c>
      <c r="D89" s="60">
        <v>28</v>
      </c>
      <c r="E89" s="51">
        <v>0</v>
      </c>
      <c r="F89" s="51">
        <v>0.25</v>
      </c>
      <c r="G89" s="51">
        <v>0.25</v>
      </c>
      <c r="H89" s="87">
        <v>0.5</v>
      </c>
      <c r="I89" s="53">
        <f t="shared" ref="I89:I107" si="3">IF(A89&lt;&gt;0,(B89-(B88-D88))/(A89-A88),"")</f>
        <v>11.6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25</v>
      </c>
      <c r="B90" s="60">
        <v>115</v>
      </c>
      <c r="C90" s="60">
        <v>3</v>
      </c>
      <c r="D90" s="60">
        <v>28</v>
      </c>
      <c r="E90" s="87">
        <v>0</v>
      </c>
      <c r="F90" s="87">
        <v>0.25</v>
      </c>
      <c r="G90" s="87">
        <v>0.25</v>
      </c>
      <c r="H90" s="87">
        <v>0.5</v>
      </c>
      <c r="I90" s="53">
        <f t="shared" si="3"/>
        <v>12.6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30</v>
      </c>
      <c r="B91" s="60">
        <v>146</v>
      </c>
      <c r="C91" s="60">
        <v>4</v>
      </c>
      <c r="D91" s="60">
        <v>28</v>
      </c>
      <c r="E91" s="87">
        <v>0</v>
      </c>
      <c r="F91" s="87">
        <v>0.25</v>
      </c>
      <c r="G91" s="87">
        <v>0.25</v>
      </c>
      <c r="H91" s="87">
        <v>0.5</v>
      </c>
      <c r="I91" s="53">
        <f t="shared" si="3"/>
        <v>11.8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35</v>
      </c>
      <c r="B92" s="60">
        <v>172</v>
      </c>
      <c r="C92" s="60">
        <v>5</v>
      </c>
      <c r="D92" s="60">
        <v>28</v>
      </c>
      <c r="E92" s="87">
        <v>0</v>
      </c>
      <c r="F92" s="87">
        <v>0.25</v>
      </c>
      <c r="G92" s="87">
        <v>0.25</v>
      </c>
      <c r="H92" s="87">
        <v>0.5</v>
      </c>
      <c r="I92" s="53">
        <f t="shared" si="3"/>
        <v>10.8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40</v>
      </c>
      <c r="B93" s="60">
        <v>192</v>
      </c>
      <c r="C93" s="60">
        <v>6</v>
      </c>
      <c r="D93" s="60">
        <v>28</v>
      </c>
      <c r="E93" s="87">
        <v>0.25</v>
      </c>
      <c r="F93" s="87">
        <v>0.25</v>
      </c>
      <c r="G93" s="87">
        <v>0.25</v>
      </c>
      <c r="H93" s="87">
        <v>0.25</v>
      </c>
      <c r="I93" s="53">
        <f t="shared" si="3"/>
        <v>9.6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45</v>
      </c>
      <c r="B94" s="60">
        <v>205</v>
      </c>
      <c r="C94" s="60">
        <v>7</v>
      </c>
      <c r="D94" s="60">
        <v>22</v>
      </c>
      <c r="E94" s="87">
        <v>0.25</v>
      </c>
      <c r="F94" s="87">
        <v>0.25</v>
      </c>
      <c r="G94" s="87">
        <v>0.25</v>
      </c>
      <c r="H94" s="87">
        <v>0.25</v>
      </c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50</v>
      </c>
      <c r="B95" s="60">
        <v>219</v>
      </c>
      <c r="C95" s="60">
        <v>8</v>
      </c>
      <c r="D95" s="60">
        <v>17</v>
      </c>
      <c r="E95" s="87">
        <v>0.25</v>
      </c>
      <c r="F95" s="87">
        <v>0.25</v>
      </c>
      <c r="G95" s="87">
        <v>0.25</v>
      </c>
      <c r="H95" s="87">
        <v>0.25</v>
      </c>
      <c r="I95" s="53">
        <f t="shared" si="3"/>
        <v>7.2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55</v>
      </c>
      <c r="B96" s="60">
        <v>232</v>
      </c>
      <c r="C96" s="60">
        <v>9</v>
      </c>
      <c r="D96" s="60">
        <v>13</v>
      </c>
      <c r="E96" s="87">
        <v>0.25</v>
      </c>
      <c r="F96" s="87">
        <v>0.25</v>
      </c>
      <c r="G96" s="87">
        <v>0.25</v>
      </c>
      <c r="H96" s="87">
        <v>0.25</v>
      </c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60</v>
      </c>
      <c r="B97" s="60">
        <v>245</v>
      </c>
      <c r="C97" s="60">
        <v>10</v>
      </c>
      <c r="D97" s="60">
        <v>12</v>
      </c>
      <c r="E97" s="87">
        <v>0.25</v>
      </c>
      <c r="F97" s="87">
        <v>0.25</v>
      </c>
      <c r="G97" s="87">
        <v>0.25</v>
      </c>
      <c r="H97" s="87">
        <v>0.25</v>
      </c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65</v>
      </c>
      <c r="B98" s="60">
        <v>255</v>
      </c>
      <c r="C98" s="60">
        <v>11</v>
      </c>
      <c r="D98" s="60">
        <v>11</v>
      </c>
      <c r="E98" s="87">
        <v>0.25</v>
      </c>
      <c r="F98" s="87">
        <v>0.25</v>
      </c>
      <c r="G98" s="87">
        <v>0.25</v>
      </c>
      <c r="H98" s="87">
        <v>0.25</v>
      </c>
      <c r="I98" s="53">
        <f t="shared" si="3"/>
        <v>4.4000000000000004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70</v>
      </c>
      <c r="B99" s="60">
        <v>263</v>
      </c>
      <c r="C99" s="60">
        <v>12</v>
      </c>
      <c r="D99" s="60">
        <v>10</v>
      </c>
      <c r="E99" s="87">
        <v>0.25</v>
      </c>
      <c r="F99" s="87">
        <v>0.25</v>
      </c>
      <c r="G99" s="87">
        <v>0.25</v>
      </c>
      <c r="H99" s="87">
        <v>0.25</v>
      </c>
      <c r="I99" s="53">
        <f t="shared" si="3"/>
        <v>3.8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75</v>
      </c>
      <c r="B100" s="60">
        <v>270</v>
      </c>
      <c r="C100" s="60">
        <v>13</v>
      </c>
      <c r="D100" s="60">
        <v>9</v>
      </c>
      <c r="E100" s="65">
        <v>0.25</v>
      </c>
      <c r="F100" s="65">
        <v>0.25</v>
      </c>
      <c r="G100" s="65">
        <v>0.25</v>
      </c>
      <c r="H100" s="65">
        <v>0.25</v>
      </c>
      <c r="I100" s="53">
        <f t="shared" si="3"/>
        <v>3.4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>
        <v>80</v>
      </c>
      <c r="B101" s="60">
        <v>275</v>
      </c>
      <c r="C101" s="60">
        <v>14</v>
      </c>
      <c r="D101" s="60">
        <v>275</v>
      </c>
      <c r="E101" s="65">
        <v>0.25</v>
      </c>
      <c r="F101" s="65">
        <v>0.25</v>
      </c>
      <c r="G101" s="65">
        <v>0.25</v>
      </c>
      <c r="H101" s="65">
        <v>0.25</v>
      </c>
      <c r="I101" s="53">
        <f t="shared" si="3"/>
        <v>2.8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C109" s="23" t="s">
        <v>327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>Erable champêtre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>
        <v>15</v>
      </c>
      <c r="B114" s="60">
        <v>37</v>
      </c>
      <c r="C114" s="50">
        <v>1</v>
      </c>
      <c r="D114" s="60">
        <v>15</v>
      </c>
      <c r="E114" s="51">
        <v>0</v>
      </c>
      <c r="F114" s="51">
        <v>0.25</v>
      </c>
      <c r="G114" s="51">
        <v>0.25</v>
      </c>
      <c r="H114" s="51">
        <v>0.5</v>
      </c>
      <c r="I114" s="53">
        <f>IFERROR(B114/A114,"")</f>
        <v>2.4666666666666668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>
        <v>20</v>
      </c>
      <c r="B115" s="60">
        <v>80</v>
      </c>
      <c r="C115" s="50">
        <v>2</v>
      </c>
      <c r="D115" s="60">
        <v>28</v>
      </c>
      <c r="E115" s="51">
        <v>0</v>
      </c>
      <c r="F115" s="51">
        <v>0.25</v>
      </c>
      <c r="G115" s="51">
        <v>0.25</v>
      </c>
      <c r="H115" s="51">
        <v>0.5</v>
      </c>
      <c r="I115" s="53">
        <f t="shared" ref="I115:I133" si="4">IF(A115&lt;&gt;0,(B115-(B114-D114))/(A115-A114),"")</f>
        <v>11.6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>
        <v>25</v>
      </c>
      <c r="B116" s="60">
        <v>115</v>
      </c>
      <c r="C116" s="50">
        <v>3</v>
      </c>
      <c r="D116" s="60">
        <v>28</v>
      </c>
      <c r="E116" s="51">
        <v>0</v>
      </c>
      <c r="F116" s="51">
        <v>0.25</v>
      </c>
      <c r="G116" s="51">
        <v>0.25</v>
      </c>
      <c r="H116" s="51">
        <v>0.5</v>
      </c>
      <c r="I116" s="53">
        <f t="shared" si="4"/>
        <v>12.6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>
        <v>30</v>
      </c>
      <c r="B117" s="60">
        <v>146</v>
      </c>
      <c r="C117" s="50">
        <v>4</v>
      </c>
      <c r="D117" s="60">
        <v>28</v>
      </c>
      <c r="E117" s="51">
        <v>0</v>
      </c>
      <c r="F117" s="51">
        <v>0.25</v>
      </c>
      <c r="G117" s="51">
        <v>0.25</v>
      </c>
      <c r="H117" s="51">
        <v>0.5</v>
      </c>
      <c r="I117" s="53">
        <f t="shared" si="4"/>
        <v>11.8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>
        <v>35</v>
      </c>
      <c r="B118" s="60">
        <v>172</v>
      </c>
      <c r="C118" s="50">
        <v>5</v>
      </c>
      <c r="D118" s="60">
        <v>28</v>
      </c>
      <c r="E118" s="51">
        <v>0</v>
      </c>
      <c r="F118" s="51">
        <v>0.25</v>
      </c>
      <c r="G118" s="51">
        <v>0.25</v>
      </c>
      <c r="H118" s="51">
        <v>0.5</v>
      </c>
      <c r="I118" s="53">
        <f t="shared" si="4"/>
        <v>10.8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>
        <v>40</v>
      </c>
      <c r="B119" s="60">
        <v>192</v>
      </c>
      <c r="C119" s="50">
        <v>6</v>
      </c>
      <c r="D119" s="60">
        <v>28</v>
      </c>
      <c r="E119" s="51">
        <v>0.25</v>
      </c>
      <c r="F119" s="51">
        <v>0.25</v>
      </c>
      <c r="G119" s="51">
        <v>0.25</v>
      </c>
      <c r="H119" s="51">
        <v>0.25</v>
      </c>
      <c r="I119" s="53">
        <f t="shared" si="4"/>
        <v>9.6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>
        <v>45</v>
      </c>
      <c r="B120" s="60">
        <v>205</v>
      </c>
      <c r="C120" s="60">
        <v>7</v>
      </c>
      <c r="D120" s="60">
        <v>22</v>
      </c>
      <c r="E120" s="87">
        <v>0.25</v>
      </c>
      <c r="F120" s="87">
        <v>0.25</v>
      </c>
      <c r="G120" s="87">
        <v>0.25</v>
      </c>
      <c r="H120" s="87">
        <v>0.25</v>
      </c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>
        <v>50</v>
      </c>
      <c r="B121" s="60">
        <v>219</v>
      </c>
      <c r="C121" s="60">
        <v>8</v>
      </c>
      <c r="D121" s="60">
        <v>17</v>
      </c>
      <c r="E121" s="87">
        <v>0.25</v>
      </c>
      <c r="F121" s="87">
        <v>0.25</v>
      </c>
      <c r="G121" s="87">
        <v>0.25</v>
      </c>
      <c r="H121" s="87">
        <v>0.25</v>
      </c>
      <c r="I121" s="53">
        <f t="shared" si="4"/>
        <v>7.2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>
        <v>55</v>
      </c>
      <c r="B122" s="60">
        <v>232</v>
      </c>
      <c r="C122" s="60">
        <v>9</v>
      </c>
      <c r="D122" s="60">
        <v>13</v>
      </c>
      <c r="E122" s="87">
        <v>0.25</v>
      </c>
      <c r="F122" s="87">
        <v>0.25</v>
      </c>
      <c r="G122" s="87">
        <v>0.25</v>
      </c>
      <c r="H122" s="87">
        <v>0.25</v>
      </c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>
        <v>60</v>
      </c>
      <c r="B123" s="60">
        <v>245</v>
      </c>
      <c r="C123" s="60">
        <v>10</v>
      </c>
      <c r="D123" s="60">
        <v>12</v>
      </c>
      <c r="E123" s="87">
        <v>0.25</v>
      </c>
      <c r="F123" s="87">
        <v>0.25</v>
      </c>
      <c r="G123" s="87">
        <v>0.25</v>
      </c>
      <c r="H123" s="87">
        <v>0.25</v>
      </c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>
        <v>65</v>
      </c>
      <c r="B124" s="60">
        <v>255</v>
      </c>
      <c r="C124" s="60">
        <v>11</v>
      </c>
      <c r="D124" s="60">
        <v>11</v>
      </c>
      <c r="E124" s="87">
        <v>0.25</v>
      </c>
      <c r="F124" s="87">
        <v>0.25</v>
      </c>
      <c r="G124" s="87">
        <v>0.25</v>
      </c>
      <c r="H124" s="87">
        <v>0.25</v>
      </c>
      <c r="I124" s="53">
        <f t="shared" si="4"/>
        <v>4.4000000000000004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>
        <v>70</v>
      </c>
      <c r="B125" s="60">
        <v>263</v>
      </c>
      <c r="C125" s="60">
        <v>12</v>
      </c>
      <c r="D125" s="60">
        <v>10</v>
      </c>
      <c r="E125" s="87">
        <v>0.25</v>
      </c>
      <c r="F125" s="87">
        <v>0.25</v>
      </c>
      <c r="G125" s="87">
        <v>0.25</v>
      </c>
      <c r="H125" s="87">
        <v>0.25</v>
      </c>
      <c r="I125" s="53">
        <f t="shared" si="4"/>
        <v>3.8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>
        <v>75</v>
      </c>
      <c r="B126" s="60">
        <v>270</v>
      </c>
      <c r="C126" s="60">
        <v>13</v>
      </c>
      <c r="D126" s="60">
        <v>9</v>
      </c>
      <c r="E126" s="65">
        <v>0.25</v>
      </c>
      <c r="F126" s="65">
        <v>0.25</v>
      </c>
      <c r="G126" s="65">
        <v>0.25</v>
      </c>
      <c r="H126" s="65">
        <v>0.25</v>
      </c>
      <c r="I126" s="53">
        <f t="shared" si="4"/>
        <v>3.4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>
        <v>80</v>
      </c>
      <c r="B127" s="60">
        <v>275</v>
      </c>
      <c r="C127" s="60">
        <v>14</v>
      </c>
      <c r="D127" s="60">
        <v>275</v>
      </c>
      <c r="E127" s="65">
        <v>0.25</v>
      </c>
      <c r="F127" s="65">
        <v>0.25</v>
      </c>
      <c r="G127" s="65">
        <v>0.25</v>
      </c>
      <c r="H127" s="65">
        <v>0.25</v>
      </c>
      <c r="I127" s="53">
        <f t="shared" si="4"/>
        <v>2.8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C135" s="23" t="s">
        <v>326</v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>Alisier torminal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>
        <v>60</v>
      </c>
      <c r="B140" s="60">
        <v>201.62</v>
      </c>
      <c r="C140" s="50">
        <v>1</v>
      </c>
      <c r="D140" s="60">
        <v>72.87</v>
      </c>
      <c r="E140" s="51">
        <v>0</v>
      </c>
      <c r="F140" s="51">
        <v>0.8</v>
      </c>
      <c r="G140" s="51">
        <v>0.2</v>
      </c>
      <c r="H140" s="51">
        <v>0</v>
      </c>
      <c r="I140" s="57">
        <f>IFERROR(B140/A140,"")</f>
        <v>3.3603333333333336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>
        <v>69</v>
      </c>
      <c r="B141" s="60">
        <v>190.79</v>
      </c>
      <c r="C141" s="50">
        <v>2</v>
      </c>
      <c r="D141" s="60">
        <v>42.22</v>
      </c>
      <c r="E141" s="51">
        <v>0</v>
      </c>
      <c r="F141" s="51">
        <v>0.8</v>
      </c>
      <c r="G141" s="51">
        <v>0.2</v>
      </c>
      <c r="H141" s="51">
        <v>0</v>
      </c>
      <c r="I141" s="57">
        <f t="shared" ref="I141:I159" si="5">IF(A141&lt;&gt;0,(B141-(B140-D140))/(A141-A140),"")</f>
        <v>6.8933333333333326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>
        <v>77</v>
      </c>
      <c r="B142" s="60">
        <v>202.52</v>
      </c>
      <c r="C142" s="50">
        <v>3</v>
      </c>
      <c r="D142" s="60">
        <v>33.950000000000017</v>
      </c>
      <c r="E142" s="51">
        <v>0</v>
      </c>
      <c r="F142" s="51">
        <v>0.8</v>
      </c>
      <c r="G142" s="51">
        <v>0.2</v>
      </c>
      <c r="H142" s="51">
        <v>0</v>
      </c>
      <c r="I142" s="57">
        <f t="shared" si="5"/>
        <v>6.7437500000000021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>
        <v>86</v>
      </c>
      <c r="B143" s="60">
        <v>229.27</v>
      </c>
      <c r="C143" s="50">
        <v>4</v>
      </c>
      <c r="D143" s="60">
        <v>37.54000000000002</v>
      </c>
      <c r="E143" s="51">
        <v>0.35</v>
      </c>
      <c r="F143" s="51">
        <v>0.2</v>
      </c>
      <c r="G143" s="51">
        <v>0.1</v>
      </c>
      <c r="H143" s="51">
        <v>0.35</v>
      </c>
      <c r="I143" s="57">
        <f t="shared" si="5"/>
        <v>6.7444444444444462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>
        <v>95</v>
      </c>
      <c r="B144" s="60">
        <v>252.57</v>
      </c>
      <c r="C144" s="50">
        <v>5</v>
      </c>
      <c r="D144" s="60">
        <v>42.199999999999989</v>
      </c>
      <c r="E144" s="51">
        <v>0.35</v>
      </c>
      <c r="F144" s="51">
        <v>0.2</v>
      </c>
      <c r="G144" s="51">
        <v>0.1</v>
      </c>
      <c r="H144" s="51">
        <v>0.35</v>
      </c>
      <c r="I144" s="57">
        <f t="shared" si="5"/>
        <v>6.7600000000000007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>
        <v>104</v>
      </c>
      <c r="B145" s="60">
        <v>271.37</v>
      </c>
      <c r="C145" s="50">
        <v>6</v>
      </c>
      <c r="D145" s="60">
        <v>39.400000000000006</v>
      </c>
      <c r="E145" s="51">
        <v>0.35</v>
      </c>
      <c r="F145" s="51">
        <v>0.2</v>
      </c>
      <c r="G145" s="51">
        <v>0.1</v>
      </c>
      <c r="H145" s="51">
        <v>0.35</v>
      </c>
      <c r="I145" s="57">
        <f t="shared" si="5"/>
        <v>6.7777777777777777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>
        <v>113</v>
      </c>
      <c r="B146" s="60">
        <v>293.89999999999998</v>
      </c>
      <c r="C146" s="50">
        <v>7</v>
      </c>
      <c r="D146" s="60">
        <v>41.639999999999986</v>
      </c>
      <c r="E146" s="51">
        <v>0.35</v>
      </c>
      <c r="F146" s="51">
        <v>0.2</v>
      </c>
      <c r="G146" s="51">
        <v>0.1</v>
      </c>
      <c r="H146" s="51">
        <v>0.35</v>
      </c>
      <c r="I146" s="57">
        <f t="shared" si="5"/>
        <v>6.8811111111111085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>
        <v>122</v>
      </c>
      <c r="B147" s="60">
        <v>315.27</v>
      </c>
      <c r="C147" s="50">
        <v>8</v>
      </c>
      <c r="D147" s="60">
        <v>45.829999999999984</v>
      </c>
      <c r="E147" s="51">
        <v>0.35</v>
      </c>
      <c r="F147" s="51">
        <v>0.2</v>
      </c>
      <c r="G147" s="51">
        <v>0.1</v>
      </c>
      <c r="H147" s="51">
        <v>0.35</v>
      </c>
      <c r="I147" s="57">
        <f>IF(A147&lt;&gt;0,(B147-(B146-D146))/(A147-A146),"")</f>
        <v>7.0011111111111104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>
        <v>132</v>
      </c>
      <c r="B148" s="60">
        <v>340.57</v>
      </c>
      <c r="C148" s="50">
        <v>9</v>
      </c>
      <c r="D148" s="60">
        <v>48.699999999999989</v>
      </c>
      <c r="E148" s="51">
        <v>0.35</v>
      </c>
      <c r="F148" s="51">
        <v>0.2</v>
      </c>
      <c r="G148" s="51">
        <v>0.1</v>
      </c>
      <c r="H148" s="51">
        <v>0.35</v>
      </c>
      <c r="I148" s="57">
        <f t="shared" si="5"/>
        <v>7.1129999999999995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>
        <v>144</v>
      </c>
      <c r="B149" s="60">
        <v>379.92</v>
      </c>
      <c r="C149" s="50">
        <v>10</v>
      </c>
      <c r="D149" s="60">
        <v>60.949999999999989</v>
      </c>
      <c r="E149" s="51">
        <v>0.35</v>
      </c>
      <c r="F149" s="51">
        <v>0.2</v>
      </c>
      <c r="G149" s="51">
        <v>0.1</v>
      </c>
      <c r="H149" s="51">
        <v>0.35</v>
      </c>
      <c r="I149" s="57">
        <f t="shared" si="5"/>
        <v>7.3375000000000012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>
        <v>156</v>
      </c>
      <c r="B150" s="60">
        <v>409.2</v>
      </c>
      <c r="C150" s="50">
        <v>11</v>
      </c>
      <c r="D150" s="60">
        <v>65.69</v>
      </c>
      <c r="E150" s="51">
        <v>0.5</v>
      </c>
      <c r="F150" s="51">
        <v>0.2</v>
      </c>
      <c r="G150" s="51">
        <v>0</v>
      </c>
      <c r="H150" s="51">
        <v>0.3</v>
      </c>
      <c r="I150" s="57">
        <f t="shared" si="5"/>
        <v>7.5191666666666634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>
        <v>168</v>
      </c>
      <c r="B151" s="60">
        <v>435.65</v>
      </c>
      <c r="C151" s="50">
        <v>12</v>
      </c>
      <c r="D151" s="60">
        <v>71.37</v>
      </c>
      <c r="E151" s="51">
        <v>0.5</v>
      </c>
      <c r="F151" s="51">
        <v>0.2</v>
      </c>
      <c r="G151" s="51">
        <v>0</v>
      </c>
      <c r="H151" s="51">
        <v>0.3</v>
      </c>
      <c r="I151" s="57">
        <f t="shared" si="5"/>
        <v>7.6783333333333319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>
        <v>180</v>
      </c>
      <c r="B152" s="60">
        <v>456.54</v>
      </c>
      <c r="C152" s="50">
        <v>13</v>
      </c>
      <c r="D152" s="60">
        <v>175.59000000000003</v>
      </c>
      <c r="E152" s="54">
        <v>0.5</v>
      </c>
      <c r="F152" s="54">
        <v>0.2</v>
      </c>
      <c r="G152" s="54">
        <v>0</v>
      </c>
      <c r="H152" s="54">
        <v>0.3</v>
      </c>
      <c r="I152" s="57">
        <f t="shared" si="5"/>
        <v>7.688333333333337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>
        <v>184</v>
      </c>
      <c r="B153" s="60">
        <v>300.14</v>
      </c>
      <c r="C153" s="50">
        <v>14</v>
      </c>
      <c r="D153" s="60">
        <v>101.19999999999999</v>
      </c>
      <c r="E153" s="54">
        <v>0.5</v>
      </c>
      <c r="F153" s="54">
        <v>0.2</v>
      </c>
      <c r="G153" s="54">
        <v>0</v>
      </c>
      <c r="H153" s="54">
        <v>0.3</v>
      </c>
      <c r="I153" s="57">
        <f t="shared" si="5"/>
        <v>4.7974999999999994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>
        <v>188</v>
      </c>
      <c r="B154" s="56">
        <v>211.27</v>
      </c>
      <c r="C154" s="50">
        <v>15</v>
      </c>
      <c r="D154" s="50">
        <v>72.180000000000007</v>
      </c>
      <c r="E154" s="54">
        <v>0.5</v>
      </c>
      <c r="F154" s="54">
        <v>0.2</v>
      </c>
      <c r="G154" s="54">
        <v>0</v>
      </c>
      <c r="H154" s="54">
        <v>0.3</v>
      </c>
      <c r="I154" s="57">
        <f t="shared" si="5"/>
        <v>3.0825000000000031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>
        <v>191</v>
      </c>
      <c r="B155" s="56">
        <v>145.01</v>
      </c>
      <c r="C155" s="50">
        <v>16</v>
      </c>
      <c r="D155" s="50">
        <v>145.01</v>
      </c>
      <c r="E155" s="54">
        <v>0.45</v>
      </c>
      <c r="F155" s="54">
        <v>0.05</v>
      </c>
      <c r="G155" s="54">
        <v>0.05</v>
      </c>
      <c r="H155" s="54">
        <v>0.45</v>
      </c>
      <c r="I155" s="57">
        <f t="shared" si="5"/>
        <v>1.9733333333333292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C161" s="23" t="s">
        <v>326</v>
      </c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>Cormier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>
        <v>60</v>
      </c>
      <c r="B166" s="60">
        <v>201.62</v>
      </c>
      <c r="C166" s="60">
        <v>1</v>
      </c>
      <c r="D166" s="60">
        <v>72.87</v>
      </c>
      <c r="E166" s="51">
        <v>0</v>
      </c>
      <c r="F166" s="51">
        <v>0.8</v>
      </c>
      <c r="G166" s="51">
        <v>0.2</v>
      </c>
      <c r="H166" s="51">
        <v>0</v>
      </c>
      <c r="I166" s="49">
        <f>IFERROR(B166/A166,"")</f>
        <v>3.3603333333333336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>
        <v>69</v>
      </c>
      <c r="B167" s="60">
        <v>190.79</v>
      </c>
      <c r="C167" s="60">
        <v>2</v>
      </c>
      <c r="D167" s="60">
        <v>42.22</v>
      </c>
      <c r="E167" s="51">
        <v>0</v>
      </c>
      <c r="F167" s="51">
        <v>0.8</v>
      </c>
      <c r="G167" s="51">
        <v>0.2</v>
      </c>
      <c r="H167" s="51">
        <v>0</v>
      </c>
      <c r="I167" s="49">
        <f t="shared" ref="I167:I185" si="6">IF(A167&lt;&gt;0,(B167-(B166-D166))/(A167-A166),"")</f>
        <v>6.8933333333333326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>
        <v>77</v>
      </c>
      <c r="B168" s="60">
        <v>202.52</v>
      </c>
      <c r="C168" s="60">
        <v>3</v>
      </c>
      <c r="D168" s="60">
        <v>33.950000000000017</v>
      </c>
      <c r="E168" s="51">
        <v>0</v>
      </c>
      <c r="F168" s="51">
        <v>0.8</v>
      </c>
      <c r="G168" s="51">
        <v>0.2</v>
      </c>
      <c r="H168" s="51">
        <v>0</v>
      </c>
      <c r="I168" s="49">
        <f t="shared" si="6"/>
        <v>6.7437500000000021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>
        <v>86</v>
      </c>
      <c r="B169" s="60">
        <v>229.27</v>
      </c>
      <c r="C169" s="60">
        <v>4</v>
      </c>
      <c r="D169" s="60">
        <v>37.54000000000002</v>
      </c>
      <c r="E169" s="51">
        <v>0.35</v>
      </c>
      <c r="F169" s="51">
        <v>0.2</v>
      </c>
      <c r="G169" s="51">
        <v>0.1</v>
      </c>
      <c r="H169" s="51">
        <v>0.35</v>
      </c>
      <c r="I169" s="49">
        <f t="shared" si="6"/>
        <v>6.7444444444444462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>
        <v>95</v>
      </c>
      <c r="B170" s="60">
        <v>252.57</v>
      </c>
      <c r="C170" s="60">
        <v>5</v>
      </c>
      <c r="D170" s="60">
        <v>42.199999999999989</v>
      </c>
      <c r="E170" s="51">
        <v>0.35</v>
      </c>
      <c r="F170" s="51">
        <v>0.2</v>
      </c>
      <c r="G170" s="51">
        <v>0.1</v>
      </c>
      <c r="H170" s="51">
        <v>0.35</v>
      </c>
      <c r="I170" s="49">
        <f t="shared" si="6"/>
        <v>6.7600000000000007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>
        <v>104</v>
      </c>
      <c r="B171" s="60">
        <v>271.37</v>
      </c>
      <c r="C171" s="60">
        <v>6</v>
      </c>
      <c r="D171" s="60">
        <v>39.400000000000006</v>
      </c>
      <c r="E171" s="51">
        <v>0.35</v>
      </c>
      <c r="F171" s="51">
        <v>0.2</v>
      </c>
      <c r="G171" s="51">
        <v>0.1</v>
      </c>
      <c r="H171" s="51">
        <v>0.35</v>
      </c>
      <c r="I171" s="49">
        <f t="shared" si="6"/>
        <v>6.7777777777777777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>
        <v>113</v>
      </c>
      <c r="B172" s="60">
        <v>293.89999999999998</v>
      </c>
      <c r="C172" s="60">
        <v>7</v>
      </c>
      <c r="D172" s="60">
        <v>41.639999999999986</v>
      </c>
      <c r="E172" s="51">
        <v>0.35</v>
      </c>
      <c r="F172" s="51">
        <v>0.2</v>
      </c>
      <c r="G172" s="51">
        <v>0.1</v>
      </c>
      <c r="H172" s="51">
        <v>0.35</v>
      </c>
      <c r="I172" s="49">
        <f t="shared" si="6"/>
        <v>6.8811111111111085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>
        <v>122</v>
      </c>
      <c r="B173" s="50">
        <v>315.27</v>
      </c>
      <c r="C173" s="50">
        <v>8</v>
      </c>
      <c r="D173" s="50">
        <v>45.829999999999984</v>
      </c>
      <c r="E173" s="51">
        <v>0.35</v>
      </c>
      <c r="F173" s="51">
        <v>0.2</v>
      </c>
      <c r="G173" s="51">
        <v>0.1</v>
      </c>
      <c r="H173" s="51">
        <v>0.35</v>
      </c>
      <c r="I173" s="49">
        <f t="shared" si="6"/>
        <v>7.0011111111111104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>
        <v>132</v>
      </c>
      <c r="B174" s="50">
        <v>340.57</v>
      </c>
      <c r="C174" s="50">
        <v>9</v>
      </c>
      <c r="D174" s="50">
        <v>48.699999999999989</v>
      </c>
      <c r="E174" s="51">
        <v>0.35</v>
      </c>
      <c r="F174" s="51">
        <v>0.2</v>
      </c>
      <c r="G174" s="51">
        <v>0.1</v>
      </c>
      <c r="H174" s="51">
        <v>0.35</v>
      </c>
      <c r="I174" s="49">
        <f t="shared" si="6"/>
        <v>7.1129999999999995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>
        <v>144</v>
      </c>
      <c r="B175" s="50">
        <v>379.92</v>
      </c>
      <c r="C175" s="50">
        <v>10</v>
      </c>
      <c r="D175" s="50">
        <v>60.949999999999989</v>
      </c>
      <c r="E175" s="51">
        <v>0.35</v>
      </c>
      <c r="F175" s="51">
        <v>0.2</v>
      </c>
      <c r="G175" s="51">
        <v>0.1</v>
      </c>
      <c r="H175" s="51">
        <v>0.35</v>
      </c>
      <c r="I175" s="49">
        <f t="shared" si="6"/>
        <v>7.3375000000000012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>
        <v>156</v>
      </c>
      <c r="B176" s="50">
        <v>409.2</v>
      </c>
      <c r="C176" s="50">
        <v>11</v>
      </c>
      <c r="D176" s="50">
        <v>65.69</v>
      </c>
      <c r="E176" s="51">
        <v>0.5</v>
      </c>
      <c r="F176" s="51">
        <v>0.2</v>
      </c>
      <c r="G176" s="51">
        <v>0</v>
      </c>
      <c r="H176" s="51">
        <v>0.3</v>
      </c>
      <c r="I176" s="49">
        <f t="shared" si="6"/>
        <v>7.5191666666666634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>
        <v>168</v>
      </c>
      <c r="B177" s="50">
        <v>435.65</v>
      </c>
      <c r="C177" s="50">
        <v>12</v>
      </c>
      <c r="D177" s="50">
        <v>71.37</v>
      </c>
      <c r="E177" s="51">
        <v>0.5</v>
      </c>
      <c r="F177" s="51">
        <v>0.2</v>
      </c>
      <c r="G177" s="51">
        <v>0</v>
      </c>
      <c r="H177" s="51">
        <v>0.3</v>
      </c>
      <c r="I177" s="49">
        <f t="shared" si="6"/>
        <v>7.6783333333333319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>
        <v>180</v>
      </c>
      <c r="B178" s="50">
        <v>456.54</v>
      </c>
      <c r="C178" s="50">
        <v>13</v>
      </c>
      <c r="D178" s="50">
        <v>175.59000000000003</v>
      </c>
      <c r="E178" s="51">
        <v>0.5</v>
      </c>
      <c r="F178" s="51">
        <v>0.2</v>
      </c>
      <c r="G178" s="51">
        <v>0</v>
      </c>
      <c r="H178" s="51">
        <v>0.3</v>
      </c>
      <c r="I178" s="49">
        <f t="shared" si="6"/>
        <v>7.688333333333337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>
        <v>184</v>
      </c>
      <c r="B179" s="50">
        <v>300.14</v>
      </c>
      <c r="C179" s="50">
        <v>14</v>
      </c>
      <c r="D179" s="50">
        <v>101.19999999999999</v>
      </c>
      <c r="E179" s="51">
        <v>0.5</v>
      </c>
      <c r="F179" s="51">
        <v>0.2</v>
      </c>
      <c r="G179" s="51">
        <v>0</v>
      </c>
      <c r="H179" s="51">
        <v>0.3</v>
      </c>
      <c r="I179" s="49">
        <f t="shared" si="6"/>
        <v>4.7974999999999994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>
        <v>188</v>
      </c>
      <c r="B180" s="50">
        <v>211.27</v>
      </c>
      <c r="C180" s="50">
        <v>15</v>
      </c>
      <c r="D180" s="50">
        <v>72.180000000000007</v>
      </c>
      <c r="E180" s="51">
        <v>0.5</v>
      </c>
      <c r="F180" s="51">
        <v>0.2</v>
      </c>
      <c r="G180" s="51">
        <v>0</v>
      </c>
      <c r="H180" s="51">
        <v>0.3</v>
      </c>
      <c r="I180" s="49">
        <f t="shared" si="6"/>
        <v>3.0825000000000031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>
        <v>191</v>
      </c>
      <c r="B181" s="50">
        <v>145.01</v>
      </c>
      <c r="C181" s="50">
        <v>16</v>
      </c>
      <c r="D181" s="50">
        <v>145.01</v>
      </c>
      <c r="E181" s="51">
        <v>0.45</v>
      </c>
      <c r="F181" s="51">
        <v>0.05</v>
      </c>
      <c r="G181" s="51">
        <v>0.05</v>
      </c>
      <c r="H181" s="51">
        <v>0.45</v>
      </c>
      <c r="I181" s="49">
        <f t="shared" si="6"/>
        <v>1.9733333333333292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Normal="100" workbookViewId="0">
      <selection activeCell="B18" sqref="B18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Merisier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Tilleul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Erable champêtre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Alisier torminal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Cormier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681.47578137804555</v>
      </c>
      <c r="T3" s="59">
        <f>IF('Données projet'!E9&gt;30,$R$33-$H$33,LOOKUP('Données projet'!$E$9,$A$3:$A$203,R3:R203)-LOOKUP('Données projet'!$E$9,$A$3:$A$203,$H$3:$H$203))</f>
        <v>300.88511065995885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217.53602321474159</v>
      </c>
      <c r="AO3" s="59">
        <f>IF('Données projet'!E10&gt;30,$AM$33-$H$33,LOOKUP('Données projet'!$E$10,$A$3:$A$203,AM3:AM203)-LOOKUP('Données projet'!$E$10,$A$3:$A$203,$H$3:$H$203))</f>
        <v>215.75909414893025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281.67293577289729</v>
      </c>
      <c r="BJ3" s="59">
        <f>IF('Données projet'!E11&gt;30,$BH$33-$H$33,LOOKUP('Données projet'!$E$11,$A$3:$A$203,BH3:BH203)-LOOKUP('Données projet'!$E$11,$A$3:$A$203,$H$3:$H$203))</f>
        <v>272.44904846480154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348.77506423101278</v>
      </c>
      <c r="CE3" s="59">
        <f>IF('Données projet'!E12&gt;30,$CC$33-$H$33,LOOKUP('Données projet'!$E$12,$A$3:$A$203,CC3:CC203)-LOOKUP('Données projet'!$E$12,$A$3:$A$203,$H$3:$H$203))</f>
        <v>336.13747591329548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557.48193674339791</v>
      </c>
      <c r="CZ3" s="59">
        <f>IF('Données projet'!E13&gt;30,$CX$33-$H$33,LOOKUP('Données projet'!$E$13,$A$3:$A$203,CX3:CX203)-LOOKUP('Données projet'!$E$13,$A$3:$A$203,$H$3:$H$203))</f>
        <v>271.51396593253048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610.05768948788375</v>
      </c>
      <c r="DU3" s="59">
        <f>IF('Données projet'!E14&gt;30,$DS$33-$H$33,LOOKUP('Données projet'!$E$14,$A$3:$A$203,DS3:DS203)-LOOKUP('Données projet'!$E$14,$A$3:$A$203,$H$3:$H$203))</f>
        <v>295.23928902444845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4.0942857142857143</v>
      </c>
      <c r="N4" s="13">
        <f>IF('Données projet'!$A$36&gt;35,N3+M4-V3,IF(A4&lt;'Données projet'!$A$36,$K$205^A4,IF(A4='Données projet'!$A$36,'Données projet'!$B$36,N3+M4-V3)))</f>
        <v>4.0942857142857143</v>
      </c>
      <c r="O4" s="13">
        <f>N4*VLOOKUP('Données projet'!$B$9,Paramètres!$A$1:$I$89,3,0)*VLOOKUP('Données projet'!$B$9,Paramètres!$A$1:$I$89,5,0)</f>
        <v>3.704509714285714</v>
      </c>
      <c r="P4" s="13">
        <f>EXP(-1.0587+0.8836*LN(O4)+0.284)</f>
        <v>1.4658264193249637</v>
      </c>
      <c r="Q4" s="20">
        <f t="shared" ref="Q4:Q34" si="2">(O4+P4)*0.475*44/12</f>
        <v>9.0050020993719304</v>
      </c>
      <c r="R4" s="59">
        <f t="shared" si="0"/>
        <v>176.81743605229576</v>
      </c>
      <c r="S4" s="59">
        <f ca="1">AVERAGE(OFFSET($R$3,0,0,'Données projet'!$E$9+1,1))-AVERAGE(OFFSET($H$3,0,0,'Données projet'!$E$9+1,1))</f>
        <v>681.47578137804555</v>
      </c>
      <c r="T4" s="59">
        <f>$T$3</f>
        <v>300.88511065995885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1.7094017094017093</v>
      </c>
      <c r="AI4" s="13">
        <f>IF('Données projet'!$A$62&gt;35,AI3+AH4-AQ3,IF(A4&lt;'Données projet'!$A$62,$AF$205^A4,IF(A4='Données projet'!$A$62,'Données projet'!$B$62,AI3+AH4-AQ3)))</f>
        <v>1.2414494093563335</v>
      </c>
      <c r="AJ4" s="13">
        <f>AI4*VLOOKUP('Données projet'!$B$10,Paramètres!$A$1:$I$89,3,0)*VLOOKUP('Données projet'!$B$10,Paramètres!$A$1:$I$89,5,0)</f>
        <v>0.96833053929794022</v>
      </c>
      <c r="AK4" s="13">
        <f>EXP(-1.0587+0.8836*LN(AJ4)+0.284)</f>
        <v>0.44792215440986066</v>
      </c>
      <c r="AL4" s="20">
        <f t="shared" ref="AL4:AL67" si="4">(AJ4+AK4)*0.475*44/12</f>
        <v>2.4666401082077529</v>
      </c>
      <c r="AM4" s="59">
        <f t="shared" ref="AM4:AM67" si="5">AL4+(AD4+AE4)*44/12</f>
        <v>170.27907406113158</v>
      </c>
      <c r="AN4" s="59">
        <f ca="1">AVERAGE(OFFSET($AM$3,0,0,'Données projet'!$E$10+1,1))-AVERAGE(OFFSET($H$3,0,0,'Données projet'!$E$10+1,1))</f>
        <v>217.53602321474159</v>
      </c>
      <c r="AO4" s="59">
        <f>$AO$3</f>
        <v>215.75909414893025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2.4666666666666668</v>
      </c>
      <c r="BD4" s="12">
        <f>IF('Données projet'!$A$88&gt;35,BD3+BC4-BL3,IF(A4&lt;'Données projet'!$A$88,$BA$205^A4,IF(A4='Données projet'!$A$88,'Données projet'!$B$88,BD3+BC4-BL3)))</f>
        <v>1.2721747796233518</v>
      </c>
      <c r="BE4" s="13">
        <f>BD4*VLOOKUP('Données projet'!$B$11,Paramètres!$A$1:$I$89,3,0)*VLOOKUP('Données projet'!$B$11,Paramètres!$A$1:$I$89,5,0)</f>
        <v>0.85337484217134441</v>
      </c>
      <c r="BF4" s="13">
        <f>EXP(-1.0587+0.8836*LN(BE4)+0.284)</f>
        <v>0.40059656733164084</v>
      </c>
      <c r="BG4" s="20">
        <f t="shared" ref="BG4:BG67" si="7">(BE4+BF4)*0.475*44/12</f>
        <v>2.1840002048843661</v>
      </c>
      <c r="BH4" s="59">
        <f t="shared" ref="BH4:BH67" si="8">BG4+(AY4+AZ4)*44/12</f>
        <v>169.99643415780821</v>
      </c>
      <c r="BI4" s="59">
        <f ca="1">AVERAGE(OFFSET($BH$3,0,0,'Données projet'!$E$11+1,1))-AVERAGE(OFFSET($H$3,0,0,'Données projet'!$E$11+1,1))</f>
        <v>281.67293577289729</v>
      </c>
      <c r="BJ4" s="59">
        <f>$BJ$3</f>
        <v>272.44904846480154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2.4666666666666668</v>
      </c>
      <c r="BY4" s="12">
        <f>IF('Données projet'!$A$114&gt;35,BY3+BX4-CG3,IF(A4&lt;'Données projet'!$A$114,$BV$205^A4,IF(A4='Données projet'!$A$114,'Données projet'!$B$114,BY3+BX4-CG3)))</f>
        <v>1.2721747796233518</v>
      </c>
      <c r="BZ4" s="13">
        <f>BY4*VLOOKUP('Données projet'!$B$12,Paramètres!$A$1:$I$89,3,0)*VLOOKUP('Données projet'!$B$12,Paramètres!$A$1:$I$89,5,0)</f>
        <v>1.1113718874789602</v>
      </c>
      <c r="CA4" s="13">
        <f>EXP(-1.0587+0.8836*LN(BZ4)+0.284)</f>
        <v>0.5059102014681881</v>
      </c>
      <c r="CB4" s="20">
        <f t="shared" ref="CB4:CB67" si="10">(BZ4+CA4)*0.475*44/12</f>
        <v>2.8167663049162832</v>
      </c>
      <c r="CC4" s="59">
        <f t="shared" ref="CC4:CC67" si="11">CB4+(BT4+BU4)*44/12</f>
        <v>170.62920025784013</v>
      </c>
      <c r="CD4" s="59">
        <f ca="1">AVERAGE(OFFSET($CC$3,0,0,'Données projet'!$E$12+1,1))-AVERAGE(OFFSET($H$3,0,0,'Données projet'!$E$12+1,1))</f>
        <v>348.77506423101278</v>
      </c>
      <c r="CE4" s="59">
        <f>$CE$3</f>
        <v>336.13747591329548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3.3603333333333336</v>
      </c>
      <c r="CT4" s="12">
        <f>IF('Données projet'!$A$140&gt;35,CT3+CS4-DB3,IF(A4&lt;'Données projet'!$A$140,$CQ$205^A4,IF(A4='Données projet'!$A$140,'Données projet'!$B$140,CT3+CS4-DB3)))</f>
        <v>3.3603333333333336</v>
      </c>
      <c r="CU4" s="17">
        <f>CT4*VLOOKUP('Données projet'!$B$13,Paramètres!$A$1:$I$89,3,0)*VLOOKUP('Données projet'!$B$13,Paramètres!$A$1:$I$89,5,0)</f>
        <v>3.2501144000000002</v>
      </c>
      <c r="CV4" s="13">
        <f>EXP(-1.0587+0.8836*LN(CU4)+0.284)</f>
        <v>1.3057670644435437</v>
      </c>
      <c r="CW4" s="20">
        <f t="shared" ref="CW4:CW67" si="13">(CU4+CV4)*0.475*44/12</f>
        <v>7.9348268839058393</v>
      </c>
      <c r="CX4" s="59">
        <f t="shared" ref="CX4:CX67" si="14">CW4+(CO4+CP4)*44/12</f>
        <v>175.74726083682967</v>
      </c>
      <c r="CY4" s="59">
        <f ca="1">AVERAGE(OFFSET($CX$3,0,0,'Données projet'!$E$13+1,1))-AVERAGE(OFFSET($H$3,0,0,'Données projet'!$E$13+1,1))</f>
        <v>557.48193674339791</v>
      </c>
      <c r="CZ4" s="59">
        <f>$CZ$3</f>
        <v>271.51396593253048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3.3603333333333336</v>
      </c>
      <c r="DO4" s="12">
        <f>IF('Données projet'!$A$166&gt;35,DO3+DN4-DW3,IF(A4&lt;'Données projet'!$A$166,$DL$205^A4,IF(A4='Données projet'!$A$166,'Données projet'!$B$166,DO3+DN4-DW3)))</f>
        <v>3.3603333333333336</v>
      </c>
      <c r="DP4" s="17">
        <f>DO4*VLOOKUP('Données projet'!$B$14,Paramètres!$A$1:$I$89,3,0)*VLOOKUP('Données projet'!$B$14,Paramètres!$A$1:$I$89,5,0)</f>
        <v>3.6170628000000002</v>
      </c>
      <c r="DQ4" s="13">
        <f>EXP(-1.0587+0.8836*LN(DP4)+0.284)</f>
        <v>1.4352100600036162</v>
      </c>
      <c r="DR4" s="20">
        <f t="shared" ref="DR4:DR67" si="16">(DP4+DQ4)*0.475*44/12</f>
        <v>8.7993752311729647</v>
      </c>
      <c r="DS4" s="59">
        <f t="shared" ref="DS4:DS67" si="17">DR4+(DJ4+DK4)*44/12</f>
        <v>176.61180918409681</v>
      </c>
      <c r="DT4" s="59">
        <f ca="1">AVERAGE(OFFSET($DS$3,0,0,'Données projet'!$E$14+1,1))-AVERAGE(OFFSET($H$3,0,0,'Données projet'!$E$14+1,1))</f>
        <v>610.05768948788375</v>
      </c>
      <c r="DU4" s="59">
        <f>$DU$3</f>
        <v>295.23928902444845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4.0942857142857143</v>
      </c>
      <c r="N5" s="13">
        <f>IF('Données projet'!$A$36&gt;35,N4+M5-V4,IF(A5&lt;'Données projet'!$A$36,$K$205^A5,IF(A5='Données projet'!$A$36,'Données projet'!$B$36,N4+M5-V4)))</f>
        <v>8.1885714285714286</v>
      </c>
      <c r="O5" s="13">
        <f>N5*VLOOKUP('Données projet'!$B$9,Paramètres!$A$1:$I$89,3,0)*VLOOKUP('Données projet'!$B$9,Paramètres!$A$1:$I$89,5,0)</f>
        <v>7.4090194285714279</v>
      </c>
      <c r="P5" s="13">
        <f t="shared" ref="P5:P68" si="33">EXP(-1.0587+0.8836*LN(O5)+0.284)</f>
        <v>2.7044107221075859</v>
      </c>
      <c r="Q5" s="20">
        <f t="shared" si="2"/>
        <v>17.614224179099281</v>
      </c>
      <c r="R5" s="59">
        <f t="shared" si="0"/>
        <v>188.2115054666001</v>
      </c>
      <c r="S5" s="59">
        <f ca="1">AVERAGE(OFFSET($R$3,0,0,'Données projet'!$E$9+1,1))-AVERAGE(OFFSET($H$3,0,0,'Données projet'!$E$9+1,1))</f>
        <v>681.47578137804555</v>
      </c>
      <c r="T5" s="59">
        <f t="shared" ref="T5:T68" si="34">$T$3</f>
        <v>300.88511065995885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1.7094017094017093</v>
      </c>
      <c r="AI5" s="13">
        <f>IF('Données projet'!$A$62&gt;35,AI4+AH5-AQ4,IF(A5&lt;'Données projet'!$A$62,$AF$205^A5,IF(A5='Données projet'!$A$62,'Données projet'!$B$62,AI4+AH5-AQ4)))</f>
        <v>1.5411966359911893</v>
      </c>
      <c r="AJ5" s="13">
        <f>AI5*VLOOKUP('Données projet'!$B$10,Paramètres!$A$1:$I$89,3,0)*VLOOKUP('Données projet'!$B$10,Paramètres!$A$1:$I$89,5,0)</f>
        <v>1.2021333760731276</v>
      </c>
      <c r="AK5" s="13">
        <f t="shared" ref="AK5:AK68" si="35">EXP(-1.0587+0.8836*LN(AJ5)+0.284)</f>
        <v>0.54224833966781483</v>
      </c>
      <c r="AL5" s="20">
        <f t="shared" si="4"/>
        <v>3.038131488248808</v>
      </c>
      <c r="AM5" s="59">
        <f t="shared" si="5"/>
        <v>173.63541277574964</v>
      </c>
      <c r="AN5" s="59">
        <f ca="1">AVERAGE(OFFSET($AM$3,0,0,'Données projet'!$E$10+1,1))-AVERAGE(OFFSET($H$3,0,0,'Données projet'!$E$10+1,1))</f>
        <v>217.53602321474159</v>
      </c>
      <c r="AO5" s="59">
        <f t="shared" ref="AO5:AO68" si="36">$AO$3</f>
        <v>215.75909414893025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2.4666666666666668</v>
      </c>
      <c r="BD5" s="12">
        <f>IF('Données projet'!$A$88&gt;35,BD4+BC5-BL4,IF(A5&lt;'Données projet'!$A$88,$BA$205^A5,IF(A5='Données projet'!$A$88,'Données projet'!$B$88,BD4+BC5-BL4)))</f>
        <v>1.6184286699097237</v>
      </c>
      <c r="BE5" s="13">
        <f>BD5*VLOOKUP('Données projet'!$B$11,Paramètres!$A$1:$I$89,3,0)*VLOOKUP('Données projet'!$B$11,Paramètres!$A$1:$I$89,5,0)</f>
        <v>1.0856419517754428</v>
      </c>
      <c r="BF5" s="13">
        <f t="shared" ref="BF5:BF68" si="37">EXP(-1.0587+0.8836*LN(BE5)+0.284)</f>
        <v>0.49554689557007053</v>
      </c>
      <c r="BG5" s="20">
        <f t="shared" si="7"/>
        <v>2.7539039091267692</v>
      </c>
      <c r="BH5" s="59">
        <f t="shared" si="8"/>
        <v>173.3511851966276</v>
      </c>
      <c r="BI5" s="59">
        <f ca="1">AVERAGE(OFFSET($BH$3,0,0,'Données projet'!$E$11+1,1))-AVERAGE(OFFSET($H$3,0,0,'Données projet'!$E$11+1,1))</f>
        <v>281.67293577289729</v>
      </c>
      <c r="BJ5" s="59">
        <f t="shared" ref="BJ5:BJ68" si="38">$BJ$3</f>
        <v>272.44904846480154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2.4666666666666668</v>
      </c>
      <c r="BY5" s="12">
        <f>IF('Données projet'!$A$114&gt;35,BY4+BX5-CG4,IF(A5&lt;'Données projet'!$A$114,$BV$205^A5,IF(A5='Données projet'!$A$114,'Données projet'!$B$114,BY4+BX5-CG4)))</f>
        <v>1.6184286699097237</v>
      </c>
      <c r="BZ5" s="13">
        <f>BY5*VLOOKUP('Données projet'!$B$12,Paramètres!$A$1:$I$89,3,0)*VLOOKUP('Données projet'!$B$12,Paramètres!$A$1:$I$89,5,0)</f>
        <v>1.4138592860331347</v>
      </c>
      <c r="CA5" s="13">
        <f t="shared" ref="CA5:CA68" si="39">EXP(-1.0587+0.8836*LN(BZ5)+0.284)</f>
        <v>0.62582221171965613</v>
      </c>
      <c r="CB5" s="20">
        <f t="shared" si="10"/>
        <v>3.5524452752527771</v>
      </c>
      <c r="CC5" s="59">
        <f t="shared" si="11"/>
        <v>174.14972656275361</v>
      </c>
      <c r="CD5" s="59">
        <f ca="1">AVERAGE(OFFSET($CC$3,0,0,'Données projet'!$E$12+1,1))-AVERAGE(OFFSET($H$3,0,0,'Données projet'!$E$12+1,1))</f>
        <v>348.77506423101278</v>
      </c>
      <c r="CE5" s="59">
        <f t="shared" ref="CE5:CE68" si="40">$CE$3</f>
        <v>336.13747591329548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3.3603333333333336</v>
      </c>
      <c r="CT5" s="12">
        <f>IF('Données projet'!$A$140&gt;35,CT4+CS5-DB4,IF(A5&lt;'Données projet'!$A$140,$CQ$205^A5,IF(A5='Données projet'!$A$140,'Données projet'!$B$140,CT4+CS5-DB4)))</f>
        <v>6.7206666666666672</v>
      </c>
      <c r="CU5" s="17">
        <f>CT5*VLOOKUP('Données projet'!$B$13,Paramètres!$A$1:$I$89,3,0)*VLOOKUP('Données projet'!$B$13,Paramètres!$A$1:$I$89,5,0)</f>
        <v>6.5002288000000004</v>
      </c>
      <c r="CV5" s="13">
        <f t="shared" ref="CV5:CV68" si="41">EXP(-1.0587+0.8836*LN(CU5)+0.284)</f>
        <v>2.4091054732676334</v>
      </c>
      <c r="CW5" s="20">
        <f t="shared" si="13"/>
        <v>15.517090525941128</v>
      </c>
      <c r="CX5" s="59">
        <f t="shared" si="14"/>
        <v>186.11437181344195</v>
      </c>
      <c r="CY5" s="59">
        <f ca="1">AVERAGE(OFFSET($CX$3,0,0,'Données projet'!$E$13+1,1))-AVERAGE(OFFSET($H$3,0,0,'Données projet'!$E$13+1,1))</f>
        <v>557.48193674339791</v>
      </c>
      <c r="CZ5" s="59">
        <f t="shared" ref="CZ5:CZ68" si="42">$CZ$3</f>
        <v>271.51396593253048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3.3603333333333336</v>
      </c>
      <c r="DO5" s="12">
        <f>IF('Données projet'!$A$166&gt;35,DO4+DN5-DW4,IF(A5&lt;'Données projet'!$A$166,$DL$205^A5,IF(A5='Données projet'!$A$166,'Données projet'!$B$166,DO4+DN5-DW4)))</f>
        <v>6.7206666666666672</v>
      </c>
      <c r="DP5" s="17">
        <f>DO5*VLOOKUP('Données projet'!$B$14,Paramètres!$A$1:$I$89,3,0)*VLOOKUP('Données projet'!$B$14,Paramètres!$A$1:$I$89,5,0)</f>
        <v>7.2341256000000005</v>
      </c>
      <c r="DQ5" s="13">
        <f t="shared" ref="DQ5:DQ68" si="43">EXP(-1.0587+0.8836*LN(DP5)+0.284)</f>
        <v>2.6479243541932451</v>
      </c>
      <c r="DR5" s="20">
        <f t="shared" si="16"/>
        <v>17.211237003553233</v>
      </c>
      <c r="DS5" s="59">
        <f t="shared" si="17"/>
        <v>187.80851829105407</v>
      </c>
      <c r="DT5" s="59">
        <f ca="1">AVERAGE(OFFSET($DS$3,0,0,'Données projet'!$E$14+1,1))-AVERAGE(OFFSET($H$3,0,0,'Données projet'!$E$14+1,1))</f>
        <v>610.05768948788375</v>
      </c>
      <c r="DU5" s="59">
        <f t="shared" ref="DU5:DU68" si="44">$DU$3</f>
        <v>295.23928902444845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4.0942857142857143</v>
      </c>
      <c r="N6" s="13">
        <f>IF('Données projet'!$A$36&gt;35,N5+M6-V5,IF(A6&lt;'Données projet'!$A$36,$K$205^A6,IF(A6='Données projet'!$A$36,'Données projet'!$B$36,N5+M6-V5)))</f>
        <v>12.282857142857143</v>
      </c>
      <c r="O6" s="13">
        <f>N6*VLOOKUP('Données projet'!$B$9,Paramètres!$A$1:$I$89,3,0)*VLOOKUP('Données projet'!$B$9,Paramètres!$A$1:$I$89,5,0)</f>
        <v>11.113529142857143</v>
      </c>
      <c r="P6" s="13">
        <f t="shared" si="33"/>
        <v>3.8696072280877138</v>
      </c>
      <c r="Q6" s="20">
        <f t="shared" si="2"/>
        <v>26.095629179395626</v>
      </c>
      <c r="R6" s="59">
        <f t="shared" si="0"/>
        <v>199.4506497492805</v>
      </c>
      <c r="S6" s="59">
        <f ca="1">AVERAGE(OFFSET($R$3,0,0,'Données projet'!$E$9+1,1))-AVERAGE(OFFSET($H$3,0,0,'Données projet'!$E$9+1,1))</f>
        <v>681.47578137804555</v>
      </c>
      <c r="T6" s="59">
        <f t="shared" si="34"/>
        <v>300.88511065995885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1.7094017094017093</v>
      </c>
      <c r="AI6" s="13">
        <f>IF('Données projet'!$A$62&gt;35,AI5+AH6-AQ5,IF(A6&lt;'Données projet'!$A$62,$AF$205^A6,IF(A6='Données projet'!$A$62,'Données projet'!$B$62,AI5+AH6-AQ5)))</f>
        <v>1.9133176534532301</v>
      </c>
      <c r="AJ6" s="13">
        <f>AI6*VLOOKUP('Données projet'!$B$10,Paramètres!$A$1:$I$89,3,0)*VLOOKUP('Données projet'!$B$10,Paramètres!$A$1:$I$89,5,0)</f>
        <v>1.4923877696935195</v>
      </c>
      <c r="AK6" s="13">
        <f t="shared" si="35"/>
        <v>0.65643830959844374</v>
      </c>
      <c r="AL6" s="20">
        <f t="shared" si="4"/>
        <v>3.7425387547668367</v>
      </c>
      <c r="AM6" s="59">
        <f t="shared" si="5"/>
        <v>177.09755932465171</v>
      </c>
      <c r="AN6" s="59">
        <f ca="1">AVERAGE(OFFSET($AM$3,0,0,'Données projet'!$E$10+1,1))-AVERAGE(OFFSET($H$3,0,0,'Données projet'!$E$10+1,1))</f>
        <v>217.53602321474159</v>
      </c>
      <c r="AO6" s="59">
        <f t="shared" si="36"/>
        <v>215.75909414893025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2.4666666666666668</v>
      </c>
      <c r="BD6" s="12">
        <f>IF('Données projet'!$A$88&gt;35,BD5+BC6-BL5,IF(A6&lt;'Données projet'!$A$88,$BA$205^A6,IF(A6='Données projet'!$A$88,'Données projet'!$B$88,BD5+BC6-BL5)))</f>
        <v>2.0589241364785171</v>
      </c>
      <c r="BE6" s="13">
        <f>BD6*VLOOKUP('Données projet'!$B$11,Paramètres!$A$1:$I$89,3,0)*VLOOKUP('Données projet'!$B$11,Paramètres!$A$1:$I$89,5,0)</f>
        <v>1.3811263107497893</v>
      </c>
      <c r="BF6" s="13">
        <f t="shared" si="37"/>
        <v>0.61300257100265598</v>
      </c>
      <c r="BG6" s="20">
        <f t="shared" si="7"/>
        <v>3.4731078023855084</v>
      </c>
      <c r="BH6" s="59">
        <f t="shared" si="8"/>
        <v>176.82812837227038</v>
      </c>
      <c r="BI6" s="59">
        <f ca="1">AVERAGE(OFFSET($BH$3,0,0,'Données projet'!$E$11+1,1))-AVERAGE(OFFSET($H$3,0,0,'Données projet'!$E$11+1,1))</f>
        <v>281.67293577289729</v>
      </c>
      <c r="BJ6" s="59">
        <f t="shared" si="38"/>
        <v>272.44904846480154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2.4666666666666668</v>
      </c>
      <c r="BY6" s="12">
        <f>IF('Données projet'!$A$114&gt;35,BY5+BX6-CG5,IF(A6&lt;'Données projet'!$A$114,$BV$205^A6,IF(A6='Données projet'!$A$114,'Données projet'!$B$114,BY5+BX6-CG5)))</f>
        <v>2.0589241364785171</v>
      </c>
      <c r="BZ6" s="13">
        <f>BY6*VLOOKUP('Données projet'!$B$12,Paramètres!$A$1:$I$89,3,0)*VLOOKUP('Données projet'!$B$12,Paramètres!$A$1:$I$89,5,0)</f>
        <v>1.7986761256276329</v>
      </c>
      <c r="CA6" s="13">
        <f t="shared" si="39"/>
        <v>0.77415604497611523</v>
      </c>
      <c r="CB6" s="20">
        <f t="shared" si="10"/>
        <v>4.4810160304681945</v>
      </c>
      <c r="CC6" s="59">
        <f t="shared" si="11"/>
        <v>177.83603660035308</v>
      </c>
      <c r="CD6" s="59">
        <f ca="1">AVERAGE(OFFSET($CC$3,0,0,'Données projet'!$E$12+1,1))-AVERAGE(OFFSET($H$3,0,0,'Données projet'!$E$12+1,1))</f>
        <v>348.77506423101278</v>
      </c>
      <c r="CE6" s="59">
        <f t="shared" si="40"/>
        <v>336.13747591329548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3.3603333333333336</v>
      </c>
      <c r="CT6" s="12">
        <f>IF('Données projet'!$A$140&gt;35,CT5+CS6-DB5,IF(A6&lt;'Données projet'!$A$140,$CQ$205^A6,IF(A6='Données projet'!$A$140,'Données projet'!$B$140,CT5+CS6-DB5)))</f>
        <v>10.081000000000001</v>
      </c>
      <c r="CU6" s="17">
        <f>CT6*VLOOKUP('Données projet'!$B$13,Paramètres!$A$1:$I$89,3,0)*VLOOKUP('Données projet'!$B$13,Paramètres!$A$1:$I$89,5,0)</f>
        <v>9.7503432000000014</v>
      </c>
      <c r="CV6" s="13">
        <f t="shared" si="41"/>
        <v>3.447069587609501</v>
      </c>
      <c r="CW6" s="20">
        <f t="shared" si="13"/>
        <v>22.985493938419882</v>
      </c>
      <c r="CX6" s="59">
        <f t="shared" si="14"/>
        <v>196.34051450830478</v>
      </c>
      <c r="CY6" s="59">
        <f ca="1">AVERAGE(OFFSET($CX$3,0,0,'Données projet'!$E$13+1,1))-AVERAGE(OFFSET($H$3,0,0,'Données projet'!$E$13+1,1))</f>
        <v>557.48193674339791</v>
      </c>
      <c r="CZ6" s="59">
        <f t="shared" si="42"/>
        <v>271.51396593253048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3.3603333333333336</v>
      </c>
      <c r="DO6" s="12">
        <f>IF('Données projet'!$A$166&gt;35,DO5+DN6-DW5,IF(A6&lt;'Données projet'!$A$166,$DL$205^A6,IF(A6='Données projet'!$A$166,'Données projet'!$B$166,DO5+DN6-DW5)))</f>
        <v>10.081000000000001</v>
      </c>
      <c r="DP6" s="17">
        <f>DO6*VLOOKUP('Données projet'!$B$14,Paramètres!$A$1:$I$89,3,0)*VLOOKUP('Données projet'!$B$14,Paramètres!$A$1:$I$89,5,0)</f>
        <v>10.8511884</v>
      </c>
      <c r="DQ6" s="13">
        <f t="shared" si="43"/>
        <v>3.7887836846137373</v>
      </c>
      <c r="DR6" s="20">
        <f t="shared" si="16"/>
        <v>25.497951380702258</v>
      </c>
      <c r="DS6" s="59">
        <f t="shared" si="17"/>
        <v>198.85297195058715</v>
      </c>
      <c r="DT6" s="59">
        <f ca="1">AVERAGE(OFFSET($DS$3,0,0,'Données projet'!$E$14+1,1))-AVERAGE(OFFSET($H$3,0,0,'Données projet'!$E$14+1,1))</f>
        <v>610.05768948788375</v>
      </c>
      <c r="DU6" s="59">
        <f t="shared" si="44"/>
        <v>295.23928902444845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4.0942857142857143</v>
      </c>
      <c r="N7" s="13">
        <f>IF('Données projet'!$A$36&gt;35,N6+M7-V6,IF(A7&lt;'Données projet'!$A$36,$K$205^A7,IF(A7='Données projet'!$A$36,'Données projet'!$B$36,N6+M7-V6)))</f>
        <v>16.377142857142857</v>
      </c>
      <c r="O7" s="13">
        <f>N7*VLOOKUP('Données projet'!$B$9,Paramètres!$A$1:$I$89,3,0)*VLOOKUP('Données projet'!$B$9,Paramètres!$A$1:$I$89,5,0)</f>
        <v>14.818038857142856</v>
      </c>
      <c r="P7" s="13">
        <f t="shared" si="33"/>
        <v>4.9895657885731195</v>
      </c>
      <c r="Q7" s="20">
        <f t="shared" si="2"/>
        <v>34.49824475795532</v>
      </c>
      <c r="R7" s="59">
        <f t="shared" si="0"/>
        <v>210.58436682213227</v>
      </c>
      <c r="S7" s="59">
        <f ca="1">AVERAGE(OFFSET($R$3,0,0,'Données projet'!$E$9+1,1))-AVERAGE(OFFSET($H$3,0,0,'Données projet'!$E$9+1,1))</f>
        <v>681.47578137804555</v>
      </c>
      <c r="T7" s="59">
        <f t="shared" si="34"/>
        <v>300.88511065995885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1.7094017094017093</v>
      </c>
      <c r="AI7" s="13">
        <f>IF('Données projet'!$A$62&gt;35,AI6+AH7-AQ6,IF(A7&lt;'Données projet'!$A$62,$AF$205^A7,IF(A7='Données projet'!$A$62,'Données projet'!$B$62,AI6+AH7-AQ6)))</f>
        <v>2.3752870707905585</v>
      </c>
      <c r="AJ7" s="13">
        <f>AI7*VLOOKUP('Données projet'!$B$10,Paramètres!$A$1:$I$89,3,0)*VLOOKUP('Données projet'!$B$10,Paramètres!$A$1:$I$89,5,0)</f>
        <v>1.8527239152166357</v>
      </c>
      <c r="AK7" s="13">
        <f t="shared" si="35"/>
        <v>0.79467510139808173</v>
      </c>
      <c r="AL7" s="20">
        <f t="shared" si="4"/>
        <v>4.6108866206039663</v>
      </c>
      <c r="AM7" s="59">
        <f t="shared" si="5"/>
        <v>180.69700868478091</v>
      </c>
      <c r="AN7" s="59">
        <f ca="1">AVERAGE(OFFSET($AM$3,0,0,'Données projet'!$E$10+1,1))-AVERAGE(OFFSET($H$3,0,0,'Données projet'!$E$10+1,1))</f>
        <v>217.53602321474159</v>
      </c>
      <c r="AO7" s="59">
        <f t="shared" si="36"/>
        <v>215.75909414893025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2.4666666666666668</v>
      </c>
      <c r="BD7" s="12">
        <f>IF('Données projet'!$A$88&gt;35,BD6+BC7-BL6,IF(A7&lt;'Données projet'!$A$88,$BA$205^A7,IF(A7='Données projet'!$A$88,'Données projet'!$B$88,BD6+BC7-BL6)))</f>
        <v>2.6193113595857573</v>
      </c>
      <c r="BE7" s="13">
        <f>BD7*VLOOKUP('Données projet'!$B$11,Paramètres!$A$1:$I$89,3,0)*VLOOKUP('Données projet'!$B$11,Paramètres!$A$1:$I$89,5,0)</f>
        <v>1.757034060010126</v>
      </c>
      <c r="BF7" s="13">
        <f t="shared" si="37"/>
        <v>0.75829786325991022</v>
      </c>
      <c r="BG7" s="20">
        <f t="shared" si="7"/>
        <v>4.3808697663619798</v>
      </c>
      <c r="BH7" s="59">
        <f t="shared" si="8"/>
        <v>180.46699183053892</v>
      </c>
      <c r="BI7" s="59">
        <f ca="1">AVERAGE(OFFSET($BH$3,0,0,'Données projet'!$E$11+1,1))-AVERAGE(OFFSET($H$3,0,0,'Données projet'!$E$11+1,1))</f>
        <v>281.67293577289729</v>
      </c>
      <c r="BJ7" s="59">
        <f t="shared" si="38"/>
        <v>272.44904846480154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2.4666666666666668</v>
      </c>
      <c r="BY7" s="12">
        <f>IF('Données projet'!$A$114&gt;35,BY6+BX7-CG6,IF(A7&lt;'Données projet'!$A$114,$BV$205^A7,IF(A7='Données projet'!$A$114,'Données projet'!$B$114,BY6+BX7-CG6)))</f>
        <v>2.6193113595857573</v>
      </c>
      <c r="BZ7" s="13">
        <f>BY7*VLOOKUP('Données projet'!$B$12,Paramètres!$A$1:$I$89,3,0)*VLOOKUP('Données projet'!$B$12,Paramètres!$A$1:$I$89,5,0)</f>
        <v>2.2882304037341177</v>
      </c>
      <c r="CA7" s="13">
        <f t="shared" si="39"/>
        <v>0.95764830769786036</v>
      </c>
      <c r="CB7" s="20">
        <f t="shared" si="10"/>
        <v>5.6532387557440282</v>
      </c>
      <c r="CC7" s="59">
        <f t="shared" si="11"/>
        <v>181.73936081992099</v>
      </c>
      <c r="CD7" s="59">
        <f ca="1">AVERAGE(OFFSET($CC$3,0,0,'Données projet'!$E$12+1,1))-AVERAGE(OFFSET($H$3,0,0,'Données projet'!$E$12+1,1))</f>
        <v>348.77506423101278</v>
      </c>
      <c r="CE7" s="59">
        <f t="shared" si="40"/>
        <v>336.13747591329548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3.3603333333333336</v>
      </c>
      <c r="CT7" s="12">
        <f>IF('Données projet'!$A$140&gt;35,CT6+CS7-DB6,IF(A7&lt;'Données projet'!$A$140,$CQ$205^A7,IF(A7='Données projet'!$A$140,'Données projet'!$B$140,CT6+CS7-DB6)))</f>
        <v>13.441333333333334</v>
      </c>
      <c r="CU7" s="17">
        <f>CT7*VLOOKUP('Données projet'!$B$13,Paramètres!$A$1:$I$89,3,0)*VLOOKUP('Données projet'!$B$13,Paramètres!$A$1:$I$89,5,0)</f>
        <v>13.000457600000001</v>
      </c>
      <c r="CV7" s="13">
        <f t="shared" si="41"/>
        <v>4.4447354657404903</v>
      </c>
      <c r="CW7" s="20">
        <f t="shared" si="13"/>
        <v>30.383711256164688</v>
      </c>
      <c r="CX7" s="59">
        <f t="shared" si="14"/>
        <v>206.46983332034165</v>
      </c>
      <c r="CY7" s="59">
        <f ca="1">AVERAGE(OFFSET($CX$3,0,0,'Données projet'!$E$13+1,1))-AVERAGE(OFFSET($H$3,0,0,'Données projet'!$E$13+1,1))</f>
        <v>557.48193674339791</v>
      </c>
      <c r="CZ7" s="59">
        <f t="shared" si="42"/>
        <v>271.51396593253048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3.3603333333333336</v>
      </c>
      <c r="DO7" s="12">
        <f>IF('Données projet'!$A$166&gt;35,DO6+DN7-DW6,IF(A7&lt;'Données projet'!$A$166,$DL$205^A7,IF(A7='Données projet'!$A$166,'Données projet'!$B$166,DO6+DN7-DW6)))</f>
        <v>13.441333333333334</v>
      </c>
      <c r="DP7" s="17">
        <f>DO7*VLOOKUP('Données projet'!$B$14,Paramètres!$A$1:$I$89,3,0)*VLOOKUP('Données projet'!$B$14,Paramètres!$A$1:$I$89,5,0)</f>
        <v>14.468251200000001</v>
      </c>
      <c r="DQ7" s="13">
        <f t="shared" si="43"/>
        <v>4.8853499434863528</v>
      </c>
      <c r="DR7" s="20">
        <f t="shared" si="16"/>
        <v>33.707521991572065</v>
      </c>
      <c r="DS7" s="59">
        <f t="shared" si="17"/>
        <v>209.79364405574901</v>
      </c>
      <c r="DT7" s="59">
        <f ca="1">AVERAGE(OFFSET($DS$3,0,0,'Données projet'!$E$14+1,1))-AVERAGE(OFFSET($H$3,0,0,'Données projet'!$E$14+1,1))</f>
        <v>610.05768948788375</v>
      </c>
      <c r="DU7" s="59">
        <f t="shared" si="44"/>
        <v>295.23928902444845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4.0942857142857143</v>
      </c>
      <c r="N8" s="13">
        <f>IF('Données projet'!$A$36&gt;35,N7+M8-V7,IF(A8&lt;'Données projet'!$A$36,$K$205^A8,IF(A8='Données projet'!$A$36,'Données projet'!$B$36,N7+M8-V7)))</f>
        <v>20.471428571428572</v>
      </c>
      <c r="O8" s="13">
        <f>N8*VLOOKUP('Données projet'!$B$9,Paramètres!$A$1:$I$89,3,0)*VLOOKUP('Données projet'!$B$9,Paramètres!$A$1:$I$89,5,0)</f>
        <v>18.522548571428572</v>
      </c>
      <c r="P8" s="13">
        <f t="shared" si="33"/>
        <v>6.0770448389896208</v>
      </c>
      <c r="Q8" s="20">
        <f t="shared" si="2"/>
        <v>42.84429185647835</v>
      </c>
      <c r="R8" s="59">
        <f t="shared" si="0"/>
        <v>221.6353397329257</v>
      </c>
      <c r="S8" s="59">
        <f ca="1">AVERAGE(OFFSET($R$3,0,0,'Données projet'!$E$9+1,1))-AVERAGE(OFFSET($H$3,0,0,'Données projet'!$E$9+1,1))</f>
        <v>681.47578137804555</v>
      </c>
      <c r="T8" s="59">
        <f t="shared" si="34"/>
        <v>300.88511065995885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1.7094017094017093</v>
      </c>
      <c r="AI8" s="13">
        <f>IF('Données projet'!$A$62&gt;35,AI7+AH8-AQ7,IF(A8&lt;'Données projet'!$A$62,$AF$205^A8,IF(A8='Données projet'!$A$62,'Données projet'!$B$62,AI7+AH8-AQ7)))</f>
        <v>2.9487987310846742</v>
      </c>
      <c r="AJ8" s="13">
        <f>AI8*VLOOKUP('Données projet'!$B$10,Paramètres!$A$1:$I$89,3,0)*VLOOKUP('Données projet'!$B$10,Paramètres!$A$1:$I$89,5,0)</f>
        <v>2.300063010246046</v>
      </c>
      <c r="AK8" s="13">
        <f t="shared" si="35"/>
        <v>0.96202264180522579</v>
      </c>
      <c r="AL8" s="20">
        <f t="shared" si="4"/>
        <v>5.6814658439892973</v>
      </c>
      <c r="AM8" s="59">
        <f t="shared" si="5"/>
        <v>184.47251372043664</v>
      </c>
      <c r="AN8" s="59">
        <f ca="1">AVERAGE(OFFSET($AM$3,0,0,'Données projet'!$E$10+1,1))-AVERAGE(OFFSET($H$3,0,0,'Données projet'!$E$10+1,1))</f>
        <v>217.53602321474159</v>
      </c>
      <c r="AO8" s="59">
        <f t="shared" si="36"/>
        <v>215.75909414893025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2.4666666666666668</v>
      </c>
      <c r="BD8" s="12">
        <f>IF('Données projet'!$A$88&gt;35,BD7+BC8-BL7,IF(A8&lt;'Données projet'!$A$88,$BA$205^A8,IF(A8='Données projet'!$A$88,'Données projet'!$B$88,BD7+BC8-BL7)))</f>
        <v>3.332221851645953</v>
      </c>
      <c r="BE8" s="13">
        <f>BD8*VLOOKUP('Données projet'!$B$11,Paramètres!$A$1:$I$89,3,0)*VLOOKUP('Données projet'!$B$11,Paramètres!$A$1:$I$89,5,0)</f>
        <v>2.2352544180841054</v>
      </c>
      <c r="BF8" s="13">
        <f t="shared" si="37"/>
        <v>0.9380313829418736</v>
      </c>
      <c r="BG8" s="20">
        <f t="shared" si="7"/>
        <v>5.5268061034535796</v>
      </c>
      <c r="BH8" s="59">
        <f t="shared" si="8"/>
        <v>184.31785397990092</v>
      </c>
      <c r="BI8" s="59">
        <f ca="1">AVERAGE(OFFSET($BH$3,0,0,'Données projet'!$E$11+1,1))-AVERAGE(OFFSET($H$3,0,0,'Données projet'!$E$11+1,1))</f>
        <v>281.67293577289729</v>
      </c>
      <c r="BJ8" s="59">
        <f t="shared" si="38"/>
        <v>272.44904846480154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2.4666666666666668</v>
      </c>
      <c r="BY8" s="12">
        <f>IF('Données projet'!$A$114&gt;35,BY7+BX8-CG7,IF(A8&lt;'Données projet'!$A$114,$BV$205^A8,IF(A8='Données projet'!$A$114,'Données projet'!$B$114,BY7+BX8-CG7)))</f>
        <v>3.332221851645953</v>
      </c>
      <c r="BZ8" s="13">
        <f>BY8*VLOOKUP('Données projet'!$B$12,Paramètres!$A$1:$I$89,3,0)*VLOOKUP('Données projet'!$B$12,Paramètres!$A$1:$I$89,5,0)</f>
        <v>2.9110290095979048</v>
      </c>
      <c r="CA8" s="13">
        <f t="shared" si="39"/>
        <v>1.1846323324451606</v>
      </c>
      <c r="CB8" s="20">
        <f t="shared" si="10"/>
        <v>7.133276837391672</v>
      </c>
      <c r="CC8" s="59">
        <f t="shared" si="11"/>
        <v>185.92432471383901</v>
      </c>
      <c r="CD8" s="59">
        <f ca="1">AVERAGE(OFFSET($CC$3,0,0,'Données projet'!$E$12+1,1))-AVERAGE(OFFSET($H$3,0,0,'Données projet'!$E$12+1,1))</f>
        <v>348.77506423101278</v>
      </c>
      <c r="CE8" s="59">
        <f t="shared" si="40"/>
        <v>336.13747591329548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3.3603333333333336</v>
      </c>
      <c r="CT8" s="12">
        <f>IF('Données projet'!$A$140&gt;35,CT7+CS8-DB7,IF(A8&lt;'Données projet'!$A$140,$CQ$205^A8,IF(A8='Données projet'!$A$140,'Données projet'!$B$140,CT7+CS8-DB7)))</f>
        <v>16.801666666666669</v>
      </c>
      <c r="CU8" s="17">
        <f>CT8*VLOOKUP('Données projet'!$B$13,Paramètres!$A$1:$I$89,3,0)*VLOOKUP('Données projet'!$B$13,Paramètres!$A$1:$I$89,5,0)</f>
        <v>16.250572000000002</v>
      </c>
      <c r="CV8" s="13">
        <f t="shared" si="41"/>
        <v>5.4134683993167183</v>
      </c>
      <c r="CW8" s="20">
        <f t="shared" si="13"/>
        <v>37.731537028809953</v>
      </c>
      <c r="CX8" s="59">
        <f t="shared" si="14"/>
        <v>216.5225849052573</v>
      </c>
      <c r="CY8" s="59">
        <f ca="1">AVERAGE(OFFSET($CX$3,0,0,'Données projet'!$E$13+1,1))-AVERAGE(OFFSET($H$3,0,0,'Données projet'!$E$13+1,1))</f>
        <v>557.48193674339791</v>
      </c>
      <c r="CZ8" s="59">
        <f t="shared" si="42"/>
        <v>271.51396593253048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3.3603333333333336</v>
      </c>
      <c r="DO8" s="12">
        <f>IF('Données projet'!$A$166&gt;35,DO7+DN8-DW7,IF(A8&lt;'Données projet'!$A$166,$DL$205^A8,IF(A8='Données projet'!$A$166,'Données projet'!$B$166,DO7+DN8-DW7)))</f>
        <v>16.801666666666669</v>
      </c>
      <c r="DP8" s="17">
        <f>DO8*VLOOKUP('Données projet'!$B$14,Paramètres!$A$1:$I$89,3,0)*VLOOKUP('Données projet'!$B$14,Paramètres!$A$1:$I$89,5,0)</f>
        <v>18.085314000000004</v>
      </c>
      <c r="DQ8" s="13">
        <f t="shared" si="43"/>
        <v>5.950115083904346</v>
      </c>
      <c r="DR8" s="20">
        <f t="shared" si="16"/>
        <v>41.861705654466746</v>
      </c>
      <c r="DS8" s="59">
        <f t="shared" si="17"/>
        <v>220.65275353091408</v>
      </c>
      <c r="DT8" s="59">
        <f ca="1">AVERAGE(OFFSET($DS$3,0,0,'Données projet'!$E$14+1,1))-AVERAGE(OFFSET($H$3,0,0,'Données projet'!$E$14+1,1))</f>
        <v>610.05768948788375</v>
      </c>
      <c r="DU8" s="59">
        <f t="shared" si="44"/>
        <v>295.23928902444845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4.0942857142857143</v>
      </c>
      <c r="N9" s="13">
        <f>IF('Données projet'!$A$36&gt;35,N8+M9-V8,IF(A9&lt;'Données projet'!$A$36,$K$205^A9,IF(A9='Données projet'!$A$36,'Données projet'!$B$36,N8+M9-V8)))</f>
        <v>24.565714285714286</v>
      </c>
      <c r="O9" s="13">
        <f>N9*VLOOKUP('Données projet'!$B$9,Paramètres!$A$1:$I$89,3,0)*VLOOKUP('Données projet'!$B$9,Paramètres!$A$1:$I$89,5,0)</f>
        <v>22.227058285714286</v>
      </c>
      <c r="P9" s="13">
        <f t="shared" si="33"/>
        <v>7.1393223235836674</v>
      </c>
      <c r="Q9" s="20">
        <f t="shared" si="2"/>
        <v>51.146446227860601</v>
      </c>
      <c r="R9" s="59">
        <f t="shared" si="0"/>
        <v>232.61669832411957</v>
      </c>
      <c r="S9" s="59">
        <f ca="1">AVERAGE(OFFSET($R$3,0,0,'Données projet'!$E$9+1,1))-AVERAGE(OFFSET($H$3,0,0,'Données projet'!$E$9+1,1))</f>
        <v>681.47578137804555</v>
      </c>
      <c r="T9" s="59">
        <f t="shared" si="34"/>
        <v>300.88511065995885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1.7094017094017093</v>
      </c>
      <c r="AI9" s="13">
        <f>IF('Données projet'!$A$62&gt;35,AI8+AH9-AQ8,IF(A9&lt;'Données projet'!$A$62,$AF$205^A9,IF(A9='Données projet'!$A$62,'Données projet'!$B$62,AI8+AH9-AQ8)))</f>
        <v>3.6607844430157748</v>
      </c>
      <c r="AJ9" s="13">
        <f>AI9*VLOOKUP('Données projet'!$B$10,Paramètres!$A$1:$I$89,3,0)*VLOOKUP('Données projet'!$B$10,Paramètres!$A$1:$I$89,5,0)</f>
        <v>2.8554118655523042</v>
      </c>
      <c r="AK9" s="13">
        <f t="shared" si="35"/>
        <v>1.1646112502048747</v>
      </c>
      <c r="AL9" s="20">
        <f t="shared" si="4"/>
        <v>7.0015402599437531</v>
      </c>
      <c r="AM9" s="59">
        <f t="shared" si="5"/>
        <v>188.47179235620274</v>
      </c>
      <c r="AN9" s="59">
        <f ca="1">AVERAGE(OFFSET($AM$3,0,0,'Données projet'!$E$10+1,1))-AVERAGE(OFFSET($H$3,0,0,'Données projet'!$E$10+1,1))</f>
        <v>217.53602321474159</v>
      </c>
      <c r="AO9" s="59">
        <f t="shared" si="36"/>
        <v>215.75909414893025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2.4666666666666668</v>
      </c>
      <c r="BD9" s="12">
        <f>IF('Données projet'!$A$88&gt;35,BD8+BC9-BL8,IF(A9&lt;'Données projet'!$A$88,$BA$205^A9,IF(A9='Données projet'!$A$88,'Données projet'!$B$88,BD8+BC9-BL8)))</f>
        <v>4.2391685997738069</v>
      </c>
      <c r="BE9" s="13">
        <f>BD9*VLOOKUP('Données projet'!$B$11,Paramètres!$A$1:$I$89,3,0)*VLOOKUP('Données projet'!$B$11,Paramètres!$A$1:$I$89,5,0)</f>
        <v>2.8436342967282697</v>
      </c>
      <c r="BF9" s="13">
        <f t="shared" si="37"/>
        <v>1.1603657586494516</v>
      </c>
      <c r="BG9" s="20">
        <f t="shared" si="7"/>
        <v>6.9736334297828648</v>
      </c>
      <c r="BH9" s="59">
        <f t="shared" si="8"/>
        <v>188.44388552604184</v>
      </c>
      <c r="BI9" s="59">
        <f ca="1">AVERAGE(OFFSET($BH$3,0,0,'Données projet'!$E$11+1,1))-AVERAGE(OFFSET($H$3,0,0,'Données projet'!$E$11+1,1))</f>
        <v>281.67293577289729</v>
      </c>
      <c r="BJ9" s="59">
        <f t="shared" si="38"/>
        <v>272.44904846480154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2.4666666666666668</v>
      </c>
      <c r="BY9" s="12">
        <f>IF('Données projet'!$A$114&gt;35,BY8+BX9-CG8,IF(A9&lt;'Données projet'!$A$114,$BV$205^A9,IF(A9='Données projet'!$A$114,'Données projet'!$B$114,BY8+BX9-CG8)))</f>
        <v>4.2391685997738069</v>
      </c>
      <c r="BZ9" s="13">
        <f>BY9*VLOOKUP('Données projet'!$B$12,Paramètres!$A$1:$I$89,3,0)*VLOOKUP('Données projet'!$B$12,Paramètres!$A$1:$I$89,5,0)</f>
        <v>3.7033376887623981</v>
      </c>
      <c r="CA9" s="13">
        <f t="shared" si="39"/>
        <v>1.4654166376047331</v>
      </c>
      <c r="CB9" s="20">
        <f t="shared" si="10"/>
        <v>9.002247118422753</v>
      </c>
      <c r="CC9" s="59">
        <f t="shared" si="11"/>
        <v>190.47249921468173</v>
      </c>
      <c r="CD9" s="59">
        <f ca="1">AVERAGE(OFFSET($CC$3,0,0,'Données projet'!$E$12+1,1))-AVERAGE(OFFSET($H$3,0,0,'Données projet'!$E$12+1,1))</f>
        <v>348.77506423101278</v>
      </c>
      <c r="CE9" s="59">
        <f t="shared" si="40"/>
        <v>336.13747591329548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3.3603333333333336</v>
      </c>
      <c r="CT9" s="12">
        <f>IF('Données projet'!$A$140&gt;35,CT8+CS9-DB8,IF(A9&lt;'Données projet'!$A$140,$CQ$205^A9,IF(A9='Données projet'!$A$140,'Données projet'!$B$140,CT8+CS9-DB8)))</f>
        <v>20.162000000000003</v>
      </c>
      <c r="CU9" s="17">
        <f>CT9*VLOOKUP('Données projet'!$B$13,Paramètres!$A$1:$I$89,3,0)*VLOOKUP('Données projet'!$B$13,Paramètres!$A$1:$I$89,5,0)</f>
        <v>19.500686400000003</v>
      </c>
      <c r="CV9" s="13">
        <f t="shared" si="41"/>
        <v>6.3597516252130122</v>
      </c>
      <c r="CW9" s="20">
        <f t="shared" si="13"/>
        <v>45.040262893912661</v>
      </c>
      <c r="CX9" s="59">
        <f t="shared" si="14"/>
        <v>226.51051499017163</v>
      </c>
      <c r="CY9" s="59">
        <f ca="1">AVERAGE(OFFSET($CX$3,0,0,'Données projet'!$E$13+1,1))-AVERAGE(OFFSET($H$3,0,0,'Données projet'!$E$13+1,1))</f>
        <v>557.48193674339791</v>
      </c>
      <c r="CZ9" s="59">
        <f t="shared" si="42"/>
        <v>271.51396593253048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3.3603333333333336</v>
      </c>
      <c r="DO9" s="12">
        <f>IF('Données projet'!$A$166&gt;35,DO8+DN9-DW8,IF(A9&lt;'Données projet'!$A$166,$DL$205^A9,IF(A9='Données projet'!$A$166,'Données projet'!$B$166,DO8+DN9-DW8)))</f>
        <v>20.162000000000003</v>
      </c>
      <c r="DP9" s="17">
        <f>DO9*VLOOKUP('Données projet'!$B$14,Paramètres!$A$1:$I$89,3,0)*VLOOKUP('Données projet'!$B$14,Paramètres!$A$1:$I$89,5,0)</f>
        <v>21.7023768</v>
      </c>
      <c r="DQ9" s="13">
        <f t="shared" si="43"/>
        <v>6.9902050374657012</v>
      </c>
      <c r="DR9" s="20">
        <f t="shared" si="16"/>
        <v>49.972913366919435</v>
      </c>
      <c r="DS9" s="59">
        <f t="shared" si="17"/>
        <v>231.44316546317842</v>
      </c>
      <c r="DT9" s="59">
        <f ca="1">AVERAGE(OFFSET($DS$3,0,0,'Données projet'!$E$14+1,1))-AVERAGE(OFFSET($H$3,0,0,'Données projet'!$E$14+1,1))</f>
        <v>610.05768948788375</v>
      </c>
      <c r="DU9" s="59">
        <f t="shared" si="44"/>
        <v>295.23928902444845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4.0942857142857143</v>
      </c>
      <c r="N10" s="13">
        <f>IF('Données projet'!$A$36&gt;35,N9+M10-V9,IF(A10&lt;'Données projet'!$A$36,$K$205^A10,IF(A10='Données projet'!$A$36,'Données projet'!$B$36,N9+M10-V9)))</f>
        <v>28.66</v>
      </c>
      <c r="O10" s="13">
        <f>N10*VLOOKUP('Données projet'!$B$9,Paramètres!$A$1:$I$89,3,0)*VLOOKUP('Données projet'!$B$9,Paramètres!$A$1:$I$89,5,0)</f>
        <v>25.931567999999999</v>
      </c>
      <c r="P10" s="13">
        <f t="shared" si="33"/>
        <v>8.1810900516051337</v>
      </c>
      <c r="Q10" s="20">
        <f t="shared" si="2"/>
        <v>59.412879439878935</v>
      </c>
      <c r="R10" s="59">
        <f t="shared" si="0"/>
        <v>243.53706037561517</v>
      </c>
      <c r="S10" s="59">
        <f ca="1">AVERAGE(OFFSET($R$3,0,0,'Données projet'!$E$9+1,1))-AVERAGE(OFFSET($H$3,0,0,'Données projet'!$E$9+1,1))</f>
        <v>681.47578137804555</v>
      </c>
      <c r="T10" s="59">
        <f t="shared" si="34"/>
        <v>300.88511065995885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1.7094017094017093</v>
      </c>
      <c r="AI10" s="13">
        <f>IF('Données projet'!$A$62&gt;35,AI9+AH10-AQ9,IF(A10&lt;'Données projet'!$A$62,$AF$205^A10,IF(A10='Données projet'!$A$62,'Données projet'!$B$62,AI9+AH10-AQ9)))</f>
        <v>4.544678684562788</v>
      </c>
      <c r="AJ10" s="13">
        <f>AI10*VLOOKUP('Données projet'!$B$10,Paramètres!$A$1:$I$89,3,0)*VLOOKUP('Données projet'!$B$10,Paramètres!$A$1:$I$89,5,0)</f>
        <v>3.5448493739589746</v>
      </c>
      <c r="AK10" s="13">
        <f t="shared" si="35"/>
        <v>1.4098622061104944</v>
      </c>
      <c r="AL10" s="20">
        <f t="shared" si="4"/>
        <v>8.6294560019543258</v>
      </c>
      <c r="AM10" s="59">
        <f t="shared" si="5"/>
        <v>192.75363693769057</v>
      </c>
      <c r="AN10" s="59">
        <f ca="1">AVERAGE(OFFSET($AM$3,0,0,'Données projet'!$E$10+1,1))-AVERAGE(OFFSET($H$3,0,0,'Données projet'!$E$10+1,1))</f>
        <v>217.53602321474159</v>
      </c>
      <c r="AO10" s="59">
        <f t="shared" si="36"/>
        <v>215.75909414893025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2.4666666666666668</v>
      </c>
      <c r="BD10" s="12">
        <f>IF('Données projet'!$A$88&gt;35,BD9+BC10-BL9,IF(A10&lt;'Données projet'!$A$88,$BA$205^A10,IF(A10='Données projet'!$A$88,'Données projet'!$B$88,BD9+BC10-BL9)))</f>
        <v>5.3929633792034757</v>
      </c>
      <c r="BE10" s="13">
        <f>BD10*VLOOKUP('Données projet'!$B$11,Paramètres!$A$1:$I$89,3,0)*VLOOKUP('Données projet'!$B$11,Paramètres!$A$1:$I$89,5,0)</f>
        <v>3.6175998347696914</v>
      </c>
      <c r="BF10" s="13">
        <f t="shared" si="37"/>
        <v>1.4353983441613192</v>
      </c>
      <c r="BG10" s="20">
        <f t="shared" si="7"/>
        <v>8.8006384949715102</v>
      </c>
      <c r="BH10" s="59">
        <f t="shared" si="8"/>
        <v>192.92481943070774</v>
      </c>
      <c r="BI10" s="59">
        <f ca="1">AVERAGE(OFFSET($BH$3,0,0,'Données projet'!$E$11+1,1))-AVERAGE(OFFSET($H$3,0,0,'Données projet'!$E$11+1,1))</f>
        <v>281.67293577289729</v>
      </c>
      <c r="BJ10" s="59">
        <f t="shared" si="38"/>
        <v>272.44904846480154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2.4666666666666668</v>
      </c>
      <c r="BY10" s="12">
        <f>IF('Données projet'!$A$114&gt;35,BY9+BX10-CG9,IF(A10&lt;'Données projet'!$A$114,$BV$205^A10,IF(A10='Données projet'!$A$114,'Données projet'!$B$114,BY9+BX10-CG9)))</f>
        <v>5.3929633792034757</v>
      </c>
      <c r="BZ10" s="13">
        <f>BY10*VLOOKUP('Données projet'!$B$12,Paramètres!$A$1:$I$89,3,0)*VLOOKUP('Données projet'!$B$12,Paramètres!$A$1:$I$89,5,0)</f>
        <v>4.711292808072157</v>
      </c>
      <c r="CA10" s="13">
        <f t="shared" si="39"/>
        <v>1.8127530905190552</v>
      </c>
      <c r="CB10" s="20">
        <f t="shared" si="10"/>
        <v>11.362713273379695</v>
      </c>
      <c r="CC10" s="59">
        <f t="shared" si="11"/>
        <v>195.48689420911592</v>
      </c>
      <c r="CD10" s="59">
        <f ca="1">AVERAGE(OFFSET($CC$3,0,0,'Données projet'!$E$12+1,1))-AVERAGE(OFFSET($H$3,0,0,'Données projet'!$E$12+1,1))</f>
        <v>348.77506423101278</v>
      </c>
      <c r="CE10" s="59">
        <f t="shared" si="40"/>
        <v>336.13747591329548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3.3603333333333336</v>
      </c>
      <c r="CT10" s="12">
        <f>IF('Données projet'!$A$140&gt;35,CT9+CS10-DB9,IF(A10&lt;'Données projet'!$A$140,$CQ$205^A10,IF(A10='Données projet'!$A$140,'Données projet'!$B$140,CT9+CS10-DB9)))</f>
        <v>23.522333333333336</v>
      </c>
      <c r="CU10" s="17">
        <f>CT10*VLOOKUP('Données projet'!$B$13,Paramètres!$A$1:$I$89,3,0)*VLOOKUP('Données projet'!$B$13,Paramètres!$A$1:$I$89,5,0)</f>
        <v>22.750800800000004</v>
      </c>
      <c r="CV10" s="13">
        <f t="shared" si="41"/>
        <v>7.2877646355645735</v>
      </c>
      <c r="CW10" s="20">
        <f t="shared" si="13"/>
        <v>52.317168133608305</v>
      </c>
      <c r="CX10" s="59">
        <f t="shared" si="14"/>
        <v>236.44134906934454</v>
      </c>
      <c r="CY10" s="59">
        <f ca="1">AVERAGE(OFFSET($CX$3,0,0,'Données projet'!$E$13+1,1))-AVERAGE(OFFSET($H$3,0,0,'Données projet'!$E$13+1,1))</f>
        <v>557.48193674339791</v>
      </c>
      <c r="CZ10" s="59">
        <f t="shared" si="42"/>
        <v>271.51396593253048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3.3603333333333336</v>
      </c>
      <c r="DO10" s="12">
        <f>IF('Données projet'!$A$166&gt;35,DO9+DN10-DW9,IF(A10&lt;'Données projet'!$A$166,$DL$205^A10,IF(A10='Données projet'!$A$166,'Données projet'!$B$166,DO9+DN10-DW9)))</f>
        <v>23.522333333333336</v>
      </c>
      <c r="DP10" s="17">
        <f>DO10*VLOOKUP('Données projet'!$B$14,Paramètres!$A$1:$I$89,3,0)*VLOOKUP('Données projet'!$B$14,Paramètres!$A$1:$I$89,5,0)</f>
        <v>25.319439599999999</v>
      </c>
      <c r="DQ10" s="13">
        <f t="shared" si="43"/>
        <v>8.0102136167434974</v>
      </c>
      <c r="DR10" s="20">
        <f t="shared" si="16"/>
        <v>58.049146019161583</v>
      </c>
      <c r="DS10" s="59">
        <f t="shared" si="17"/>
        <v>242.17332695489782</v>
      </c>
      <c r="DT10" s="59">
        <f ca="1">AVERAGE(OFFSET($DS$3,0,0,'Données projet'!$E$14+1,1))-AVERAGE(OFFSET($H$3,0,0,'Données projet'!$E$14+1,1))</f>
        <v>610.05768948788375</v>
      </c>
      <c r="DU10" s="59">
        <f t="shared" si="44"/>
        <v>295.23928902444845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4.0942857142857143</v>
      </c>
      <c r="N11" s="13">
        <f>IF('Données projet'!$A$36&gt;35,N10+M11-V10,IF(A11&lt;'Données projet'!$A$36,$K$205^A11,IF(A11='Données projet'!$A$36,'Données projet'!$B$36,N10+M11-V10)))</f>
        <v>32.754285714285714</v>
      </c>
      <c r="O11" s="13">
        <f>N11*VLOOKUP('Données projet'!$B$9,Paramètres!$A$1:$I$89,3,0)*VLOOKUP('Données projet'!$B$9,Paramètres!$A$1:$I$89,5,0)</f>
        <v>29.636077714285712</v>
      </c>
      <c r="P11" s="13">
        <f t="shared" si="33"/>
        <v>9.205616053429063</v>
      </c>
      <c r="Q11" s="20">
        <f t="shared" si="2"/>
        <v>67.649283312103222</v>
      </c>
      <c r="R11" s="59">
        <f t="shared" si="0"/>
        <v>254.40255617832378</v>
      </c>
      <c r="S11" s="59">
        <f ca="1">AVERAGE(OFFSET($R$3,0,0,'Données projet'!$E$9+1,1))-AVERAGE(OFFSET($H$3,0,0,'Données projet'!$E$9+1,1))</f>
        <v>681.47578137804555</v>
      </c>
      <c r="T11" s="59">
        <f t="shared" si="34"/>
        <v>300.88511065995885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1.7094017094017093</v>
      </c>
      <c r="AI11" s="13">
        <f>IF('Données projet'!$A$62&gt;35,AI10+AH11-AQ10,IF(A11&lt;'Données projet'!$A$62,$AF$205^A11,IF(A11='Données projet'!$A$62,'Données projet'!$B$62,AI10+AH11-AQ10)))</f>
        <v>5.6419886686647915</v>
      </c>
      <c r="AJ11" s="13">
        <f>AI11*VLOOKUP('Données projet'!$B$10,Paramètres!$A$1:$I$89,3,0)*VLOOKUP('Données projet'!$B$10,Paramètres!$A$1:$I$89,5,0)</f>
        <v>4.4007511615585377</v>
      </c>
      <c r="AK11" s="13">
        <f t="shared" si="35"/>
        <v>1.7067596074390303</v>
      </c>
      <c r="AL11" s="20">
        <f t="shared" si="4"/>
        <v>10.637247922670763</v>
      </c>
      <c r="AM11" s="59">
        <f t="shared" si="5"/>
        <v>197.39052078889131</v>
      </c>
      <c r="AN11" s="59">
        <f ca="1">AVERAGE(OFFSET($AM$3,0,0,'Données projet'!$E$10+1,1))-AVERAGE(OFFSET($H$3,0,0,'Données projet'!$E$10+1,1))</f>
        <v>217.53602321474159</v>
      </c>
      <c r="AO11" s="59">
        <f t="shared" si="36"/>
        <v>215.75909414893025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2.4666666666666668</v>
      </c>
      <c r="BD11" s="12">
        <f>IF('Données projet'!$A$88&gt;35,BD10+BC11-BL10,IF(A11&lt;'Données projet'!$A$88,$BA$205^A11,IF(A11='Données projet'!$A$88,'Données projet'!$B$88,BD10+BC11-BL10)))</f>
        <v>6.8607919984549888</v>
      </c>
      <c r="BE11" s="13">
        <f>BD11*VLOOKUP('Données projet'!$B$11,Paramètres!$A$1:$I$89,3,0)*VLOOKUP('Données projet'!$B$11,Paramètres!$A$1:$I$89,5,0)</f>
        <v>4.6022192725636062</v>
      </c>
      <c r="BF11" s="13">
        <f t="shared" si="37"/>
        <v>1.7756197914863643</v>
      </c>
      <c r="BG11" s="20">
        <f t="shared" si="7"/>
        <v>11.108069703220364</v>
      </c>
      <c r="BH11" s="59">
        <f t="shared" si="8"/>
        <v>197.86134256944092</v>
      </c>
      <c r="BI11" s="59">
        <f ca="1">AVERAGE(OFFSET($BH$3,0,0,'Données projet'!$E$11+1,1))-AVERAGE(OFFSET($H$3,0,0,'Données projet'!$E$11+1,1))</f>
        <v>281.67293577289729</v>
      </c>
      <c r="BJ11" s="59">
        <f t="shared" si="38"/>
        <v>272.44904846480154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2.4666666666666668</v>
      </c>
      <c r="BY11" s="12">
        <f>IF('Données projet'!$A$114&gt;35,BY10+BX11-CG10,IF(A11&lt;'Données projet'!$A$114,$BV$205^A11,IF(A11='Données projet'!$A$114,'Données projet'!$B$114,BY10+BX11-CG10)))</f>
        <v>6.8607919984549888</v>
      </c>
      <c r="BZ11" s="13">
        <f>BY11*VLOOKUP('Données projet'!$B$12,Paramètres!$A$1:$I$89,3,0)*VLOOKUP('Données projet'!$B$12,Paramètres!$A$1:$I$89,5,0)</f>
        <v>5.9935878898502795</v>
      </c>
      <c r="CA11" s="13">
        <f t="shared" si="39"/>
        <v>2.2424160357272664</v>
      </c>
      <c r="CB11" s="20">
        <f t="shared" si="10"/>
        <v>14.344373503714223</v>
      </c>
      <c r="CC11" s="59">
        <f t="shared" si="11"/>
        <v>201.09764636993478</v>
      </c>
      <c r="CD11" s="59">
        <f ca="1">AVERAGE(OFFSET($CC$3,0,0,'Données projet'!$E$12+1,1))-AVERAGE(OFFSET($H$3,0,0,'Données projet'!$E$12+1,1))</f>
        <v>348.77506423101278</v>
      </c>
      <c r="CE11" s="59">
        <f t="shared" si="40"/>
        <v>336.13747591329548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3.3603333333333336</v>
      </c>
      <c r="CT11" s="12">
        <f>IF('Données projet'!$A$140&gt;35,CT10+CS11-DB10,IF(A11&lt;'Données projet'!$A$140,$CQ$205^A11,IF(A11='Données projet'!$A$140,'Données projet'!$B$140,CT10+CS11-DB10)))</f>
        <v>26.882666666666669</v>
      </c>
      <c r="CU11" s="17">
        <f>CT11*VLOOKUP('Données projet'!$B$13,Paramètres!$A$1:$I$89,3,0)*VLOOKUP('Données projet'!$B$13,Paramètres!$A$1:$I$89,5,0)</f>
        <v>26.000915200000001</v>
      </c>
      <c r="CV11" s="13">
        <f t="shared" si="41"/>
        <v>8.2004186116498072</v>
      </c>
      <c r="CW11" s="20">
        <f t="shared" si="13"/>
        <v>59.567323055290082</v>
      </c>
      <c r="CX11" s="59">
        <f t="shared" si="14"/>
        <v>246.32059592151063</v>
      </c>
      <c r="CY11" s="59">
        <f ca="1">AVERAGE(OFFSET($CX$3,0,0,'Données projet'!$E$13+1,1))-AVERAGE(OFFSET($H$3,0,0,'Données projet'!$E$13+1,1))</f>
        <v>557.48193674339791</v>
      </c>
      <c r="CZ11" s="59">
        <f t="shared" si="42"/>
        <v>271.51396593253048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3.3603333333333336</v>
      </c>
      <c r="DO11" s="12">
        <f>IF('Données projet'!$A$166&gt;35,DO10+DN11-DW10,IF(A11&lt;'Données projet'!$A$166,$DL$205^A11,IF(A11='Données projet'!$A$166,'Données projet'!$B$166,DO10+DN11-DW10)))</f>
        <v>26.882666666666669</v>
      </c>
      <c r="DP11" s="17">
        <f>DO11*VLOOKUP('Données projet'!$B$14,Paramètres!$A$1:$I$89,3,0)*VLOOKUP('Données projet'!$B$14,Paramètres!$A$1:$I$89,5,0)</f>
        <v>28.936502400000002</v>
      </c>
      <c r="DQ11" s="13">
        <f t="shared" si="43"/>
        <v>9.0133405935584854</v>
      </c>
      <c r="DR11" s="20">
        <f t="shared" si="16"/>
        <v>66.095976547114375</v>
      </c>
      <c r="DS11" s="59">
        <f t="shared" si="17"/>
        <v>252.84924941333492</v>
      </c>
      <c r="DT11" s="59">
        <f ca="1">AVERAGE(OFFSET($DS$3,0,0,'Données projet'!$E$14+1,1))-AVERAGE(OFFSET($H$3,0,0,'Données projet'!$E$14+1,1))</f>
        <v>610.05768948788375</v>
      </c>
      <c r="DU11" s="59">
        <f t="shared" si="44"/>
        <v>295.23928902444845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4.0942857142857143</v>
      </c>
      <c r="N12" s="13">
        <f>IF('Données projet'!$A$36&gt;35,N11+M12-V11,IF(A12&lt;'Données projet'!$A$36,$K$205^A12,IF(A12='Données projet'!$A$36,'Données projet'!$B$36,N11+M12-V11)))</f>
        <v>36.848571428571432</v>
      </c>
      <c r="O12" s="13">
        <f>N12*VLOOKUP('Données projet'!$B$9,Paramètres!$A$1:$I$89,3,0)*VLOOKUP('Données projet'!$B$9,Paramètres!$A$1:$I$89,5,0)</f>
        <v>33.340587428571432</v>
      </c>
      <c r="P12" s="13">
        <f t="shared" si="33"/>
        <v>10.215302372953809</v>
      </c>
      <c r="Q12" s="20">
        <f t="shared" si="2"/>
        <v>75.85984140432312</v>
      </c>
      <c r="R12" s="59">
        <f t="shared" si="0"/>
        <v>265.21780015687921</v>
      </c>
      <c r="S12" s="59">
        <f ca="1">AVERAGE(OFFSET($R$3,0,0,'Données projet'!$E$9+1,1))-AVERAGE(OFFSET($H$3,0,0,'Données projet'!$E$9+1,1))</f>
        <v>681.47578137804555</v>
      </c>
      <c r="T12" s="59">
        <f t="shared" si="34"/>
        <v>300.88511065995885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1.7094017094017093</v>
      </c>
      <c r="AI12" s="13">
        <f>IF('Données projet'!$A$62&gt;35,AI11+AH12-AQ11,IF(A12&lt;'Données projet'!$A$62,$AF$205^A12,IF(A12='Données projet'!$A$62,'Données projet'!$B$62,AI11+AH12-AQ11)))</f>
        <v>7.0042435003090322</v>
      </c>
      <c r="AJ12" s="13">
        <f>AI12*VLOOKUP('Données projet'!$B$10,Paramètres!$A$1:$I$89,3,0)*VLOOKUP('Données projet'!$B$10,Paramètres!$A$1:$I$89,5,0)</f>
        <v>5.4633099302410457</v>
      </c>
      <c r="AK12" s="13">
        <f t="shared" si="35"/>
        <v>2.0661794783632437</v>
      </c>
      <c r="AL12" s="20">
        <f t="shared" si="4"/>
        <v>13.113860719985803</v>
      </c>
      <c r="AM12" s="59">
        <f t="shared" si="5"/>
        <v>202.47181947254188</v>
      </c>
      <c r="AN12" s="59">
        <f ca="1">AVERAGE(OFFSET($AM$3,0,0,'Données projet'!$E$10+1,1))-AVERAGE(OFFSET($H$3,0,0,'Données projet'!$E$10+1,1))</f>
        <v>217.53602321474159</v>
      </c>
      <c r="AO12" s="59">
        <f t="shared" si="36"/>
        <v>215.75909414893025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2.4666666666666668</v>
      </c>
      <c r="BD12" s="12">
        <f>IF('Données projet'!$A$88&gt;35,BD11+BC12-BL11,IF(A12&lt;'Données projet'!$A$88,$BA$205^A12,IF(A12='Données projet'!$A$88,'Données projet'!$B$88,BD11+BC12-BL11)))</f>
        <v>8.7281265486761299</v>
      </c>
      <c r="BE12" s="13">
        <f>BD12*VLOOKUP('Données projet'!$B$11,Paramètres!$A$1:$I$89,3,0)*VLOOKUP('Données projet'!$B$11,Paramètres!$A$1:$I$89,5,0)</f>
        <v>5.8548272888519488</v>
      </c>
      <c r="BF12" s="13">
        <f t="shared" si="37"/>
        <v>2.1964813159654488</v>
      </c>
      <c r="BG12" s="20">
        <f t="shared" si="7"/>
        <v>14.022695820056965</v>
      </c>
      <c r="BH12" s="59">
        <f t="shared" si="8"/>
        <v>203.38065457261303</v>
      </c>
      <c r="BI12" s="59">
        <f ca="1">AVERAGE(OFFSET($BH$3,0,0,'Données projet'!$E$11+1,1))-AVERAGE(OFFSET($H$3,0,0,'Données projet'!$E$11+1,1))</f>
        <v>281.67293577289729</v>
      </c>
      <c r="BJ12" s="59">
        <f t="shared" si="38"/>
        <v>272.44904846480154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2.4666666666666668</v>
      </c>
      <c r="BY12" s="12">
        <f>IF('Données projet'!$A$114&gt;35,BY11+BX12-CG11,IF(A12&lt;'Données projet'!$A$114,$BV$205^A12,IF(A12='Données projet'!$A$114,'Données projet'!$B$114,BY11+BX12-CG11)))</f>
        <v>8.7281265486761299</v>
      </c>
      <c r="BZ12" s="13">
        <f>BY12*VLOOKUP('Données projet'!$B$12,Paramètres!$A$1:$I$89,3,0)*VLOOKUP('Données projet'!$B$12,Paramètres!$A$1:$I$89,5,0)</f>
        <v>7.6248913529234681</v>
      </c>
      <c r="CA12" s="13">
        <f t="shared" si="39"/>
        <v>2.7739186895259813</v>
      </c>
      <c r="CB12" s="20">
        <f t="shared" si="10"/>
        <v>18.111260823932788</v>
      </c>
      <c r="CC12" s="59">
        <f t="shared" si="11"/>
        <v>207.46921957648885</v>
      </c>
      <c r="CD12" s="59">
        <f ca="1">AVERAGE(OFFSET($CC$3,0,0,'Données projet'!$E$12+1,1))-AVERAGE(OFFSET($H$3,0,0,'Données projet'!$E$12+1,1))</f>
        <v>348.77506423101278</v>
      </c>
      <c r="CE12" s="59">
        <f t="shared" si="40"/>
        <v>336.13747591329548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3.3603333333333336</v>
      </c>
      <c r="CT12" s="12">
        <f>IF('Données projet'!$A$140&gt;35,CT11+CS12-DB11,IF(A12&lt;'Données projet'!$A$140,$CQ$205^A12,IF(A12='Données projet'!$A$140,'Données projet'!$B$140,CT11+CS12-DB11)))</f>
        <v>30.243000000000002</v>
      </c>
      <c r="CU12" s="17">
        <f>CT12*VLOOKUP('Données projet'!$B$13,Paramètres!$A$1:$I$89,3,0)*VLOOKUP('Données projet'!$B$13,Paramètres!$A$1:$I$89,5,0)</f>
        <v>29.251029600000003</v>
      </c>
      <c r="CV12" s="13">
        <f t="shared" si="41"/>
        <v>9.0998533087415616</v>
      </c>
      <c r="CW12" s="20">
        <f t="shared" si="13"/>
        <v>66.794454399391569</v>
      </c>
      <c r="CX12" s="59">
        <f t="shared" si="14"/>
        <v>256.15241315194766</v>
      </c>
      <c r="CY12" s="59">
        <f ca="1">AVERAGE(OFFSET($CX$3,0,0,'Données projet'!$E$13+1,1))-AVERAGE(OFFSET($H$3,0,0,'Données projet'!$E$13+1,1))</f>
        <v>557.48193674339791</v>
      </c>
      <c r="CZ12" s="59">
        <f t="shared" si="42"/>
        <v>271.51396593253048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3.3603333333333336</v>
      </c>
      <c r="DO12" s="12">
        <f>IF('Données projet'!$A$166&gt;35,DO11+DN12-DW11,IF(A12&lt;'Données projet'!$A$166,$DL$205^A12,IF(A12='Données projet'!$A$166,'Données projet'!$B$166,DO11+DN12-DW11)))</f>
        <v>30.243000000000002</v>
      </c>
      <c r="DP12" s="17">
        <f>DO12*VLOOKUP('Données projet'!$B$14,Paramètres!$A$1:$I$89,3,0)*VLOOKUP('Données projet'!$B$14,Paramètres!$A$1:$I$89,5,0)</f>
        <v>32.553565200000001</v>
      </c>
      <c r="DQ12" s="13">
        <f t="shared" si="43"/>
        <v>10.001937840903283</v>
      </c>
      <c r="DR12" s="20">
        <f t="shared" si="16"/>
        <v>74.117501129573213</v>
      </c>
      <c r="DS12" s="59">
        <f t="shared" si="17"/>
        <v>263.47545988212926</v>
      </c>
      <c r="DT12" s="59">
        <f ca="1">AVERAGE(OFFSET($DS$3,0,0,'Données projet'!$E$14+1,1))-AVERAGE(OFFSET($H$3,0,0,'Données projet'!$E$14+1,1))</f>
        <v>610.05768948788375</v>
      </c>
      <c r="DU12" s="59">
        <f t="shared" si="44"/>
        <v>295.23928902444845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4.0942857142857143</v>
      </c>
      <c r="N13" s="13">
        <f>IF('Données projet'!$A$36&gt;35,N12+M13-V12,IF(A13&lt;'Données projet'!$A$36,$K$205^A13,IF(A13='Données projet'!$A$36,'Données projet'!$B$36,N12+M13-V12)))</f>
        <v>40.94285714285715</v>
      </c>
      <c r="O13" s="13">
        <f>N13*VLOOKUP('Données projet'!$B$9,Paramètres!$A$1:$I$89,3,0)*VLOOKUP('Données projet'!$B$9,Paramètres!$A$1:$I$89,5,0)</f>
        <v>37.045097142857145</v>
      </c>
      <c r="P13" s="13">
        <f t="shared" si="33"/>
        <v>11.211985951829543</v>
      </c>
      <c r="Q13" s="20">
        <f t="shared" si="2"/>
        <v>84.04775305657931</v>
      </c>
      <c r="R13" s="59">
        <f t="shared" si="0"/>
        <v>275.98641504162418</v>
      </c>
      <c r="S13" s="59">
        <f ca="1">AVERAGE(OFFSET($R$3,0,0,'Données projet'!$E$9+1,1))-AVERAGE(OFFSET($H$3,0,0,'Données projet'!$E$9+1,1))</f>
        <v>681.47578137804555</v>
      </c>
      <c r="T13" s="59">
        <f t="shared" si="34"/>
        <v>300.88511065995885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1.7094017094017093</v>
      </c>
      <c r="AI13" s="13">
        <f>IF('Données projet'!$A$62&gt;35,AI12+AH13-AQ12,IF(A13&lt;'Données projet'!$A$62,$AF$205^A13,IF(A13='Données projet'!$A$62,'Données projet'!$B$62,AI12+AH13-AQ12)))</f>
        <v>8.6954139564465862</v>
      </c>
      <c r="AJ13" s="13">
        <f>AI13*VLOOKUP('Données projet'!$B$10,Paramètres!$A$1:$I$89,3,0)*VLOOKUP('Données projet'!$B$10,Paramètres!$A$1:$I$89,5,0)</f>
        <v>6.7824228860283373</v>
      </c>
      <c r="AK13" s="13">
        <f t="shared" si="35"/>
        <v>2.5012881827073041</v>
      </c>
      <c r="AL13" s="20">
        <f t="shared" si="4"/>
        <v>16.169130111381239</v>
      </c>
      <c r="AM13" s="59">
        <f t="shared" si="5"/>
        <v>208.10779209642612</v>
      </c>
      <c r="AN13" s="59">
        <f ca="1">AVERAGE(OFFSET($AM$3,0,0,'Données projet'!$E$10+1,1))-AVERAGE(OFFSET($H$3,0,0,'Données projet'!$E$10+1,1))</f>
        <v>217.53602321474159</v>
      </c>
      <c r="AO13" s="59">
        <f t="shared" si="36"/>
        <v>215.75909414893025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2.4666666666666668</v>
      </c>
      <c r="BD13" s="12">
        <f>IF('Données projet'!$A$88&gt;35,BD12+BC13-BL12,IF(A13&lt;'Données projet'!$A$88,$BA$205^A13,IF(A13='Données projet'!$A$88,'Données projet'!$B$88,BD12+BC13-BL12)))</f>
        <v>11.103702468586782</v>
      </c>
      <c r="BE13" s="13">
        <f>BD13*VLOOKUP('Données projet'!$B$11,Paramètres!$A$1:$I$89,3,0)*VLOOKUP('Données projet'!$B$11,Paramètres!$A$1:$I$89,5,0)</f>
        <v>7.448363615928014</v>
      </c>
      <c r="BF13" s="13">
        <f t="shared" si="37"/>
        <v>2.7170964158642961</v>
      </c>
      <c r="BG13" s="20">
        <f t="shared" si="7"/>
        <v>17.704842888704938</v>
      </c>
      <c r="BH13" s="59">
        <f t="shared" si="8"/>
        <v>209.64350487374983</v>
      </c>
      <c r="BI13" s="59">
        <f ca="1">AVERAGE(OFFSET($BH$3,0,0,'Données projet'!$E$11+1,1))-AVERAGE(OFFSET($H$3,0,0,'Données projet'!$E$11+1,1))</f>
        <v>281.67293577289729</v>
      </c>
      <c r="BJ13" s="59">
        <f t="shared" si="38"/>
        <v>272.44904846480154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2.4666666666666668</v>
      </c>
      <c r="BY13" s="12">
        <f>IF('Données projet'!$A$114&gt;35,BY12+BX13-CG12,IF(A13&lt;'Données projet'!$A$114,$BV$205^A13,IF(A13='Données projet'!$A$114,'Données projet'!$B$114,BY12+BX13-CG12)))</f>
        <v>11.103702468586782</v>
      </c>
      <c r="BZ13" s="13">
        <f>BY13*VLOOKUP('Données projet'!$B$12,Paramètres!$A$1:$I$89,3,0)*VLOOKUP('Données projet'!$B$12,Paramètres!$A$1:$I$89,5,0)</f>
        <v>9.7001944765574137</v>
      </c>
      <c r="CA13" s="13">
        <f t="shared" si="39"/>
        <v>3.4313993360317685</v>
      </c>
      <c r="CB13" s="20">
        <f t="shared" si="10"/>
        <v>22.870859223592827</v>
      </c>
      <c r="CC13" s="59">
        <f t="shared" si="11"/>
        <v>214.8095212086377</v>
      </c>
      <c r="CD13" s="59">
        <f ca="1">AVERAGE(OFFSET($CC$3,0,0,'Données projet'!$E$12+1,1))-AVERAGE(OFFSET($H$3,0,0,'Données projet'!$E$12+1,1))</f>
        <v>348.77506423101278</v>
      </c>
      <c r="CE13" s="59">
        <f t="shared" si="40"/>
        <v>336.13747591329548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3.3603333333333336</v>
      </c>
      <c r="CT13" s="12">
        <f>IF('Données projet'!$A$140&gt;35,CT12+CS13-DB12,IF(A13&lt;'Données projet'!$A$140,$CQ$205^A13,IF(A13='Données projet'!$A$140,'Données projet'!$B$140,CT12+CS13-DB12)))</f>
        <v>33.603333333333339</v>
      </c>
      <c r="CU13" s="17">
        <f>CT13*VLOOKUP('Données projet'!$B$13,Paramètres!$A$1:$I$89,3,0)*VLOOKUP('Données projet'!$B$13,Paramètres!$A$1:$I$89,5,0)</f>
        <v>32.501144000000004</v>
      </c>
      <c r="CV13" s="13">
        <f t="shared" si="41"/>
        <v>9.9877050856026894</v>
      </c>
      <c r="CW13" s="20">
        <f t="shared" si="13"/>
        <v>74.001412157424696</v>
      </c>
      <c r="CX13" s="59">
        <f t="shared" si="14"/>
        <v>265.9400741424696</v>
      </c>
      <c r="CY13" s="59">
        <f ca="1">AVERAGE(OFFSET($CX$3,0,0,'Données projet'!$E$13+1,1))-AVERAGE(OFFSET($H$3,0,0,'Données projet'!$E$13+1,1))</f>
        <v>557.48193674339791</v>
      </c>
      <c r="CZ13" s="59">
        <f t="shared" si="42"/>
        <v>271.51396593253048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3.3603333333333336</v>
      </c>
      <c r="DO13" s="12">
        <f>IF('Données projet'!$A$166&gt;35,DO12+DN13-DW12,IF(A13&lt;'Données projet'!$A$166,$DL$205^A13,IF(A13='Données projet'!$A$166,'Données projet'!$B$166,DO12+DN13-DW12)))</f>
        <v>33.603333333333339</v>
      </c>
      <c r="DP13" s="17">
        <f>DO13*VLOOKUP('Données projet'!$B$14,Paramètres!$A$1:$I$89,3,0)*VLOOKUP('Données projet'!$B$14,Paramètres!$A$1:$I$89,5,0)</f>
        <v>36.170628000000008</v>
      </c>
      <c r="DQ13" s="13">
        <f t="shared" si="43"/>
        <v>10.977803932675327</v>
      </c>
      <c r="DR13" s="20">
        <f t="shared" si="16"/>
        <v>82.116852282742869</v>
      </c>
      <c r="DS13" s="59">
        <f t="shared" si="17"/>
        <v>274.05551426778777</v>
      </c>
      <c r="DT13" s="59">
        <f ca="1">AVERAGE(OFFSET($DS$3,0,0,'Données projet'!$E$14+1,1))-AVERAGE(OFFSET($H$3,0,0,'Données projet'!$E$14+1,1))</f>
        <v>610.05768948788375</v>
      </c>
      <c r="DU13" s="59">
        <f t="shared" si="44"/>
        <v>295.23928902444845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4.0942857142857143</v>
      </c>
      <c r="N14" s="13">
        <f>IF('Données projet'!$A$36&gt;35,N13+M14-V13,IF(A14&lt;'Données projet'!$A$36,$K$205^A14,IF(A14='Données projet'!$A$36,'Données projet'!$B$36,N13+M14-V13)))</f>
        <v>45.037142857142868</v>
      </c>
      <c r="O14" s="13">
        <f>N14*VLOOKUP('Données projet'!$B$9,Paramètres!$A$1:$I$89,3,0)*VLOOKUP('Données projet'!$B$9,Paramètres!$A$1:$I$89,5,0)</f>
        <v>40.749606857142865</v>
      </c>
      <c r="P14" s="13">
        <f t="shared" si="33"/>
        <v>12.197115083595657</v>
      </c>
      <c r="Q14" s="20">
        <f t="shared" si="2"/>
        <v>92.215540713452924</v>
      </c>
      <c r="R14" s="59">
        <f t="shared" si="0"/>
        <v>286.71133932256703</v>
      </c>
      <c r="S14" s="59">
        <f ca="1">AVERAGE(OFFSET($R$3,0,0,'Données projet'!$E$9+1,1))-AVERAGE(OFFSET($H$3,0,0,'Données projet'!$E$9+1,1))</f>
        <v>681.47578137804555</v>
      </c>
      <c r="T14" s="59">
        <f t="shared" si="34"/>
        <v>300.88511065995885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1.7094017094017093</v>
      </c>
      <c r="AI14" s="13">
        <f>IF('Données projet'!$A$62&gt;35,AI13+AH14-AQ13,IF(A14&lt;'Données projet'!$A$62,$AF$205^A14,IF(A14='Données projet'!$A$62,'Données projet'!$B$62,AI13+AH14-AQ13)))</f>
        <v>10.794916520339433</v>
      </c>
      <c r="AJ14" s="13">
        <f>AI14*VLOOKUP('Données projet'!$B$10,Paramètres!$A$1:$I$89,3,0)*VLOOKUP('Données projet'!$B$10,Paramètres!$A$1:$I$89,5,0)</f>
        <v>8.4200348858647569</v>
      </c>
      <c r="AK14" s="13">
        <f t="shared" si="35"/>
        <v>3.0280247376705862</v>
      </c>
      <c r="AL14" s="20">
        <f t="shared" si="4"/>
        <v>19.938703844324056</v>
      </c>
      <c r="AM14" s="59">
        <f t="shared" si="5"/>
        <v>214.4345024534382</v>
      </c>
      <c r="AN14" s="59">
        <f ca="1">AVERAGE(OFFSET($AM$3,0,0,'Données projet'!$E$10+1,1))-AVERAGE(OFFSET($H$3,0,0,'Données projet'!$E$10+1,1))</f>
        <v>217.53602321474159</v>
      </c>
      <c r="AO14" s="59">
        <f t="shared" si="36"/>
        <v>215.75909414893025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2.4666666666666668</v>
      </c>
      <c r="BD14" s="12">
        <f>IF('Données projet'!$A$88&gt;35,BD13+BC14-BL13,IF(A14&lt;'Données projet'!$A$88,$BA$205^A14,IF(A14='Données projet'!$A$88,'Données projet'!$B$88,BD13+BC14-BL13)))</f>
        <v>14.125850240977657</v>
      </c>
      <c r="BE14" s="13">
        <f>BD14*VLOOKUP('Données projet'!$B$11,Paramètres!$A$1:$I$89,3,0)*VLOOKUP('Données projet'!$B$11,Paramètres!$A$1:$I$89,5,0)</f>
        <v>9.4756203416478133</v>
      </c>
      <c r="BF14" s="13">
        <f t="shared" si="37"/>
        <v>3.361108915173098</v>
      </c>
      <c r="BG14" s="20">
        <f t="shared" si="7"/>
        <v>22.357303455629751</v>
      </c>
      <c r="BH14" s="59">
        <f t="shared" si="8"/>
        <v>216.85310206474389</v>
      </c>
      <c r="BI14" s="59">
        <f ca="1">AVERAGE(OFFSET($BH$3,0,0,'Données projet'!$E$11+1,1))-AVERAGE(OFFSET($H$3,0,0,'Données projet'!$E$11+1,1))</f>
        <v>281.67293577289729</v>
      </c>
      <c r="BJ14" s="59">
        <f t="shared" si="38"/>
        <v>272.44904846480154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2.4666666666666668</v>
      </c>
      <c r="BY14" s="12">
        <f>IF('Données projet'!$A$114&gt;35,BY13+BX14-CG13,IF(A14&lt;'Données projet'!$A$114,$BV$205^A14,IF(A14='Données projet'!$A$114,'Données projet'!$B$114,BY13+BX14-CG13)))</f>
        <v>14.125850240977657</v>
      </c>
      <c r="BZ14" s="13">
        <f>BY14*VLOOKUP('Données projet'!$B$12,Paramètres!$A$1:$I$89,3,0)*VLOOKUP('Données projet'!$B$12,Paramètres!$A$1:$I$89,5,0)</f>
        <v>12.340342770518083</v>
      </c>
      <c r="CA14" s="13">
        <f t="shared" si="39"/>
        <v>4.2447175714913801</v>
      </c>
      <c r="CB14" s="20">
        <f t="shared" si="10"/>
        <v>28.885646762333149</v>
      </c>
      <c r="CC14" s="59">
        <f t="shared" si="11"/>
        <v>223.38144537144728</v>
      </c>
      <c r="CD14" s="59">
        <f ca="1">AVERAGE(OFFSET($CC$3,0,0,'Données projet'!$E$12+1,1))-AVERAGE(OFFSET($H$3,0,0,'Données projet'!$E$12+1,1))</f>
        <v>348.77506423101278</v>
      </c>
      <c r="CE14" s="59">
        <f t="shared" si="40"/>
        <v>336.13747591329548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3.3603333333333336</v>
      </c>
      <c r="CT14" s="12">
        <f>IF('Données projet'!$A$140&gt;35,CT13+CS14-DB13,IF(A14&lt;'Données projet'!$A$140,$CQ$205^A14,IF(A14='Données projet'!$A$140,'Données projet'!$B$140,CT13+CS14-DB13)))</f>
        <v>36.963666666666676</v>
      </c>
      <c r="CU14" s="17">
        <f>CT14*VLOOKUP('Données projet'!$B$13,Paramètres!$A$1:$I$89,3,0)*VLOOKUP('Données projet'!$B$13,Paramètres!$A$1:$I$89,5,0)</f>
        <v>35.751258400000005</v>
      </c>
      <c r="CV14" s="13">
        <f t="shared" si="41"/>
        <v>10.865264090901857</v>
      </c>
      <c r="CW14" s="20">
        <f t="shared" si="13"/>
        <v>81.190443338320719</v>
      </c>
      <c r="CX14" s="59">
        <f t="shared" si="14"/>
        <v>275.68624194743484</v>
      </c>
      <c r="CY14" s="59">
        <f ca="1">AVERAGE(OFFSET($CX$3,0,0,'Données projet'!$E$13+1,1))-AVERAGE(OFFSET($H$3,0,0,'Données projet'!$E$13+1,1))</f>
        <v>557.48193674339791</v>
      </c>
      <c r="CZ14" s="59">
        <f t="shared" si="42"/>
        <v>271.51396593253048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3.3603333333333336</v>
      </c>
      <c r="DO14" s="12">
        <f>IF('Données projet'!$A$166&gt;35,DO13+DN14-DW13,IF(A14&lt;'Données projet'!$A$166,$DL$205^A14,IF(A14='Données projet'!$A$166,'Données projet'!$B$166,DO13+DN14-DW13)))</f>
        <v>36.963666666666676</v>
      </c>
      <c r="DP14" s="17">
        <f>DO14*VLOOKUP('Données projet'!$B$14,Paramètres!$A$1:$I$89,3,0)*VLOOKUP('Données projet'!$B$14,Paramètres!$A$1:$I$89,5,0)</f>
        <v>39.787690800000007</v>
      </c>
      <c r="DQ14" s="13">
        <f t="shared" si="43"/>
        <v>11.942356912259683</v>
      </c>
      <c r="DR14" s="20">
        <f t="shared" si="16"/>
        <v>90.096499765518956</v>
      </c>
      <c r="DS14" s="59">
        <f t="shared" si="17"/>
        <v>284.59229837463306</v>
      </c>
      <c r="DT14" s="59">
        <f ca="1">AVERAGE(OFFSET($DS$3,0,0,'Données projet'!$E$14+1,1))-AVERAGE(OFFSET($H$3,0,0,'Données projet'!$E$14+1,1))</f>
        <v>610.05768948788375</v>
      </c>
      <c r="DU14" s="59">
        <f t="shared" si="44"/>
        <v>295.23928902444845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4.0942857142857143</v>
      </c>
      <c r="N15" s="13">
        <f>IF('Données projet'!$A$36&gt;35,N14+M15-V14,IF(A15&lt;'Données projet'!$A$36,$K$205^A15,IF(A15='Données projet'!$A$36,'Données projet'!$B$36,N14+M15-V14)))</f>
        <v>49.131428571428586</v>
      </c>
      <c r="O15" s="13">
        <f>N15*VLOOKUP('Données projet'!$B$9,Paramètres!$A$1:$I$89,3,0)*VLOOKUP('Données projet'!$B$9,Paramètres!$A$1:$I$89,5,0)</f>
        <v>44.454116571428585</v>
      </c>
      <c r="P15" s="13">
        <f t="shared" si="33"/>
        <v>13.17185963217473</v>
      </c>
      <c r="Q15" s="20">
        <f t="shared" si="2"/>
        <v>100.36524188794243</v>
      </c>
      <c r="R15" s="59">
        <f t="shared" si="0"/>
        <v>297.39501934067528</v>
      </c>
      <c r="S15" s="59">
        <f ca="1">AVERAGE(OFFSET($R$3,0,0,'Données projet'!$E$9+1,1))-AVERAGE(OFFSET($H$3,0,0,'Données projet'!$E$9+1,1))</f>
        <v>681.47578137804555</v>
      </c>
      <c r="T15" s="59">
        <f t="shared" si="34"/>
        <v>300.88511065995885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1.7094017094017093</v>
      </c>
      <c r="AI15" s="13">
        <f>IF('Données projet'!$A$62&gt;35,AI14+AH15-AQ14,IF(A15&lt;'Données projet'!$A$62,$AF$205^A15,IF(A15='Données projet'!$A$62,'Données projet'!$B$62,AI14+AH15-AQ14)))</f>
        <v>13.401342738226315</v>
      </c>
      <c r="AJ15" s="13">
        <f>AI15*VLOOKUP('Données projet'!$B$10,Paramètres!$A$1:$I$89,3,0)*VLOOKUP('Données projet'!$B$10,Paramètres!$A$1:$I$89,5,0)</f>
        <v>10.453047335816526</v>
      </c>
      <c r="AK15" s="13">
        <f t="shared" si="35"/>
        <v>3.6656846961236176</v>
      </c>
      <c r="AL15" s="20">
        <f t="shared" si="4"/>
        <v>24.590124955629083</v>
      </c>
      <c r="AM15" s="59">
        <f t="shared" si="5"/>
        <v>221.61990240836195</v>
      </c>
      <c r="AN15" s="59">
        <f ca="1">AVERAGE(OFFSET($AM$3,0,0,'Données projet'!$E$10+1,1))-AVERAGE(OFFSET($H$3,0,0,'Données projet'!$E$10+1,1))</f>
        <v>217.53602321474159</v>
      </c>
      <c r="AO15" s="59">
        <f t="shared" si="36"/>
        <v>215.75909414893025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2.4666666666666668</v>
      </c>
      <c r="BD15" s="12">
        <f>IF('Données projet'!$A$88&gt;35,BD14+BC15-BL14,IF(A15&lt;'Données projet'!$A$88,$BA$205^A15,IF(A15='Données projet'!$A$88,'Données projet'!$B$88,BD14+BC15-BL14)))</f>
        <v>17.970550417308221</v>
      </c>
      <c r="BE15" s="13">
        <f>BD15*VLOOKUP('Données projet'!$B$11,Paramètres!$A$1:$I$89,3,0)*VLOOKUP('Données projet'!$B$11,Paramètres!$A$1:$I$89,5,0)</f>
        <v>12.054645219930356</v>
      </c>
      <c r="BF15" s="13">
        <f t="shared" si="37"/>
        <v>4.1577667519253385</v>
      </c>
      <c r="BG15" s="20">
        <f t="shared" si="7"/>
        <v>28.236617517648664</v>
      </c>
      <c r="BH15" s="59">
        <f t="shared" si="8"/>
        <v>225.26639497038153</v>
      </c>
      <c r="BI15" s="59">
        <f ca="1">AVERAGE(OFFSET($BH$3,0,0,'Données projet'!$E$11+1,1))-AVERAGE(OFFSET($H$3,0,0,'Données projet'!$E$11+1,1))</f>
        <v>281.67293577289729</v>
      </c>
      <c r="BJ15" s="59">
        <f t="shared" si="38"/>
        <v>272.44904846480154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2.4666666666666668</v>
      </c>
      <c r="BY15" s="12">
        <f>IF('Données projet'!$A$114&gt;35,BY14+BX15-CG14,IF(A15&lt;'Données projet'!$A$114,$BV$205^A15,IF(A15='Données projet'!$A$114,'Données projet'!$B$114,BY14+BX15-CG14)))</f>
        <v>17.970550417308221</v>
      </c>
      <c r="BZ15" s="13">
        <f>BY15*VLOOKUP('Données projet'!$B$12,Paramètres!$A$1:$I$89,3,0)*VLOOKUP('Données projet'!$B$12,Paramètres!$A$1:$I$89,5,0)</f>
        <v>15.699072844560465</v>
      </c>
      <c r="CA15" s="13">
        <f t="shared" si="39"/>
        <v>5.250810382962916</v>
      </c>
      <c r="CB15" s="20">
        <f t="shared" si="10"/>
        <v>36.48771328793655</v>
      </c>
      <c r="CC15" s="59">
        <f t="shared" si="11"/>
        <v>233.51749074066942</v>
      </c>
      <c r="CD15" s="59">
        <f ca="1">AVERAGE(OFFSET($CC$3,0,0,'Données projet'!$E$12+1,1))-AVERAGE(OFFSET($H$3,0,0,'Données projet'!$E$12+1,1))</f>
        <v>348.77506423101278</v>
      </c>
      <c r="CE15" s="59">
        <f t="shared" si="40"/>
        <v>336.13747591329548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3.3603333333333336</v>
      </c>
      <c r="CT15" s="12">
        <f>IF('Données projet'!$A$140&gt;35,CT14+CS15-DB14,IF(A15&lt;'Données projet'!$A$140,$CQ$205^A15,IF(A15='Données projet'!$A$140,'Données projet'!$B$140,CT14+CS15-DB14)))</f>
        <v>40.324000000000012</v>
      </c>
      <c r="CU15" s="17">
        <f>CT15*VLOOKUP('Données projet'!$B$13,Paramètres!$A$1:$I$89,3,0)*VLOOKUP('Données projet'!$B$13,Paramètres!$A$1:$I$89,5,0)</f>
        <v>39.001372800000013</v>
      </c>
      <c r="CV15" s="13">
        <f t="shared" si="41"/>
        <v>11.733572446516416</v>
      </c>
      <c r="CW15" s="20">
        <f t="shared" si="13"/>
        <v>88.363362971016116</v>
      </c>
      <c r="CX15" s="59">
        <f t="shared" si="14"/>
        <v>285.393140423749</v>
      </c>
      <c r="CY15" s="59">
        <f ca="1">AVERAGE(OFFSET($CX$3,0,0,'Données projet'!$E$13+1,1))-AVERAGE(OFFSET($H$3,0,0,'Données projet'!$E$13+1,1))</f>
        <v>557.48193674339791</v>
      </c>
      <c r="CZ15" s="59">
        <f t="shared" si="42"/>
        <v>271.51396593253048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3.3603333333333336</v>
      </c>
      <c r="DO15" s="12">
        <f>IF('Données projet'!$A$166&gt;35,DO14+DN15-DW14,IF(A15&lt;'Données projet'!$A$166,$DL$205^A15,IF(A15='Données projet'!$A$166,'Données projet'!$B$166,DO14+DN15-DW14)))</f>
        <v>40.324000000000012</v>
      </c>
      <c r="DP15" s="17">
        <f>DO15*VLOOKUP('Données projet'!$B$14,Paramètres!$A$1:$I$89,3,0)*VLOOKUP('Données projet'!$B$14,Paramètres!$A$1:$I$89,5,0)</f>
        <v>43.404753600000014</v>
      </c>
      <c r="DQ15" s="13">
        <f t="shared" si="43"/>
        <v>12.896742208916164</v>
      </c>
      <c r="DR15" s="20">
        <f t="shared" si="16"/>
        <v>98.058438533862343</v>
      </c>
      <c r="DS15" s="59">
        <f t="shared" si="17"/>
        <v>295.08821598659523</v>
      </c>
      <c r="DT15" s="59">
        <f ca="1">AVERAGE(OFFSET($DS$3,0,0,'Données projet'!$E$14+1,1))-AVERAGE(OFFSET($H$3,0,0,'Données projet'!$E$14+1,1))</f>
        <v>610.05768948788375</v>
      </c>
      <c r="DU15" s="59">
        <f t="shared" si="44"/>
        <v>295.23928902444845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4.0942857142857143</v>
      </c>
      <c r="N16" s="13">
        <f>IF('Données projet'!$A$36&gt;35,N15+M16-V15,IF(A16&lt;'Données projet'!$A$36,$K$205^A16,IF(A16='Données projet'!$A$36,'Données projet'!$B$36,N15+M16-V15)))</f>
        <v>53.225714285714304</v>
      </c>
      <c r="O16" s="13">
        <f>N16*VLOOKUP('Données projet'!$B$9,Paramètres!$A$1:$I$89,3,0)*VLOOKUP('Données projet'!$B$9,Paramètres!$A$1:$I$89,5,0)</f>
        <v>48.158626285714305</v>
      </c>
      <c r="P16" s="13">
        <f t="shared" si="33"/>
        <v>14.137183365739432</v>
      </c>
      <c r="Q16" s="20">
        <f t="shared" si="2"/>
        <v>108.4985351429486</v>
      </c>
      <c r="R16" s="59">
        <f t="shared" si="0"/>
        <v>308.03953539456739</v>
      </c>
      <c r="S16" s="59">
        <f ca="1">AVERAGE(OFFSET($R$3,0,0,'Données projet'!$E$9+1,1))-AVERAGE(OFFSET($H$3,0,0,'Données projet'!$E$9+1,1))</f>
        <v>681.47578137804555</v>
      </c>
      <c r="T16" s="59">
        <f t="shared" si="34"/>
        <v>300.88511065995885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1.7094017094017093</v>
      </c>
      <c r="AI16" s="13">
        <f>IF('Données projet'!$A$62&gt;35,AI15+AH16-AQ15,IF(A16&lt;'Données projet'!$A$62,$AF$205^A16,IF(A16='Données projet'!$A$62,'Données projet'!$B$62,AI15+AH16-AQ15)))</f>
        <v>16.637089026952847</v>
      </c>
      <c r="AJ16" s="13">
        <f>AI16*VLOOKUP('Données projet'!$B$10,Paramètres!$A$1:$I$89,3,0)*VLOOKUP('Données projet'!$B$10,Paramètres!$A$1:$I$89,5,0)</f>
        <v>12.976929441023222</v>
      </c>
      <c r="AK16" s="13">
        <f t="shared" si="35"/>
        <v>4.4376269864069782</v>
      </c>
      <c r="AL16" s="20">
        <f t="shared" si="4"/>
        <v>30.33035244444093</v>
      </c>
      <c r="AM16" s="59">
        <f t="shared" si="5"/>
        <v>229.87135269605974</v>
      </c>
      <c r="AN16" s="59">
        <f ca="1">AVERAGE(OFFSET($AM$3,0,0,'Données projet'!$E$10+1,1))-AVERAGE(OFFSET($H$3,0,0,'Données projet'!$E$10+1,1))</f>
        <v>217.53602321474159</v>
      </c>
      <c r="AO16" s="59">
        <f t="shared" si="36"/>
        <v>215.75909414893025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2.4666666666666668</v>
      </c>
      <c r="BD16" s="12">
        <f>IF('Données projet'!$A$88&gt;35,BD15+BC16-BL15,IF(A16&lt;'Données projet'!$A$88,$BA$205^A16,IF(A16='Données projet'!$A$88,'Données projet'!$B$88,BD15+BC16-BL15)))</f>
        <v>22.86168101684942</v>
      </c>
      <c r="BE16" s="13">
        <f>BD16*VLOOKUP('Données projet'!$B$11,Paramètres!$A$1:$I$89,3,0)*VLOOKUP('Données projet'!$B$11,Paramètres!$A$1:$I$89,5,0)</f>
        <v>15.335615626102593</v>
      </c>
      <c r="BF16" s="13">
        <f t="shared" si="37"/>
        <v>5.143250278316402</v>
      </c>
      <c r="BG16" s="20">
        <f t="shared" si="7"/>
        <v>35.667358116863085</v>
      </c>
      <c r="BH16" s="59">
        <f t="shared" si="8"/>
        <v>235.2083583684819</v>
      </c>
      <c r="BI16" s="59">
        <f ca="1">AVERAGE(OFFSET($BH$3,0,0,'Données projet'!$E$11+1,1))-AVERAGE(OFFSET($H$3,0,0,'Données projet'!$E$11+1,1))</f>
        <v>281.67293577289729</v>
      </c>
      <c r="BJ16" s="59">
        <f t="shared" si="38"/>
        <v>272.44904846480154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2.4666666666666668</v>
      </c>
      <c r="BY16" s="12">
        <f>IF('Données projet'!$A$114&gt;35,BY15+BX16-CG15,IF(A16&lt;'Données projet'!$A$114,$BV$205^A16,IF(A16='Données projet'!$A$114,'Données projet'!$B$114,BY15+BX16-CG15)))</f>
        <v>22.86168101684942</v>
      </c>
      <c r="BZ16" s="13">
        <f>BY16*VLOOKUP('Données projet'!$B$12,Paramètres!$A$1:$I$89,3,0)*VLOOKUP('Données projet'!$B$12,Paramètres!$A$1:$I$89,5,0)</f>
        <v>19.971964536319657</v>
      </c>
      <c r="CA16" s="13">
        <f t="shared" si="39"/>
        <v>6.4953696479137237</v>
      </c>
      <c r="CB16" s="20">
        <f t="shared" si="10"/>
        <v>46.097273704206465</v>
      </c>
      <c r="CC16" s="59">
        <f t="shared" si="11"/>
        <v>245.63827395582527</v>
      </c>
      <c r="CD16" s="59">
        <f ca="1">AVERAGE(OFFSET($CC$3,0,0,'Données projet'!$E$12+1,1))-AVERAGE(OFFSET($H$3,0,0,'Données projet'!$E$12+1,1))</f>
        <v>348.77506423101278</v>
      </c>
      <c r="CE16" s="59">
        <f t="shared" si="40"/>
        <v>336.13747591329548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3.3603333333333336</v>
      </c>
      <c r="CT16" s="12">
        <f>IF('Données projet'!$A$140&gt;35,CT15+CS16-DB15,IF(A16&lt;'Données projet'!$A$140,$CQ$205^A16,IF(A16='Données projet'!$A$140,'Données projet'!$B$140,CT15+CS16-DB15)))</f>
        <v>43.684333333333349</v>
      </c>
      <c r="CU16" s="17">
        <f>CT16*VLOOKUP('Données projet'!$B$13,Paramètres!$A$1:$I$89,3,0)*VLOOKUP('Données projet'!$B$13,Paramètres!$A$1:$I$89,5,0)</f>
        <v>42.251487200000021</v>
      </c>
      <c r="CV16" s="13">
        <f t="shared" si="41"/>
        <v>12.593488682979761</v>
      </c>
      <c r="CW16" s="20">
        <f t="shared" si="13"/>
        <v>95.521666329523114</v>
      </c>
      <c r="CX16" s="59">
        <f t="shared" si="14"/>
        <v>295.06266658114191</v>
      </c>
      <c r="CY16" s="59">
        <f ca="1">AVERAGE(OFFSET($CX$3,0,0,'Données projet'!$E$13+1,1))-AVERAGE(OFFSET($H$3,0,0,'Données projet'!$E$13+1,1))</f>
        <v>557.48193674339791</v>
      </c>
      <c r="CZ16" s="59">
        <f t="shared" si="42"/>
        <v>271.51396593253048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3.3603333333333336</v>
      </c>
      <c r="DO16" s="12">
        <f>IF('Données projet'!$A$166&gt;35,DO15+DN16-DW15,IF(A16&lt;'Données projet'!$A$166,$DL$205^A16,IF(A16='Données projet'!$A$166,'Données projet'!$B$166,DO15+DN16-DW15)))</f>
        <v>43.684333333333349</v>
      </c>
      <c r="DP16" s="17">
        <f>DO16*VLOOKUP('Données projet'!$B$14,Paramètres!$A$1:$I$89,3,0)*VLOOKUP('Données projet'!$B$14,Paramètres!$A$1:$I$89,5,0)</f>
        <v>47.02181640000002</v>
      </c>
      <c r="DQ16" s="13">
        <f t="shared" si="43"/>
        <v>13.841903460826416</v>
      </c>
      <c r="DR16" s="20">
        <f t="shared" si="16"/>
        <v>106.00431209093937</v>
      </c>
      <c r="DS16" s="59">
        <f t="shared" si="17"/>
        <v>305.54531234255819</v>
      </c>
      <c r="DT16" s="59">
        <f ca="1">AVERAGE(OFFSET($DS$3,0,0,'Données projet'!$E$14+1,1))-AVERAGE(OFFSET($H$3,0,0,'Données projet'!$E$14+1,1))</f>
        <v>610.05768948788375</v>
      </c>
      <c r="DU16" s="59">
        <f t="shared" si="44"/>
        <v>295.23928902444845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4.0942857142857143</v>
      </c>
      <c r="N17" s="13">
        <f>IF('Données projet'!$A$36&gt;35,N16+M17-V16,IF(A17&lt;'Données projet'!$A$36,$K$205^A17,IF(A17='Données projet'!$A$36,'Données projet'!$B$36,N16+M17-V16)))</f>
        <v>57.320000000000022</v>
      </c>
      <c r="O17" s="13">
        <f>N17*VLOOKUP('Données projet'!$B$9,Paramètres!$A$1:$I$89,3,0)*VLOOKUP('Données projet'!$B$9,Paramètres!$A$1:$I$89,5,0)</f>
        <v>51.863136000000019</v>
      </c>
      <c r="P17" s="13">
        <f t="shared" si="33"/>
        <v>15.093893357630675</v>
      </c>
      <c r="Q17" s="20">
        <f t="shared" si="2"/>
        <v>116.61682613120678</v>
      </c>
      <c r="R17" s="59">
        <f t="shared" si="0"/>
        <v>318.64668790347997</v>
      </c>
      <c r="S17" s="59">
        <f ca="1">AVERAGE(OFFSET($R$3,0,0,'Données projet'!$E$9+1,1))-AVERAGE(OFFSET($H$3,0,0,'Données projet'!$E$9+1,1))</f>
        <v>681.47578137804555</v>
      </c>
      <c r="T17" s="59">
        <f t="shared" si="34"/>
        <v>300.88511065995885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1.7094017094017093</v>
      </c>
      <c r="AI17" s="13">
        <f>IF('Données projet'!$A$62&gt;35,AI16+AH17-AQ16,IF(A17&lt;'Données projet'!$A$62,$AF$205^A17,IF(A17='Données projet'!$A$62,'Données projet'!$B$62,AI16+AH17-AQ16)))</f>
        <v>20.65410434591935</v>
      </c>
      <c r="AJ17" s="13">
        <f>AI17*VLOOKUP('Données projet'!$B$10,Paramètres!$A$1:$I$89,3,0)*VLOOKUP('Données projet'!$B$10,Paramètres!$A$1:$I$89,5,0)</f>
        <v>16.110201389817092</v>
      </c>
      <c r="AK17" s="13">
        <f t="shared" si="35"/>
        <v>5.3721296027756829</v>
      </c>
      <c r="AL17" s="20">
        <f t="shared" si="4"/>
        <v>37.415059812099081</v>
      </c>
      <c r="AM17" s="59">
        <f t="shared" si="5"/>
        <v>239.44492158437228</v>
      </c>
      <c r="AN17" s="59">
        <f ca="1">AVERAGE(OFFSET($AM$3,0,0,'Données projet'!$E$10+1,1))-AVERAGE(OFFSET($H$3,0,0,'Données projet'!$E$10+1,1))</f>
        <v>217.53602321474159</v>
      </c>
      <c r="AO17" s="59">
        <f t="shared" si="36"/>
        <v>215.75909414893025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2.4666666666666668</v>
      </c>
      <c r="BD17" s="12">
        <f>IF('Données projet'!$A$88&gt;35,BD16+BC17-BL16,IF(A17&lt;'Données projet'!$A$88,$BA$205^A17,IF(A17='Données projet'!$A$88,'Données projet'!$B$88,BD16+BC17-BL16)))</f>
        <v>29.084054009429774</v>
      </c>
      <c r="BE17" s="13">
        <f>BD17*VLOOKUP('Données projet'!$B$11,Paramètres!$A$1:$I$89,3,0)*VLOOKUP('Données projet'!$B$11,Paramètres!$A$1:$I$89,5,0)</f>
        <v>19.509583429525492</v>
      </c>
      <c r="BF17" s="13">
        <f t="shared" si="37"/>
        <v>6.3623153975994775</v>
      </c>
      <c r="BG17" s="20">
        <f t="shared" si="7"/>
        <v>45.060223790575982</v>
      </c>
      <c r="BH17" s="59">
        <f t="shared" si="8"/>
        <v>247.09008556284917</v>
      </c>
      <c r="BI17" s="59">
        <f ca="1">AVERAGE(OFFSET($BH$3,0,0,'Données projet'!$E$11+1,1))-AVERAGE(OFFSET($H$3,0,0,'Données projet'!$E$11+1,1))</f>
        <v>281.67293577289729</v>
      </c>
      <c r="BJ17" s="59">
        <f t="shared" si="38"/>
        <v>272.44904846480154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2.4666666666666668</v>
      </c>
      <c r="BY17" s="12">
        <f>IF('Données projet'!$A$114&gt;35,BY16+BX17-CG16,IF(A17&lt;'Données projet'!$A$114,$BV$205^A17,IF(A17='Données projet'!$A$114,'Données projet'!$B$114,BY16+BX17-CG16)))</f>
        <v>29.084054009429774</v>
      </c>
      <c r="BZ17" s="13">
        <f>BY17*VLOOKUP('Données projet'!$B$12,Paramètres!$A$1:$I$89,3,0)*VLOOKUP('Données projet'!$B$12,Paramètres!$A$1:$I$89,5,0)</f>
        <v>25.407829582637852</v>
      </c>
      <c r="CA17" s="13">
        <f t="shared" si="39"/>
        <v>8.0349172386667025</v>
      </c>
      <c r="CB17" s="20">
        <f t="shared" si="10"/>
        <v>58.246117380438761</v>
      </c>
      <c r="CC17" s="59">
        <f t="shared" si="11"/>
        <v>260.27597915271195</v>
      </c>
      <c r="CD17" s="59">
        <f ca="1">AVERAGE(OFFSET($CC$3,0,0,'Données projet'!$E$12+1,1))-AVERAGE(OFFSET($H$3,0,0,'Données projet'!$E$12+1,1))</f>
        <v>348.77506423101278</v>
      </c>
      <c r="CE17" s="59">
        <f t="shared" si="40"/>
        <v>336.13747591329548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3.3603333333333336</v>
      </c>
      <c r="CT17" s="12">
        <f>IF('Données projet'!$A$140&gt;35,CT16+CS17-DB16,IF(A17&lt;'Données projet'!$A$140,$CQ$205^A17,IF(A17='Données projet'!$A$140,'Données projet'!$B$140,CT16+CS17-DB16)))</f>
        <v>47.044666666666686</v>
      </c>
      <c r="CU17" s="17">
        <f>CT17*VLOOKUP('Données projet'!$B$13,Paramètres!$A$1:$I$89,3,0)*VLOOKUP('Données projet'!$B$13,Paramètres!$A$1:$I$89,5,0)</f>
        <v>45.501601600000022</v>
      </c>
      <c r="CV17" s="13">
        <f t="shared" si="41"/>
        <v>13.445731746118797</v>
      </c>
      <c r="CW17" s="20">
        <f t="shared" si="13"/>
        <v>102.6666055778236</v>
      </c>
      <c r="CX17" s="59">
        <f t="shared" si="14"/>
        <v>304.69646735009678</v>
      </c>
      <c r="CY17" s="59">
        <f ca="1">AVERAGE(OFFSET($CX$3,0,0,'Données projet'!$E$13+1,1))-AVERAGE(OFFSET($H$3,0,0,'Données projet'!$E$13+1,1))</f>
        <v>557.48193674339791</v>
      </c>
      <c r="CZ17" s="59">
        <f t="shared" si="42"/>
        <v>271.51396593253048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3.3603333333333336</v>
      </c>
      <c r="DO17" s="12">
        <f>IF('Données projet'!$A$166&gt;35,DO16+DN17-DW16,IF(A17&lt;'Données projet'!$A$166,$DL$205^A17,IF(A17='Données projet'!$A$166,'Données projet'!$B$166,DO16+DN17-DW16)))</f>
        <v>47.044666666666686</v>
      </c>
      <c r="DP17" s="17">
        <f>DO17*VLOOKUP('Données projet'!$B$14,Paramètres!$A$1:$I$89,3,0)*VLOOKUP('Données projet'!$B$14,Paramètres!$A$1:$I$89,5,0)</f>
        <v>50.638879200000019</v>
      </c>
      <c r="DQ17" s="13">
        <f t="shared" si="43"/>
        <v>14.778630884187105</v>
      </c>
      <c r="DR17" s="20">
        <f t="shared" si="16"/>
        <v>113.93549672995925</v>
      </c>
      <c r="DS17" s="59">
        <f t="shared" si="17"/>
        <v>315.96535850223245</v>
      </c>
      <c r="DT17" s="59">
        <f ca="1">AVERAGE(OFFSET($DS$3,0,0,'Données projet'!$E$14+1,1))-AVERAGE(OFFSET($H$3,0,0,'Données projet'!$E$14+1,1))</f>
        <v>610.05768948788375</v>
      </c>
      <c r="DU17" s="59">
        <f t="shared" si="44"/>
        <v>295.23928902444845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4.0942857142857143</v>
      </c>
      <c r="N18" s="13">
        <f>IF('Données projet'!$A$36&gt;35,N17+M18-V17,IF(A18&lt;'Données projet'!$A$36,$K$205^A18,IF(A18='Données projet'!$A$36,'Données projet'!$B$36,N17+M18-V17)))</f>
        <v>61.414285714285739</v>
      </c>
      <c r="O18" s="13">
        <f>N18*VLOOKUP('Données projet'!$B$9,Paramètres!$A$1:$I$89,3,0)*VLOOKUP('Données projet'!$B$9,Paramètres!$A$1:$I$89,5,0)</f>
        <v>55.567645714285739</v>
      </c>
      <c r="P18" s="13">
        <f t="shared" si="33"/>
        <v>16.042674851771864</v>
      </c>
      <c r="Q18" s="20">
        <f t="shared" si="2"/>
        <v>124.72130831921697</v>
      </c>
      <c r="R18" s="59">
        <f t="shared" si="0"/>
        <v>329.21805825209799</v>
      </c>
      <c r="S18" s="59">
        <f ca="1">AVERAGE(OFFSET($R$3,0,0,'Données projet'!$E$9+1,1))-AVERAGE(OFFSET($H$3,0,0,'Données projet'!$E$9+1,1))</f>
        <v>681.47578137804555</v>
      </c>
      <c r="T18" s="59">
        <f t="shared" si="34"/>
        <v>300.88511065995885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25.641025641025639</v>
      </c>
      <c r="AG18" s="12">
        <f>VLOOKUP(A18,'Données projet'!$A$61:$I$81,9,0)</f>
        <v>1.7094017094017093</v>
      </c>
      <c r="AH18" s="12">
        <f t="array" ref="AH18">INDEX(AG:AG,MIN(IF(ISNUMBER(AG18:AG214),ROW(AG18:AG214),"")))</f>
        <v>1.7094017094017093</v>
      </c>
      <c r="AI18" s="13">
        <f>IF('Données projet'!$A$62&gt;35,AI17+AH18-AQ17,IF(A18&lt;'Données projet'!$A$62,$AF$205^A18,IF(A18='Données projet'!$A$62,'Données projet'!$B$62,AI17+AH18-AQ17)))</f>
        <v>25.641025641025639</v>
      </c>
      <c r="AJ18" s="13">
        <f>AI18*VLOOKUP('Données projet'!$B$10,Paramètres!$A$1:$I$89,3,0)*VLOOKUP('Données projet'!$B$10,Paramètres!$A$1:$I$89,5,0)</f>
        <v>20</v>
      </c>
      <c r="AK18" s="13">
        <f t="shared" si="35"/>
        <v>6.5034254923678825</v>
      </c>
      <c r="AL18" s="20">
        <f t="shared" si="4"/>
        <v>46.160132732540724</v>
      </c>
      <c r="AM18" s="59">
        <f t="shared" si="5"/>
        <v>250.65688266542176</v>
      </c>
      <c r="AN18" s="59">
        <f ca="1">AVERAGE(OFFSET($AM$3,0,0,'Données projet'!$E$10+1,1))-AVERAGE(OFFSET($H$3,0,0,'Données projet'!$E$10+1,1))</f>
        <v>217.53602321474159</v>
      </c>
      <c r="AO18" s="59">
        <f t="shared" si="36"/>
        <v>215.75909414893025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1.9230769230769229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0.1075</v>
      </c>
      <c r="AT18" s="16">
        <f>IF(ISNA(VLOOKUP(A18,'Données projet'!$A$61:$I$81,7,0)),0%,VLOOKUP(A18,'Données projet'!$A$61:$I$81,7,0))</f>
        <v>0.25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0.17755523258082798</v>
      </c>
      <c r="AW18" s="21">
        <f>EXP(-LN(2)/2)*AW17+(1-EXP(-LN(2)/2))/(LN(2)/2)*AQ18*AT18*VLOOKUP('Données projet'!$B$10,Paramètres!$A$1:$I$89,3,0)*0.475*44/12</f>
        <v>0.35382259297702051</v>
      </c>
      <c r="AX18" s="21">
        <f t="shared" si="6"/>
        <v>0.53137782555784852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37</v>
      </c>
      <c r="BB18" s="12">
        <f>VLOOKUP(A18,'Données projet'!$A$87:$I$107,9,0)</f>
        <v>2.4666666666666668</v>
      </c>
      <c r="BC18" s="12">
        <f t="array" ref="BC18">INDEX(BB:BB,MIN(IF(ISNUMBER(BB18:BB214),ROW(BB18:BB214),"")))</f>
        <v>2.4666666666666668</v>
      </c>
      <c r="BD18" s="12">
        <f>IF('Données projet'!$A$88&gt;35,BD17+BC18-BL17,IF(A18&lt;'Données projet'!$A$88,$BA$205^A18,IF(A18='Données projet'!$A$88,'Données projet'!$B$88,BD17+BC18-BL17)))</f>
        <v>37</v>
      </c>
      <c r="BE18" s="13">
        <f>BD18*VLOOKUP('Données projet'!$B$11,Paramètres!$A$1:$I$89,3,0)*VLOOKUP('Données projet'!$B$11,Paramètres!$A$1:$I$89,5,0)</f>
        <v>24.819600000000001</v>
      </c>
      <c r="BF18" s="13">
        <f t="shared" si="37"/>
        <v>7.8703261611025228</v>
      </c>
      <c r="BG18" s="20">
        <f t="shared" si="7"/>
        <v>56.934954730586902</v>
      </c>
      <c r="BH18" s="59">
        <f t="shared" si="8"/>
        <v>261.43170466346794</v>
      </c>
      <c r="BI18" s="59">
        <f ca="1">AVERAGE(OFFSET($BH$3,0,0,'Données projet'!$E$11+1,1))-AVERAGE(OFFSET($H$3,0,0,'Données projet'!$E$11+1,1))</f>
        <v>281.67293577289729</v>
      </c>
      <c r="BJ18" s="59">
        <f t="shared" si="38"/>
        <v>272.44904846480154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15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0.13250000000000001</v>
      </c>
      <c r="BO18" s="16">
        <f>IF(ISNA(VLOOKUP(A18,'Données projet'!$A$87:$I$107,7,0)),0%,VLOOKUP(A18,'Données projet'!$A$87:$I$107,7,0))</f>
        <v>0.25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1.4680266629782859</v>
      </c>
      <c r="BR18" s="21">
        <f>EXP(-LN(2)/2)*BR17+(1-EXP(-LN(2)/2))/(LN(2)/2)*BL18*BO18*VLOOKUP('Données projet'!$B$11,Paramètres!$A$1:$I$89,3,0)*0.475*44/12</f>
        <v>2.3734419536898539</v>
      </c>
      <c r="BS18" s="22">
        <f t="shared" si="9"/>
        <v>3.8414686166681395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37</v>
      </c>
      <c r="BW18" s="12">
        <f>VLOOKUP(A18,'Données projet'!$A$113:$I$133,9,0)</f>
        <v>2.4666666666666668</v>
      </c>
      <c r="BX18" s="12">
        <f t="array" ref="BX18">INDEX(BW:BW,MIN(IF(ISNUMBER(BW18:BW214),ROW(BW18:BW214),"")))</f>
        <v>2.4666666666666668</v>
      </c>
      <c r="BY18" s="12">
        <f>IF('Données projet'!$A$114&gt;35,BY17+BX18-CG17,IF(A18&lt;'Données projet'!$A$114,$BV$205^A18,IF(A18='Données projet'!$A$114,'Données projet'!$B$114,BY17+BX18-CG17)))</f>
        <v>37</v>
      </c>
      <c r="BZ18" s="13">
        <f>BY18*VLOOKUP('Données projet'!$B$12,Paramètres!$A$1:$I$89,3,0)*VLOOKUP('Données projet'!$B$12,Paramètres!$A$1:$I$89,5,0)</f>
        <v>32.323200000000007</v>
      </c>
      <c r="CA18" s="13">
        <f t="shared" si="39"/>
        <v>9.9393719729191545</v>
      </c>
      <c r="CB18" s="20">
        <f t="shared" si="10"/>
        <v>73.607312852834198</v>
      </c>
      <c r="CC18" s="59">
        <f t="shared" si="11"/>
        <v>278.10406278571526</v>
      </c>
      <c r="CD18" s="59">
        <f ca="1">AVERAGE(OFFSET($CC$3,0,0,'Données projet'!$E$12+1,1))-AVERAGE(OFFSET($H$3,0,0,'Données projet'!$E$12+1,1))</f>
        <v>348.77506423101278</v>
      </c>
      <c r="CE18" s="59">
        <f t="shared" si="40"/>
        <v>336.13747591329548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15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0.13250000000000001</v>
      </c>
      <c r="CJ18" s="16">
        <f>IF(ISNA(VLOOKUP(A18,'Données projet'!$A$113:$I$133,7,0)),0%,VLOOKUP(A18,'Données projet'!$A$113:$I$133,7,0))</f>
        <v>0.25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1.91184867736707</v>
      </c>
      <c r="CM18" s="21">
        <f>EXP(-LN(2)/2)*CM17+(1-EXP(-LN(2)/2))/(LN(2)/2)*CG18*CJ18*VLOOKUP('Données projet'!$B$12,Paramètres!$A$1:$I$89,3,0)*0.475*44/12</f>
        <v>3.0909941722472518</v>
      </c>
      <c r="CN18" s="22">
        <f t="shared" si="12"/>
        <v>5.0028428496143214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3.3603333333333336</v>
      </c>
      <c r="CT18" s="12">
        <f>IF('Données projet'!$A$140&gt;35,CT17+CS18-DB17,IF(A18&lt;'Données projet'!$A$140,$CQ$205^A18,IF(A18='Données projet'!$A$140,'Données projet'!$B$140,CT17+CS18-DB17)))</f>
        <v>50.405000000000022</v>
      </c>
      <c r="CU18" s="17">
        <f>CT18*VLOOKUP('Données projet'!$B$13,Paramètres!$A$1:$I$89,3,0)*VLOOKUP('Données projet'!$B$13,Paramètres!$A$1:$I$89,5,0)</f>
        <v>48.751716000000023</v>
      </c>
      <c r="CV18" s="13">
        <f t="shared" si="41"/>
        <v>14.290912055376443</v>
      </c>
      <c r="CW18" s="20">
        <f t="shared" si="13"/>
        <v>109.79924386311403</v>
      </c>
      <c r="CX18" s="59">
        <f t="shared" si="14"/>
        <v>314.29599379599506</v>
      </c>
      <c r="CY18" s="59">
        <f ca="1">AVERAGE(OFFSET($CX$3,0,0,'Données projet'!$E$13+1,1))-AVERAGE(OFFSET($H$3,0,0,'Données projet'!$E$13+1,1))</f>
        <v>557.48193674339791</v>
      </c>
      <c r="CZ18" s="59">
        <f t="shared" si="42"/>
        <v>271.51396593253048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3.3603333333333336</v>
      </c>
      <c r="DO18" s="12">
        <f>IF('Données projet'!$A$166&gt;35,DO17+DN18-DW17,IF(A18&lt;'Données projet'!$A$166,$DL$205^A18,IF(A18='Données projet'!$A$166,'Données projet'!$B$166,DO17+DN18-DW17)))</f>
        <v>50.405000000000022</v>
      </c>
      <c r="DP18" s="17">
        <f>DO18*VLOOKUP('Données projet'!$B$14,Paramètres!$A$1:$I$89,3,0)*VLOOKUP('Données projet'!$B$14,Paramètres!$A$1:$I$89,5,0)</f>
        <v>54.255942000000019</v>
      </c>
      <c r="DQ18" s="13">
        <f t="shared" si="43"/>
        <v>15.707595410398721</v>
      </c>
      <c r="DR18" s="20">
        <f t="shared" si="16"/>
        <v>121.85316098977781</v>
      </c>
      <c r="DS18" s="59">
        <f t="shared" si="17"/>
        <v>326.34991092265886</v>
      </c>
      <c r="DT18" s="59">
        <f ca="1">AVERAGE(OFFSET($DS$3,0,0,'Données projet'!$E$14+1,1))-AVERAGE(OFFSET($H$3,0,0,'Données projet'!$E$14+1,1))</f>
        <v>610.05768948788375</v>
      </c>
      <c r="DU18" s="59">
        <f t="shared" si="44"/>
        <v>295.23928902444845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4.0942857142857143</v>
      </c>
      <c r="N19" s="13">
        <f>IF('Données projet'!$A$36&gt;35,N18+M19-V18,IF(A19&lt;'Données projet'!$A$36,$K$205^A19,IF(A19='Données projet'!$A$36,'Données projet'!$B$36,N18+M19-V18)))</f>
        <v>65.508571428571457</v>
      </c>
      <c r="O19" s="13">
        <f>N19*VLOOKUP('Données projet'!$B$9,Paramètres!$A$1:$I$89,3,0)*VLOOKUP('Données projet'!$B$9,Paramètres!$A$1:$I$89,5,0)</f>
        <v>59.272155428571445</v>
      </c>
      <c r="P19" s="13">
        <f t="shared" si="33"/>
        <v>16.984116557241595</v>
      </c>
      <c r="Q19" s="20">
        <f t="shared" si="2"/>
        <v>132.81300704195772</v>
      </c>
      <c r="R19" s="59">
        <f t="shared" si="0"/>
        <v>339.75505296407175</v>
      </c>
      <c r="S19" s="59">
        <f ca="1">AVERAGE(OFFSET($R$3,0,0,'Données projet'!$E$9+1,1))-AVERAGE(OFFSET($H$3,0,0,'Données projet'!$E$9+1,1))</f>
        <v>681.47578137804555</v>
      </c>
      <c r="T19" s="59">
        <f t="shared" si="34"/>
        <v>300.88511065995885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6.1538461538461533</v>
      </c>
      <c r="AI19" s="13">
        <f>IF('Données projet'!$A$62&gt;35,AI18+AH19-AQ18,IF(A19&lt;'Données projet'!$A$62,$AF$205^A19,IF(A19='Données projet'!$A$62,'Données projet'!$B$62,AI18+AH19-AQ18)))</f>
        <v>29.871794871794869</v>
      </c>
      <c r="AJ19" s="13">
        <f>AI19*VLOOKUP('Données projet'!$B$10,Paramètres!$A$1:$I$89,3,0)*VLOOKUP('Données projet'!$B$10,Paramètres!$A$1:$I$89,5,0)</f>
        <v>23.299999999999997</v>
      </c>
      <c r="AK19" s="13">
        <f t="shared" si="35"/>
        <v>7.4429955046030809</v>
      </c>
      <c r="AL19" s="20">
        <f t="shared" si="4"/>
        <v>53.544050503850364</v>
      </c>
      <c r="AM19" s="59">
        <f t="shared" si="5"/>
        <v>260.48609642596443</v>
      </c>
      <c r="AN19" s="59">
        <f ca="1">AVERAGE(OFFSET($AM$3,0,0,'Données projet'!$E$10+1,1))-AVERAGE(OFFSET($H$3,0,0,'Données projet'!$E$10+1,1))</f>
        <v>217.53602321474159</v>
      </c>
      <c r="AO19" s="59">
        <f t="shared" si="36"/>
        <v>215.75909414893025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0.17269997540868137</v>
      </c>
      <c r="AW19" s="21">
        <f>EXP(-LN(2)/2)*AW18+(1-EXP(-LN(2)/2))/(LN(2)/2)*AQ19*AT19*VLOOKUP('Données projet'!$B$10,Paramètres!$A$1:$I$89,3,0)*0.475*44/12</f>
        <v>0.25019035483105895</v>
      </c>
      <c r="AX19" s="21">
        <f t="shared" si="6"/>
        <v>0.42289033023974032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11.6</v>
      </c>
      <c r="BD19" s="12">
        <f>IF('Données projet'!$A$88&gt;35,BD18+BC19-BL18,IF(A19&lt;'Données projet'!$A$88,$BA$205^A19,IF(A19='Données projet'!$A$88,'Données projet'!$B$88,BD18+BC19-BL18)))</f>
        <v>33.6</v>
      </c>
      <c r="BE19" s="13">
        <f>BD19*VLOOKUP('Données projet'!$B$11,Paramètres!$A$1:$I$89,3,0)*VLOOKUP('Données projet'!$B$11,Paramètres!$A$1:$I$89,5,0)</f>
        <v>22.538880000000002</v>
      </c>
      <c r="BF19" s="13">
        <f t="shared" si="37"/>
        <v>7.2277491753928942</v>
      </c>
      <c r="BG19" s="20">
        <f t="shared" si="7"/>
        <v>51.843545813809293</v>
      </c>
      <c r="BH19" s="59">
        <f t="shared" si="8"/>
        <v>258.78559173592333</v>
      </c>
      <c r="BI19" s="59">
        <f ca="1">AVERAGE(OFFSET($BH$3,0,0,'Données projet'!$E$11+1,1))-AVERAGE(OFFSET($H$3,0,0,'Données projet'!$E$11+1,1))</f>
        <v>281.67293577289729</v>
      </c>
      <c r="BJ19" s="59">
        <f t="shared" si="38"/>
        <v>272.44904846480154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1.4278833966789777</v>
      </c>
      <c r="BR19" s="21">
        <f>EXP(-LN(2)/2)*BR18+(1-EXP(-LN(2)/2))/(LN(2)/2)*BL19*BO19*VLOOKUP('Données projet'!$B$11,Paramètres!$A$1:$I$89,3,0)*0.475*44/12</f>
        <v>1.6782769002067435</v>
      </c>
      <c r="BS19" s="22">
        <f t="shared" si="9"/>
        <v>3.1061602968857214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11.6</v>
      </c>
      <c r="BY19" s="12">
        <f>IF('Données projet'!$A$114&gt;35,BY18+BX19-CG18,IF(A19&lt;'Données projet'!$A$114,$BV$205^A19,IF(A19='Données projet'!$A$114,'Données projet'!$B$114,BY18+BX19-CG18)))</f>
        <v>33.6</v>
      </c>
      <c r="BZ19" s="13">
        <f>BY19*VLOOKUP('Données projet'!$B$12,Paramètres!$A$1:$I$89,3,0)*VLOOKUP('Données projet'!$B$12,Paramètres!$A$1:$I$89,5,0)</f>
        <v>29.352960000000007</v>
      </c>
      <c r="CA19" s="13">
        <f t="shared" si="39"/>
        <v>9.1278666361046881</v>
      </c>
      <c r="CB19" s="20">
        <f t="shared" si="10"/>
        <v>67.020773057882352</v>
      </c>
      <c r="CC19" s="59">
        <f t="shared" si="11"/>
        <v>273.96281897999643</v>
      </c>
      <c r="CD19" s="59">
        <f ca="1">AVERAGE(OFFSET($CC$3,0,0,'Données projet'!$E$12+1,1))-AVERAGE(OFFSET($H$3,0,0,'Données projet'!$E$12+1,1))</f>
        <v>348.77506423101278</v>
      </c>
      <c r="CE19" s="59">
        <f t="shared" si="40"/>
        <v>336.13747591329548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1.8595690747447151</v>
      </c>
      <c r="CM19" s="21">
        <f>EXP(-LN(2)/2)*CM18+(1-EXP(-LN(2)/2))/(LN(2)/2)*CG19*CJ19*VLOOKUP('Données projet'!$B$12,Paramètres!$A$1:$I$89,3,0)*0.475*44/12</f>
        <v>2.1856629398041312</v>
      </c>
      <c r="CN19" s="22">
        <f t="shared" si="12"/>
        <v>4.0452320145488461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3.3603333333333336</v>
      </c>
      <c r="CT19" s="12">
        <f>IF('Données projet'!$A$140&gt;35,CT18+CS19-DB18,IF(A19&lt;'Données projet'!$A$140,$CQ$205^A19,IF(A19='Données projet'!$A$140,'Données projet'!$B$140,CT18+CS19-DB18)))</f>
        <v>53.765333333333359</v>
      </c>
      <c r="CU19" s="17">
        <f>CT19*VLOOKUP('Données projet'!$B$13,Paramètres!$A$1:$I$89,3,0)*VLOOKUP('Données projet'!$B$13,Paramètres!$A$1:$I$89,5,0)</f>
        <v>52.001830400000031</v>
      </c>
      <c r="CV19" s="13">
        <f t="shared" si="41"/>
        <v>15.129554036370385</v>
      </c>
      <c r="CW19" s="20">
        <f t="shared" si="13"/>
        <v>116.92049456001179</v>
      </c>
      <c r="CX19" s="59">
        <f t="shared" si="14"/>
        <v>323.86254048212584</v>
      </c>
      <c r="CY19" s="59">
        <f ca="1">AVERAGE(OFFSET($CX$3,0,0,'Données projet'!$E$13+1,1))-AVERAGE(OFFSET($H$3,0,0,'Données projet'!$E$13+1,1))</f>
        <v>557.48193674339791</v>
      </c>
      <c r="CZ19" s="59">
        <f t="shared" si="42"/>
        <v>271.51396593253048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3.3603333333333336</v>
      </c>
      <c r="DO19" s="12">
        <f>IF('Données projet'!$A$166&gt;35,DO18+DN19-DW18,IF(A19&lt;'Données projet'!$A$166,$DL$205^A19,IF(A19='Données projet'!$A$166,'Données projet'!$B$166,DO18+DN19-DW18)))</f>
        <v>53.765333333333359</v>
      </c>
      <c r="DP19" s="17">
        <f>DO19*VLOOKUP('Données projet'!$B$14,Paramètres!$A$1:$I$89,3,0)*VLOOKUP('Données projet'!$B$14,Paramètres!$A$1:$I$89,5,0)</f>
        <v>57.873004800000032</v>
      </c>
      <c r="DQ19" s="13">
        <f t="shared" si="43"/>
        <v>16.629373452316784</v>
      </c>
      <c r="DR19" s="20">
        <f t="shared" si="16"/>
        <v>129.75830878945177</v>
      </c>
      <c r="DS19" s="59">
        <f t="shared" si="17"/>
        <v>336.70035471156586</v>
      </c>
      <c r="DT19" s="59">
        <f ca="1">AVERAGE(OFFSET($DS$3,0,0,'Données projet'!$E$14+1,1))-AVERAGE(OFFSET($H$3,0,0,'Données projet'!$E$14+1,1))</f>
        <v>610.05768948788375</v>
      </c>
      <c r="DU19" s="59">
        <f t="shared" si="44"/>
        <v>295.23928902444845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4.0942857142857143</v>
      </c>
      <c r="N20" s="13">
        <f>IF('Données projet'!$A$36&gt;35,N19+M20-V19,IF(A20&lt;'Données projet'!$A$36,$K$205^A20,IF(A20='Données projet'!$A$36,'Données projet'!$B$36,N19+M20-V19)))</f>
        <v>69.602857142857175</v>
      </c>
      <c r="O20" s="13">
        <f>N20*VLOOKUP('Données projet'!$B$9,Paramètres!$A$1:$I$89,3,0)*VLOOKUP('Données projet'!$B$9,Paramètres!$A$1:$I$89,5,0)</f>
        <v>62.976665142857165</v>
      </c>
      <c r="P20" s="13">
        <f t="shared" si="33"/>
        <v>17.918729435240664</v>
      </c>
      <c r="Q20" s="20">
        <f t="shared" si="2"/>
        <v>140.89281222352039</v>
      </c>
      <c r="R20" s="59">
        <f t="shared" si="0"/>
        <v>350.25893653939312</v>
      </c>
      <c r="S20" s="59">
        <f ca="1">AVERAGE(OFFSET($R$3,0,0,'Données projet'!$E$9+1,1))-AVERAGE(OFFSET($H$3,0,0,'Données projet'!$E$9+1,1))</f>
        <v>681.47578137804555</v>
      </c>
      <c r="T20" s="59">
        <f t="shared" si="34"/>
        <v>300.88511065995885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6.1538461538461533</v>
      </c>
      <c r="AI20" s="13">
        <f>IF('Données projet'!$A$62&gt;35,AI19+AH20-AQ19,IF(A20&lt;'Données projet'!$A$62,$AF$205^A20,IF(A20='Données projet'!$A$62,'Données projet'!$B$62,AI19+AH20-AQ19)))</f>
        <v>36.025641025641022</v>
      </c>
      <c r="AJ20" s="13">
        <f>AI20*VLOOKUP('Données projet'!$B$10,Paramètres!$A$1:$I$89,3,0)*VLOOKUP('Données projet'!$B$10,Paramètres!$A$1:$I$89,5,0)</f>
        <v>28.099999999999998</v>
      </c>
      <c r="AK20" s="13">
        <f t="shared" si="35"/>
        <v>8.7827186210663637</v>
      </c>
      <c r="AL20" s="20">
        <f t="shared" si="4"/>
        <v>64.237401598357238</v>
      </c>
      <c r="AM20" s="59">
        <f t="shared" si="5"/>
        <v>273.60352591422998</v>
      </c>
      <c r="AN20" s="59">
        <f ca="1">AVERAGE(OFFSET($AM$3,0,0,'Données projet'!$E$10+1,1))-AVERAGE(OFFSET($H$3,0,0,'Données projet'!$E$10+1,1))</f>
        <v>217.53602321474159</v>
      </c>
      <c r="AO20" s="59">
        <f t="shared" si="36"/>
        <v>215.75909414893025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0.167977485499234</v>
      </c>
      <c r="AW20" s="21">
        <f>EXP(-LN(2)/2)*AW19+(1-EXP(-LN(2)/2))/(LN(2)/2)*AQ20*AT20*VLOOKUP('Données projet'!$B$10,Paramètres!$A$1:$I$89,3,0)*0.475*44/12</f>
        <v>0.17691129648851028</v>
      </c>
      <c r="AX20" s="21">
        <f t="shared" si="6"/>
        <v>0.34488878198774431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11.6</v>
      </c>
      <c r="BD20" s="12">
        <f>IF('Données projet'!$A$88&gt;35,BD19+BC20-BL19,IF(A20&lt;'Données projet'!$A$88,$BA$205^A20,IF(A20='Données projet'!$A$88,'Données projet'!$B$88,BD19+BC20-BL19)))</f>
        <v>45.2</v>
      </c>
      <c r="BE20" s="13">
        <f>BD20*VLOOKUP('Données projet'!$B$11,Paramètres!$A$1:$I$89,3,0)*VLOOKUP('Données projet'!$B$11,Paramètres!$A$1:$I$89,5,0)</f>
        <v>30.320160000000001</v>
      </c>
      <c r="BF20" s="13">
        <f t="shared" si="37"/>
        <v>9.3931229783965158</v>
      </c>
      <c r="BG20" s="20">
        <f t="shared" si="7"/>
        <v>69.167301187373923</v>
      </c>
      <c r="BH20" s="59">
        <f t="shared" si="8"/>
        <v>278.53342550324663</v>
      </c>
      <c r="BI20" s="59">
        <f ca="1">AVERAGE(OFFSET($BH$3,0,0,'Données projet'!$E$11+1,1))-AVERAGE(OFFSET($H$3,0,0,'Données projet'!$E$11+1,1))</f>
        <v>281.67293577289729</v>
      </c>
      <c r="BJ20" s="59">
        <f t="shared" si="38"/>
        <v>272.44904846480154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1.3888378501076666</v>
      </c>
      <c r="BR20" s="21">
        <f>EXP(-LN(2)/2)*BR19+(1-EXP(-LN(2)/2))/(LN(2)/2)*BL20*BO20*VLOOKUP('Données projet'!$B$11,Paramètres!$A$1:$I$89,3,0)*0.475*44/12</f>
        <v>1.1867209768449272</v>
      </c>
      <c r="BS20" s="22">
        <f t="shared" si="9"/>
        <v>2.5755588269525935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11.6</v>
      </c>
      <c r="BY20" s="12">
        <f>IF('Données projet'!$A$114&gt;35,BY19+BX20-CG19,IF(A20&lt;'Données projet'!$A$114,$BV$205^A20,IF(A20='Données projet'!$A$114,'Données projet'!$B$114,BY19+BX20-CG19)))</f>
        <v>45.2</v>
      </c>
      <c r="BZ20" s="13">
        <f>BY20*VLOOKUP('Données projet'!$B$12,Paramètres!$A$1:$I$89,3,0)*VLOOKUP('Données projet'!$B$12,Paramètres!$A$1:$I$89,5,0)</f>
        <v>39.486720000000005</v>
      </c>
      <c r="CA20" s="13">
        <f t="shared" si="39"/>
        <v>11.862499896265861</v>
      </c>
      <c r="CB20" s="20">
        <f t="shared" si="10"/>
        <v>89.433224652663043</v>
      </c>
      <c r="CC20" s="59">
        <f t="shared" si="11"/>
        <v>298.79934896853575</v>
      </c>
      <c r="CD20" s="59">
        <f ca="1">AVERAGE(OFFSET($CC$3,0,0,'Données projet'!$E$12+1,1))-AVERAGE(OFFSET($H$3,0,0,'Données projet'!$E$12+1,1))</f>
        <v>348.77506423101278</v>
      </c>
      <c r="CE20" s="59">
        <f t="shared" si="40"/>
        <v>336.13747591329548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1.8087190606053334</v>
      </c>
      <c r="CM20" s="21">
        <f>EXP(-LN(2)/2)*CM19+(1-EXP(-LN(2)/2))/(LN(2)/2)*CG20*CJ20*VLOOKUP('Données projet'!$B$12,Paramètres!$A$1:$I$89,3,0)*0.475*44/12</f>
        <v>1.5454970861236261</v>
      </c>
      <c r="CN20" s="22">
        <f t="shared" si="12"/>
        <v>3.3542161467289597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3.3603333333333336</v>
      </c>
      <c r="CT20" s="12">
        <f>IF('Données projet'!$A$140&gt;35,CT19+CS20-DB19,IF(A20&lt;'Données projet'!$A$140,$CQ$205^A20,IF(A20='Données projet'!$A$140,'Données projet'!$B$140,CT19+CS20-DB19)))</f>
        <v>57.125666666666696</v>
      </c>
      <c r="CU20" s="17">
        <f>CT20*VLOOKUP('Données projet'!$B$13,Paramètres!$A$1:$I$89,3,0)*VLOOKUP('Données projet'!$B$13,Paramètres!$A$1:$I$89,5,0)</f>
        <v>55.251944800000032</v>
      </c>
      <c r="CV20" s="13">
        <f t="shared" si="41"/>
        <v>15.962112856437207</v>
      </c>
      <c r="CW20" s="20">
        <f t="shared" si="13"/>
        <v>124.03115041829483</v>
      </c>
      <c r="CX20" s="59">
        <f t="shared" si="14"/>
        <v>333.39727473416758</v>
      </c>
      <c r="CY20" s="59">
        <f ca="1">AVERAGE(OFFSET($CX$3,0,0,'Données projet'!$E$13+1,1))-AVERAGE(OFFSET($H$3,0,0,'Données projet'!$E$13+1,1))</f>
        <v>557.48193674339791</v>
      </c>
      <c r="CZ20" s="59">
        <f t="shared" si="42"/>
        <v>271.51396593253048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3.3603333333333336</v>
      </c>
      <c r="DO20" s="12">
        <f>IF('Données projet'!$A$166&gt;35,DO19+DN20-DW19,IF(A20&lt;'Données projet'!$A$166,$DL$205^A20,IF(A20='Données projet'!$A$166,'Données projet'!$B$166,DO19+DN20-DW19)))</f>
        <v>57.125666666666696</v>
      </c>
      <c r="DP20" s="17">
        <f>DO20*VLOOKUP('Données projet'!$B$14,Paramètres!$A$1:$I$89,3,0)*VLOOKUP('Données projet'!$B$14,Paramètres!$A$1:$I$89,5,0)</f>
        <v>61.490067600000025</v>
      </c>
      <c r="DQ20" s="13">
        <f t="shared" si="43"/>
        <v>17.544465298819944</v>
      </c>
      <c r="DR20" s="20">
        <f t="shared" si="16"/>
        <v>137.65181146544478</v>
      </c>
      <c r="DS20" s="59">
        <f t="shared" si="17"/>
        <v>347.01793578131753</v>
      </c>
      <c r="DT20" s="59">
        <f ca="1">AVERAGE(OFFSET($DS$3,0,0,'Données projet'!$E$14+1,1))-AVERAGE(OFFSET($H$3,0,0,'Données projet'!$E$14+1,1))</f>
        <v>610.05768948788375</v>
      </c>
      <c r="DU20" s="59">
        <f t="shared" si="44"/>
        <v>295.23928902444845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4.0942857142857143</v>
      </c>
      <c r="N21" s="13">
        <f>IF('Données projet'!$A$36&gt;35,N20+M21-V20,IF(A21&lt;'Données projet'!$A$36,$K$205^A21,IF(A21='Données projet'!$A$36,'Données projet'!$B$36,N20+M21-V20)))</f>
        <v>73.697142857142893</v>
      </c>
      <c r="O21" s="13">
        <f>N21*VLOOKUP('Données projet'!$B$9,Paramètres!$A$1:$I$89,3,0)*VLOOKUP('Données projet'!$B$9,Paramètres!$A$1:$I$89,5,0)</f>
        <v>66.681174857142892</v>
      </c>
      <c r="P21" s="13">
        <f t="shared" si="33"/>
        <v>18.846960938055496</v>
      </c>
      <c r="Q21" s="20">
        <f t="shared" si="2"/>
        <v>148.96150317663719</v>
      </c>
      <c r="R21" s="59">
        <f t="shared" si="0"/>
        <v>360.73085636864027</v>
      </c>
      <c r="S21" s="59">
        <f ca="1">AVERAGE(OFFSET($R$3,0,0,'Données projet'!$E$9+1,1))-AVERAGE(OFFSET($H$3,0,0,'Données projet'!$E$9+1,1))</f>
        <v>681.47578137804555</v>
      </c>
      <c r="T21" s="59">
        <f t="shared" si="34"/>
        <v>300.88511065995885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6.1538461538461533</v>
      </c>
      <c r="AI21" s="13">
        <f>IF('Données projet'!$A$62&gt;35,AI20+AH21-AQ20,IF(A21&lt;'Données projet'!$A$62,$AF$205^A21,IF(A21='Données projet'!$A$62,'Données projet'!$B$62,AI20+AH21-AQ20)))</f>
        <v>42.179487179487175</v>
      </c>
      <c r="AJ21" s="13">
        <f>AI21*VLOOKUP('Données projet'!$B$10,Paramètres!$A$1:$I$89,3,0)*VLOOKUP('Données projet'!$B$10,Paramètres!$A$1:$I$89,5,0)</f>
        <v>32.9</v>
      </c>
      <c r="AK21" s="13">
        <f t="shared" si="35"/>
        <v>10.09593068723915</v>
      </c>
      <c r="AL21" s="20">
        <f t="shared" si="4"/>
        <v>74.884579280274849</v>
      </c>
      <c r="AM21" s="59">
        <f t="shared" si="5"/>
        <v>286.65393247227797</v>
      </c>
      <c r="AN21" s="59">
        <f ca="1">AVERAGE(OFFSET($AM$3,0,0,'Données projet'!$E$10+1,1))-AVERAGE(OFFSET($H$3,0,0,'Données projet'!$E$10+1,1))</f>
        <v>217.53602321474159</v>
      </c>
      <c r="AO21" s="59">
        <f t="shared" si="36"/>
        <v>215.75909414893025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0.16338413232470539</v>
      </c>
      <c r="AW21" s="21">
        <f>EXP(-LN(2)/2)*AW20+(1-EXP(-LN(2)/2))/(LN(2)/2)*AQ21*AT21*VLOOKUP('Données projet'!$B$10,Paramètres!$A$1:$I$89,3,0)*0.475*44/12</f>
        <v>0.12509517741552947</v>
      </c>
      <c r="AX21" s="21">
        <f t="shared" si="6"/>
        <v>0.28847930974023483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11.6</v>
      </c>
      <c r="BD21" s="12">
        <f>IF('Données projet'!$A$88&gt;35,BD20+BC21-BL20,IF(A21&lt;'Données projet'!$A$88,$BA$205^A21,IF(A21='Données projet'!$A$88,'Données projet'!$B$88,BD20+BC21-BL20)))</f>
        <v>56.800000000000004</v>
      </c>
      <c r="BE21" s="13">
        <f>BD21*VLOOKUP('Données projet'!$B$11,Paramètres!$A$1:$I$89,3,0)*VLOOKUP('Données projet'!$B$11,Paramètres!$A$1:$I$89,5,0)</f>
        <v>38.101440000000004</v>
      </c>
      <c r="BF21" s="13">
        <f t="shared" si="37"/>
        <v>11.494018101699785</v>
      </c>
      <c r="BG21" s="20">
        <f t="shared" si="7"/>
        <v>86.378756193793791</v>
      </c>
      <c r="BH21" s="59">
        <f t="shared" si="8"/>
        <v>298.14810938579689</v>
      </c>
      <c r="BI21" s="59">
        <f ca="1">AVERAGE(OFFSET($BH$3,0,0,'Données projet'!$E$11+1,1))-AVERAGE(OFFSET($H$3,0,0,'Données projet'!$E$11+1,1))</f>
        <v>281.67293577289729</v>
      </c>
      <c r="BJ21" s="59">
        <f t="shared" si="38"/>
        <v>272.44904846480154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1.3508600060606641</v>
      </c>
      <c r="BR21" s="21">
        <f>EXP(-LN(2)/2)*BR20+(1-EXP(-LN(2)/2))/(LN(2)/2)*BL21*BO21*VLOOKUP('Données projet'!$B$11,Paramètres!$A$1:$I$89,3,0)*0.475*44/12</f>
        <v>0.83913845010337196</v>
      </c>
      <c r="BS21" s="22">
        <f t="shared" si="9"/>
        <v>2.189998456164036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11.6</v>
      </c>
      <c r="BY21" s="12">
        <f>IF('Données projet'!$A$114&gt;35,BY20+BX21-CG20,IF(A21&lt;'Données projet'!$A$114,$BV$205^A21,IF(A21='Données projet'!$A$114,'Données projet'!$B$114,BY20+BX21-CG20)))</f>
        <v>56.800000000000004</v>
      </c>
      <c r="BZ21" s="13">
        <f>BY21*VLOOKUP('Données projet'!$B$12,Paramètres!$A$1:$I$89,3,0)*VLOOKUP('Données projet'!$B$12,Paramètres!$A$1:$I$89,5,0)</f>
        <v>49.620480000000015</v>
      </c>
      <c r="CA21" s="13">
        <f t="shared" si="39"/>
        <v>14.515703547444382</v>
      </c>
      <c r="CB21" s="20">
        <f t="shared" si="10"/>
        <v>111.70385301179901</v>
      </c>
      <c r="CC21" s="59">
        <f t="shared" si="11"/>
        <v>323.47320620380214</v>
      </c>
      <c r="CD21" s="59">
        <f ca="1">AVERAGE(OFFSET($CC$3,0,0,'Données projet'!$E$12+1,1))-AVERAGE(OFFSET($H$3,0,0,'Données projet'!$E$12+1,1))</f>
        <v>348.77506423101278</v>
      </c>
      <c r="CE21" s="59">
        <f t="shared" si="40"/>
        <v>336.13747591329548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1.7592595427766791</v>
      </c>
      <c r="CM21" s="21">
        <f>EXP(-LN(2)/2)*CM20+(1-EXP(-LN(2)/2))/(LN(2)/2)*CG21*CJ21*VLOOKUP('Données projet'!$B$12,Paramètres!$A$1:$I$89,3,0)*0.475*44/12</f>
        <v>1.0928314699020658</v>
      </c>
      <c r="CN21" s="22">
        <f t="shared" si="12"/>
        <v>2.8520910126787449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3.3603333333333336</v>
      </c>
      <c r="CT21" s="12">
        <f>IF('Données projet'!$A$140&gt;35,CT20+CS21-DB20,IF(A21&lt;'Données projet'!$A$140,$CQ$205^A21,IF(A21='Données projet'!$A$140,'Données projet'!$B$140,CT20+CS21-DB20)))</f>
        <v>60.486000000000033</v>
      </c>
      <c r="CU21" s="17">
        <f>CT21*VLOOKUP('Données projet'!$B$13,Paramètres!$A$1:$I$89,3,0)*VLOOKUP('Données projet'!$B$13,Paramètres!$A$1:$I$89,5,0)</f>
        <v>58.502059200000033</v>
      </c>
      <c r="CV21" s="13">
        <f t="shared" si="41"/>
        <v>16.788987108787442</v>
      </c>
      <c r="CW21" s="20">
        <f t="shared" si="13"/>
        <v>131.13190565447152</v>
      </c>
      <c r="CX21" s="59">
        <f t="shared" si="14"/>
        <v>342.90125884647466</v>
      </c>
      <c r="CY21" s="59">
        <f ca="1">AVERAGE(OFFSET($CX$3,0,0,'Données projet'!$E$13+1,1))-AVERAGE(OFFSET($H$3,0,0,'Données projet'!$E$13+1,1))</f>
        <v>557.48193674339791</v>
      </c>
      <c r="CZ21" s="59">
        <f t="shared" si="42"/>
        <v>271.51396593253048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3.3603333333333336</v>
      </c>
      <c r="DO21" s="12">
        <f>IF('Données projet'!$A$166&gt;35,DO20+DN21-DW20,IF(A21&lt;'Données projet'!$A$166,$DL$205^A21,IF(A21='Données projet'!$A$166,'Données projet'!$B$166,DO20+DN21-DW20)))</f>
        <v>60.486000000000033</v>
      </c>
      <c r="DP21" s="17">
        <f>DO21*VLOOKUP('Données projet'!$B$14,Paramètres!$A$1:$I$89,3,0)*VLOOKUP('Données projet'!$B$14,Paramètres!$A$1:$I$89,5,0)</f>
        <v>65.107130400000031</v>
      </c>
      <c r="DQ21" s="13">
        <f t="shared" si="43"/>
        <v>18.45330905636774</v>
      </c>
      <c r="DR21" s="20">
        <f t="shared" si="16"/>
        <v>145.53443205317384</v>
      </c>
      <c r="DS21" s="59">
        <f t="shared" si="17"/>
        <v>357.30378524517698</v>
      </c>
      <c r="DT21" s="59">
        <f ca="1">AVERAGE(OFFSET($DS$3,0,0,'Données projet'!$E$14+1,1))-AVERAGE(OFFSET($H$3,0,0,'Données projet'!$E$14+1,1))</f>
        <v>610.05768948788375</v>
      </c>
      <c r="DU21" s="59">
        <f t="shared" si="44"/>
        <v>295.23928902444845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4.0942857142857143</v>
      </c>
      <c r="N22" s="13">
        <f>IF('Données projet'!$A$36&gt;35,N21+M22-V21,IF(A22&lt;'Données projet'!$A$36,$K$205^A22,IF(A22='Données projet'!$A$36,'Données projet'!$B$36,N21+M22-V21)))</f>
        <v>77.791428571428611</v>
      </c>
      <c r="O22" s="13">
        <f>N22*VLOOKUP('Données projet'!$B$9,Paramètres!$A$1:$I$89,3,0)*VLOOKUP('Données projet'!$B$9,Paramètres!$A$1:$I$89,5,0)</f>
        <v>70.385684571428612</v>
      </c>
      <c r="P22" s="13">
        <f t="shared" si="33"/>
        <v>19.769205993092573</v>
      </c>
      <c r="Q22" s="20">
        <f t="shared" si="2"/>
        <v>157.01976773320771</v>
      </c>
      <c r="R22" s="59">
        <f t="shared" si="0"/>
        <v>371.17186197623124</v>
      </c>
      <c r="S22" s="59">
        <f ca="1">AVERAGE(OFFSET($R$3,0,0,'Données projet'!$E$9+1,1))-AVERAGE(OFFSET($H$3,0,0,'Données projet'!$E$9+1,1))</f>
        <v>681.47578137804555</v>
      </c>
      <c r="T22" s="59">
        <f t="shared" si="34"/>
        <v>300.88511065995885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6.1538461538461533</v>
      </c>
      <c r="AI22" s="13">
        <f>IF('Données projet'!$A$62&gt;35,AI21+AH22-AQ21,IF(A22&lt;'Données projet'!$A$62,$AF$205^A22,IF(A22='Données projet'!$A$62,'Données projet'!$B$62,AI21+AH22-AQ21)))</f>
        <v>48.333333333333329</v>
      </c>
      <c r="AJ22" s="13">
        <f>AI22*VLOOKUP('Données projet'!$B$10,Paramètres!$A$1:$I$89,3,0)*VLOOKUP('Données projet'!$B$10,Paramètres!$A$1:$I$89,5,0)</f>
        <v>37.699999999999996</v>
      </c>
      <c r="AK22" s="13">
        <f t="shared" si="35"/>
        <v>11.386946545346296</v>
      </c>
      <c r="AL22" s="20">
        <f t="shared" si="4"/>
        <v>85.493098566478125</v>
      </c>
      <c r="AM22" s="59">
        <f t="shared" si="5"/>
        <v>299.64519280950162</v>
      </c>
      <c r="AN22" s="59">
        <f ca="1">AVERAGE(OFFSET($AM$3,0,0,'Données projet'!$E$10+1,1))-AVERAGE(OFFSET($H$3,0,0,'Données projet'!$E$10+1,1))</f>
        <v>217.53602321474159</v>
      </c>
      <c r="AO22" s="59">
        <f t="shared" si="36"/>
        <v>215.75909414893025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0.15891638463428823</v>
      </c>
      <c r="AW22" s="21">
        <f>EXP(-LN(2)/2)*AW21+(1-EXP(-LN(2)/2))/(LN(2)/2)*AQ22*AT22*VLOOKUP('Données projet'!$B$10,Paramètres!$A$1:$I$89,3,0)*0.475*44/12</f>
        <v>8.8455648244255142E-2</v>
      </c>
      <c r="AX22" s="21">
        <f t="shared" si="6"/>
        <v>0.24737203287854337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11.6</v>
      </c>
      <c r="BD22" s="12">
        <f>IF('Données projet'!$A$88&gt;35,BD21+BC22-BL21,IF(A22&lt;'Données projet'!$A$88,$BA$205^A22,IF(A22='Données projet'!$A$88,'Données projet'!$B$88,BD21+BC22-BL21)))</f>
        <v>68.400000000000006</v>
      </c>
      <c r="BE22" s="13">
        <f>BD22*VLOOKUP('Données projet'!$B$11,Paramètres!$A$1:$I$89,3,0)*VLOOKUP('Données projet'!$B$11,Paramètres!$A$1:$I$89,5,0)</f>
        <v>45.882720000000006</v>
      </c>
      <c r="BF22" s="13">
        <f t="shared" si="37"/>
        <v>13.545194912043289</v>
      </c>
      <c r="BG22" s="20">
        <f t="shared" si="7"/>
        <v>103.50361847180874</v>
      </c>
      <c r="BH22" s="59">
        <f t="shared" si="8"/>
        <v>317.65571271483225</v>
      </c>
      <c r="BI22" s="59">
        <f ca="1">AVERAGE(OFFSET($BH$3,0,0,'Données projet'!$E$11+1,1))-AVERAGE(OFFSET($H$3,0,0,'Données projet'!$E$11+1,1))</f>
        <v>281.67293577289729</v>
      </c>
      <c r="BJ22" s="59">
        <f t="shared" si="38"/>
        <v>272.44904846480154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1.3139206681562949</v>
      </c>
      <c r="BR22" s="21">
        <f>EXP(-LN(2)/2)*BR21+(1-EXP(-LN(2)/2))/(LN(2)/2)*BL22*BO22*VLOOKUP('Données projet'!$B$11,Paramètres!$A$1:$I$89,3,0)*0.475*44/12</f>
        <v>0.59336048842246369</v>
      </c>
      <c r="BS22" s="22">
        <f t="shared" si="9"/>
        <v>1.9072811565787586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11.6</v>
      </c>
      <c r="BY22" s="12">
        <f>IF('Données projet'!$A$114&gt;35,BY21+BX22-CG21,IF(A22&lt;'Données projet'!$A$114,$BV$205^A22,IF(A22='Données projet'!$A$114,'Données projet'!$B$114,BY21+BX22-CG21)))</f>
        <v>68.400000000000006</v>
      </c>
      <c r="BZ22" s="13">
        <f>BY22*VLOOKUP('Données projet'!$B$12,Paramètres!$A$1:$I$89,3,0)*VLOOKUP('Données projet'!$B$12,Paramètres!$A$1:$I$89,5,0)</f>
        <v>59.754240000000017</v>
      </c>
      <c r="CA22" s="13">
        <f t="shared" si="39"/>
        <v>17.106118338764027</v>
      </c>
      <c r="CB22" s="20">
        <f t="shared" si="10"/>
        <v>133.8651241066807</v>
      </c>
      <c r="CC22" s="59">
        <f t="shared" si="11"/>
        <v>348.01721834970419</v>
      </c>
      <c r="CD22" s="59">
        <f ca="1">AVERAGE(OFFSET($CC$3,0,0,'Données projet'!$E$12+1,1))-AVERAGE(OFFSET($H$3,0,0,'Données projet'!$E$12+1,1))</f>
        <v>348.77506423101278</v>
      </c>
      <c r="CE22" s="59">
        <f t="shared" si="40"/>
        <v>336.13747591329548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1.7111524980640123</v>
      </c>
      <c r="CM22" s="21">
        <f>EXP(-LN(2)/2)*CM21+(1-EXP(-LN(2)/2))/(LN(2)/2)*CG22*CJ22*VLOOKUP('Données projet'!$B$12,Paramètres!$A$1:$I$89,3,0)*0.475*44/12</f>
        <v>0.77274854306181318</v>
      </c>
      <c r="CN22" s="22">
        <f t="shared" si="12"/>
        <v>2.4839010411258253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3.3603333333333336</v>
      </c>
      <c r="CT22" s="12">
        <f>IF('Données projet'!$A$140&gt;35,CT21+CS22-DB21,IF(A22&lt;'Données projet'!$A$140,$CQ$205^A22,IF(A22='Données projet'!$A$140,'Données projet'!$B$140,CT21+CS22-DB21)))</f>
        <v>63.846333333333369</v>
      </c>
      <c r="CU22" s="17">
        <f>CT22*VLOOKUP('Données projet'!$B$13,Paramètres!$A$1:$I$89,3,0)*VLOOKUP('Données projet'!$B$13,Paramètres!$A$1:$I$89,5,0)</f>
        <v>61.752173600000035</v>
      </c>
      <c r="CV22" s="13">
        <f t="shared" si="41"/>
        <v>17.610528597149965</v>
      </c>
      <c r="CW22" s="20">
        <f t="shared" si="13"/>
        <v>138.22337299336959</v>
      </c>
      <c r="CX22" s="59">
        <f t="shared" si="14"/>
        <v>352.37546723639309</v>
      </c>
      <c r="CY22" s="59">
        <f ca="1">AVERAGE(OFFSET($CX$3,0,0,'Données projet'!$E$13+1,1))-AVERAGE(OFFSET($H$3,0,0,'Données projet'!$E$13+1,1))</f>
        <v>557.48193674339791</v>
      </c>
      <c r="CZ22" s="59">
        <f t="shared" si="42"/>
        <v>271.51396593253048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3.3603333333333336</v>
      </c>
      <c r="DO22" s="12">
        <f>IF('Données projet'!$A$166&gt;35,DO21+DN22-DW21,IF(A22&lt;'Données projet'!$A$166,$DL$205^A22,IF(A22='Données projet'!$A$166,'Données projet'!$B$166,DO21+DN22-DW21)))</f>
        <v>63.846333333333369</v>
      </c>
      <c r="DP22" s="17">
        <f>DO22*VLOOKUP('Données projet'!$B$14,Paramètres!$A$1:$I$89,3,0)*VLOOKUP('Données projet'!$B$14,Paramètres!$A$1:$I$89,5,0)</f>
        <v>68.72419320000003</v>
      </c>
      <c r="DQ22" s="13">
        <f t="shared" si="43"/>
        <v>19.356291403614112</v>
      </c>
      <c r="DR22" s="20">
        <f t="shared" si="16"/>
        <v>153.40684401796128</v>
      </c>
      <c r="DS22" s="59">
        <f t="shared" si="17"/>
        <v>367.5589382609848</v>
      </c>
      <c r="DT22" s="59">
        <f ca="1">AVERAGE(OFFSET($DS$3,0,0,'Données projet'!$E$14+1,1))-AVERAGE(OFFSET($H$3,0,0,'Données projet'!$E$14+1,1))</f>
        <v>610.05768948788375</v>
      </c>
      <c r="DU22" s="59">
        <f t="shared" si="44"/>
        <v>295.23928902444845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4.0942857142857143</v>
      </c>
      <c r="N23" s="13">
        <f>IF('Données projet'!$A$36&gt;35,N22+M23-V22,IF(A23&lt;'Données projet'!$A$36,$K$205^A23,IF(A23='Données projet'!$A$36,'Données projet'!$B$36,N22+M23-V22)))</f>
        <v>81.885714285714329</v>
      </c>
      <c r="O23" s="13">
        <f>N23*VLOOKUP('Données projet'!$B$9,Paramètres!$A$1:$I$89,3,0)*VLOOKUP('Données projet'!$B$9,Paramètres!$A$1:$I$89,5,0)</f>
        <v>74.090194285714318</v>
      </c>
      <c r="P23" s="13">
        <f t="shared" si="33"/>
        <v>20.685815608516002</v>
      </c>
      <c r="Q23" s="20">
        <f t="shared" si="2"/>
        <v>165.06821723245113</v>
      </c>
      <c r="R23" s="59">
        <f t="shared" si="0"/>
        <v>381.58292011934685</v>
      </c>
      <c r="S23" s="59">
        <f ca="1">AVERAGE(OFFSET($R$3,0,0,'Données projet'!$E$9+1,1))-AVERAGE(OFFSET($H$3,0,0,'Données projet'!$E$9+1,1))</f>
        <v>681.47578137804555</v>
      </c>
      <c r="T23" s="59">
        <f t="shared" si="34"/>
        <v>300.88511065995885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54.487179487179482</v>
      </c>
      <c r="AG23" s="12">
        <f>VLOOKUP(A23,'Données projet'!$A$61:$I$81,9,0)</f>
        <v>6.1538461538461533</v>
      </c>
      <c r="AH23" s="12">
        <f t="array" ref="AH23">INDEX(AG:AG,MIN(IF(ISNUMBER(AG23:AG219),ROW(AG23:AG219),"")))</f>
        <v>6.1538461538461533</v>
      </c>
      <c r="AI23" s="13">
        <f>IF('Données projet'!$A$62&gt;35,AI22+AH23-AQ22,IF(A23&lt;'Données projet'!$A$62,$AF$205^A23,IF(A23='Données projet'!$A$62,'Données projet'!$B$62,AI22+AH23-AQ22)))</f>
        <v>54.487179487179482</v>
      </c>
      <c r="AJ23" s="13">
        <f>AI23*VLOOKUP('Données projet'!$B$10,Paramètres!$A$1:$I$89,3,0)*VLOOKUP('Données projet'!$B$10,Paramètres!$A$1:$I$89,5,0)</f>
        <v>42.5</v>
      </c>
      <c r="AK23" s="13">
        <f t="shared" si="35"/>
        <v>12.658916157662103</v>
      </c>
      <c r="AL23" s="20">
        <f t="shared" si="4"/>
        <v>96.068445641261476</v>
      </c>
      <c r="AM23" s="59">
        <f t="shared" si="5"/>
        <v>312.58314852815721</v>
      </c>
      <c r="AN23" s="59">
        <f ca="1">AVERAGE(OFFSET($AM$3,0,0,'Données projet'!$E$10+1,1))-AVERAGE(OFFSET($H$3,0,0,'Données projet'!$E$10+1,1))</f>
        <v>217.53602321474159</v>
      </c>
      <c r="AO23" s="59">
        <f t="shared" si="36"/>
        <v>215.75909414893025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16.025641025641026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0.1075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1.6341977459129808</v>
      </c>
      <c r="AW23" s="21">
        <f>EXP(-LN(2)/2)*AW22+(1-EXP(-LN(2)/2))/(LN(2)/2)*AQ23*AT23*VLOOKUP('Données projet'!$B$10,Paramètres!$A$1:$I$89,3,0)*0.475*44/12</f>
        <v>3.0110691968496028</v>
      </c>
      <c r="AX23" s="21">
        <f t="shared" si="6"/>
        <v>4.6452669427625839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80</v>
      </c>
      <c r="BB23" s="12">
        <f>VLOOKUP(A23,'Données projet'!$A$87:$I$107,9,0)</f>
        <v>11.6</v>
      </c>
      <c r="BC23" s="12">
        <f t="array" ref="BC23">INDEX(BB:BB,MIN(IF(ISNUMBER(BB23:BB219),ROW(BB23:BB219),"")))</f>
        <v>11.6</v>
      </c>
      <c r="BD23" s="12">
        <f>IF('Données projet'!$A$88&gt;35,BD22+BC23-BL22,IF(A23&lt;'Données projet'!$A$88,$BA$205^A23,IF(A23='Données projet'!$A$88,'Données projet'!$B$88,BD22+BC23-BL22)))</f>
        <v>80</v>
      </c>
      <c r="BE23" s="13">
        <f>BD23*VLOOKUP('Données projet'!$B$11,Paramètres!$A$1:$I$89,3,0)*VLOOKUP('Données projet'!$B$11,Paramètres!$A$1:$I$89,5,0)</f>
        <v>53.664000000000001</v>
      </c>
      <c r="BF23" s="13">
        <f t="shared" si="37"/>
        <v>15.556073979202782</v>
      </c>
      <c r="BG23" s="20">
        <f t="shared" si="7"/>
        <v>120.55829551377816</v>
      </c>
      <c r="BH23" s="59">
        <f t="shared" si="8"/>
        <v>337.0729984006739</v>
      </c>
      <c r="BI23" s="59">
        <f ca="1">AVERAGE(OFFSET($BH$3,0,0,'Données projet'!$E$11+1,1))-AVERAGE(OFFSET($H$3,0,0,'Données projet'!$E$11+1,1))</f>
        <v>281.67293577289729</v>
      </c>
      <c r="BJ23" s="59">
        <f t="shared" si="38"/>
        <v>272.44904846480154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28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0.13250000000000001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4.0183078759489437</v>
      </c>
      <c r="BR23" s="21">
        <f>EXP(-LN(2)/2)*BR22+(1-EXP(-LN(2)/2))/(LN(2)/2)*BL23*BO23*VLOOKUP('Données projet'!$B$11,Paramètres!$A$1:$I$89,3,0)*0.475*44/12</f>
        <v>4.8499942052727469</v>
      </c>
      <c r="BS23" s="22">
        <f t="shared" si="9"/>
        <v>8.8683020812216906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80</v>
      </c>
      <c r="BW23" s="12">
        <f>VLOOKUP(A23,'Données projet'!$A$113:$I$133,9,0)</f>
        <v>11.6</v>
      </c>
      <c r="BX23" s="12">
        <f t="array" ref="BX23">INDEX(BW:BW,MIN(IF(ISNUMBER(BW23:BW219),ROW(BW23:BW219),"")))</f>
        <v>11.6</v>
      </c>
      <c r="BY23" s="12">
        <f>IF('Données projet'!$A$114&gt;35,BY22+BX23-CG22,IF(A23&lt;'Données projet'!$A$114,$BV$205^A23,IF(A23='Données projet'!$A$114,'Données projet'!$B$114,BY22+BX23-CG22)))</f>
        <v>80</v>
      </c>
      <c r="BZ23" s="13">
        <f>BY23*VLOOKUP('Données projet'!$B$12,Paramètres!$A$1:$I$89,3,0)*VLOOKUP('Données projet'!$B$12,Paramètres!$A$1:$I$89,5,0)</f>
        <v>69.888000000000005</v>
      </c>
      <c r="CA23" s="13">
        <f t="shared" si="39"/>
        <v>19.645641432461961</v>
      </c>
      <c r="CB23" s="20">
        <f t="shared" si="10"/>
        <v>155.93775882820458</v>
      </c>
      <c r="CC23" s="59">
        <f t="shared" si="11"/>
        <v>372.4524617151003</v>
      </c>
      <c r="CD23" s="59">
        <f ca="1">AVERAGE(OFFSET($CC$3,0,0,'Données projet'!$E$12+1,1))-AVERAGE(OFFSET($H$3,0,0,'Données projet'!$E$12+1,1))</f>
        <v>348.77506423101278</v>
      </c>
      <c r="CE23" s="59">
        <f t="shared" si="40"/>
        <v>336.13747591329548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0.13250000000000001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5.2331451407707181</v>
      </c>
      <c r="CM23" s="21">
        <f>EXP(-LN(2)/2)*CM22+(1-EXP(-LN(2)/2))/(LN(2)/2)*CG23*CJ23*VLOOKUP('Données projet'!$B$12,Paramètres!$A$1:$I$89,3,0)*0.475*44/12</f>
        <v>6.3162715231459039</v>
      </c>
      <c r="CN23" s="22">
        <f t="shared" si="12"/>
        <v>11.549416663916622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3.3603333333333336</v>
      </c>
      <c r="CT23" s="12">
        <f>IF('Données projet'!$A$140&gt;35,CT22+CS23-DB22,IF(A23&lt;'Données projet'!$A$140,$CQ$205^A23,IF(A23='Données projet'!$A$140,'Données projet'!$B$140,CT22+CS23-DB22)))</f>
        <v>67.206666666666706</v>
      </c>
      <c r="CU23" s="17">
        <f>CT23*VLOOKUP('Données projet'!$B$13,Paramètres!$A$1:$I$89,3,0)*VLOOKUP('Données projet'!$B$13,Paramètres!$A$1:$I$89,5,0)</f>
        <v>65.002288000000036</v>
      </c>
      <c r="CV23" s="13">
        <f t="shared" si="41"/>
        <v>18.427050001726204</v>
      </c>
      <c r="CW23" s="20">
        <f t="shared" si="13"/>
        <v>145.30609701967319</v>
      </c>
      <c r="CX23" s="59">
        <f t="shared" si="14"/>
        <v>361.82079990656894</v>
      </c>
      <c r="CY23" s="59">
        <f ca="1">AVERAGE(OFFSET($CX$3,0,0,'Données projet'!$E$13+1,1))-AVERAGE(OFFSET($H$3,0,0,'Données projet'!$E$13+1,1))</f>
        <v>557.48193674339791</v>
      </c>
      <c r="CZ23" s="59">
        <f t="shared" si="42"/>
        <v>271.51396593253048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3.3603333333333336</v>
      </c>
      <c r="DO23" s="12">
        <f>IF('Données projet'!$A$166&gt;35,DO22+DN23-DW22,IF(A23&lt;'Données projet'!$A$166,$DL$205^A23,IF(A23='Données projet'!$A$166,'Données projet'!$B$166,DO22+DN23-DW22)))</f>
        <v>67.206666666666706</v>
      </c>
      <c r="DP23" s="17">
        <f>DO23*VLOOKUP('Données projet'!$B$14,Paramètres!$A$1:$I$89,3,0)*VLOOKUP('Données projet'!$B$14,Paramètres!$A$1:$I$89,5,0)</f>
        <v>72.341256000000044</v>
      </c>
      <c r="DQ23" s="13">
        <f t="shared" si="43"/>
        <v>20.253756017301164</v>
      </c>
      <c r="DR23" s="20">
        <f t="shared" si="16"/>
        <v>161.26964593013292</v>
      </c>
      <c r="DS23" s="59">
        <f t="shared" si="17"/>
        <v>377.78434881702867</v>
      </c>
      <c r="DT23" s="59">
        <f ca="1">AVERAGE(OFFSET($DS$3,0,0,'Données projet'!$E$14+1,1))-AVERAGE(OFFSET($H$3,0,0,'Données projet'!$E$14+1,1))</f>
        <v>610.05768948788375</v>
      </c>
      <c r="DU23" s="59">
        <f t="shared" si="44"/>
        <v>295.23928902444845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4.0942857142857143</v>
      </c>
      <c r="N24" s="13">
        <f>IF('Données projet'!$A$36&gt;35,N23+M24-V23,IF(A24&lt;'Données projet'!$A$36,$K$205^A24,IF(A24='Données projet'!$A$36,'Données projet'!$B$36,N23+M24-V23)))</f>
        <v>85.980000000000047</v>
      </c>
      <c r="O24" s="13">
        <f>N24*VLOOKUP('Données projet'!$B$9,Paramètres!$A$1:$I$89,3,0)*VLOOKUP('Données projet'!$B$9,Paramètres!$A$1:$I$89,5,0)</f>
        <v>77.794704000000038</v>
      </c>
      <c r="P24" s="13">
        <f t="shared" si="33"/>
        <v>21.597103708846074</v>
      </c>
      <c r="Q24" s="20">
        <f t="shared" si="2"/>
        <v>173.10739842624028</v>
      </c>
      <c r="R24" s="59">
        <f t="shared" si="0"/>
        <v>391.96492680211463</v>
      </c>
      <c r="S24" s="59">
        <f ca="1">AVERAGE(OFFSET($R$3,0,0,'Données projet'!$E$9+1,1))-AVERAGE(OFFSET($H$3,0,0,'Données projet'!$E$9+1,1))</f>
        <v>681.47578137804555</v>
      </c>
      <c r="T24" s="59">
        <f t="shared" si="34"/>
        <v>300.88511065995885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6.7948717948717956</v>
      </c>
      <c r="AI24" s="13">
        <f>IF('Données projet'!$A$62&gt;35,AI23+AH24-AQ23,IF(A24&lt;'Données projet'!$A$62,$AF$205^A24,IF(A24='Données projet'!$A$62,'Données projet'!$B$62,AI23+AH24-AQ23)))</f>
        <v>45.256410256410248</v>
      </c>
      <c r="AJ24" s="13">
        <f>AI24*VLOOKUP('Données projet'!$B$10,Paramètres!$A$1:$I$89,3,0)*VLOOKUP('Données projet'!$B$10,Paramètres!$A$1:$I$89,5,0)</f>
        <v>35.299999999999997</v>
      </c>
      <c r="AK24" s="13">
        <f t="shared" si="35"/>
        <v>10.743994925779599</v>
      </c>
      <c r="AL24" s="20">
        <f t="shared" si="4"/>
        <v>80.193291162399461</v>
      </c>
      <c r="AM24" s="59">
        <f t="shared" si="5"/>
        <v>299.05081953827386</v>
      </c>
      <c r="AN24" s="59">
        <f ca="1">AVERAGE(OFFSET($AM$3,0,0,'Données projet'!$E$10+1,1))-AVERAGE(OFFSET($H$3,0,0,'Données projet'!$E$10+1,1))</f>
        <v>217.53602321474159</v>
      </c>
      <c r="AO24" s="59">
        <f t="shared" si="36"/>
        <v>215.75909414893025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1.5895105226122659</v>
      </c>
      <c r="AW24" s="21">
        <f>EXP(-LN(2)/2)*AW23+(1-EXP(-LN(2)/2))/(LN(2)/2)*AQ24*AT24*VLOOKUP('Données projet'!$B$10,Paramètres!$A$1:$I$89,3,0)*0.475*44/12</f>
        <v>2.1291474477142858</v>
      </c>
      <c r="AX24" s="21">
        <f t="shared" si="6"/>
        <v>3.7186579703265519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12.6</v>
      </c>
      <c r="BD24" s="12">
        <f>IF('Données projet'!$A$88&gt;35,BD23+BC24-BL23,IF(A24&lt;'Données projet'!$A$88,$BA$205^A24,IF(A24='Données projet'!$A$88,'Données projet'!$B$88,BD23+BC24-BL23)))</f>
        <v>64.599999999999994</v>
      </c>
      <c r="BE24" s="13">
        <f>BD24*VLOOKUP('Données projet'!$B$11,Paramètres!$A$1:$I$89,3,0)*VLOOKUP('Données projet'!$B$11,Paramètres!$A$1:$I$89,5,0)</f>
        <v>43.333680000000001</v>
      </c>
      <c r="BF24" s="13">
        <f t="shared" si="37"/>
        <v>12.878080639856391</v>
      </c>
      <c r="BG24" s="20">
        <f t="shared" si="7"/>
        <v>97.90214978108321</v>
      </c>
      <c r="BH24" s="59">
        <f t="shared" si="8"/>
        <v>316.75967815695759</v>
      </c>
      <c r="BI24" s="59">
        <f ca="1">AVERAGE(OFFSET($BH$3,0,0,'Données projet'!$E$11+1,1))-AVERAGE(OFFSET($H$3,0,0,'Données projet'!$E$11+1,1))</f>
        <v>281.67293577289729</v>
      </c>
      <c r="BJ24" s="59">
        <f t="shared" si="38"/>
        <v>272.44904846480154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3.9084270357674926</v>
      </c>
      <c r="BR24" s="21">
        <f>EXP(-LN(2)/2)*BR23+(1-EXP(-LN(2)/2))/(LN(2)/2)*BL24*BO24*VLOOKUP('Données projet'!$B$11,Paramètres!$A$1:$I$89,3,0)*0.475*44/12</f>
        <v>3.4294637912638199</v>
      </c>
      <c r="BS24" s="22">
        <f t="shared" si="9"/>
        <v>7.3378908270313126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12.6</v>
      </c>
      <c r="BY24" s="12">
        <f>IF('Données projet'!$A$114&gt;35,BY23+BX24-CG23,IF(A24&lt;'Données projet'!$A$114,$BV$205^A24,IF(A24='Données projet'!$A$114,'Données projet'!$B$114,BY23+BX24-CG23)))</f>
        <v>64.599999999999994</v>
      </c>
      <c r="BZ24" s="13">
        <f>BY24*VLOOKUP('Données projet'!$B$12,Paramètres!$A$1:$I$89,3,0)*VLOOKUP('Données projet'!$B$12,Paramètres!$A$1:$I$89,5,0)</f>
        <v>56.434560000000005</v>
      </c>
      <c r="CA24" s="13">
        <f t="shared" si="39"/>
        <v>16.26362505907256</v>
      </c>
      <c r="CB24" s="20">
        <f t="shared" si="10"/>
        <v>126.61600564455136</v>
      </c>
      <c r="CC24" s="59">
        <f t="shared" si="11"/>
        <v>345.47353402042575</v>
      </c>
      <c r="CD24" s="59">
        <f ca="1">AVERAGE(OFFSET($CC$3,0,0,'Données projet'!$E$12+1,1))-AVERAGE(OFFSET($H$3,0,0,'Données projet'!$E$12+1,1))</f>
        <v>348.77506423101278</v>
      </c>
      <c r="CE24" s="59">
        <f t="shared" si="40"/>
        <v>336.13747591329548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5.0900445116972008</v>
      </c>
      <c r="CM24" s="21">
        <f>EXP(-LN(2)/2)*CM23+(1-EXP(-LN(2)/2))/(LN(2)/2)*CG24*CJ24*VLOOKUP('Données projet'!$B$12,Paramètres!$A$1:$I$89,3,0)*0.475*44/12</f>
        <v>4.4662784258319519</v>
      </c>
      <c r="CN24" s="22">
        <f t="shared" si="12"/>
        <v>9.5563229375291527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3.3603333333333336</v>
      </c>
      <c r="CT24" s="12">
        <f>IF('Données projet'!$A$140&gt;35,CT23+CS24-DB23,IF(A24&lt;'Données projet'!$A$140,$CQ$205^A24,IF(A24='Données projet'!$A$140,'Données projet'!$B$140,CT23+CS24-DB23)))</f>
        <v>70.567000000000036</v>
      </c>
      <c r="CU24" s="17">
        <f>CT24*VLOOKUP('Données projet'!$B$13,Paramètres!$A$1:$I$89,3,0)*VLOOKUP('Données projet'!$B$13,Paramètres!$A$1:$I$89,5,0)</f>
        <v>68.252402400000037</v>
      </c>
      <c r="CV24" s="13">
        <f t="shared" si="41"/>
        <v>19.238830968382739</v>
      </c>
      <c r="CW24" s="20">
        <f t="shared" si="13"/>
        <v>152.38056478326666</v>
      </c>
      <c r="CX24" s="59">
        <f t="shared" si="14"/>
        <v>371.23809315914104</v>
      </c>
      <c r="CY24" s="59">
        <f ca="1">AVERAGE(OFFSET($CX$3,0,0,'Données projet'!$E$13+1,1))-AVERAGE(OFFSET($H$3,0,0,'Données projet'!$E$13+1,1))</f>
        <v>557.48193674339791</v>
      </c>
      <c r="CZ24" s="59">
        <f t="shared" si="42"/>
        <v>271.51396593253048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3.3603333333333336</v>
      </c>
      <c r="DO24" s="12">
        <f>IF('Données projet'!$A$166&gt;35,DO23+DN24-DW23,IF(A24&lt;'Données projet'!$A$166,$DL$205^A24,IF(A24='Données projet'!$A$166,'Données projet'!$B$166,DO23+DN24-DW23)))</f>
        <v>70.567000000000036</v>
      </c>
      <c r="DP24" s="17">
        <f>DO24*VLOOKUP('Données projet'!$B$14,Paramètres!$A$1:$I$89,3,0)*VLOOKUP('Données projet'!$B$14,Paramètres!$A$1:$I$89,5,0)</f>
        <v>75.958318800000029</v>
      </c>
      <c r="DQ24" s="13">
        <f t="shared" si="43"/>
        <v>21.14601026508419</v>
      </c>
      <c r="DR24" s="20">
        <f t="shared" si="16"/>
        <v>169.12337312168833</v>
      </c>
      <c r="DS24" s="59">
        <f t="shared" si="17"/>
        <v>387.98090149756274</v>
      </c>
      <c r="DT24" s="59">
        <f ca="1">AVERAGE(OFFSET($DS$3,0,0,'Données projet'!$E$14+1,1))-AVERAGE(OFFSET($H$3,0,0,'Données projet'!$E$14+1,1))</f>
        <v>610.05768948788375</v>
      </c>
      <c r="DU24" s="59">
        <f t="shared" si="44"/>
        <v>295.23928902444845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4.0942857142857143</v>
      </c>
      <c r="N25" s="13">
        <f>IF('Données projet'!$A$36&gt;35,N24+M25-V24,IF(A25&lt;'Données projet'!$A$36,$K$205^A25,IF(A25='Données projet'!$A$36,'Données projet'!$B$36,N24+M25-V24)))</f>
        <v>90.074285714285764</v>
      </c>
      <c r="O25" s="13">
        <f>N25*VLOOKUP('Données projet'!$B$9,Paramètres!$A$1:$I$89,3,0)*VLOOKUP('Données projet'!$B$9,Paramètres!$A$1:$I$89,5,0)</f>
        <v>81.499213714285759</v>
      </c>
      <c r="P25" s="13">
        <f t="shared" si="33"/>
        <v>22.503352631648468</v>
      </c>
      <c r="Q25" s="20">
        <f t="shared" si="2"/>
        <v>181.13780305250211</v>
      </c>
      <c r="R25" s="59">
        <f t="shared" si="0"/>
        <v>402.3187169559705</v>
      </c>
      <c r="S25" s="59">
        <f ca="1">AVERAGE(OFFSET($R$3,0,0,'Données projet'!$E$9+1,1))-AVERAGE(OFFSET($H$3,0,0,'Données projet'!$E$9+1,1))</f>
        <v>681.47578137804555</v>
      </c>
      <c r="T25" s="59">
        <f t="shared" si="34"/>
        <v>300.88511065995885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6.7948717948717956</v>
      </c>
      <c r="AI25" s="13">
        <f>IF('Données projet'!$A$62&gt;35,AI24+AH25-AQ24,IF(A25&lt;'Données projet'!$A$62,$AF$205^A25,IF(A25='Données projet'!$A$62,'Données projet'!$B$62,AI24+AH25-AQ24)))</f>
        <v>52.051282051282044</v>
      </c>
      <c r="AJ25" s="13">
        <f>AI25*VLOOKUP('Données projet'!$B$10,Paramètres!$A$1:$I$89,3,0)*VLOOKUP('Données projet'!$B$10,Paramètres!$A$1:$I$89,5,0)</f>
        <v>40.599999999999994</v>
      </c>
      <c r="AK25" s="13">
        <f t="shared" si="35"/>
        <v>12.15753890842374</v>
      </c>
      <c r="AL25" s="20">
        <f t="shared" si="4"/>
        <v>91.886046932171325</v>
      </c>
      <c r="AM25" s="59">
        <f t="shared" si="5"/>
        <v>313.06696083563975</v>
      </c>
      <c r="AN25" s="59">
        <f ca="1">AVERAGE(OFFSET($AM$3,0,0,'Données projet'!$E$10+1,1))-AVERAGE(OFFSET($H$3,0,0,'Données projet'!$E$10+1,1))</f>
        <v>217.53602321474159</v>
      </c>
      <c r="AO25" s="59">
        <f t="shared" si="36"/>
        <v>215.75909414893025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1.546045273782708</v>
      </c>
      <c r="AW25" s="21">
        <f>EXP(-LN(2)/2)*AW24+(1-EXP(-LN(2)/2))/(LN(2)/2)*AQ25*AT25*VLOOKUP('Données projet'!$B$10,Paramètres!$A$1:$I$89,3,0)*0.475*44/12</f>
        <v>1.5055345984248016</v>
      </c>
      <c r="AX25" s="21">
        <f t="shared" si="6"/>
        <v>3.0515798722075096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12.6</v>
      </c>
      <c r="BD25" s="12">
        <f>IF('Données projet'!$A$88&gt;35,BD24+BC25-BL24,IF(A25&lt;'Données projet'!$A$88,$BA$205^A25,IF(A25='Données projet'!$A$88,'Données projet'!$B$88,BD24+BC25-BL24)))</f>
        <v>77.199999999999989</v>
      </c>
      <c r="BE25" s="13">
        <f>BD25*VLOOKUP('Données projet'!$B$11,Paramètres!$A$1:$I$89,3,0)*VLOOKUP('Données projet'!$B$11,Paramètres!$A$1:$I$89,5,0)</f>
        <v>51.785759999999996</v>
      </c>
      <c r="BF25" s="13">
        <f t="shared" si="37"/>
        <v>15.073993855317941</v>
      </c>
      <c r="BG25" s="20">
        <f t="shared" si="7"/>
        <v>116.44740463134538</v>
      </c>
      <c r="BH25" s="59">
        <f t="shared" si="8"/>
        <v>337.62831853481379</v>
      </c>
      <c r="BI25" s="59">
        <f ca="1">AVERAGE(OFFSET($BH$3,0,0,'Données projet'!$E$11+1,1))-AVERAGE(OFFSET($H$3,0,0,'Données projet'!$E$11+1,1))</f>
        <v>281.67293577289729</v>
      </c>
      <c r="BJ25" s="59">
        <f t="shared" si="38"/>
        <v>272.44904846480154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3.8015508929391855</v>
      </c>
      <c r="BR25" s="21">
        <f>EXP(-LN(2)/2)*BR24+(1-EXP(-LN(2)/2))/(LN(2)/2)*BL25*BO25*VLOOKUP('Données projet'!$B$11,Paramètres!$A$1:$I$89,3,0)*0.475*44/12</f>
        <v>2.4249971026363739</v>
      </c>
      <c r="BS25" s="22">
        <f t="shared" si="9"/>
        <v>6.2265479955755598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12.6</v>
      </c>
      <c r="BY25" s="12">
        <f>IF('Données projet'!$A$114&gt;35,BY24+BX25-CG24,IF(A25&lt;'Données projet'!$A$114,$BV$205^A25,IF(A25='Données projet'!$A$114,'Données projet'!$B$114,BY24+BX25-CG24)))</f>
        <v>77.199999999999989</v>
      </c>
      <c r="BZ25" s="13">
        <f>BY25*VLOOKUP('Données projet'!$B$12,Paramètres!$A$1:$I$89,3,0)*VLOOKUP('Données projet'!$B$12,Paramètres!$A$1:$I$89,5,0)</f>
        <v>67.441919999999996</v>
      </c>
      <c r="CA25" s="13">
        <f t="shared" si="39"/>
        <v>19.036826299015036</v>
      </c>
      <c r="CB25" s="20">
        <f t="shared" si="10"/>
        <v>150.61714980411784</v>
      </c>
      <c r="CC25" s="59">
        <f t="shared" si="11"/>
        <v>371.79806370758627</v>
      </c>
      <c r="CD25" s="59">
        <f ca="1">AVERAGE(OFFSET($CC$3,0,0,'Données projet'!$E$12+1,1))-AVERAGE(OFFSET($H$3,0,0,'Données projet'!$E$12+1,1))</f>
        <v>348.77506423101278</v>
      </c>
      <c r="CE25" s="59">
        <f t="shared" si="40"/>
        <v>336.13747591329548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4.9508569768510338</v>
      </c>
      <c r="CM25" s="21">
        <f>EXP(-LN(2)/2)*CM24+(1-EXP(-LN(2)/2))/(LN(2)/2)*CG25*CJ25*VLOOKUP('Données projet'!$B$12,Paramètres!$A$1:$I$89,3,0)*0.475*44/12</f>
        <v>3.1581357615729519</v>
      </c>
      <c r="CN25" s="22">
        <f t="shared" si="12"/>
        <v>8.1089927384239857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3.3603333333333336</v>
      </c>
      <c r="CT25" s="12">
        <f>IF('Données projet'!$A$140&gt;35,CT24+CS25-DB24,IF(A25&lt;'Données projet'!$A$140,$CQ$205^A25,IF(A25='Données projet'!$A$140,'Données projet'!$B$140,CT24+CS25-DB24)))</f>
        <v>73.927333333333365</v>
      </c>
      <c r="CU25" s="17">
        <f>CT25*VLOOKUP('Données projet'!$B$13,Paramètres!$A$1:$I$89,3,0)*VLOOKUP('Données projet'!$B$13,Paramètres!$A$1:$I$89,5,0)</f>
        <v>71.502516800000038</v>
      </c>
      <c r="CV25" s="13">
        <f t="shared" si="41"/>
        <v>20.046123005135481</v>
      </c>
      <c r="CW25" s="20">
        <f t="shared" si="13"/>
        <v>159.44721432727769</v>
      </c>
      <c r="CX25" s="59">
        <f t="shared" si="14"/>
        <v>380.62812823074609</v>
      </c>
      <c r="CY25" s="59">
        <f ca="1">AVERAGE(OFFSET($CX$3,0,0,'Données projet'!$E$13+1,1))-AVERAGE(OFFSET($H$3,0,0,'Données projet'!$E$13+1,1))</f>
        <v>557.48193674339791</v>
      </c>
      <c r="CZ25" s="59">
        <f t="shared" si="42"/>
        <v>271.51396593253048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3.3603333333333336</v>
      </c>
      <c r="DO25" s="12">
        <f>IF('Données projet'!$A$166&gt;35,DO24+DN25-DW24,IF(A25&lt;'Données projet'!$A$166,$DL$205^A25,IF(A25='Données projet'!$A$166,'Données projet'!$B$166,DO24+DN25-DW24)))</f>
        <v>73.927333333333365</v>
      </c>
      <c r="DP25" s="17">
        <f>DO25*VLOOKUP('Données projet'!$B$14,Paramètres!$A$1:$I$89,3,0)*VLOOKUP('Données projet'!$B$14,Paramètres!$A$1:$I$89,5,0)</f>
        <v>79.575381600000028</v>
      </c>
      <c r="DQ25" s="13">
        <f t="shared" si="43"/>
        <v>22.033330587412944</v>
      </c>
      <c r="DR25" s="20">
        <f t="shared" si="16"/>
        <v>176.96850705974427</v>
      </c>
      <c r="DS25" s="59">
        <f t="shared" si="17"/>
        <v>398.14942096321266</v>
      </c>
      <c r="DT25" s="59">
        <f ca="1">AVERAGE(OFFSET($DS$3,0,0,'Données projet'!$E$14+1,1))-AVERAGE(OFFSET($H$3,0,0,'Données projet'!$E$14+1,1))</f>
        <v>610.05768948788375</v>
      </c>
      <c r="DU25" s="59">
        <f t="shared" si="44"/>
        <v>295.23928902444845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4.0942857142857143</v>
      </c>
      <c r="N26" s="13">
        <f>IF('Données projet'!$A$36&gt;35,N25+M26-V25,IF(A26&lt;'Données projet'!$A$36,$K$205^A26,IF(A26='Données projet'!$A$36,'Données projet'!$B$36,N25+M26-V25)))</f>
        <v>94.168571428571482</v>
      </c>
      <c r="O26" s="13">
        <f>N26*VLOOKUP('Données projet'!$B$9,Paramètres!$A$1:$I$89,3,0)*VLOOKUP('Données projet'!$B$9,Paramètres!$A$1:$I$89,5,0)</f>
        <v>85.203723428571479</v>
      </c>
      <c r="P26" s="13">
        <f t="shared" si="33"/>
        <v>23.404817596574706</v>
      </c>
      <c r="Q26" s="20">
        <f t="shared" si="2"/>
        <v>189.15987561879626</v>
      </c>
      <c r="R26" s="59">
        <f t="shared" si="0"/>
        <v>412.64507232834274</v>
      </c>
      <c r="S26" s="59">
        <f ca="1">AVERAGE(OFFSET($R$3,0,0,'Données projet'!$E$9+1,1))-AVERAGE(OFFSET($H$3,0,0,'Données projet'!$E$9+1,1))</f>
        <v>681.47578137804555</v>
      </c>
      <c r="T26" s="59">
        <f t="shared" si="34"/>
        <v>300.88511065995885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6.7948717948717956</v>
      </c>
      <c r="AI26" s="13">
        <f>IF('Données projet'!$A$62&gt;35,AI25+AH26-AQ25,IF(A26&lt;'Données projet'!$A$62,$AF$205^A26,IF(A26='Données projet'!$A$62,'Données projet'!$B$62,AI25+AH26-AQ25)))</f>
        <v>58.84615384615384</v>
      </c>
      <c r="AJ26" s="13">
        <f>AI26*VLOOKUP('Données projet'!$B$10,Paramètres!$A$1:$I$89,3,0)*VLOOKUP('Données projet'!$B$10,Paramètres!$A$1:$I$89,5,0)</f>
        <v>45.9</v>
      </c>
      <c r="AK26" s="13">
        <f t="shared" si="35"/>
        <v>13.549702311318182</v>
      </c>
      <c r="AL26" s="20">
        <f t="shared" si="4"/>
        <v>103.54156485887916</v>
      </c>
      <c r="AM26" s="59">
        <f t="shared" si="5"/>
        <v>327.02676156842563</v>
      </c>
      <c r="AN26" s="59">
        <f ca="1">AVERAGE(OFFSET($AM$3,0,0,'Données projet'!$E$10+1,1))-AVERAGE(OFFSET($H$3,0,0,'Données projet'!$E$10+1,1))</f>
        <v>217.53602321474159</v>
      </c>
      <c r="AO26" s="59">
        <f t="shared" si="36"/>
        <v>215.75909414893025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1.5037685844681323</v>
      </c>
      <c r="AW26" s="21">
        <f>EXP(-LN(2)/2)*AW25+(1-EXP(-LN(2)/2))/(LN(2)/2)*AQ26*AT26*VLOOKUP('Données projet'!$B$10,Paramètres!$A$1:$I$89,3,0)*0.475*44/12</f>
        <v>1.0645737238571429</v>
      </c>
      <c r="AX26" s="21">
        <f t="shared" si="6"/>
        <v>2.568342308325275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12.6</v>
      </c>
      <c r="BD26" s="12">
        <f>IF('Données projet'!$A$88&gt;35,BD25+BC26-BL25,IF(A26&lt;'Données projet'!$A$88,$BA$205^A26,IF(A26='Données projet'!$A$88,'Données projet'!$B$88,BD25+BC26-BL25)))</f>
        <v>89.799999999999983</v>
      </c>
      <c r="BE26" s="13">
        <f>BD26*VLOOKUP('Données projet'!$B$11,Paramètres!$A$1:$I$89,3,0)*VLOOKUP('Données projet'!$B$11,Paramètres!$A$1:$I$89,5,0)</f>
        <v>60.237839999999984</v>
      </c>
      <c r="BF26" s="13">
        <f t="shared" si="37"/>
        <v>17.228388574079645</v>
      </c>
      <c r="BG26" s="20">
        <f t="shared" si="7"/>
        <v>134.92034809985532</v>
      </c>
      <c r="BH26" s="59">
        <f t="shared" si="8"/>
        <v>358.40554480940182</v>
      </c>
      <c r="BI26" s="59">
        <f ca="1">AVERAGE(OFFSET($BH$3,0,0,'Données projet'!$E$11+1,1))-AVERAGE(OFFSET($H$3,0,0,'Données projet'!$E$11+1,1))</f>
        <v>281.67293577289729</v>
      </c>
      <c r="BJ26" s="59">
        <f t="shared" si="38"/>
        <v>272.44904846480154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3.6975972838568905</v>
      </c>
      <c r="BR26" s="21">
        <f>EXP(-LN(2)/2)*BR25+(1-EXP(-LN(2)/2))/(LN(2)/2)*BL26*BO26*VLOOKUP('Données projet'!$B$11,Paramètres!$A$1:$I$89,3,0)*0.475*44/12</f>
        <v>1.7147318956319102</v>
      </c>
      <c r="BS26" s="22">
        <f t="shared" si="9"/>
        <v>5.4123291794888004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12.6</v>
      </c>
      <c r="BY26" s="12">
        <f>IF('Données projet'!$A$114&gt;35,BY25+BX26-CG25,IF(A26&lt;'Données projet'!$A$114,$BV$205^A26,IF(A26='Données projet'!$A$114,'Données projet'!$B$114,BY25+BX26-CG25)))</f>
        <v>89.799999999999983</v>
      </c>
      <c r="BZ26" s="13">
        <f>BY26*VLOOKUP('Données projet'!$B$12,Paramètres!$A$1:$I$89,3,0)*VLOOKUP('Données projet'!$B$12,Paramètres!$A$1:$I$89,5,0)</f>
        <v>78.449280000000002</v>
      </c>
      <c r="CA26" s="13">
        <f t="shared" si="39"/>
        <v>21.757594161482565</v>
      </c>
      <c r="CB26" s="20">
        <f t="shared" si="10"/>
        <v>174.52697249791549</v>
      </c>
      <c r="CC26" s="59">
        <f t="shared" si="11"/>
        <v>398.01216920746197</v>
      </c>
      <c r="CD26" s="59">
        <f ca="1">AVERAGE(OFFSET($CC$3,0,0,'Données projet'!$E$12+1,1))-AVERAGE(OFFSET($H$3,0,0,'Données projet'!$E$12+1,1))</f>
        <v>348.77506423101278</v>
      </c>
      <c r="CE26" s="59">
        <f t="shared" si="40"/>
        <v>336.13747591329548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4.8154755324647889</v>
      </c>
      <c r="CM26" s="21">
        <f>EXP(-LN(2)/2)*CM25+(1-EXP(-LN(2)/2))/(LN(2)/2)*CG26*CJ26*VLOOKUP('Données projet'!$B$12,Paramètres!$A$1:$I$89,3,0)*0.475*44/12</f>
        <v>2.2331392129159759</v>
      </c>
      <c r="CN26" s="22">
        <f t="shared" si="12"/>
        <v>7.0486147453807648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3.3603333333333336</v>
      </c>
      <c r="CT26" s="12">
        <f>IF('Données projet'!$A$140&gt;35,CT25+CS26-DB25,IF(A26&lt;'Données projet'!$A$140,$CQ$205^A26,IF(A26='Données projet'!$A$140,'Données projet'!$B$140,CT25+CS26-DB25)))</f>
        <v>77.287666666666695</v>
      </c>
      <c r="CU26" s="17">
        <f>CT26*VLOOKUP('Données projet'!$B$13,Paramètres!$A$1:$I$89,3,0)*VLOOKUP('Données projet'!$B$13,Paramètres!$A$1:$I$89,5,0)</f>
        <v>74.752631200000025</v>
      </c>
      <c r="CV26" s="13">
        <f t="shared" si="41"/>
        <v>20.84915346319784</v>
      </c>
      <c r="CW26" s="20">
        <f t="shared" si="13"/>
        <v>166.50644162173626</v>
      </c>
      <c r="CX26" s="59">
        <f t="shared" si="14"/>
        <v>389.99163833128273</v>
      </c>
      <c r="CY26" s="59">
        <f ca="1">AVERAGE(OFFSET($CX$3,0,0,'Données projet'!$E$13+1,1))-AVERAGE(OFFSET($H$3,0,0,'Données projet'!$E$13+1,1))</f>
        <v>557.48193674339791</v>
      </c>
      <c r="CZ26" s="59">
        <f t="shared" si="42"/>
        <v>271.51396593253048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3.3603333333333336</v>
      </c>
      <c r="DO26" s="12">
        <f>IF('Données projet'!$A$166&gt;35,DO25+DN26-DW25,IF(A26&lt;'Données projet'!$A$166,$DL$205^A26,IF(A26='Données projet'!$A$166,'Données projet'!$B$166,DO25+DN26-DW25)))</f>
        <v>77.287666666666695</v>
      </c>
      <c r="DP26" s="17">
        <f>DO26*VLOOKUP('Données projet'!$B$14,Paramètres!$A$1:$I$89,3,0)*VLOOKUP('Données projet'!$B$14,Paramètres!$A$1:$I$89,5,0)</f>
        <v>83.192444400000028</v>
      </c>
      <c r="DQ26" s="13">
        <f t="shared" si="43"/>
        <v>22.915966873228275</v>
      </c>
      <c r="DR26" s="20">
        <f t="shared" si="16"/>
        <v>184.80548296753929</v>
      </c>
      <c r="DS26" s="59">
        <f t="shared" si="17"/>
        <v>408.29067967708579</v>
      </c>
      <c r="DT26" s="59">
        <f ca="1">AVERAGE(OFFSET($DS$3,0,0,'Données projet'!$E$14+1,1))-AVERAGE(OFFSET($H$3,0,0,'Données projet'!$E$14+1,1))</f>
        <v>610.05768948788375</v>
      </c>
      <c r="DU26" s="59">
        <f t="shared" si="44"/>
        <v>295.23928902444845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4.0942857142857143</v>
      </c>
      <c r="N27" s="13">
        <f>IF('Données projet'!$A$36&gt;35,N26+M27-V26,IF(A27&lt;'Données projet'!$A$36,$K$205^A27,IF(A27='Données projet'!$A$36,'Données projet'!$B$36,N26+M27-V26)))</f>
        <v>98.2628571428572</v>
      </c>
      <c r="O27" s="13">
        <f>N27*VLOOKUP('Données projet'!$B$9,Paramètres!$A$1:$I$89,3,0)*VLOOKUP('Données projet'!$B$9,Paramètres!$A$1:$I$89,5,0)</f>
        <v>88.908233142857185</v>
      </c>
      <c r="P27" s="13">
        <f t="shared" si="33"/>
        <v>24.301730375247274</v>
      </c>
      <c r="Q27" s="20">
        <f t="shared" si="2"/>
        <v>197.17401979403192</v>
      </c>
      <c r="R27" s="59">
        <f t="shared" si="0"/>
        <v>422.94472797765172</v>
      </c>
      <c r="S27" s="59">
        <f ca="1">AVERAGE(OFFSET($R$3,0,0,'Données projet'!$E$9+1,1))-AVERAGE(OFFSET($H$3,0,0,'Données projet'!$E$9+1,1))</f>
        <v>681.47578137804555</v>
      </c>
      <c r="T27" s="59">
        <f t="shared" si="34"/>
        <v>300.88511065995885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6.7948717948717956</v>
      </c>
      <c r="AI27" s="13">
        <f>IF('Données projet'!$A$62&gt;35,AI26+AH27-AQ26,IF(A27&lt;'Données projet'!$A$62,$AF$205^A27,IF(A27='Données projet'!$A$62,'Données projet'!$B$62,AI26+AH27-AQ26)))</f>
        <v>65.641025641025635</v>
      </c>
      <c r="AJ27" s="13">
        <f>AI27*VLOOKUP('Données projet'!$B$10,Paramètres!$A$1:$I$89,3,0)*VLOOKUP('Données projet'!$B$10,Paramètres!$A$1:$I$89,5,0)</f>
        <v>51.199999999999996</v>
      </c>
      <c r="AK27" s="13">
        <f t="shared" si="35"/>
        <v>14.923235838479547</v>
      </c>
      <c r="AL27" s="20">
        <f t="shared" si="4"/>
        <v>115.16463575201853</v>
      </c>
      <c r="AM27" s="59">
        <f t="shared" si="5"/>
        <v>340.93534393563834</v>
      </c>
      <c r="AN27" s="59">
        <f ca="1">AVERAGE(OFFSET($AM$3,0,0,'Données projet'!$E$10+1,1))-AVERAGE(OFFSET($H$3,0,0,'Données projet'!$E$10+1,1))</f>
        <v>217.53602321474159</v>
      </c>
      <c r="AO27" s="59">
        <f t="shared" si="36"/>
        <v>215.75909414893025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1.4626479534460983</v>
      </c>
      <c r="AW27" s="21">
        <f>EXP(-LN(2)/2)*AW26+(1-EXP(-LN(2)/2))/(LN(2)/2)*AQ27*AT27*VLOOKUP('Données projet'!$B$10,Paramètres!$A$1:$I$89,3,0)*0.475*44/12</f>
        <v>0.75276729921240082</v>
      </c>
      <c r="AX27" s="21">
        <f t="shared" si="6"/>
        <v>2.2154152526584991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12.6</v>
      </c>
      <c r="BD27" s="12">
        <f>IF('Données projet'!$A$88&gt;35,BD26+BC27-BL26,IF(A27&lt;'Données projet'!$A$88,$BA$205^A27,IF(A27='Données projet'!$A$88,'Données projet'!$B$88,BD26+BC27-BL26)))</f>
        <v>102.39999999999998</v>
      </c>
      <c r="BE27" s="13">
        <f>BD27*VLOOKUP('Données projet'!$B$11,Paramètres!$A$1:$I$89,3,0)*VLOOKUP('Données projet'!$B$11,Paramètres!$A$1:$I$89,5,0)</f>
        <v>68.689919999999987</v>
      </c>
      <c r="BF27" s="13">
        <f t="shared" si="37"/>
        <v>19.347761669935927</v>
      </c>
      <c r="BG27" s="20">
        <f t="shared" si="7"/>
        <v>153.3322955751384</v>
      </c>
      <c r="BH27" s="59">
        <f t="shared" si="8"/>
        <v>379.10300375875818</v>
      </c>
      <c r="BI27" s="59">
        <f ca="1">AVERAGE(OFFSET($BH$3,0,0,'Données projet'!$E$11+1,1))-AVERAGE(OFFSET($H$3,0,0,'Données projet'!$E$11+1,1))</f>
        <v>281.67293577289729</v>
      </c>
      <c r="BJ27" s="59">
        <f t="shared" si="38"/>
        <v>272.44904846480154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3.5964862916816336</v>
      </c>
      <c r="BR27" s="21">
        <f>EXP(-LN(2)/2)*BR26+(1-EXP(-LN(2)/2))/(LN(2)/2)*BL27*BO27*VLOOKUP('Données projet'!$B$11,Paramètres!$A$1:$I$89,3,0)*0.475*44/12</f>
        <v>1.212498551318187</v>
      </c>
      <c r="BS27" s="22">
        <f t="shared" si="9"/>
        <v>4.8089848429998208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12.6</v>
      </c>
      <c r="BY27" s="12">
        <f>IF('Données projet'!$A$114&gt;35,BY26+BX27-CG26,IF(A27&lt;'Données projet'!$A$114,$BV$205^A27,IF(A27='Données projet'!$A$114,'Données projet'!$B$114,BY26+BX27-CG26)))</f>
        <v>102.39999999999998</v>
      </c>
      <c r="BZ27" s="13">
        <f>BY27*VLOOKUP('Données projet'!$B$12,Paramètres!$A$1:$I$89,3,0)*VLOOKUP('Données projet'!$B$12,Paramètres!$A$1:$I$89,5,0)</f>
        <v>89.456639999999993</v>
      </c>
      <c r="CA27" s="13">
        <f t="shared" si="39"/>
        <v>24.434133496437113</v>
      </c>
      <c r="CB27" s="20">
        <f t="shared" si="10"/>
        <v>198.35976383962796</v>
      </c>
      <c r="CC27" s="59">
        <f t="shared" si="11"/>
        <v>424.13047202324776</v>
      </c>
      <c r="CD27" s="59">
        <f ca="1">AVERAGE(OFFSET($CC$3,0,0,'Données projet'!$E$12+1,1))-AVERAGE(OFFSET($H$3,0,0,'Données projet'!$E$12+1,1))</f>
        <v>348.77506423101278</v>
      </c>
      <c r="CE27" s="59">
        <f t="shared" si="40"/>
        <v>336.13747591329548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4.6837961007946873</v>
      </c>
      <c r="CM27" s="21">
        <f>EXP(-LN(2)/2)*CM26+(1-EXP(-LN(2)/2))/(LN(2)/2)*CG27*CJ27*VLOOKUP('Données projet'!$B$12,Paramètres!$A$1:$I$89,3,0)*0.475*44/12</f>
        <v>1.579067880786476</v>
      </c>
      <c r="CN27" s="22">
        <f t="shared" si="12"/>
        <v>6.2628639815811633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3.3603333333333336</v>
      </c>
      <c r="CT27" s="12">
        <f>IF('Données projet'!$A$140&gt;35,CT26+CS27-DB26,IF(A27&lt;'Données projet'!$A$140,$CQ$205^A27,IF(A27='Données projet'!$A$140,'Données projet'!$B$140,CT26+CS27-DB26)))</f>
        <v>80.648000000000025</v>
      </c>
      <c r="CU27" s="17">
        <f>CT27*VLOOKUP('Données projet'!$B$13,Paramètres!$A$1:$I$89,3,0)*VLOOKUP('Données projet'!$B$13,Paramètres!$A$1:$I$89,5,0)</f>
        <v>78.002745600000026</v>
      </c>
      <c r="CV27" s="13">
        <f t="shared" si="41"/>
        <v>21.648128806136818</v>
      </c>
      <c r="CW27" s="20">
        <f t="shared" si="13"/>
        <v>173.55860625735497</v>
      </c>
      <c r="CX27" s="59">
        <f t="shared" si="14"/>
        <v>399.32931444097477</v>
      </c>
      <c r="CY27" s="59">
        <f ca="1">AVERAGE(OFFSET($CX$3,0,0,'Données projet'!$E$13+1,1))-AVERAGE(OFFSET($H$3,0,0,'Données projet'!$E$13+1,1))</f>
        <v>557.48193674339791</v>
      </c>
      <c r="CZ27" s="59">
        <f t="shared" si="42"/>
        <v>271.51396593253048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3.3603333333333336</v>
      </c>
      <c r="DO27" s="12">
        <f>IF('Données projet'!$A$166&gt;35,DO26+DN27-DW26,IF(A27&lt;'Données projet'!$A$166,$DL$205^A27,IF(A27='Données projet'!$A$166,'Données projet'!$B$166,DO26+DN27-DW26)))</f>
        <v>80.648000000000025</v>
      </c>
      <c r="DP27" s="17">
        <f>DO27*VLOOKUP('Données projet'!$B$14,Paramètres!$A$1:$I$89,3,0)*VLOOKUP('Données projet'!$B$14,Paramètres!$A$1:$I$89,5,0)</f>
        <v>86.809507200000027</v>
      </c>
      <c r="DQ27" s="13">
        <f t="shared" si="43"/>
        <v>23.794146053195206</v>
      </c>
      <c r="DR27" s="20">
        <f t="shared" si="16"/>
        <v>192.63469608264836</v>
      </c>
      <c r="DS27" s="59">
        <f t="shared" si="17"/>
        <v>418.40540426626819</v>
      </c>
      <c r="DT27" s="59">
        <f ca="1">AVERAGE(OFFSET($DS$3,0,0,'Données projet'!$E$14+1,1))-AVERAGE(OFFSET($H$3,0,0,'Données projet'!$E$14+1,1))</f>
        <v>610.05768948788375</v>
      </c>
      <c r="DU27" s="59">
        <f t="shared" si="44"/>
        <v>295.23928902444845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4.0942857142857143</v>
      </c>
      <c r="N28" s="13">
        <f>IF('Données projet'!$A$36&gt;35,N27+M28-V27,IF(A28&lt;'Données projet'!$A$36,$K$205^A28,IF(A28='Données projet'!$A$36,'Données projet'!$B$36,N27+M28-V27)))</f>
        <v>102.35714285714292</v>
      </c>
      <c r="O28" s="13">
        <f>N28*VLOOKUP('Données projet'!$B$9,Paramètres!$A$1:$I$89,3,0)*VLOOKUP('Données projet'!$B$9,Paramètres!$A$1:$I$89,5,0)</f>
        <v>92.612742857142905</v>
      </c>
      <c r="P28" s="13">
        <f t="shared" si="33"/>
        <v>25.194302332262133</v>
      </c>
      <c r="Q28" s="20">
        <f t="shared" si="2"/>
        <v>205.18060370488044</v>
      </c>
      <c r="R28" s="59">
        <f t="shared" si="0"/>
        <v>433.21837767121258</v>
      </c>
      <c r="S28" s="59">
        <f ca="1">AVERAGE(OFFSET($R$3,0,0,'Données projet'!$E$9+1,1))-AVERAGE(OFFSET($H$3,0,0,'Données projet'!$E$9+1,1))</f>
        <v>681.47578137804555</v>
      </c>
      <c r="T28" s="59">
        <f t="shared" si="34"/>
        <v>300.88511065995885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72.435897435897431</v>
      </c>
      <c r="AG28" s="12">
        <f>VLOOKUP(A28,'Données projet'!$A$61:$I$81,9,0)</f>
        <v>6.7948717948717956</v>
      </c>
      <c r="AH28" s="12">
        <f t="array" ref="AH28">INDEX(AG:AG,MIN(IF(ISNUMBER(AG28:AG224),ROW(AG28:AG224),"")))</f>
        <v>6.7948717948717956</v>
      </c>
      <c r="AI28" s="13">
        <f>IF('Données projet'!$A$62&gt;35,AI27+AH28-AQ27,IF(A28&lt;'Données projet'!$A$62,$AF$205^A28,IF(A28='Données projet'!$A$62,'Données projet'!$B$62,AI27+AH28-AQ27)))</f>
        <v>72.435897435897431</v>
      </c>
      <c r="AJ28" s="13">
        <f>AI28*VLOOKUP('Données projet'!$B$10,Paramètres!$A$1:$I$89,3,0)*VLOOKUP('Données projet'!$B$10,Paramètres!$A$1:$I$89,5,0)</f>
        <v>56.5</v>
      </c>
      <c r="AK28" s="13">
        <f t="shared" si="35"/>
        <v>16.280287626136957</v>
      </c>
      <c r="AL28" s="20">
        <f t="shared" si="4"/>
        <v>126.75900094885519</v>
      </c>
      <c r="AM28" s="59">
        <f t="shared" si="5"/>
        <v>354.79677491518731</v>
      </c>
      <c r="AN28" s="59">
        <f ca="1">AVERAGE(OFFSET($AM$3,0,0,'Données projet'!$E$10+1,1))-AVERAGE(OFFSET($H$3,0,0,'Données projet'!$E$10+1,1))</f>
        <v>217.53602321474159</v>
      </c>
      <c r="AO28" s="59">
        <f t="shared" si="36"/>
        <v>215.75909414893025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17.307692307692307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0.1075</v>
      </c>
      <c r="AT28" s="16">
        <f>IF(ISNA(VLOOKUP(A28,'Données projet'!$A$61:$I$81,7,0)),0%,VLOOKUP(A28,'Données projet'!$A$61:$I$81,7,0))</f>
        <v>0.25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3.0206488614692537</v>
      </c>
      <c r="AW28" s="21">
        <f>EXP(-LN(2)/2)*AW27+(1-EXP(-LN(2)/2))/(LN(2)/2)*AQ28*AT28*VLOOKUP('Données projet'!$B$10,Paramètres!$A$1:$I$89,3,0)*0.475*44/12</f>
        <v>3.7166901987217562</v>
      </c>
      <c r="AX28" s="21">
        <f t="shared" si="6"/>
        <v>6.7373390601910099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115</v>
      </c>
      <c r="BB28" s="12">
        <f>VLOOKUP(A28,'Données projet'!$A$87:$I$107,9,0)</f>
        <v>12.6</v>
      </c>
      <c r="BC28" s="12">
        <f t="array" ref="BC28">INDEX(BB:BB,MIN(IF(ISNUMBER(BB28:BB224),ROW(BB28:BB224),"")))</f>
        <v>12.6</v>
      </c>
      <c r="BD28" s="12">
        <f>IF('Données projet'!$A$88&gt;35,BD27+BC28-BL27,IF(A28&lt;'Données projet'!$A$88,$BA$205^A28,IF(A28='Données projet'!$A$88,'Données projet'!$B$88,BD27+BC28-BL27)))</f>
        <v>114.99999999999997</v>
      </c>
      <c r="BE28" s="13">
        <f>BD28*VLOOKUP('Données projet'!$B$11,Paramètres!$A$1:$I$89,3,0)*VLOOKUP('Données projet'!$B$11,Paramètres!$A$1:$I$89,5,0)</f>
        <v>77.141999999999982</v>
      </c>
      <c r="BF28" s="13">
        <f t="shared" si="37"/>
        <v>21.436915648510755</v>
      </c>
      <c r="BG28" s="20">
        <f t="shared" si="7"/>
        <v>171.69161142115618</v>
      </c>
      <c r="BH28" s="59">
        <f t="shared" si="8"/>
        <v>399.72938538748826</v>
      </c>
      <c r="BI28" s="59">
        <f ca="1">AVERAGE(OFFSET($BH$3,0,0,'Données projet'!$E$11+1,1))-AVERAGE(OFFSET($H$3,0,0,'Données projet'!$E$11+1,1))</f>
        <v>281.67293577289729</v>
      </c>
      <c r="BJ28" s="59">
        <f t="shared" si="38"/>
        <v>272.44904846480154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28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0.13250000000000001</v>
      </c>
      <c r="BO28" s="16">
        <f>IF(ISNA(VLOOKUP(A28,'Données projet'!$A$87:$I$107,7,0)),0%,VLOOKUP(A28,'Données projet'!$A$87:$I$107,7,0))</f>
        <v>0.25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6.2384566224640725</v>
      </c>
      <c r="BR28" s="21">
        <f>EXP(-LN(2)/2)*BR27+(1-EXP(-LN(2)/2))/(LN(2)/2)*BL28*BO28*VLOOKUP('Données projet'!$B$11,Paramètres!$A$1:$I$89,3,0)*0.475*44/12</f>
        <v>5.2877909280370163</v>
      </c>
      <c r="BS28" s="22">
        <f t="shared" si="9"/>
        <v>11.52624755050109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115</v>
      </c>
      <c r="BW28" s="12">
        <f>VLOOKUP(A28,'Données projet'!$A$113:$I$133,9,0)</f>
        <v>12.6</v>
      </c>
      <c r="BX28" s="12">
        <f t="array" ref="BX28">INDEX(BW:BW,MIN(IF(ISNUMBER(BW28:BW224),ROW(BW28:BW224),"")))</f>
        <v>12.6</v>
      </c>
      <c r="BY28" s="12">
        <f>IF('Données projet'!$A$114&gt;35,BY27+BX28-CG27,IF(A28&lt;'Données projet'!$A$114,$BV$205^A28,IF(A28='Données projet'!$A$114,'Données projet'!$B$114,BY27+BX28-CG27)))</f>
        <v>114.99999999999997</v>
      </c>
      <c r="BZ28" s="13">
        <f>BY28*VLOOKUP('Données projet'!$B$12,Paramètres!$A$1:$I$89,3,0)*VLOOKUP('Données projet'!$B$12,Paramètres!$A$1:$I$89,5,0)</f>
        <v>100.46399999999998</v>
      </c>
      <c r="CA28" s="13">
        <f t="shared" si="39"/>
        <v>27.072509349827456</v>
      </c>
      <c r="CB28" s="20">
        <f t="shared" si="10"/>
        <v>222.12608711761615</v>
      </c>
      <c r="CC28" s="59">
        <f t="shared" si="11"/>
        <v>450.16386108394829</v>
      </c>
      <c r="CD28" s="59">
        <f ca="1">AVERAGE(OFFSET($CC$3,0,0,'Données projet'!$E$12+1,1))-AVERAGE(OFFSET($H$3,0,0,'Données projet'!$E$12+1,1))</f>
        <v>348.77506423101278</v>
      </c>
      <c r="CE28" s="59">
        <f t="shared" si="40"/>
        <v>336.13747591329548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0.13250000000000001</v>
      </c>
      <c r="CJ28" s="16">
        <f>IF(ISNA(VLOOKUP(A28,'Données projet'!$A$113:$I$133,7,0)),0%,VLOOKUP(A28,'Données projet'!$A$113:$I$133,7,0))</f>
        <v>0.25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8.124501647860189</v>
      </c>
      <c r="CM28" s="21">
        <f>EXP(-LN(2)/2)*CM27+(1-EXP(-LN(2)/2))/(LN(2)/2)*CG28*CJ28*VLOOKUP('Données projet'!$B$12,Paramètres!$A$1:$I$89,3,0)*0.475*44/12</f>
        <v>6.8864253946528589</v>
      </c>
      <c r="CN28" s="22">
        <f t="shared" si="12"/>
        <v>15.010927042513048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3.3603333333333336</v>
      </c>
      <c r="CT28" s="12">
        <f>IF('Données projet'!$A$140&gt;35,CT27+CS28-DB27,IF(A28&lt;'Données projet'!$A$140,$CQ$205^A28,IF(A28='Données projet'!$A$140,'Données projet'!$B$140,CT27+CS28-DB27)))</f>
        <v>84.008333333333354</v>
      </c>
      <c r="CU28" s="17">
        <f>CT28*VLOOKUP('Données projet'!$B$13,Paramètres!$A$1:$I$89,3,0)*VLOOKUP('Données projet'!$B$13,Paramètres!$A$1:$I$89,5,0)</f>
        <v>81.252860000000027</v>
      </c>
      <c r="CV28" s="13">
        <f t="shared" si="41"/>
        <v>22.443237318816408</v>
      </c>
      <c r="CW28" s="20">
        <f t="shared" si="13"/>
        <v>180.60403616360529</v>
      </c>
      <c r="CX28" s="59">
        <f t="shared" si="14"/>
        <v>408.64181012993743</v>
      </c>
      <c r="CY28" s="59">
        <f ca="1">AVERAGE(OFFSET($CX$3,0,0,'Données projet'!$E$13+1,1))-AVERAGE(OFFSET($H$3,0,0,'Données projet'!$E$13+1,1))</f>
        <v>557.48193674339791</v>
      </c>
      <c r="CZ28" s="59">
        <f t="shared" si="42"/>
        <v>271.51396593253048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3.3603333333333336</v>
      </c>
      <c r="DO28" s="12">
        <f>IF('Données projet'!$A$166&gt;35,DO27+DN28-DW27,IF(A28&lt;'Données projet'!$A$166,$DL$205^A28,IF(A28='Données projet'!$A$166,'Données projet'!$B$166,DO27+DN28-DW27)))</f>
        <v>84.008333333333354</v>
      </c>
      <c r="DP28" s="17">
        <f>DO28*VLOOKUP('Données projet'!$B$14,Paramètres!$A$1:$I$89,3,0)*VLOOKUP('Données projet'!$B$14,Paramètres!$A$1:$I$89,5,0)</f>
        <v>90.426570000000012</v>
      </c>
      <c r="DQ28" s="13">
        <f t="shared" si="43"/>
        <v>24.668075077188902</v>
      </c>
      <c r="DR28" s="20">
        <f t="shared" si="16"/>
        <v>200.45650684277072</v>
      </c>
      <c r="DS28" s="59">
        <f t="shared" si="17"/>
        <v>428.49428080910286</v>
      </c>
      <c r="DT28" s="59">
        <f ca="1">AVERAGE(OFFSET($DS$3,0,0,'Données projet'!$E$14+1,1))-AVERAGE(OFFSET($H$3,0,0,'Données projet'!$E$14+1,1))</f>
        <v>610.05768948788375</v>
      </c>
      <c r="DU28" s="59">
        <f t="shared" si="44"/>
        <v>295.23928902444845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4.0942857142857143</v>
      </c>
      <c r="N29" s="13">
        <f>IF('Données projet'!$A$36&gt;35,N28+M29-V28,IF(A29&lt;'Données projet'!$A$36,$K$205^A29,IF(A29='Données projet'!$A$36,'Données projet'!$B$36,N28+M29-V28)))</f>
        <v>106.45142857142864</v>
      </c>
      <c r="O29" s="13">
        <f>N29*VLOOKUP('Données projet'!$B$9,Paramètres!$A$1:$I$89,3,0)*VLOOKUP('Données projet'!$B$9,Paramètres!$A$1:$I$89,5,0)</f>
        <v>96.317252571428625</v>
      </c>
      <c r="P29" s="13">
        <f t="shared" si="33"/>
        <v>26.082726965934707</v>
      </c>
      <c r="Q29" s="20">
        <f t="shared" si="2"/>
        <v>213.1799643609078</v>
      </c>
      <c r="R29" s="59">
        <f t="shared" si="0"/>
        <v>443.46667841009798</v>
      </c>
      <c r="S29" s="59">
        <f ca="1">AVERAGE(OFFSET($R$3,0,0,'Données projet'!$E$9+1,1))-AVERAGE(OFFSET($H$3,0,0,'Données projet'!$E$9+1,1))</f>
        <v>681.47578137804555</v>
      </c>
      <c r="T29" s="59">
        <f t="shared" si="34"/>
        <v>300.88511065995885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7.3717948717948714</v>
      </c>
      <c r="AI29" s="13">
        <f>IF('Données projet'!$A$62&gt;35,AI28+AH29-AQ28,IF(A29&lt;'Données projet'!$A$62,$AF$205^A29,IF(A29='Données projet'!$A$62,'Données projet'!$B$62,AI28+AH29-AQ28)))</f>
        <v>62.5</v>
      </c>
      <c r="AJ29" s="13">
        <f>AI29*VLOOKUP('Données projet'!$B$10,Paramètres!$A$1:$I$89,3,0)*VLOOKUP('Données projet'!$B$10,Paramètres!$A$1:$I$89,5,0)</f>
        <v>48.75</v>
      </c>
      <c r="AK29" s="13">
        <f t="shared" si="35"/>
        <v>14.290467583875053</v>
      </c>
      <c r="AL29" s="20">
        <f t="shared" si="4"/>
        <v>109.79548104191571</v>
      </c>
      <c r="AM29" s="59">
        <f t="shared" si="5"/>
        <v>340.08219509110586</v>
      </c>
      <c r="AN29" s="59">
        <f ca="1">AVERAGE(OFFSET($AM$3,0,0,'Données projet'!$E$10+1,1))-AVERAGE(OFFSET($H$3,0,0,'Données projet'!$E$10+1,1))</f>
        <v>217.53602321474159</v>
      </c>
      <c r="AO29" s="59">
        <f t="shared" si="36"/>
        <v>215.75909414893025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2.9380490595033573</v>
      </c>
      <c r="AW29" s="21">
        <f>EXP(-LN(2)/2)*AW28+(1-EXP(-LN(2)/2))/(LN(2)/2)*AQ29*AT29*VLOOKUP('Données projet'!$B$10,Paramètres!$A$1:$I$89,3,0)*0.475*44/12</f>
        <v>2.6280968430857308</v>
      </c>
      <c r="AX29" s="21">
        <f t="shared" si="6"/>
        <v>5.5661459025890885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11.8</v>
      </c>
      <c r="BD29" s="12">
        <f>IF('Données projet'!$A$88&gt;35,BD28+BC29-BL28,IF(A29&lt;'Données projet'!$A$88,$BA$205^A29,IF(A29='Données projet'!$A$88,'Données projet'!$B$88,BD28+BC29-BL28)))</f>
        <v>98.799999999999969</v>
      </c>
      <c r="BE29" s="13">
        <f>BD29*VLOOKUP('Données projet'!$B$11,Paramètres!$A$1:$I$89,3,0)*VLOOKUP('Données projet'!$B$11,Paramètres!$A$1:$I$89,5,0)</f>
        <v>66.275039999999976</v>
      </c>
      <c r="BF29" s="13">
        <f t="shared" si="37"/>
        <v>18.745495454273666</v>
      </c>
      <c r="BG29" s="20">
        <f t="shared" si="7"/>
        <v>148.07743258285993</v>
      </c>
      <c r="BH29" s="59">
        <f t="shared" si="8"/>
        <v>378.36414663205011</v>
      </c>
      <c r="BI29" s="59">
        <f ca="1">AVERAGE(OFFSET($BH$3,0,0,'Données projet'!$E$11+1,1))-AVERAGE(OFFSET($H$3,0,0,'Données projet'!$E$11+1,1))</f>
        <v>281.67293577289729</v>
      </c>
      <c r="BJ29" s="59">
        <f t="shared" si="38"/>
        <v>272.44904846480154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6.0678656980566172</v>
      </c>
      <c r="BR29" s="21">
        <f>EXP(-LN(2)/2)*BR28+(1-EXP(-LN(2)/2))/(LN(2)/2)*BL29*BO29*VLOOKUP('Données projet'!$B$11,Paramètres!$A$1:$I$89,3,0)*0.475*44/12</f>
        <v>3.7390328227116818</v>
      </c>
      <c r="BS29" s="22">
        <f t="shared" si="9"/>
        <v>9.8068985207682999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11.8</v>
      </c>
      <c r="BY29" s="12">
        <f>IF('Données projet'!$A$114&gt;35,BY28+BX29-CG28,IF(A29&lt;'Données projet'!$A$114,$BV$205^A29,IF(A29='Données projet'!$A$114,'Données projet'!$B$114,BY28+BX29-CG28)))</f>
        <v>98.799999999999969</v>
      </c>
      <c r="BZ29" s="13">
        <f>BY29*VLOOKUP('Données projet'!$B$12,Paramètres!$A$1:$I$89,3,0)*VLOOKUP('Données projet'!$B$12,Paramètres!$A$1:$I$89,5,0)</f>
        <v>86.311679999999981</v>
      </c>
      <c r="CA29" s="13">
        <f t="shared" si="39"/>
        <v>23.673536308765939</v>
      </c>
      <c r="CB29" s="20">
        <f t="shared" si="10"/>
        <v>191.55758507110065</v>
      </c>
      <c r="CC29" s="59">
        <f t="shared" si="11"/>
        <v>421.84429912029083</v>
      </c>
      <c r="CD29" s="59">
        <f ca="1">AVERAGE(OFFSET($CC$3,0,0,'Données projet'!$E$12+1,1))-AVERAGE(OFFSET($H$3,0,0,'Données projet'!$E$12+1,1))</f>
        <v>348.77506423101278</v>
      </c>
      <c r="CE29" s="59">
        <f t="shared" si="40"/>
        <v>336.13747591329548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7.9023367230504791</v>
      </c>
      <c r="CM29" s="21">
        <f>EXP(-LN(2)/2)*CM28+(1-EXP(-LN(2)/2))/(LN(2)/2)*CG29*CJ29*VLOOKUP('Données projet'!$B$12,Paramètres!$A$1:$I$89,3,0)*0.475*44/12</f>
        <v>4.8694380946942832</v>
      </c>
      <c r="CN29" s="22">
        <f t="shared" si="12"/>
        <v>12.771774817744763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3.3603333333333336</v>
      </c>
      <c r="CT29" s="12">
        <f>IF('Données projet'!$A$140&gt;35,CT28+CS29-DB28,IF(A29&lt;'Données projet'!$A$140,$CQ$205^A29,IF(A29='Données projet'!$A$140,'Données projet'!$B$140,CT28+CS29-DB28)))</f>
        <v>87.368666666666684</v>
      </c>
      <c r="CU29" s="17">
        <f>CT29*VLOOKUP('Données projet'!$B$13,Paramètres!$A$1:$I$89,3,0)*VLOOKUP('Données projet'!$B$13,Paramètres!$A$1:$I$89,5,0)</f>
        <v>84.502974400000014</v>
      </c>
      <c r="CV29" s="13">
        <f t="shared" si="41"/>
        <v>23.234651370709514</v>
      </c>
      <c r="CW29" s="20">
        <f t="shared" si="13"/>
        <v>187.64303155065241</v>
      </c>
      <c r="CX29" s="59">
        <f t="shared" si="14"/>
        <v>417.92974559984259</v>
      </c>
      <c r="CY29" s="59">
        <f ca="1">AVERAGE(OFFSET($CX$3,0,0,'Données projet'!$E$13+1,1))-AVERAGE(OFFSET($H$3,0,0,'Données projet'!$E$13+1,1))</f>
        <v>557.48193674339791</v>
      </c>
      <c r="CZ29" s="59">
        <f t="shared" si="42"/>
        <v>271.51396593253048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3.3603333333333336</v>
      </c>
      <c r="DO29" s="12">
        <f>IF('Données projet'!$A$166&gt;35,DO28+DN29-DW28,IF(A29&lt;'Données projet'!$A$166,$DL$205^A29,IF(A29='Données projet'!$A$166,'Données projet'!$B$166,DO28+DN29-DW28)))</f>
        <v>87.368666666666684</v>
      </c>
      <c r="DP29" s="17">
        <f>DO29*VLOOKUP('Données projet'!$B$14,Paramètres!$A$1:$I$89,3,0)*VLOOKUP('Données projet'!$B$14,Paramètres!$A$1:$I$89,5,0)</f>
        <v>94.043632800000012</v>
      </c>
      <c r="DQ29" s="13">
        <f t="shared" si="43"/>
        <v>25.537943401972594</v>
      </c>
      <c r="DR29" s="20">
        <f t="shared" si="16"/>
        <v>208.27124521843561</v>
      </c>
      <c r="DS29" s="59">
        <f t="shared" si="17"/>
        <v>438.55795926762579</v>
      </c>
      <c r="DT29" s="59">
        <f ca="1">AVERAGE(OFFSET($DS$3,0,0,'Données projet'!$E$14+1,1))-AVERAGE(OFFSET($H$3,0,0,'Données projet'!$E$14+1,1))</f>
        <v>610.05768948788375</v>
      </c>
      <c r="DU29" s="59">
        <f t="shared" si="44"/>
        <v>295.23928902444845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4.0942857142857143</v>
      </c>
      <c r="N30" s="13">
        <f>IF('Données projet'!$A$36&gt;35,N29+M30-V29,IF(A30&lt;'Données projet'!$A$36,$K$205^A30,IF(A30='Données projet'!$A$36,'Données projet'!$B$36,N29+M30-V29)))</f>
        <v>110.54571428571435</v>
      </c>
      <c r="O30" s="13">
        <f>N30*VLOOKUP('Données projet'!$B$9,Paramètres!$A$1:$I$89,3,0)*VLOOKUP('Données projet'!$B$9,Paramètres!$A$1:$I$89,5,0)</f>
        <v>100.02176228571433</v>
      </c>
      <c r="P30" s="13">
        <f t="shared" si="33"/>
        <v>26.967182047167292</v>
      </c>
      <c r="Q30" s="20">
        <f t="shared" si="2"/>
        <v>221.17241137976885</v>
      </c>
      <c r="R30" s="59">
        <f t="shared" si="0"/>
        <v>453.69025425233235</v>
      </c>
      <c r="S30" s="59">
        <f ca="1">AVERAGE(OFFSET($R$3,0,0,'Données projet'!$E$9+1,1))-AVERAGE(OFFSET($H$3,0,0,'Données projet'!$E$9+1,1))</f>
        <v>681.47578137804555</v>
      </c>
      <c r="T30" s="59">
        <f t="shared" si="34"/>
        <v>300.88511065995885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7.3717948717948714</v>
      </c>
      <c r="AI30" s="13">
        <f>IF('Données projet'!$A$62&gt;35,AI29+AH30-AQ29,IF(A30&lt;'Données projet'!$A$62,$AF$205^A30,IF(A30='Données projet'!$A$62,'Données projet'!$B$62,AI29+AH30-AQ29)))</f>
        <v>69.871794871794876</v>
      </c>
      <c r="AJ30" s="13">
        <f>AI30*VLOOKUP('Données projet'!$B$10,Paramètres!$A$1:$I$89,3,0)*VLOOKUP('Données projet'!$B$10,Paramètres!$A$1:$I$89,5,0)</f>
        <v>54.500000000000007</v>
      </c>
      <c r="AK30" s="13">
        <f t="shared" si="35"/>
        <v>15.770011654349027</v>
      </c>
      <c r="AL30" s="20">
        <f t="shared" si="4"/>
        <v>122.38693696465789</v>
      </c>
      <c r="AM30" s="59">
        <f t="shared" si="5"/>
        <v>354.90477983722138</v>
      </c>
      <c r="AN30" s="59">
        <f ca="1">AVERAGE(OFFSET($AM$3,0,0,'Données projet'!$E$10+1,1))-AVERAGE(OFFSET($H$3,0,0,'Données projet'!$E$10+1,1))</f>
        <v>217.53602321474159</v>
      </c>
      <c r="AO30" s="59">
        <f t="shared" si="36"/>
        <v>215.75909414893025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2.8577079534659529</v>
      </c>
      <c r="AW30" s="21">
        <f>EXP(-LN(2)/2)*AW29+(1-EXP(-LN(2)/2))/(LN(2)/2)*AQ30*AT30*VLOOKUP('Données projet'!$B$10,Paramètres!$A$1:$I$89,3,0)*0.475*44/12</f>
        <v>1.8583450993608783</v>
      </c>
      <c r="AX30" s="21">
        <f t="shared" si="6"/>
        <v>4.7160530528268314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11.8</v>
      </c>
      <c r="BD30" s="12">
        <f>IF('Données projet'!$A$88&gt;35,BD29+BC30-BL29,IF(A30&lt;'Données projet'!$A$88,$BA$205^A30,IF(A30='Données projet'!$A$88,'Données projet'!$B$88,BD29+BC30-BL29)))</f>
        <v>110.59999999999997</v>
      </c>
      <c r="BE30" s="13">
        <f>BD30*VLOOKUP('Données projet'!$B$11,Paramètres!$A$1:$I$89,3,0)*VLOOKUP('Données projet'!$B$11,Paramètres!$A$1:$I$89,5,0)</f>
        <v>74.19047999999998</v>
      </c>
      <c r="BF30" s="13">
        <f t="shared" si="37"/>
        <v>20.710554059250395</v>
      </c>
      <c r="BG30" s="20">
        <f t="shared" si="7"/>
        <v>165.28596765319438</v>
      </c>
      <c r="BH30" s="59">
        <f t="shared" si="8"/>
        <v>397.80381052575785</v>
      </c>
      <c r="BI30" s="59">
        <f ca="1">AVERAGE(OFFSET($BH$3,0,0,'Données projet'!$E$11+1,1))-AVERAGE(OFFSET($H$3,0,0,'Données projet'!$E$11+1,1))</f>
        <v>281.67293577289729</v>
      </c>
      <c r="BJ30" s="59">
        <f t="shared" si="38"/>
        <v>272.44904846480154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5.9019395914480706</v>
      </c>
      <c r="BR30" s="21">
        <f>EXP(-LN(2)/2)*BR29+(1-EXP(-LN(2)/2))/(LN(2)/2)*BL30*BO30*VLOOKUP('Données projet'!$B$11,Paramètres!$A$1:$I$89,3,0)*0.475*44/12</f>
        <v>2.6438954640185086</v>
      </c>
      <c r="BS30" s="22">
        <f t="shared" si="9"/>
        <v>8.5458350554665792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11.8</v>
      </c>
      <c r="BY30" s="12">
        <f>IF('Données projet'!$A$114&gt;35,BY29+BX30-CG29,IF(A30&lt;'Données projet'!$A$114,$BV$205^A30,IF(A30='Données projet'!$A$114,'Données projet'!$B$114,BY29+BX30-CG29)))</f>
        <v>110.59999999999997</v>
      </c>
      <c r="BZ30" s="13">
        <f>BY30*VLOOKUP('Données projet'!$B$12,Paramètres!$A$1:$I$89,3,0)*VLOOKUP('Données projet'!$B$12,Paramètres!$A$1:$I$89,5,0)</f>
        <v>96.620159999999984</v>
      </c>
      <c r="CA30" s="13">
        <f t="shared" si="39"/>
        <v>26.155193107181663</v>
      </c>
      <c r="CB30" s="20">
        <f t="shared" si="10"/>
        <v>213.83373999500802</v>
      </c>
      <c r="CC30" s="59">
        <f t="shared" si="11"/>
        <v>446.35158286757155</v>
      </c>
      <c r="CD30" s="59">
        <f ca="1">AVERAGE(OFFSET($CC$3,0,0,'Données projet'!$E$12+1,1))-AVERAGE(OFFSET($H$3,0,0,'Données projet'!$E$12+1,1))</f>
        <v>348.77506423101278</v>
      </c>
      <c r="CE30" s="59">
        <f t="shared" si="40"/>
        <v>336.13747591329548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7.6862469097928363</v>
      </c>
      <c r="CM30" s="21">
        <f>EXP(-LN(2)/2)*CM29+(1-EXP(-LN(2)/2))/(LN(2)/2)*CG30*CJ30*VLOOKUP('Données projet'!$B$12,Paramètres!$A$1:$I$89,3,0)*0.475*44/12</f>
        <v>3.4432126973264299</v>
      </c>
      <c r="CN30" s="22">
        <f t="shared" si="12"/>
        <v>11.129459607119266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3.3603333333333336</v>
      </c>
      <c r="CT30" s="12">
        <f>IF('Données projet'!$A$140&gt;35,CT29+CS30-DB29,IF(A30&lt;'Données projet'!$A$140,$CQ$205^A30,IF(A30='Données projet'!$A$140,'Données projet'!$B$140,CT29+CS30-DB29)))</f>
        <v>90.729000000000013</v>
      </c>
      <c r="CU30" s="17">
        <f>CT30*VLOOKUP('Données projet'!$B$13,Paramètres!$A$1:$I$89,3,0)*VLOOKUP('Données projet'!$B$13,Paramètres!$A$1:$I$89,5,0)</f>
        <v>87.753088800000015</v>
      </c>
      <c r="CV30" s="13">
        <f t="shared" si="41"/>
        <v>24.022529321214137</v>
      </c>
      <c r="CW30" s="20">
        <f t="shared" si="13"/>
        <v>194.67586822778131</v>
      </c>
      <c r="CX30" s="59">
        <f t="shared" si="14"/>
        <v>427.19371110034479</v>
      </c>
      <c r="CY30" s="59">
        <f ca="1">AVERAGE(OFFSET($CX$3,0,0,'Données projet'!$E$13+1,1))-AVERAGE(OFFSET($H$3,0,0,'Données projet'!$E$13+1,1))</f>
        <v>557.48193674339791</v>
      </c>
      <c r="CZ30" s="59">
        <f t="shared" si="42"/>
        <v>271.51396593253048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3.3603333333333336</v>
      </c>
      <c r="DO30" s="12">
        <f>IF('Données projet'!$A$166&gt;35,DO29+DN30-DW29,IF(A30&lt;'Données projet'!$A$166,$DL$205^A30,IF(A30='Données projet'!$A$166,'Données projet'!$B$166,DO29+DN30-DW29)))</f>
        <v>90.729000000000013</v>
      </c>
      <c r="DP30" s="17">
        <f>DO30*VLOOKUP('Données projet'!$B$14,Paramètres!$A$1:$I$89,3,0)*VLOOKUP('Données projet'!$B$14,Paramètres!$A$1:$I$89,5,0)</f>
        <v>97.660695600000011</v>
      </c>
      <c r="DQ30" s="13">
        <f t="shared" si="43"/>
        <v>26.403925085391055</v>
      </c>
      <c r="DR30" s="20">
        <f t="shared" si="16"/>
        <v>216.07921436038941</v>
      </c>
      <c r="DS30" s="59">
        <f t="shared" si="17"/>
        <v>448.59705723295292</v>
      </c>
      <c r="DT30" s="59">
        <f ca="1">AVERAGE(OFFSET($DS$3,0,0,'Données projet'!$E$14+1,1))-AVERAGE(OFFSET($H$3,0,0,'Données projet'!$E$14+1,1))</f>
        <v>610.05768948788375</v>
      </c>
      <c r="DU30" s="59">
        <f t="shared" si="44"/>
        <v>295.23928902444845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4.0942857142857143</v>
      </c>
      <c r="N31" s="13">
        <f>IF('Données projet'!$A$36&gt;35,N30+M31-V30,IF(A31&lt;'Données projet'!$A$36,$K$205^A31,IF(A31='Données projet'!$A$36,'Données projet'!$B$36,N30+M31-V30)))</f>
        <v>114.64000000000007</v>
      </c>
      <c r="O31" s="13">
        <f>N31*VLOOKUP('Données projet'!$B$9,Paramètres!$A$1:$I$89,3,0)*VLOOKUP('Données projet'!$B$9,Paramètres!$A$1:$I$89,5,0)</f>
        <v>103.72627200000005</v>
      </c>
      <c r="P31" s="13">
        <f t="shared" si="33"/>
        <v>27.847831432539717</v>
      </c>
      <c r="Q31" s="20">
        <f t="shared" si="2"/>
        <v>229.15823014500677</v>
      </c>
      <c r="R31" s="59">
        <f t="shared" si="0"/>
        <v>463.88969956699088</v>
      </c>
      <c r="S31" s="59">
        <f ca="1">AVERAGE(OFFSET($R$3,0,0,'Données projet'!$E$9+1,1))-AVERAGE(OFFSET($H$3,0,0,'Données projet'!$E$9+1,1))</f>
        <v>681.47578137804555</v>
      </c>
      <c r="T31" s="59">
        <f t="shared" si="34"/>
        <v>300.88511065995885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7.3717948717948714</v>
      </c>
      <c r="AI31" s="13">
        <f>IF('Données projet'!$A$62&gt;35,AI30+AH31-AQ30,IF(A31&lt;'Données projet'!$A$62,$AF$205^A31,IF(A31='Données projet'!$A$62,'Données projet'!$B$62,AI30+AH31-AQ30)))</f>
        <v>77.243589743589752</v>
      </c>
      <c r="AJ31" s="13">
        <f>AI31*VLOOKUP('Données projet'!$B$10,Paramètres!$A$1:$I$89,3,0)*VLOOKUP('Données projet'!$B$10,Paramètres!$A$1:$I$89,5,0)</f>
        <v>60.250000000000007</v>
      </c>
      <c r="AK31" s="13">
        <f t="shared" si="35"/>
        <v>17.231461552057397</v>
      </c>
      <c r="AL31" s="20">
        <f t="shared" si="4"/>
        <v>134.94687886983328</v>
      </c>
      <c r="AM31" s="59">
        <f t="shared" si="5"/>
        <v>369.67834829181737</v>
      </c>
      <c r="AN31" s="59">
        <f ca="1">AVERAGE(OFFSET($AM$3,0,0,'Données projet'!$E$10+1,1))-AVERAGE(OFFSET($H$3,0,0,'Données projet'!$E$10+1,1))</f>
        <v>217.53602321474159</v>
      </c>
      <c r="AO31" s="59">
        <f t="shared" si="36"/>
        <v>215.75909414893025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2.7795637791980963</v>
      </c>
      <c r="AW31" s="21">
        <f>EXP(-LN(2)/2)*AW30+(1-EXP(-LN(2)/2))/(LN(2)/2)*AQ31*AT31*VLOOKUP('Données projet'!$B$10,Paramètres!$A$1:$I$89,3,0)*0.475*44/12</f>
        <v>1.3140484215428656</v>
      </c>
      <c r="AX31" s="21">
        <f t="shared" si="6"/>
        <v>4.0936122007409619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11.8</v>
      </c>
      <c r="BD31" s="12">
        <f>IF('Données projet'!$A$88&gt;35,BD30+BC31-BL30,IF(A31&lt;'Données projet'!$A$88,$BA$205^A31,IF(A31='Données projet'!$A$88,'Données projet'!$B$88,BD30+BC31-BL30)))</f>
        <v>122.39999999999996</v>
      </c>
      <c r="BE31" s="13">
        <f>BD31*VLOOKUP('Données projet'!$B$11,Paramètres!$A$1:$I$89,3,0)*VLOOKUP('Données projet'!$B$11,Paramètres!$A$1:$I$89,5,0)</f>
        <v>82.105919999999983</v>
      </c>
      <c r="BF31" s="13">
        <f t="shared" si="37"/>
        <v>22.651311269703978</v>
      </c>
      <c r="BG31" s="20">
        <f t="shared" si="7"/>
        <v>182.45217779473441</v>
      </c>
      <c r="BH31" s="59">
        <f t="shared" si="8"/>
        <v>417.1836472167185</v>
      </c>
      <c r="BI31" s="59">
        <f ca="1">AVERAGE(OFFSET($BH$3,0,0,'Données projet'!$E$11+1,1))-AVERAGE(OFFSET($H$3,0,0,'Données projet'!$E$11+1,1))</f>
        <v>281.67293577289729</v>
      </c>
      <c r="BJ31" s="59">
        <f t="shared" si="38"/>
        <v>272.44904846480154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5.7405507429504095</v>
      </c>
      <c r="BR31" s="21">
        <f>EXP(-LN(2)/2)*BR30+(1-EXP(-LN(2)/2))/(LN(2)/2)*BL31*BO31*VLOOKUP('Données projet'!$B$11,Paramètres!$A$1:$I$89,3,0)*0.475*44/12</f>
        <v>1.8695164113558411</v>
      </c>
      <c r="BS31" s="22">
        <f t="shared" si="9"/>
        <v>7.6100671543062504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11.8</v>
      </c>
      <c r="BY31" s="12">
        <f>IF('Données projet'!$A$114&gt;35,BY30+BX31-CG30,IF(A31&lt;'Données projet'!$A$114,$BV$205^A31,IF(A31='Données projet'!$A$114,'Données projet'!$B$114,BY30+BX31-CG30)))</f>
        <v>122.39999999999996</v>
      </c>
      <c r="BZ31" s="13">
        <f>BY31*VLOOKUP('Données projet'!$B$12,Paramètres!$A$1:$I$89,3,0)*VLOOKUP('Données projet'!$B$12,Paramètres!$A$1:$I$89,5,0)</f>
        <v>106.92863999999997</v>
      </c>
      <c r="CA31" s="13">
        <f t="shared" si="39"/>
        <v>28.606159868782917</v>
      </c>
      <c r="CB31" s="20">
        <f t="shared" si="10"/>
        <v>236.05644310479684</v>
      </c>
      <c r="CC31" s="59">
        <f t="shared" si="11"/>
        <v>470.78791252678093</v>
      </c>
      <c r="CD31" s="59">
        <f ca="1">AVERAGE(OFFSET($CC$3,0,0,'Données projet'!$E$12+1,1))-AVERAGE(OFFSET($H$3,0,0,'Données projet'!$E$12+1,1))</f>
        <v>348.77506423101278</v>
      </c>
      <c r="CE31" s="59">
        <f t="shared" si="40"/>
        <v>336.13747591329548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7.4760660838423938</v>
      </c>
      <c r="CM31" s="21">
        <f>EXP(-LN(2)/2)*CM30+(1-EXP(-LN(2)/2))/(LN(2)/2)*CG31*CJ31*VLOOKUP('Données projet'!$B$12,Paramètres!$A$1:$I$89,3,0)*0.475*44/12</f>
        <v>2.4347190473471421</v>
      </c>
      <c r="CN31" s="22">
        <f t="shared" si="12"/>
        <v>9.9107851311895363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3.3603333333333336</v>
      </c>
      <c r="CT31" s="12">
        <f>IF('Données projet'!$A$140&gt;35,CT30+CS31-DB30,IF(A31&lt;'Données projet'!$A$140,$CQ$205^A31,IF(A31='Données projet'!$A$140,'Données projet'!$B$140,CT30+CS31-DB30)))</f>
        <v>94.089333333333343</v>
      </c>
      <c r="CU31" s="17">
        <f>CT31*VLOOKUP('Données projet'!$B$13,Paramètres!$A$1:$I$89,3,0)*VLOOKUP('Données projet'!$B$13,Paramètres!$A$1:$I$89,5,0)</f>
        <v>91.003203200000016</v>
      </c>
      <c r="CV31" s="13">
        <f t="shared" si="41"/>
        <v>24.807017134765282</v>
      </c>
      <c r="CW31" s="20">
        <f t="shared" si="13"/>
        <v>201.70280041638287</v>
      </c>
      <c r="CX31" s="59">
        <f t="shared" si="14"/>
        <v>436.43426983836696</v>
      </c>
      <c r="CY31" s="59">
        <f ca="1">AVERAGE(OFFSET($CX$3,0,0,'Données projet'!$E$13+1,1))-AVERAGE(OFFSET($H$3,0,0,'Données projet'!$E$13+1,1))</f>
        <v>557.48193674339791</v>
      </c>
      <c r="CZ31" s="59">
        <f t="shared" si="42"/>
        <v>271.51396593253048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3.3603333333333336</v>
      </c>
      <c r="DO31" s="12">
        <f>IF('Données projet'!$A$166&gt;35,DO30+DN31-DW30,IF(A31&lt;'Données projet'!$A$166,$DL$205^A31,IF(A31='Données projet'!$A$166,'Données projet'!$B$166,DO30+DN31-DW30)))</f>
        <v>94.089333333333343</v>
      </c>
      <c r="DP31" s="17">
        <f>DO31*VLOOKUP('Données projet'!$B$14,Paramètres!$A$1:$I$89,3,0)*VLOOKUP('Données projet'!$B$14,Paramètres!$A$1:$I$89,5,0)</f>
        <v>101.2777584</v>
      </c>
      <c r="DQ31" s="13">
        <f t="shared" si="43"/>
        <v>27.266180561591707</v>
      </c>
      <c r="DR31" s="20">
        <f t="shared" si="16"/>
        <v>223.88069369143884</v>
      </c>
      <c r="DS31" s="59">
        <f t="shared" si="17"/>
        <v>458.61216311342292</v>
      </c>
      <c r="DT31" s="59">
        <f ca="1">AVERAGE(OFFSET($DS$3,0,0,'Données projet'!$E$14+1,1))-AVERAGE(OFFSET($H$3,0,0,'Données projet'!$E$14+1,1))</f>
        <v>610.05768948788375</v>
      </c>
      <c r="DU31" s="59">
        <f t="shared" si="44"/>
        <v>295.23928902444845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4.0942857142857143</v>
      </c>
      <c r="N32" s="13">
        <f>IF('Données projet'!$A$36&gt;35,N31+M32-V31,IF(A32&lt;'Données projet'!$A$36,$K$205^A32,IF(A32='Données projet'!$A$36,'Données projet'!$B$36,N31+M32-V31)))</f>
        <v>118.73428571428579</v>
      </c>
      <c r="O32" s="13">
        <f>N32*VLOOKUP('Données projet'!$B$9,Paramètres!$A$1:$I$89,3,0)*VLOOKUP('Données projet'!$B$9,Paramètres!$A$1:$I$89,5,0)</f>
        <v>107.43078171428577</v>
      </c>
      <c r="P32" s="13">
        <f t="shared" si="33"/>
        <v>28.724826611108305</v>
      </c>
      <c r="Q32" s="20">
        <f t="shared" si="2"/>
        <v>237.13768450006134</v>
      </c>
      <c r="R32" s="59">
        <f t="shared" si="0"/>
        <v>474.0655818228372</v>
      </c>
      <c r="S32" s="59">
        <f ca="1">AVERAGE(OFFSET($R$3,0,0,'Données projet'!$E$9+1,1))-AVERAGE(OFFSET($H$3,0,0,'Données projet'!$E$9+1,1))</f>
        <v>681.47578137804555</v>
      </c>
      <c r="T32" s="59">
        <f t="shared" si="34"/>
        <v>300.88511065995885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7.3717948717948714</v>
      </c>
      <c r="AI32" s="13">
        <f>IF('Données projet'!$A$62&gt;35,AI31+AH32-AQ31,IF(A32&lt;'Données projet'!$A$62,$AF$205^A32,IF(A32='Données projet'!$A$62,'Données projet'!$B$62,AI31+AH32-AQ31)))</f>
        <v>84.615384615384627</v>
      </c>
      <c r="AJ32" s="13">
        <f>AI32*VLOOKUP('Données projet'!$B$10,Paramètres!$A$1:$I$89,3,0)*VLOOKUP('Données projet'!$B$10,Paramètres!$A$1:$I$89,5,0)</f>
        <v>66.000000000000014</v>
      </c>
      <c r="AK32" s="13">
        <f t="shared" si="35"/>
        <v>18.676740573099728</v>
      </c>
      <c r="AL32" s="20">
        <f t="shared" si="4"/>
        <v>147.47865649814872</v>
      </c>
      <c r="AM32" s="59">
        <f t="shared" si="5"/>
        <v>384.40655382092456</v>
      </c>
      <c r="AN32" s="59">
        <f ca="1">AVERAGE(OFFSET($AM$3,0,0,'Données projet'!$E$10+1,1))-AVERAGE(OFFSET($H$3,0,0,'Données projet'!$E$10+1,1))</f>
        <v>217.53602321474159</v>
      </c>
      <c r="AO32" s="59">
        <f t="shared" si="36"/>
        <v>215.75909414893025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2.703556461485018</v>
      </c>
      <c r="AW32" s="21">
        <f>EXP(-LN(2)/2)*AW31+(1-EXP(-LN(2)/2))/(LN(2)/2)*AQ32*AT32*VLOOKUP('Données projet'!$B$10,Paramètres!$A$1:$I$89,3,0)*0.475*44/12</f>
        <v>0.92917254968043927</v>
      </c>
      <c r="AX32" s="21">
        <f t="shared" si="6"/>
        <v>3.6327290111654573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11.8</v>
      </c>
      <c r="BD32" s="12">
        <f>IF('Données projet'!$A$88&gt;35,BD31+BC32-BL31,IF(A32&lt;'Données projet'!$A$88,$BA$205^A32,IF(A32='Données projet'!$A$88,'Données projet'!$B$88,BD31+BC32-BL31)))</f>
        <v>134.19999999999996</v>
      </c>
      <c r="BE32" s="13">
        <f>BD32*VLOOKUP('Données projet'!$B$11,Paramètres!$A$1:$I$89,3,0)*VLOOKUP('Données projet'!$B$11,Paramètres!$A$1:$I$89,5,0)</f>
        <v>90.021359999999973</v>
      </c>
      <c r="BF32" s="13">
        <f t="shared" si="37"/>
        <v>24.570376440411131</v>
      </c>
      <c r="BG32" s="20">
        <f t="shared" si="7"/>
        <v>199.58060763371597</v>
      </c>
      <c r="BH32" s="59">
        <f t="shared" si="8"/>
        <v>436.50850495649183</v>
      </c>
      <c r="BI32" s="59">
        <f ca="1">AVERAGE(OFFSET($BH$3,0,0,'Données projet'!$E$11+1,1))-AVERAGE(OFFSET($H$3,0,0,'Données projet'!$E$11+1,1))</f>
        <v>281.67293577289729</v>
      </c>
      <c r="BJ32" s="59">
        <f t="shared" si="38"/>
        <v>272.44904846480154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5.5835750810019871</v>
      </c>
      <c r="BR32" s="21">
        <f>EXP(-LN(2)/2)*BR31+(1-EXP(-LN(2)/2))/(LN(2)/2)*BL32*BO32*VLOOKUP('Données projet'!$B$11,Paramètres!$A$1:$I$89,3,0)*0.475*44/12</f>
        <v>1.3219477320092543</v>
      </c>
      <c r="BS32" s="22">
        <f t="shared" si="9"/>
        <v>6.9055228130112418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11.8</v>
      </c>
      <c r="BY32" s="12">
        <f>IF('Données projet'!$A$114&gt;35,BY31+BX32-CG31,IF(A32&lt;'Données projet'!$A$114,$BV$205^A32,IF(A32='Données projet'!$A$114,'Données projet'!$B$114,BY31+BX32-CG31)))</f>
        <v>134.19999999999996</v>
      </c>
      <c r="BZ32" s="13">
        <f>BY32*VLOOKUP('Données projet'!$B$12,Paramètres!$A$1:$I$89,3,0)*VLOOKUP('Données projet'!$B$12,Paramètres!$A$1:$I$89,5,0)</f>
        <v>117.23711999999999</v>
      </c>
      <c r="CA32" s="13">
        <f t="shared" si="39"/>
        <v>31.029731926851227</v>
      </c>
      <c r="CB32" s="20">
        <f t="shared" si="10"/>
        <v>258.23143377259919</v>
      </c>
      <c r="CC32" s="59">
        <f t="shared" si="11"/>
        <v>495.15933109537502</v>
      </c>
      <c r="CD32" s="59">
        <f ca="1">AVERAGE(OFFSET($CC$3,0,0,'Données projet'!$E$12+1,1))-AVERAGE(OFFSET($H$3,0,0,'Données projet'!$E$12+1,1))</f>
        <v>348.77506423101278</v>
      </c>
      <c r="CE32" s="59">
        <f t="shared" si="40"/>
        <v>336.13747591329548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7.2716326636304949</v>
      </c>
      <c r="CM32" s="21">
        <f>EXP(-LN(2)/2)*CM31+(1-EXP(-LN(2)/2))/(LN(2)/2)*CG32*CJ32*VLOOKUP('Données projet'!$B$12,Paramètres!$A$1:$I$89,3,0)*0.475*44/12</f>
        <v>1.7216063486632152</v>
      </c>
      <c r="CN32" s="22">
        <f t="shared" si="12"/>
        <v>8.99323901229371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3.3603333333333336</v>
      </c>
      <c r="CT32" s="12">
        <f>IF('Données projet'!$A$140&gt;35,CT31+CS32-DB31,IF(A32&lt;'Données projet'!$A$140,$CQ$205^A32,IF(A32='Données projet'!$A$140,'Données projet'!$B$140,CT31+CS32-DB31)))</f>
        <v>97.449666666666673</v>
      </c>
      <c r="CU32" s="17">
        <f>CT32*VLOOKUP('Données projet'!$B$13,Paramètres!$A$1:$I$89,3,0)*VLOOKUP('Données projet'!$B$13,Paramètres!$A$1:$I$89,5,0)</f>
        <v>94.253317600000003</v>
      </c>
      <c r="CV32" s="13">
        <f t="shared" si="41"/>
        <v>25.588249758733145</v>
      </c>
      <c r="CW32" s="20">
        <f t="shared" si="13"/>
        <v>208.72406314979355</v>
      </c>
      <c r="CX32" s="59">
        <f t="shared" si="14"/>
        <v>445.65196047256939</v>
      </c>
      <c r="CY32" s="59">
        <f ca="1">AVERAGE(OFFSET($CX$3,0,0,'Données projet'!$E$13+1,1))-AVERAGE(OFFSET($H$3,0,0,'Données projet'!$E$13+1,1))</f>
        <v>557.48193674339791</v>
      </c>
      <c r="CZ32" s="59">
        <f t="shared" si="42"/>
        <v>271.51396593253048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3.3603333333333336</v>
      </c>
      <c r="DO32" s="12">
        <f>IF('Données projet'!$A$166&gt;35,DO31+DN32-DW31,IF(A32&lt;'Données projet'!$A$166,$DL$205^A32,IF(A32='Données projet'!$A$166,'Données projet'!$B$166,DO31+DN32-DW31)))</f>
        <v>97.449666666666673</v>
      </c>
      <c r="DP32" s="17">
        <f>DO32*VLOOKUP('Données projet'!$B$14,Paramètres!$A$1:$I$89,3,0)*VLOOKUP('Données projet'!$B$14,Paramètres!$A$1:$I$89,5,0)</f>
        <v>104.8948212</v>
      </c>
      <c r="DQ32" s="13">
        <f t="shared" si="43"/>
        <v>28.124858155515781</v>
      </c>
      <c r="DR32" s="20">
        <f t="shared" si="16"/>
        <v>231.67594154418998</v>
      </c>
      <c r="DS32" s="59">
        <f t="shared" si="17"/>
        <v>468.60383886696582</v>
      </c>
      <c r="DT32" s="59">
        <f ca="1">AVERAGE(OFFSET($DS$3,0,0,'Données projet'!$E$14+1,1))-AVERAGE(OFFSET($H$3,0,0,'Données projet'!$E$14+1,1))</f>
        <v>610.05768948788375</v>
      </c>
      <c r="DU32" s="59">
        <f t="shared" si="44"/>
        <v>295.23928902444845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4.0942857142857143</v>
      </c>
      <c r="N33" s="13">
        <f>IF('Données projet'!$A$36&gt;35,N32+M33-V32,IF(A33&lt;'Données projet'!$A$36,$K$205^A33,IF(A33='Données projet'!$A$36,'Données projet'!$B$36,N32+M33-V32)))</f>
        <v>122.82857142857151</v>
      </c>
      <c r="O33" s="13">
        <f>N33*VLOOKUP('Données projet'!$B$9,Paramètres!$A$1:$I$89,3,0)*VLOOKUP('Données projet'!$B$9,Paramètres!$A$1:$I$89,5,0)</f>
        <v>111.13529142857149</v>
      </c>
      <c r="P33" s="13">
        <f t="shared" si="33"/>
        <v>29.598308031859261</v>
      </c>
      <c r="Q33" s="20">
        <f t="shared" si="2"/>
        <v>245.11101906025024</v>
      </c>
      <c r="R33" s="59">
        <f t="shared" si="0"/>
        <v>484.21844399329223</v>
      </c>
      <c r="S33" s="59">
        <f ca="1">AVERAGE(OFFSET($R$3,0,0,'Données projet'!$E$9+1,1))-AVERAGE(OFFSET($H$3,0,0,'Données projet'!$E$9+1,1))</f>
        <v>681.47578137804555</v>
      </c>
      <c r="T33" s="59">
        <f t="shared" si="34"/>
        <v>300.88511065995885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7.3717948717948714</v>
      </c>
      <c r="AI33" s="13">
        <f>IF('Données projet'!$A$62&gt;35,AI32+AH33-AQ32,IF(A33&lt;'Données projet'!$A$62,$AF$205^A33,IF(A33='Données projet'!$A$62,'Données projet'!$B$62,AI32+AH33-AQ32)))</f>
        <v>91.987179487179503</v>
      </c>
      <c r="AJ33" s="13">
        <f>AI33*VLOOKUP('Données projet'!$B$10,Paramètres!$A$1:$I$89,3,0)*VLOOKUP('Données projet'!$B$10,Paramètres!$A$1:$I$89,5,0)</f>
        <v>71.750000000000014</v>
      </c>
      <c r="AK33" s="13">
        <f t="shared" si="35"/>
        <v>20.107417731610468</v>
      </c>
      <c r="AL33" s="20">
        <f t="shared" si="4"/>
        <v>159.98500254922158</v>
      </c>
      <c r="AM33" s="59">
        <f t="shared" si="5"/>
        <v>399.09242748226359</v>
      </c>
      <c r="AN33" s="59">
        <f ca="1">AVERAGE(OFFSET($AM$3,0,0,'Données projet'!$E$10+1,1))-AVERAGE(OFFSET($H$3,0,0,'Données projet'!$E$10+1,1))</f>
        <v>217.53602321474159</v>
      </c>
      <c r="AO33" s="59">
        <f t="shared" si="36"/>
        <v>215.75909414893025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2.629627567871855</v>
      </c>
      <c r="AW33" s="21">
        <f>EXP(-LN(2)/2)*AW32+(1-EXP(-LN(2)/2))/(LN(2)/2)*AQ33*AT33*VLOOKUP('Données projet'!$B$10,Paramètres!$A$1:$I$89,3,0)*0.475*44/12</f>
        <v>0.65702421077143291</v>
      </c>
      <c r="AX33" s="21">
        <f t="shared" si="6"/>
        <v>3.2866517786432881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146</v>
      </c>
      <c r="BB33" s="12">
        <f>VLOOKUP(A33,'Données projet'!$A$87:$I$107,9,0)</f>
        <v>11.8</v>
      </c>
      <c r="BC33" s="12">
        <f t="array" ref="BC33">INDEX(BB:BB,MIN(IF(ISNUMBER(BB33:BB229),ROW(BB33:BB229),"")))</f>
        <v>11.8</v>
      </c>
      <c r="BD33" s="12">
        <f>IF('Données projet'!$A$88&gt;35,BD32+BC33-BL32,IF(A33&lt;'Données projet'!$A$88,$BA$205^A33,IF(A33='Données projet'!$A$88,'Données projet'!$B$88,BD32+BC33-BL32)))</f>
        <v>145.99999999999997</v>
      </c>
      <c r="BE33" s="13">
        <f>BD33*VLOOKUP('Données projet'!$B$11,Paramètres!$A$1:$I$89,3,0)*VLOOKUP('Données projet'!$B$11,Paramètres!$A$1:$I$89,5,0)</f>
        <v>97.936799999999977</v>
      </c>
      <c r="BF33" s="13">
        <f t="shared" si="37"/>
        <v>26.469873798139488</v>
      </c>
      <c r="BG33" s="20">
        <f t="shared" si="7"/>
        <v>216.67495686509289</v>
      </c>
      <c r="BH33" s="59">
        <f t="shared" si="8"/>
        <v>455.78238179813491</v>
      </c>
      <c r="BI33" s="59">
        <f ca="1">AVERAGE(OFFSET($BH$3,0,0,'Données projet'!$E$11+1,1))-AVERAGE(OFFSET($H$3,0,0,'Données projet'!$E$11+1,1))</f>
        <v>281.67293577289729</v>
      </c>
      <c r="BJ33" s="59">
        <f t="shared" si="38"/>
        <v>272.44904846480154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0.13250000000000001</v>
      </c>
      <c r="BO33" s="16">
        <f>IF(ISNA(VLOOKUP(A33,'Données projet'!$A$87:$I$107,7,0)),0%,VLOOKUP(A33,'Données projet'!$A$87:$I$107,7,0))</f>
        <v>0.25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8.1712083643440021</v>
      </c>
      <c r="BR33" s="21">
        <f>EXP(-LN(2)/2)*BR32+(1-EXP(-LN(2)/2))/(LN(2)/2)*BL33*BO33*VLOOKUP('Données projet'!$B$11,Paramètres!$A$1:$I$89,3,0)*0.475*44/12</f>
        <v>5.3651831858989816</v>
      </c>
      <c r="BS33" s="22">
        <f t="shared" si="9"/>
        <v>13.536391550242984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146</v>
      </c>
      <c r="BW33" s="12">
        <f>VLOOKUP(A33,'Données projet'!$A$113:$I$133,9,0)</f>
        <v>11.8</v>
      </c>
      <c r="BX33" s="12">
        <f t="array" ref="BX33">INDEX(BW:BW,MIN(IF(ISNUMBER(BW33:BW229),ROW(BW33:BW229),"")))</f>
        <v>11.8</v>
      </c>
      <c r="BY33" s="12">
        <f>IF('Données projet'!$A$114&gt;35,BY32+BX33-CG32,IF(A33&lt;'Données projet'!$A$114,$BV$205^A33,IF(A33='Données projet'!$A$114,'Données projet'!$B$114,BY32+BX33-CG32)))</f>
        <v>145.99999999999997</v>
      </c>
      <c r="BZ33" s="13">
        <f>BY33*VLOOKUP('Données projet'!$B$12,Paramètres!$A$1:$I$89,3,0)*VLOOKUP('Données projet'!$B$12,Paramètres!$A$1:$I$89,5,0)</f>
        <v>127.54559999999999</v>
      </c>
      <c r="CA33" s="13">
        <f t="shared" si="39"/>
        <v>33.428591950384806</v>
      </c>
      <c r="CB33" s="20">
        <f t="shared" si="10"/>
        <v>280.36338431358689</v>
      </c>
      <c r="CC33" s="59">
        <f t="shared" si="11"/>
        <v>519.47080924662885</v>
      </c>
      <c r="CD33" s="59">
        <f ca="1">AVERAGE(OFFSET($CC$3,0,0,'Données projet'!$E$12+1,1))-AVERAGE(OFFSET($H$3,0,0,'Données projet'!$E$12+1,1))</f>
        <v>348.77506423101278</v>
      </c>
      <c r="CE33" s="59">
        <f t="shared" si="40"/>
        <v>336.13747591329548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28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0.13250000000000001</v>
      </c>
      <c r="CJ33" s="16">
        <f>IF(ISNA(VLOOKUP(A33,'Données projet'!$A$113:$I$133,7,0)),0%,VLOOKUP(A33,'Données projet'!$A$113:$I$133,7,0))</f>
        <v>0.25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10.641573683796842</v>
      </c>
      <c r="CM33" s="21">
        <f>EXP(-LN(2)/2)*CM32+(1-EXP(-LN(2)/2))/(LN(2)/2)*CG33*CJ33*VLOOKUP('Données projet'!$B$12,Paramètres!$A$1:$I$89,3,0)*0.475*44/12</f>
        <v>6.9872153118684421</v>
      </c>
      <c r="CN33" s="22">
        <f t="shared" si="12"/>
        <v>17.628788995665285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3.3603333333333336</v>
      </c>
      <c r="CT33" s="12">
        <f>IF('Données projet'!$A$140&gt;35,CT32+CS33-DB32,IF(A33&lt;'Données projet'!$A$140,$CQ$205^A33,IF(A33='Données projet'!$A$140,'Données projet'!$B$140,CT32+CS33-DB32)))</f>
        <v>100.81</v>
      </c>
      <c r="CU33" s="17">
        <f>CT33*VLOOKUP('Données projet'!$B$13,Paramètres!$A$1:$I$89,3,0)*VLOOKUP('Données projet'!$B$13,Paramètres!$A$1:$I$89,5,0)</f>
        <v>97.503432000000004</v>
      </c>
      <c r="CV33" s="13">
        <f t="shared" si="41"/>
        <v>26.366352305926398</v>
      </c>
      <c r="CW33" s="20">
        <f t="shared" si="13"/>
        <v>215.73987433282181</v>
      </c>
      <c r="CX33" s="59">
        <f t="shared" si="14"/>
        <v>454.8472992658638</v>
      </c>
      <c r="CY33" s="59">
        <f ca="1">AVERAGE(OFFSET($CX$3,0,0,'Données projet'!$E$13+1,1))-AVERAGE(OFFSET($H$3,0,0,'Données projet'!$E$13+1,1))</f>
        <v>557.48193674339791</v>
      </c>
      <c r="CZ33" s="59">
        <f t="shared" si="42"/>
        <v>271.51396593253048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3.3603333333333336</v>
      </c>
      <c r="DO33" s="12">
        <f>IF('Données projet'!$A$166&gt;35,DO32+DN33-DW32,IF(A33&lt;'Données projet'!$A$166,$DL$205^A33,IF(A33='Données projet'!$A$166,'Données projet'!$B$166,DO32+DN33-DW32)))</f>
        <v>100.81</v>
      </c>
      <c r="DP33" s="17">
        <f>DO33*VLOOKUP('Données projet'!$B$14,Paramètres!$A$1:$I$89,3,0)*VLOOKUP('Données projet'!$B$14,Paramètres!$A$1:$I$89,5,0)</f>
        <v>108.51188399999999</v>
      </c>
      <c r="DQ33" s="13">
        <f t="shared" si="43"/>
        <v>28.980095382625731</v>
      </c>
      <c r="DR33" s="20">
        <f t="shared" si="16"/>
        <v>239.46519742473978</v>
      </c>
      <c r="DS33" s="59">
        <f t="shared" si="17"/>
        <v>478.57262235778177</v>
      </c>
      <c r="DT33" s="59">
        <f ca="1">AVERAGE(OFFSET($DS$3,0,0,'Données projet'!$E$14+1,1))-AVERAGE(OFFSET($H$3,0,0,'Données projet'!$E$14+1,1))</f>
        <v>610.05768948788375</v>
      </c>
      <c r="DU33" s="59">
        <f t="shared" si="44"/>
        <v>295.23928902444845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4.0942857142857143</v>
      </c>
      <c r="N34" s="13">
        <f>IF('Données projet'!$A$36&gt;35,N33+M34-V33,IF(A34&lt;'Données projet'!$A$36,$K$205^A34,IF(A34='Données projet'!$A$36,'Données projet'!$B$36,N33+M34-V33)))</f>
        <v>126.92285714285723</v>
      </c>
      <c r="O34" s="13">
        <f>N34*VLOOKUP('Données projet'!$B$9,Paramètres!$A$1:$I$89,3,0)*VLOOKUP('Données projet'!$B$9,Paramètres!$A$1:$I$89,5,0)</f>
        <v>114.83980114285721</v>
      </c>
      <c r="P34" s="13">
        <f t="shared" si="33"/>
        <v>30.468406249196239</v>
      </c>
      <c r="Q34" s="20">
        <f t="shared" si="2"/>
        <v>253.07846120782642</v>
      </c>
      <c r="R34" s="59">
        <f t="shared" si="0"/>
        <v>493.12658442064401</v>
      </c>
      <c r="S34" s="59">
        <f ca="1">AVERAGE(OFFSET($R$3,0,0,'Données projet'!$E$9+1,1))-AVERAGE(OFFSET($H$3,0,0,'Données projet'!$E$9+1,1))</f>
        <v>681.47578137804555</v>
      </c>
      <c r="T34" s="59">
        <f t="shared" si="34"/>
        <v>300.88511065995885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>
        <f>VLOOKUP(A34,'Données projet'!$A$61:$I$81,2,0)</f>
        <v>99.358974358974351</v>
      </c>
      <c r="AG34" s="12">
        <f>VLOOKUP(A34,'Données projet'!$A$61:$I$81,9,0)</f>
        <v>7.3717948717948714</v>
      </c>
      <c r="AH34" s="12">
        <f t="array" ref="AH34">INDEX(AG:AG,MIN(IF(ISNUMBER(AG34:AG230),ROW(AG34:AG230),"")))</f>
        <v>7.3717948717948714</v>
      </c>
      <c r="AI34" s="13">
        <f>IF('Données projet'!$A$62&gt;35,AI33+AH34-AQ33,IF(A34&lt;'Données projet'!$A$62,$AF$205^A34,IF(A34='Données projet'!$A$62,'Données projet'!$B$62,AI33+AH34-AQ33)))</f>
        <v>99.358974358974379</v>
      </c>
      <c r="AJ34" s="13">
        <f>AI34*VLOOKUP('Données projet'!$B$10,Paramètres!$A$1:$I$89,3,0)*VLOOKUP('Données projet'!$B$10,Paramètres!$A$1:$I$89,5,0)</f>
        <v>77.500000000000014</v>
      </c>
      <c r="AK34" s="13">
        <f t="shared" si="35"/>
        <v>21.524796250766268</v>
      </c>
      <c r="AL34" s="20">
        <f t="shared" si="4"/>
        <v>172.46818680341792</v>
      </c>
      <c r="AM34" s="59">
        <f t="shared" si="5"/>
        <v>412.51631001623548</v>
      </c>
      <c r="AN34" s="59">
        <f ca="1">AVERAGE(OFFSET($AM$3,0,0,'Données projet'!$E$10+1,1))-AVERAGE(OFFSET($H$3,0,0,'Données projet'!$E$10+1,1))</f>
        <v>217.53602321474159</v>
      </c>
      <c r="AO34" s="59">
        <f t="shared" si="36"/>
        <v>215.75909414893025</v>
      </c>
      <c r="AP34" s="15">
        <f>IF(ISNA(VLOOKUP(A34,'Données projet'!$A$61:$I$81,3,0)),0,VLOOKUP(A34,'Données projet'!$A$61:$I$81,3,0))</f>
        <v>4</v>
      </c>
      <c r="AQ34" s="15">
        <f>IF(ISNA(VLOOKUP(A34,'Données projet'!$A$61:$I$81,4,0)),0,VLOOKUP(A34,'Données projet'!$A$61:$I$81,4,0))</f>
        <v>23.076923076923077</v>
      </c>
      <c r="AR34" s="16">
        <f>IF(ISNA(VLOOKUP(A34,'Données projet'!$A$61:$I$81,5,0)),0%,VLOOKUP(A34,'Données projet'!$A$61:$I$81,5,0)*VLOOKUP('Données projet'!$B$10,Paramètres!$A$1:$I$89,7,0))</f>
        <v>0.1075</v>
      </c>
      <c r="AS34" s="16">
        <f>IF(ISNA(VLOOKUP(A34,'Données projet'!$A$61:$I$81,6,0)),0%,VLOOKUP(A34,'Données projet'!$A$61:$I$81,6,0)*VLOOKUP('Données projet'!$B$10,Paramètres!$A$1:$I$89,7,0))</f>
        <v>0.1075</v>
      </c>
      <c r="AT34" s="16">
        <f>IF(ISNA(VLOOKUP(A34,'Données projet'!$A$61:$I$81,7,0)),0%,VLOOKUP(A34,'Données projet'!$A$61:$I$81,7,0))</f>
        <v>0.25</v>
      </c>
      <c r="AU34" s="21">
        <f>EXP(-LN(2)/35)*AU33+(1-EXP(-LN(2)/35))/(LN(2)/35)*AQ34*AR34*VLOOKUP('Données projet'!$B$10,Paramètres!$A$1:$I$89,3,0)*0.475*44/12</f>
        <v>2.1390851843962584</v>
      </c>
      <c r="AV34" s="21">
        <f>EXP(-LN(2)/25)*AV33+(1-EXP(-LN(2)/25))/(LN(2)/25)*Calculateur!AQ34*Calculateur!AS34*VLOOKUP('Données projet'!$B$10,Paramètres!$A$1:$I$89,3,0)*0.475*44/12</f>
        <v>4.6883830547122312</v>
      </c>
      <c r="AW34" s="21">
        <f>EXP(-LN(2)/2)*AW33+(1-EXP(-LN(2)/2))/(LN(2)/2)*AQ34*AT34*VLOOKUP('Données projet'!$B$10,Paramètres!$A$1:$I$89,3,0)*0.475*44/12</f>
        <v>4.710457390564466</v>
      </c>
      <c r="AX34" s="21">
        <f t="shared" si="6"/>
        <v>11.537925629672955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128.79999999999998</v>
      </c>
      <c r="BE34" s="13">
        <f>BD34*VLOOKUP('Données projet'!$B$11,Paramètres!$A$1:$I$89,3,0)*VLOOKUP('Données projet'!$B$11,Paramètres!$A$1:$I$89,5,0)</f>
        <v>86.399039999999999</v>
      </c>
      <c r="BF34" s="13">
        <f t="shared" si="37"/>
        <v>23.694707062749593</v>
      </c>
      <c r="BG34" s="20">
        <f t="shared" si="7"/>
        <v>191.74660946762219</v>
      </c>
      <c r="BH34" s="59">
        <f t="shared" si="8"/>
        <v>431.79473268043978</v>
      </c>
      <c r="BI34" s="59">
        <f ca="1">AVERAGE(OFFSET($BH$3,0,0,'Données projet'!$E$11+1,1))-AVERAGE(OFFSET($H$3,0,0,'Données projet'!$E$11+1,1))</f>
        <v>281.67293577289729</v>
      </c>
      <c r="BJ34" s="59">
        <f t="shared" si="38"/>
        <v>272.44904846480154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7.9477662419158435</v>
      </c>
      <c r="BR34" s="21">
        <f>EXP(-LN(2)/2)*BR33+(1-EXP(-LN(2)/2))/(LN(2)/2)*BL34*BO34*VLOOKUP('Données projet'!$B$11,Paramètres!$A$1:$I$89,3,0)*0.475*44/12</f>
        <v>3.7937574130572154</v>
      </c>
      <c r="BS34" s="22">
        <f t="shared" si="9"/>
        <v>11.741523654973058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10.8</v>
      </c>
      <c r="BY34" s="12">
        <f>IF('Données projet'!$A$114&gt;35,BY33+BX34-CG33,IF(A34&lt;'Données projet'!$A$114,$BV$205^A34,IF(A34='Données projet'!$A$114,'Données projet'!$B$114,BY33+BX34-CG33)))</f>
        <v>128.79999999999998</v>
      </c>
      <c r="BZ34" s="13">
        <f>BY34*VLOOKUP('Données projet'!$B$12,Paramètres!$A$1:$I$89,3,0)*VLOOKUP('Données projet'!$B$12,Paramètres!$A$1:$I$89,5,0)</f>
        <v>112.51968000000001</v>
      </c>
      <c r="CA34" s="13">
        <f t="shared" si="39"/>
        <v>29.923856072189899</v>
      </c>
      <c r="CB34" s="20">
        <f t="shared" si="10"/>
        <v>248.08915865906408</v>
      </c>
      <c r="CC34" s="59">
        <f t="shared" si="11"/>
        <v>488.13728187188167</v>
      </c>
      <c r="CD34" s="59">
        <f ca="1">AVERAGE(OFFSET($CC$3,0,0,'Données projet'!$E$12+1,1))-AVERAGE(OFFSET($H$3,0,0,'Données projet'!$E$12+1,1))</f>
        <v>348.77506423101278</v>
      </c>
      <c r="CE34" s="59">
        <f t="shared" si="40"/>
        <v>336.13747591329548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10.350579291797379</v>
      </c>
      <c r="CM34" s="21">
        <f>EXP(-LN(2)/2)*CM33+(1-EXP(-LN(2)/2))/(LN(2)/2)*CG34*CJ34*VLOOKUP('Données projet'!$B$12,Paramètres!$A$1:$I$89,3,0)*0.475*44/12</f>
        <v>4.9407073286326533</v>
      </c>
      <c r="CN34" s="22">
        <f t="shared" si="12"/>
        <v>15.291286620430032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3.3603333333333336</v>
      </c>
      <c r="CT34" s="12">
        <f>IF('Données projet'!$A$140&gt;35,CT33+CS34-DB33,IF(A34&lt;'Données projet'!$A$140,$CQ$205^A34,IF(A34='Données projet'!$A$140,'Données projet'!$B$140,CT33+CS34-DB33)))</f>
        <v>104.17033333333333</v>
      </c>
      <c r="CU34" s="17">
        <f>CT34*VLOOKUP('Données projet'!$B$13,Paramètres!$A$1:$I$89,3,0)*VLOOKUP('Données projet'!$B$13,Paramètres!$A$1:$I$89,5,0)</f>
        <v>100.7535464</v>
      </c>
      <c r="CV34" s="13">
        <f t="shared" si="41"/>
        <v>27.141441074999669</v>
      </c>
      <c r="CW34" s="20">
        <f t="shared" si="13"/>
        <v>222.7504365189578</v>
      </c>
      <c r="CX34" s="59">
        <f t="shared" si="14"/>
        <v>462.79855973177536</v>
      </c>
      <c r="CY34" s="59">
        <f ca="1">AVERAGE(OFFSET($CX$3,0,0,'Données projet'!$E$13+1,1))-AVERAGE(OFFSET($H$3,0,0,'Données projet'!$E$13+1,1))</f>
        <v>557.48193674339791</v>
      </c>
      <c r="CZ34" s="59">
        <f t="shared" si="42"/>
        <v>271.51396593253048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3.3603333333333336</v>
      </c>
      <c r="DO34" s="12">
        <f>IF('Données projet'!$A$166&gt;35,DO33+DN34-DW33,IF(A34&lt;'Données projet'!$A$166,$DL$205^A34,IF(A34='Données projet'!$A$166,'Données projet'!$B$166,DO33+DN34-DW33)))</f>
        <v>104.17033333333333</v>
      </c>
      <c r="DP34" s="17">
        <f>DO34*VLOOKUP('Données projet'!$B$14,Paramètres!$A$1:$I$89,3,0)*VLOOKUP('Données projet'!$B$14,Paramètres!$A$1:$I$89,5,0)</f>
        <v>112.12894679999999</v>
      </c>
      <c r="DQ34" s="13">
        <f t="shared" si="43"/>
        <v>29.832020070467255</v>
      </c>
      <c r="DR34" s="20">
        <f t="shared" si="16"/>
        <v>247.24868396606379</v>
      </c>
      <c r="DS34" s="59">
        <f t="shared" si="17"/>
        <v>487.29680717888135</v>
      </c>
      <c r="DT34" s="59">
        <f ca="1">AVERAGE(OFFSET($DS$3,0,0,'Données projet'!$E$14+1,1))-AVERAGE(OFFSET($H$3,0,0,'Données projet'!$E$14+1,1))</f>
        <v>610.05768948788375</v>
      </c>
      <c r="DU34" s="59">
        <f t="shared" si="44"/>
        <v>295.23928902444845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4.0942857142857143</v>
      </c>
      <c r="N35" s="13">
        <f>IF('Données projet'!$A$36&gt;35,N34+M35-V34,IF(A35&lt;'Données projet'!$A$36,$K$205^A35,IF(A35='Données projet'!$A$36,'Données projet'!$B$36,N34+M35-V34)))</f>
        <v>131.01714285714294</v>
      </c>
      <c r="O35" s="13">
        <f>N35*VLOOKUP('Données projet'!$B$9,Paramètres!$A$1:$I$89,3,0)*VLOOKUP('Données projet'!$B$9,Paramètres!$A$1:$I$89,5,0)</f>
        <v>118.54431085714293</v>
      </c>
      <c r="P35" s="13">
        <f t="shared" si="33"/>
        <v>31.335242916471387</v>
      </c>
      <c r="Q35" s="20">
        <f t="shared" ref="Q35:Q66" si="53">(O35+P35)*0.475*44/12</f>
        <v>261.04022282237821</v>
      </c>
      <c r="R35" s="59">
        <f t="shared" si="0"/>
        <v>502.0127253029035</v>
      </c>
      <c r="S35" s="59">
        <f ca="1">AVERAGE(OFFSET($R$3,0,0,'Données projet'!$E$9+1,1))-AVERAGE(OFFSET($H$3,0,0,'Données projet'!$E$9+1,1))</f>
        <v>681.47578137804555</v>
      </c>
      <c r="T35" s="59">
        <f t="shared" si="34"/>
        <v>300.88511065995885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7.3717948717948731</v>
      </c>
      <c r="AI35" s="13">
        <f>IF('Données projet'!$A$62&gt;35,AI34+AH35-AQ34,IF(A35&lt;'Données projet'!$A$62,$AF$205^A35,IF(A35='Données projet'!$A$62,'Données projet'!$B$62,AI34+AH35-AQ34)))</f>
        <v>83.653846153846175</v>
      </c>
      <c r="AJ35" s="13">
        <f>AI35*VLOOKUP('Données projet'!$B$10,Paramètres!$A$1:$I$89,3,0)*VLOOKUP('Données projet'!$B$10,Paramètres!$A$1:$I$89,5,0)</f>
        <v>65.250000000000014</v>
      </c>
      <c r="AK35" s="13">
        <f t="shared" si="35"/>
        <v>18.489084564748591</v>
      </c>
      <c r="AL35" s="20">
        <f t="shared" si="4"/>
        <v>145.84557228360381</v>
      </c>
      <c r="AM35" s="59">
        <f t="shared" si="5"/>
        <v>386.81807476412916</v>
      </c>
      <c r="AN35" s="59">
        <f ca="1">AVERAGE(OFFSET($AM$3,0,0,'Données projet'!$E$10+1,1))-AVERAGE(OFFSET($H$3,0,0,'Données projet'!$E$10+1,1))</f>
        <v>217.53602321474159</v>
      </c>
      <c r="AO35" s="59">
        <f t="shared" si="36"/>
        <v>215.75909414893025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2.0971390286433804</v>
      </c>
      <c r="AV35" s="21">
        <f>EXP(-LN(2)/25)*AV34+(1-EXP(-LN(2)/25))/(LN(2)/25)*Calculateur!AQ35*Calculateur!AS35*VLOOKUP('Données projet'!$B$10,Paramètres!$A$1:$I$89,3,0)*0.475*44/12</f>
        <v>4.5601789735297755</v>
      </c>
      <c r="AW35" s="21">
        <f>EXP(-LN(2)/2)*AW34+(1-EXP(-LN(2)/2))/(LN(2)/2)*AQ35*AT35*VLOOKUP('Données projet'!$B$10,Paramètres!$A$1:$I$89,3,0)*0.475*44/12</f>
        <v>3.3307963633584237</v>
      </c>
      <c r="AX35" s="21">
        <f t="shared" si="6"/>
        <v>9.9881143655315796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139.6</v>
      </c>
      <c r="BE35" s="13">
        <f>BD35*VLOOKUP('Données projet'!$B$11,Paramètres!$A$1:$I$89,3,0)*VLOOKUP('Données projet'!$B$11,Paramètres!$A$1:$I$89,5,0)</f>
        <v>93.643680000000003</v>
      </c>
      <c r="BF35" s="13">
        <f t="shared" si="37"/>
        <v>25.441952820256734</v>
      </c>
      <c r="BG35" s="20">
        <f t="shared" si="7"/>
        <v>207.40747716194713</v>
      </c>
      <c r="BH35" s="59">
        <f t="shared" si="8"/>
        <v>448.37997964247245</v>
      </c>
      <c r="BI35" s="59">
        <f ca="1">AVERAGE(OFFSET($BH$3,0,0,'Données projet'!$E$11+1,1))-AVERAGE(OFFSET($H$3,0,0,'Données projet'!$E$11+1,1))</f>
        <v>281.67293577289729</v>
      </c>
      <c r="BJ35" s="59">
        <f t="shared" si="38"/>
        <v>272.44904846480154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7.730434156075793</v>
      </c>
      <c r="BR35" s="21">
        <f>EXP(-LN(2)/2)*BR34+(1-EXP(-LN(2)/2))/(LN(2)/2)*BL35*BO35*VLOOKUP('Données projet'!$B$11,Paramètres!$A$1:$I$89,3,0)*0.475*44/12</f>
        <v>2.6825915929494912</v>
      </c>
      <c r="BS35" s="22">
        <f t="shared" si="9"/>
        <v>10.413025749025284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10.8</v>
      </c>
      <c r="BY35" s="12">
        <f>IF('Données projet'!$A$114&gt;35,BY34+BX35-CG34,IF(A35&lt;'Données projet'!$A$114,$BV$205^A35,IF(A35='Données projet'!$A$114,'Données projet'!$B$114,BY34+BX35-CG34)))</f>
        <v>139.6</v>
      </c>
      <c r="BZ35" s="13">
        <f>BY35*VLOOKUP('Données projet'!$B$12,Paramètres!$A$1:$I$89,3,0)*VLOOKUP('Données projet'!$B$12,Paramètres!$A$1:$I$89,5,0)</f>
        <v>121.95456</v>
      </c>
      <c r="CA35" s="13">
        <f t="shared" si="39"/>
        <v>32.130438767300902</v>
      </c>
      <c r="CB35" s="20">
        <f t="shared" si="10"/>
        <v>268.36470618638242</v>
      </c>
      <c r="CC35" s="59">
        <f t="shared" si="11"/>
        <v>509.33720866690771</v>
      </c>
      <c r="CD35" s="59">
        <f ca="1">AVERAGE(OFFSET($CC$3,0,0,'Données projet'!$E$12+1,1))-AVERAGE(OFFSET($H$3,0,0,'Données projet'!$E$12+1,1))</f>
        <v>348.77506423101278</v>
      </c>
      <c r="CE35" s="59">
        <f t="shared" si="40"/>
        <v>336.13747591329548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10.067542156749871</v>
      </c>
      <c r="CM35" s="21">
        <f>EXP(-LN(2)/2)*CM34+(1-EXP(-LN(2)/2))/(LN(2)/2)*CG35*CJ35*VLOOKUP('Données projet'!$B$12,Paramètres!$A$1:$I$89,3,0)*0.475*44/12</f>
        <v>3.4936076559342215</v>
      </c>
      <c r="CN35" s="22">
        <f t="shared" si="12"/>
        <v>13.561149812684093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3.3603333333333336</v>
      </c>
      <c r="CT35" s="12">
        <f>IF('Données projet'!$A$140&gt;35,CT34+CS35-DB34,IF(A35&lt;'Données projet'!$A$140,$CQ$205^A35,IF(A35='Données projet'!$A$140,'Données projet'!$B$140,CT34+CS35-DB34)))</f>
        <v>107.53066666666666</v>
      </c>
      <c r="CU35" s="17">
        <f>CT35*VLOOKUP('Données projet'!$B$13,Paramètres!$A$1:$I$89,3,0)*VLOOKUP('Données projet'!$B$13,Paramètres!$A$1:$I$89,5,0)</f>
        <v>104.00366079999999</v>
      </c>
      <c r="CV35" s="13">
        <f t="shared" si="41"/>
        <v>27.913624435496846</v>
      </c>
      <c r="CW35" s="20">
        <f t="shared" si="13"/>
        <v>229.75593845182368</v>
      </c>
      <c r="CX35" s="59">
        <f t="shared" si="14"/>
        <v>470.72844093234903</v>
      </c>
      <c r="CY35" s="59">
        <f ca="1">AVERAGE(OFFSET($CX$3,0,0,'Données projet'!$E$13+1,1))-AVERAGE(OFFSET($H$3,0,0,'Données projet'!$E$13+1,1))</f>
        <v>557.48193674339791</v>
      </c>
      <c r="CZ35" s="59">
        <f t="shared" si="42"/>
        <v>271.51396593253048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3.3603333333333336</v>
      </c>
      <c r="DO35" s="12">
        <f>IF('Données projet'!$A$166&gt;35,DO34+DN35-DW34,IF(A35&lt;'Données projet'!$A$166,$DL$205^A35,IF(A35='Données projet'!$A$166,'Données projet'!$B$166,DO34+DN35-DW34)))</f>
        <v>107.53066666666666</v>
      </c>
      <c r="DP35" s="17">
        <f>DO35*VLOOKUP('Données projet'!$B$14,Paramètres!$A$1:$I$89,3,0)*VLOOKUP('Données projet'!$B$14,Paramètres!$A$1:$I$89,5,0)</f>
        <v>115.74600959999999</v>
      </c>
      <c r="DQ35" s="13">
        <f t="shared" si="43"/>
        <v>30.680751331448501</v>
      </c>
      <c r="DR35" s="20">
        <f t="shared" si="16"/>
        <v>255.02660862227276</v>
      </c>
      <c r="DS35" s="59">
        <f t="shared" si="17"/>
        <v>495.99911110279811</v>
      </c>
      <c r="DT35" s="59">
        <f ca="1">AVERAGE(OFFSET($DS$3,0,0,'Données projet'!$E$14+1,1))-AVERAGE(OFFSET($H$3,0,0,'Données projet'!$E$14+1,1))</f>
        <v>610.05768948788375</v>
      </c>
      <c r="DU35" s="59">
        <f t="shared" si="44"/>
        <v>295.23928902444845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4.0942857142857143</v>
      </c>
      <c r="N36" s="13">
        <f>IF('Données projet'!$A$36&gt;35,N35+M36-V35,IF(A36&lt;'Données projet'!$A$36,$K$205^A36,IF(A36='Données projet'!$A$36,'Données projet'!$B$36,N35+M36-V35)))</f>
        <v>135.11142857142866</v>
      </c>
      <c r="O36" s="13">
        <f>N36*VLOOKUP('Données projet'!$B$9,Paramètres!$A$1:$I$89,3,0)*VLOOKUP('Données projet'!$B$9,Paramètres!$A$1:$I$89,5,0)</f>
        <v>122.24882057142865</v>
      </c>
      <c r="P36" s="13">
        <f t="shared" si="33"/>
        <v>32.198931651835657</v>
      </c>
      <c r="Q36" s="20">
        <f t="shared" si="53"/>
        <v>268.99650178885196</v>
      </c>
      <c r="R36" s="59">
        <f t="shared" si="0"/>
        <v>510.87734762339267</v>
      </c>
      <c r="S36" s="59">
        <f ca="1">AVERAGE(OFFSET($R$3,0,0,'Données projet'!$E$9+1,1))-AVERAGE(OFFSET($H$3,0,0,'Données projet'!$E$9+1,1))</f>
        <v>681.47578137804555</v>
      </c>
      <c r="T36" s="59">
        <f t="shared" si="34"/>
        <v>300.88511065995885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7.3717948717948731</v>
      </c>
      <c r="AI36" s="13">
        <f>IF('Données projet'!$A$62&gt;35,AI35+AH36-AQ35,IF(A36&lt;'Données projet'!$A$62,$AF$205^A36,IF(A36='Données projet'!$A$62,'Données projet'!$B$62,AI35+AH36-AQ35)))</f>
        <v>91.02564102564105</v>
      </c>
      <c r="AJ36" s="13">
        <f>AI36*VLOOKUP('Données projet'!$B$10,Paramètres!$A$1:$I$89,3,0)*VLOOKUP('Données projet'!$B$10,Paramètres!$A$1:$I$89,5,0)</f>
        <v>71.000000000000028</v>
      </c>
      <c r="AK36" s="13">
        <f t="shared" si="35"/>
        <v>19.921587432217475</v>
      </c>
      <c r="AL36" s="20">
        <f t="shared" si="4"/>
        <v>158.35509811111217</v>
      </c>
      <c r="AM36" s="59">
        <f t="shared" si="5"/>
        <v>400.23594394565293</v>
      </c>
      <c r="AN36" s="59">
        <f ca="1">AVERAGE(OFFSET($AM$3,0,0,'Données projet'!$E$10+1,1))-AVERAGE(OFFSET($H$3,0,0,'Données projet'!$E$10+1,1))</f>
        <v>217.53602321474159</v>
      </c>
      <c r="AO36" s="59">
        <f t="shared" si="36"/>
        <v>215.75909414893025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2.0560154114201876</v>
      </c>
      <c r="AV36" s="21">
        <f>EXP(-LN(2)/25)*AV35+(1-EXP(-LN(2)/25))/(LN(2)/25)*Calculateur!AQ36*Calculateur!AS36*VLOOKUP('Données projet'!$B$10,Paramètres!$A$1:$I$89,3,0)*0.475*44/12</f>
        <v>4.4354806396892137</v>
      </c>
      <c r="AW36" s="21">
        <f>EXP(-LN(2)/2)*AW35+(1-EXP(-LN(2)/2))/(LN(2)/2)*AQ36*AT36*VLOOKUP('Données projet'!$B$10,Paramètres!$A$1:$I$89,3,0)*0.475*44/12</f>
        <v>2.3552286952822334</v>
      </c>
      <c r="AX36" s="21">
        <f t="shared" si="6"/>
        <v>8.8467247463916348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150.4</v>
      </c>
      <c r="BE36" s="13">
        <f>BD36*VLOOKUP('Données projet'!$B$11,Paramètres!$A$1:$I$89,3,0)*VLOOKUP('Données projet'!$B$11,Paramètres!$A$1:$I$89,5,0)</f>
        <v>100.88831999999999</v>
      </c>
      <c r="BF36" s="13">
        <f t="shared" si="37"/>
        <v>27.173518485539002</v>
      </c>
      <c r="BG36" s="20">
        <f t="shared" si="7"/>
        <v>223.04103536231375</v>
      </c>
      <c r="BH36" s="59">
        <f t="shared" si="8"/>
        <v>464.92188119685449</v>
      </c>
      <c r="BI36" s="59">
        <f ca="1">AVERAGE(OFFSET($BH$3,0,0,'Données projet'!$E$11+1,1))-AVERAGE(OFFSET($H$3,0,0,'Données projet'!$E$11+1,1))</f>
        <v>281.67293577289729</v>
      </c>
      <c r="BJ36" s="59">
        <f t="shared" si="38"/>
        <v>272.44904846480154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7.5190450275520364</v>
      </c>
      <c r="BR36" s="21">
        <f>EXP(-LN(2)/2)*BR35+(1-EXP(-LN(2)/2))/(LN(2)/2)*BL36*BO36*VLOOKUP('Données projet'!$B$11,Paramètres!$A$1:$I$89,3,0)*0.475*44/12</f>
        <v>1.8968787065286079</v>
      </c>
      <c r="BS36" s="22">
        <f t="shared" si="9"/>
        <v>9.4159237340806445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10.8</v>
      </c>
      <c r="BY36" s="12">
        <f>IF('Données projet'!$A$114&gt;35,BY35+BX36-CG35,IF(A36&lt;'Données projet'!$A$114,$BV$205^A36,IF(A36='Données projet'!$A$114,'Données projet'!$B$114,BY35+BX36-CG35)))</f>
        <v>150.4</v>
      </c>
      <c r="BZ36" s="13">
        <f>BY36*VLOOKUP('Données projet'!$B$12,Paramètres!$A$1:$I$89,3,0)*VLOOKUP('Données projet'!$B$12,Paramètres!$A$1:$I$89,5,0)</f>
        <v>131.38944000000004</v>
      </c>
      <c r="CA36" s="13">
        <f t="shared" si="39"/>
        <v>34.317219199328761</v>
      </c>
      <c r="CB36" s="20">
        <f t="shared" si="10"/>
        <v>288.60576477216426</v>
      </c>
      <c r="CC36" s="59">
        <f t="shared" si="11"/>
        <v>530.48661060670497</v>
      </c>
      <c r="CD36" s="59">
        <f ca="1">AVERAGE(OFFSET($CC$3,0,0,'Données projet'!$E$12+1,1))-AVERAGE(OFFSET($H$3,0,0,'Données projet'!$E$12+1,1))</f>
        <v>348.77506423101278</v>
      </c>
      <c r="CE36" s="59">
        <f t="shared" si="40"/>
        <v>336.13747591329548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9.7922446870445139</v>
      </c>
      <c r="CM36" s="21">
        <f>EXP(-LN(2)/2)*CM35+(1-EXP(-LN(2)/2))/(LN(2)/2)*CG36*CJ36*VLOOKUP('Données projet'!$B$12,Paramètres!$A$1:$I$89,3,0)*0.475*44/12</f>
        <v>2.4703536643163271</v>
      </c>
      <c r="CN36" s="22">
        <f t="shared" si="12"/>
        <v>12.262598351360841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3.3603333333333336</v>
      </c>
      <c r="CT36" s="12">
        <f>IF('Données projet'!$A$140&gt;35,CT35+CS36-DB35,IF(A36&lt;'Données projet'!$A$140,$CQ$205^A36,IF(A36='Données projet'!$A$140,'Données projet'!$B$140,CT35+CS36-DB35)))</f>
        <v>110.89099999999999</v>
      </c>
      <c r="CU36" s="17">
        <f>CT36*VLOOKUP('Données projet'!$B$13,Paramètres!$A$1:$I$89,3,0)*VLOOKUP('Données projet'!$B$13,Paramètres!$A$1:$I$89,5,0)</f>
        <v>107.25377520000001</v>
      </c>
      <c r="CV36" s="13">
        <f t="shared" si="41"/>
        <v>28.683003599155882</v>
      </c>
      <c r="CW36" s="20">
        <f t="shared" si="13"/>
        <v>236.75655640852983</v>
      </c>
      <c r="CX36" s="59">
        <f t="shared" si="14"/>
        <v>478.6374022430706</v>
      </c>
      <c r="CY36" s="59">
        <f ca="1">AVERAGE(OFFSET($CX$3,0,0,'Données projet'!$E$13+1,1))-AVERAGE(OFFSET($H$3,0,0,'Données projet'!$E$13+1,1))</f>
        <v>557.48193674339791</v>
      </c>
      <c r="CZ36" s="59">
        <f t="shared" si="42"/>
        <v>271.51396593253048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3.3603333333333336</v>
      </c>
      <c r="DO36" s="12">
        <f>IF('Données projet'!$A$166&gt;35,DO35+DN36-DW35,IF(A36&lt;'Données projet'!$A$166,$DL$205^A36,IF(A36='Données projet'!$A$166,'Données projet'!$B$166,DO35+DN36-DW35)))</f>
        <v>110.89099999999999</v>
      </c>
      <c r="DP36" s="17">
        <f>DO36*VLOOKUP('Données projet'!$B$14,Paramètres!$A$1:$I$89,3,0)*VLOOKUP('Données projet'!$B$14,Paramètres!$A$1:$I$89,5,0)</f>
        <v>119.36307239999999</v>
      </c>
      <c r="DQ36" s="13">
        <f t="shared" si="43"/>
        <v>31.526400410605778</v>
      </c>
      <c r="DR36" s="20">
        <f t="shared" si="16"/>
        <v>262.79916514513837</v>
      </c>
      <c r="DS36" s="59">
        <f t="shared" si="17"/>
        <v>504.68001097967908</v>
      </c>
      <c r="DT36" s="59">
        <f ca="1">AVERAGE(OFFSET($DS$3,0,0,'Données projet'!$E$14+1,1))-AVERAGE(OFFSET($H$3,0,0,'Données projet'!$E$14+1,1))</f>
        <v>610.05768948788375</v>
      </c>
      <c r="DU36" s="59">
        <f t="shared" si="44"/>
        <v>295.23928902444845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4.0942857142857143</v>
      </c>
      <c r="N37" s="13">
        <f>IF('Données projet'!$A$36&gt;35,N36+M37-V36,IF(A37&lt;'Données projet'!$A$36,$K$205^A37,IF(A37='Données projet'!$A$36,'Données projet'!$B$36,N36+M37-V36)))</f>
        <v>139.20571428571438</v>
      </c>
      <c r="O37" s="13">
        <f>N37*VLOOKUP('Données projet'!$B$9,Paramètres!$A$1:$I$89,3,0)*VLOOKUP('Données projet'!$B$9,Paramètres!$A$1:$I$89,5,0)</f>
        <v>125.95333028571436</v>
      </c>
      <c r="P37" s="13">
        <f t="shared" si="33"/>
        <v>33.059578796189285</v>
      </c>
      <c r="Q37" s="20">
        <f t="shared" si="53"/>
        <v>276.94748331764885</v>
      </c>
      <c r="R37" s="59">
        <f t="shared" si="0"/>
        <v>519.72091477976437</v>
      </c>
      <c r="S37" s="59">
        <f ca="1">AVERAGE(OFFSET($R$3,0,0,'Données projet'!$E$9+1,1))-AVERAGE(OFFSET($H$3,0,0,'Données projet'!$E$9+1,1))</f>
        <v>681.47578137804555</v>
      </c>
      <c r="T37" s="59">
        <f t="shared" si="34"/>
        <v>300.88511065995885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7.3717948717948731</v>
      </c>
      <c r="AI37" s="13">
        <f>IF('Données projet'!$A$62&gt;35,AI36+AH37-AQ36,IF(A37&lt;'Données projet'!$A$62,$AF$205^A37,IF(A37='Données projet'!$A$62,'Données projet'!$B$62,AI36+AH37-AQ36)))</f>
        <v>98.397435897435926</v>
      </c>
      <c r="AJ37" s="13">
        <f>AI37*VLOOKUP('Données projet'!$B$10,Paramètres!$A$1:$I$89,3,0)*VLOOKUP('Données projet'!$B$10,Paramètres!$A$1:$I$89,5,0)</f>
        <v>76.750000000000028</v>
      </c>
      <c r="AK37" s="13">
        <f t="shared" si="35"/>
        <v>21.340634370994778</v>
      </c>
      <c r="AL37" s="20">
        <f t="shared" si="4"/>
        <v>170.84118819614926</v>
      </c>
      <c r="AM37" s="59">
        <f t="shared" si="5"/>
        <v>413.61461965826481</v>
      </c>
      <c r="AN37" s="59">
        <f ca="1">AVERAGE(OFFSET($AM$3,0,0,'Données projet'!$E$10+1,1))-AVERAGE(OFFSET($H$3,0,0,'Données projet'!$E$10+1,1))</f>
        <v>217.53602321474159</v>
      </c>
      <c r="AO37" s="59">
        <f t="shared" si="36"/>
        <v>215.75909414893025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2.0156982032478119</v>
      </c>
      <c r="AV37" s="21">
        <f>EXP(-LN(2)/25)*AV36+(1-EXP(-LN(2)/25))/(LN(2)/25)*Calculateur!AQ37*Calculateur!AS37*VLOOKUP('Données projet'!$B$10,Paramètres!$A$1:$I$89,3,0)*0.475*44/12</f>
        <v>4.3141921883451229</v>
      </c>
      <c r="AW37" s="21">
        <f>EXP(-LN(2)/2)*AW36+(1-EXP(-LN(2)/2))/(LN(2)/2)*AQ37*AT37*VLOOKUP('Données projet'!$B$10,Paramètres!$A$1:$I$89,3,0)*0.475*44/12</f>
        <v>1.6653981816792123</v>
      </c>
      <c r="AX37" s="21">
        <f t="shared" si="6"/>
        <v>7.9952885732721466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161.20000000000002</v>
      </c>
      <c r="BE37" s="13">
        <f>BD37*VLOOKUP('Données projet'!$B$11,Paramètres!$A$1:$I$89,3,0)*VLOOKUP('Données projet'!$B$11,Paramètres!$A$1:$I$89,5,0)</f>
        <v>108.13296000000001</v>
      </c>
      <c r="BF37" s="13">
        <f t="shared" si="37"/>
        <v>28.890658079177882</v>
      </c>
      <c r="BG37" s="20">
        <f t="shared" si="7"/>
        <v>238.64946815456815</v>
      </c>
      <c r="BH37" s="59">
        <f t="shared" si="8"/>
        <v>481.42289961668371</v>
      </c>
      <c r="BI37" s="59">
        <f ca="1">AVERAGE(OFFSET($BH$3,0,0,'Données projet'!$E$11+1,1))-AVERAGE(OFFSET($H$3,0,0,'Données projet'!$E$11+1,1))</f>
        <v>281.67293577289729</v>
      </c>
      <c r="BJ37" s="59">
        <f t="shared" si="38"/>
        <v>272.44904846480154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7.3134363458642326</v>
      </c>
      <c r="BR37" s="21">
        <f>EXP(-LN(2)/2)*BR36+(1-EXP(-LN(2)/2))/(LN(2)/2)*BL37*BO37*VLOOKUP('Données projet'!$B$11,Paramètres!$A$1:$I$89,3,0)*0.475*44/12</f>
        <v>1.3412957964747458</v>
      </c>
      <c r="BS37" s="22">
        <f t="shared" si="9"/>
        <v>8.6547321423389789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10.8</v>
      </c>
      <c r="BY37" s="12">
        <f>IF('Données projet'!$A$114&gt;35,BY36+BX37-CG36,IF(A37&lt;'Données projet'!$A$114,$BV$205^A37,IF(A37='Données projet'!$A$114,'Données projet'!$B$114,BY36+BX37-CG36)))</f>
        <v>161.20000000000002</v>
      </c>
      <c r="BZ37" s="13">
        <f>BY37*VLOOKUP('Données projet'!$B$12,Paramètres!$A$1:$I$89,3,0)*VLOOKUP('Données projet'!$B$12,Paramètres!$A$1:$I$89,5,0)</f>
        <v>140.82432000000003</v>
      </c>
      <c r="CA37" s="13">
        <f t="shared" si="39"/>
        <v>36.485781060837802</v>
      </c>
      <c r="CB37" s="20">
        <f t="shared" si="10"/>
        <v>308.81509268095925</v>
      </c>
      <c r="CC37" s="59">
        <f t="shared" si="11"/>
        <v>551.58852414307489</v>
      </c>
      <c r="CD37" s="59">
        <f ca="1">AVERAGE(OFFSET($CC$3,0,0,'Données projet'!$E$12+1,1))-AVERAGE(OFFSET($H$3,0,0,'Données projet'!$E$12+1,1))</f>
        <v>348.77506423101278</v>
      </c>
      <c r="CE37" s="59">
        <f t="shared" si="40"/>
        <v>336.13747591329548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9.5244752411255149</v>
      </c>
      <c r="CM37" s="21">
        <f>EXP(-LN(2)/2)*CM36+(1-EXP(-LN(2)/2))/(LN(2)/2)*CG37*CJ37*VLOOKUP('Données projet'!$B$12,Paramètres!$A$1:$I$89,3,0)*0.475*44/12</f>
        <v>1.746803827967111</v>
      </c>
      <c r="CN37" s="22">
        <f t="shared" si="12"/>
        <v>11.271279069092627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3.3603333333333336</v>
      </c>
      <c r="CT37" s="12">
        <f>IF('Données projet'!$A$140&gt;35,CT36+CS37-DB36,IF(A37&lt;'Données projet'!$A$140,$CQ$205^A37,IF(A37='Données projet'!$A$140,'Données projet'!$B$140,CT36+CS37-DB36)))</f>
        <v>114.25133333333332</v>
      </c>
      <c r="CU37" s="17">
        <f>CT37*VLOOKUP('Données projet'!$B$13,Paramètres!$A$1:$I$89,3,0)*VLOOKUP('Données projet'!$B$13,Paramètres!$A$1:$I$89,5,0)</f>
        <v>110.50388959999999</v>
      </c>
      <c r="CV37" s="13">
        <f t="shared" si="41"/>
        <v>29.449673295095682</v>
      </c>
      <c r="CW37" s="20">
        <f t="shared" si="13"/>
        <v>243.75245537562498</v>
      </c>
      <c r="CX37" s="59">
        <f t="shared" si="14"/>
        <v>486.52588683774059</v>
      </c>
      <c r="CY37" s="59">
        <f ca="1">AVERAGE(OFFSET($CX$3,0,0,'Données projet'!$E$13+1,1))-AVERAGE(OFFSET($H$3,0,0,'Données projet'!$E$13+1,1))</f>
        <v>557.48193674339791</v>
      </c>
      <c r="CZ37" s="59">
        <f t="shared" si="42"/>
        <v>271.51396593253048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3.3603333333333336</v>
      </c>
      <c r="DO37" s="12">
        <f>IF('Données projet'!$A$166&gt;35,DO36+DN37-DW36,IF(A37&lt;'Données projet'!$A$166,$DL$205^A37,IF(A37='Données projet'!$A$166,'Données projet'!$B$166,DO36+DN37-DW36)))</f>
        <v>114.25133333333332</v>
      </c>
      <c r="DP37" s="17">
        <f>DO37*VLOOKUP('Données projet'!$B$14,Paramètres!$A$1:$I$89,3,0)*VLOOKUP('Données projet'!$B$14,Paramètres!$A$1:$I$89,5,0)</f>
        <v>122.98013519999999</v>
      </c>
      <c r="DQ37" s="13">
        <f t="shared" si="43"/>
        <v>32.369071427722922</v>
      </c>
      <c r="DR37" s="20">
        <f t="shared" si="16"/>
        <v>270.56653487661737</v>
      </c>
      <c r="DS37" s="59">
        <f t="shared" si="17"/>
        <v>513.33996633873289</v>
      </c>
      <c r="DT37" s="59">
        <f ca="1">AVERAGE(OFFSET($DS$3,0,0,'Données projet'!$E$14+1,1))-AVERAGE(OFFSET($H$3,0,0,'Données projet'!$E$14+1,1))</f>
        <v>610.05768948788375</v>
      </c>
      <c r="DU37" s="59">
        <f t="shared" si="44"/>
        <v>295.23928902444845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4.0942857142857143</v>
      </c>
      <c r="N38" s="13">
        <f>IF('Données projet'!$A$36&gt;35,N37+M38-V37,IF(A38&lt;'Données projet'!$A$36,$K$205^A38,IF(A38='Données projet'!$A$36,'Données projet'!$B$36,N37+M38-V37)))</f>
        <v>143.3000000000001</v>
      </c>
      <c r="O38" s="13">
        <f>N38*VLOOKUP('Données projet'!$B$9,Paramètres!$A$1:$I$89,3,0)*VLOOKUP('Données projet'!$B$9,Paramètres!$A$1:$I$89,5,0)</f>
        <v>129.65784000000008</v>
      </c>
      <c r="P38" s="13">
        <f t="shared" si="33"/>
        <v>33.917284079455818</v>
      </c>
      <c r="Q38" s="20">
        <f t="shared" si="53"/>
        <v>284.89334110505234</v>
      </c>
      <c r="R38" s="59">
        <f t="shared" si="0"/>
        <v>528.54387382962682</v>
      </c>
      <c r="S38" s="59">
        <f ca="1">AVERAGE(OFFSET($R$3,0,0,'Données projet'!$E$9+1,1))-AVERAGE(OFFSET($H$3,0,0,'Données projet'!$E$9+1,1))</f>
        <v>681.47578137804555</v>
      </c>
      <c r="T38" s="59">
        <f t="shared" si="34"/>
        <v>300.88511065995885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7.3717948717948731</v>
      </c>
      <c r="AI38" s="13">
        <f>IF('Données projet'!$A$62&gt;35,AI37+AH38-AQ37,IF(A38&lt;'Données projet'!$A$62,$AF$205^A38,IF(A38='Données projet'!$A$62,'Données projet'!$B$62,AI37+AH38-AQ37)))</f>
        <v>105.7692307692308</v>
      </c>
      <c r="AJ38" s="13">
        <f>AI38*VLOOKUP('Données projet'!$B$10,Paramètres!$A$1:$I$89,3,0)*VLOOKUP('Données projet'!$B$10,Paramètres!$A$1:$I$89,5,0)</f>
        <v>82.500000000000028</v>
      </c>
      <c r="AK38" s="13">
        <f t="shared" si="35"/>
        <v>22.747348109696244</v>
      </c>
      <c r="AL38" s="20">
        <f t="shared" si="4"/>
        <v>183.30579795772098</v>
      </c>
      <c r="AM38" s="59">
        <f t="shared" si="5"/>
        <v>426.95633068229552</v>
      </c>
      <c r="AN38" s="59">
        <f ca="1">AVERAGE(OFFSET($AM$3,0,0,'Données projet'!$E$10+1,1))-AVERAGE(OFFSET($H$3,0,0,'Données projet'!$E$10+1,1))</f>
        <v>217.53602321474159</v>
      </c>
      <c r="AO38" s="59">
        <f t="shared" si="36"/>
        <v>215.75909414893025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1.9761715909366278</v>
      </c>
      <c r="AV38" s="21">
        <f>EXP(-LN(2)/25)*AV37+(1-EXP(-LN(2)/25))/(LN(2)/25)*Calculateur!AQ38*Calculateur!AS38*VLOOKUP('Données projet'!$B$10,Paramètres!$A$1:$I$89,3,0)*0.475*44/12</f>
        <v>4.1962203760813184</v>
      </c>
      <c r="AW38" s="21">
        <f>EXP(-LN(2)/2)*AW37+(1-EXP(-LN(2)/2))/(LN(2)/2)*AQ38*AT38*VLOOKUP('Données projet'!$B$10,Paramètres!$A$1:$I$89,3,0)*0.475*44/12</f>
        <v>1.1776143476411169</v>
      </c>
      <c r="AX38" s="21">
        <f t="shared" si="6"/>
        <v>7.3500063146590628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172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172.00000000000003</v>
      </c>
      <c r="BE38" s="13">
        <f>BD38*VLOOKUP('Données projet'!$B$11,Paramètres!$A$1:$I$89,3,0)*VLOOKUP('Données projet'!$B$11,Paramètres!$A$1:$I$89,5,0)</f>
        <v>115.37760000000002</v>
      </c>
      <c r="BF38" s="13">
        <f t="shared" si="37"/>
        <v>30.59444808195472</v>
      </c>
      <c r="BG38" s="20">
        <f t="shared" si="7"/>
        <v>254.23465040940448</v>
      </c>
      <c r="BH38" s="59">
        <f t="shared" si="8"/>
        <v>497.88518313397901</v>
      </c>
      <c r="BI38" s="59">
        <f ca="1">AVERAGE(OFFSET($BH$3,0,0,'Données projet'!$E$11+1,1))-AVERAGE(OFFSET($H$3,0,0,'Données projet'!$E$11+1,1))</f>
        <v>281.67293577289729</v>
      </c>
      <c r="BJ38" s="59">
        <f t="shared" si="38"/>
        <v>272.44904846480154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0.13250000000000001</v>
      </c>
      <c r="BO38" s="16">
        <f>IF(ISNA(VLOOKUP(A38,'Données projet'!$A$87:$I$107,7,0)),0%,VLOOKUP(A38,'Données projet'!$A$87:$I$107,7,0))</f>
        <v>0.25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9.8537664819491404</v>
      </c>
      <c r="BR38" s="21">
        <f>EXP(-LN(2)/2)*BR37+(1-EXP(-LN(2)/2))/(LN(2)/2)*BL38*BO38*VLOOKUP('Données projet'!$B$11,Paramètres!$A$1:$I$89,3,0)*0.475*44/12</f>
        <v>5.3788643334853656</v>
      </c>
      <c r="BS38" s="22">
        <f t="shared" si="9"/>
        <v>15.232630815434506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172</v>
      </c>
      <c r="BW38" s="12">
        <f>VLOOKUP(A38,'Données projet'!$A$113:$I$133,9,0)</f>
        <v>10.8</v>
      </c>
      <c r="BX38" s="12">
        <f t="array" ref="BX38">INDEX(BW:BW,MIN(IF(ISNUMBER(BW38:BW234),ROW(BW38:BW234),"")))</f>
        <v>10.8</v>
      </c>
      <c r="BY38" s="12">
        <f>IF('Données projet'!$A$114&gt;35,BY37+BX38-CG37,IF(A38&lt;'Données projet'!$A$114,$BV$205^A38,IF(A38='Données projet'!$A$114,'Données projet'!$B$114,BY37+BX38-CG37)))</f>
        <v>172.00000000000003</v>
      </c>
      <c r="BZ38" s="13">
        <f>BY38*VLOOKUP('Données projet'!$B$12,Paramètres!$A$1:$I$89,3,0)*VLOOKUP('Données projet'!$B$12,Paramètres!$A$1:$I$89,5,0)</f>
        <v>150.25920000000005</v>
      </c>
      <c r="CA38" s="13">
        <f t="shared" si="39"/>
        <v>38.637483830798729</v>
      </c>
      <c r="CB38" s="20">
        <f t="shared" si="10"/>
        <v>328.99505767197456</v>
      </c>
      <c r="CC38" s="59">
        <f t="shared" si="11"/>
        <v>572.6455903965491</v>
      </c>
      <c r="CD38" s="59">
        <f ca="1">AVERAGE(OFFSET($CC$3,0,0,'Données projet'!$E$12+1,1))-AVERAGE(OFFSET($H$3,0,0,'Données projet'!$E$12+1,1))</f>
        <v>348.77506423101278</v>
      </c>
      <c r="CE38" s="59">
        <f t="shared" si="40"/>
        <v>336.13747591329548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28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0.13250000000000001</v>
      </c>
      <c r="CJ38" s="16">
        <f>IF(ISNA(VLOOKUP(A38,'Données projet'!$A$113:$I$133,7,0)),0%,VLOOKUP(A38,'Données projet'!$A$113:$I$133,7,0))</f>
        <v>0.25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12.832812162538419</v>
      </c>
      <c r="CM38" s="21">
        <f>EXP(-LN(2)/2)*CM37+(1-EXP(-LN(2)/2))/(LN(2)/2)*CG38*CJ38*VLOOKUP('Données projet'!$B$12,Paramètres!$A$1:$I$89,3,0)*0.475*44/12</f>
        <v>7.0050326203530346</v>
      </c>
      <c r="CN38" s="22">
        <f t="shared" si="12"/>
        <v>19.837844782891452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3.3603333333333336</v>
      </c>
      <c r="CT38" s="12">
        <f>IF('Données projet'!$A$140&gt;35,CT37+CS38-DB37,IF(A38&lt;'Données projet'!$A$140,$CQ$205^A38,IF(A38='Données projet'!$A$140,'Données projet'!$B$140,CT37+CS38-DB37)))</f>
        <v>117.61166666666665</v>
      </c>
      <c r="CU38" s="17">
        <f>CT38*VLOOKUP('Données projet'!$B$13,Paramètres!$A$1:$I$89,3,0)*VLOOKUP('Données projet'!$B$13,Paramètres!$A$1:$I$89,5,0)</f>
        <v>113.75400399999999</v>
      </c>
      <c r="CV38" s="13">
        <f t="shared" si="41"/>
        <v>30.213722363336938</v>
      </c>
      <c r="CW38" s="20">
        <f t="shared" si="13"/>
        <v>250.74379008281184</v>
      </c>
      <c r="CX38" s="59">
        <f t="shared" si="14"/>
        <v>494.39432280738635</v>
      </c>
      <c r="CY38" s="59">
        <f ca="1">AVERAGE(OFFSET($CX$3,0,0,'Données projet'!$E$13+1,1))-AVERAGE(OFFSET($H$3,0,0,'Données projet'!$E$13+1,1))</f>
        <v>557.48193674339791</v>
      </c>
      <c r="CZ38" s="59">
        <f t="shared" si="42"/>
        <v>271.51396593253048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3.3603333333333336</v>
      </c>
      <c r="DO38" s="12">
        <f>IF('Données projet'!$A$166&gt;35,DO37+DN38-DW37,IF(A38&lt;'Données projet'!$A$166,$DL$205^A38,IF(A38='Données projet'!$A$166,'Données projet'!$B$166,DO37+DN38-DW37)))</f>
        <v>117.61166666666665</v>
      </c>
      <c r="DP38" s="17">
        <f>DO38*VLOOKUP('Données projet'!$B$14,Paramètres!$A$1:$I$89,3,0)*VLOOKUP('Données projet'!$B$14,Paramètres!$A$1:$I$89,5,0)</f>
        <v>126.59719799999999</v>
      </c>
      <c r="DQ38" s="13">
        <f t="shared" si="43"/>
        <v>33.208862029688788</v>
      </c>
      <c r="DR38" s="20">
        <f t="shared" si="16"/>
        <v>278.3288878850413</v>
      </c>
      <c r="DS38" s="59">
        <f t="shared" si="17"/>
        <v>521.97942060961577</v>
      </c>
      <c r="DT38" s="59">
        <f ca="1">AVERAGE(OFFSET($DS$3,0,0,'Données projet'!$E$14+1,1))-AVERAGE(OFFSET($H$3,0,0,'Données projet'!$E$14+1,1))</f>
        <v>610.05768948788375</v>
      </c>
      <c r="DU38" s="59">
        <f t="shared" si="44"/>
        <v>295.23928902444845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4.0942857142857143</v>
      </c>
      <c r="N39" s="13">
        <f>IF('Données projet'!$A$36&gt;35,N38+M39-V38,IF(A39&lt;'Données projet'!$A$36,$K$205^A39,IF(A39='Données projet'!$A$36,'Données projet'!$B$36,N38+M39-V38)))</f>
        <v>147.39428571428581</v>
      </c>
      <c r="O39" s="13">
        <f>N39*VLOOKUP('Données projet'!$B$9,Paramètres!$A$1:$I$89,3,0)*VLOOKUP('Données projet'!$B$9,Paramètres!$A$1:$I$89,5,0)</f>
        <v>133.36234971428578</v>
      </c>
      <c r="P39" s="13">
        <f t="shared" si="33"/>
        <v>34.772141208569977</v>
      </c>
      <c r="Q39" s="20">
        <f t="shared" si="53"/>
        <v>292.83423835730713</v>
      </c>
      <c r="R39" s="59">
        <f t="shared" si="0"/>
        <v>537.3466565983415</v>
      </c>
      <c r="S39" s="59">
        <f ca="1">AVERAGE(OFFSET($R$3,0,0,'Données projet'!$E$9+1,1))-AVERAGE(OFFSET($H$3,0,0,'Données projet'!$E$9+1,1))</f>
        <v>681.47578137804555</v>
      </c>
      <c r="T39" s="59">
        <f t="shared" si="34"/>
        <v>300.88511065995885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7.3717948717948731</v>
      </c>
      <c r="AI39" s="13">
        <f>IF('Données projet'!$A$62&gt;35,AI38+AH39-AQ38,IF(A39&lt;'Données projet'!$A$62,$AF$205^A39,IF(A39='Données projet'!$A$62,'Données projet'!$B$62,AI38+AH39-AQ38)))</f>
        <v>113.14102564102568</v>
      </c>
      <c r="AJ39" s="13">
        <f>AI39*VLOOKUP('Données projet'!$B$10,Paramètres!$A$1:$I$89,3,0)*VLOOKUP('Données projet'!$B$10,Paramètres!$A$1:$I$89,5,0)</f>
        <v>88.250000000000028</v>
      </c>
      <c r="AK39" s="13">
        <f t="shared" si="35"/>
        <v>24.142686012928117</v>
      </c>
      <c r="AL39" s="20">
        <f t="shared" si="4"/>
        <v>195.75059480584989</v>
      </c>
      <c r="AM39" s="59">
        <f t="shared" si="5"/>
        <v>440.26301304688434</v>
      </c>
      <c r="AN39" s="59">
        <f ca="1">AVERAGE(OFFSET($AM$3,0,0,'Données projet'!$E$10+1,1))-AVERAGE(OFFSET($H$3,0,0,'Données projet'!$E$10+1,1))</f>
        <v>217.53602321474159</v>
      </c>
      <c r="AO39" s="59">
        <f t="shared" si="36"/>
        <v>215.75909414893025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1.9374200713840131</v>
      </c>
      <c r="AV39" s="21">
        <f>EXP(-LN(2)/25)*AV38+(1-EXP(-LN(2)/25))/(LN(2)/25)*Calculateur!AQ39*Calculateur!AS39*VLOOKUP('Données projet'!$B$10,Paramètres!$A$1:$I$89,3,0)*0.475*44/12</f>
        <v>4.0814745092277356</v>
      </c>
      <c r="AW39" s="21">
        <f>EXP(-LN(2)/2)*AW38+(1-EXP(-LN(2)/2))/(LN(2)/2)*AQ39*AT39*VLOOKUP('Données projet'!$B$10,Paramètres!$A$1:$I$89,3,0)*0.475*44/12</f>
        <v>0.83269909083960625</v>
      </c>
      <c r="AX39" s="21">
        <f t="shared" si="6"/>
        <v>6.8515936714513543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9.6</v>
      </c>
      <c r="BD39" s="12">
        <f>IF('Données projet'!$A$88&gt;35,BD38+BC39-BL38,IF(A39&lt;'Données projet'!$A$88,$BA$205^A39,IF(A39='Données projet'!$A$88,'Données projet'!$B$88,BD38+BC39-BL38)))</f>
        <v>153.60000000000002</v>
      </c>
      <c r="BE39" s="13">
        <f>BD39*VLOOKUP('Données projet'!$B$11,Paramètres!$A$1:$I$89,3,0)*VLOOKUP('Données projet'!$B$11,Paramètres!$A$1:$I$89,5,0)</f>
        <v>103.03488</v>
      </c>
      <c r="BF39" s="13">
        <f t="shared" si="37"/>
        <v>27.683752986660451</v>
      </c>
      <c r="BG39" s="20">
        <f t="shared" si="7"/>
        <v>227.66828578510027</v>
      </c>
      <c r="BH39" s="59">
        <f t="shared" si="8"/>
        <v>472.18070402613466</v>
      </c>
      <c r="BI39" s="59">
        <f ca="1">AVERAGE(OFFSET($BH$3,0,0,'Données projet'!$E$11+1,1))-AVERAGE(OFFSET($H$3,0,0,'Données projet'!$E$11+1,1))</f>
        <v>281.67293577289729</v>
      </c>
      <c r="BJ39" s="59">
        <f t="shared" si="38"/>
        <v>272.44904846480154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9.5843147193131824</v>
      </c>
      <c r="BR39" s="21">
        <f>EXP(-LN(2)/2)*BR38+(1-EXP(-LN(2)/2))/(LN(2)/2)*BL39*BO39*VLOOKUP('Données projet'!$B$11,Paramètres!$A$1:$I$89,3,0)*0.475*44/12</f>
        <v>3.8034314452899616</v>
      </c>
      <c r="BS39" s="22">
        <f t="shared" si="9"/>
        <v>13.387746164603143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9.6</v>
      </c>
      <c r="BY39" s="12">
        <f>IF('Données projet'!$A$114&gt;35,BY38+BX39-CG38,IF(A39&lt;'Données projet'!$A$114,$BV$205^A39,IF(A39='Données projet'!$A$114,'Données projet'!$B$114,BY38+BX39-CG38)))</f>
        <v>153.60000000000002</v>
      </c>
      <c r="BZ39" s="13">
        <f>BY39*VLOOKUP('Données projet'!$B$12,Paramètres!$A$1:$I$89,3,0)*VLOOKUP('Données projet'!$B$12,Paramètres!$A$1:$I$89,5,0)</f>
        <v>134.18496000000005</v>
      </c>
      <c r="CA39" s="13">
        <f t="shared" si="39"/>
        <v>34.961590270648216</v>
      </c>
      <c r="CB39" s="20">
        <f t="shared" si="10"/>
        <v>294.59690838804573</v>
      </c>
      <c r="CC39" s="59">
        <f t="shared" si="11"/>
        <v>539.10932662908021</v>
      </c>
      <c r="CD39" s="59">
        <f ca="1">AVERAGE(OFFSET($CC$3,0,0,'Données projet'!$E$12+1,1))-AVERAGE(OFFSET($H$3,0,0,'Données projet'!$E$12+1,1))</f>
        <v>348.77506423101278</v>
      </c>
      <c r="CE39" s="59">
        <f t="shared" si="40"/>
        <v>336.13747591329548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12.481898239105544</v>
      </c>
      <c r="CM39" s="21">
        <f>EXP(-LN(2)/2)*CM38+(1-EXP(-LN(2)/2))/(LN(2)/2)*CG39*CJ39*VLOOKUP('Données projet'!$B$12,Paramètres!$A$1:$I$89,3,0)*0.475*44/12</f>
        <v>4.9533060682846015</v>
      </c>
      <c r="CN39" s="22">
        <f t="shared" si="12"/>
        <v>17.435204307390144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3.3603333333333336</v>
      </c>
      <c r="CT39" s="12">
        <f>IF('Données projet'!$A$140&gt;35,CT38+CS39-DB38,IF(A39&lt;'Données projet'!$A$140,$CQ$205^A39,IF(A39='Données projet'!$A$140,'Données projet'!$B$140,CT38+CS39-DB38)))</f>
        <v>120.97199999999998</v>
      </c>
      <c r="CU39" s="17">
        <f>CT39*VLOOKUP('Données projet'!$B$13,Paramètres!$A$1:$I$89,3,0)*VLOOKUP('Données projet'!$B$13,Paramètres!$A$1:$I$89,5,0)</f>
        <v>117.00411839999998</v>
      </c>
      <c r="CV39" s="13">
        <f t="shared" si="41"/>
        <v>30.975234278585425</v>
      </c>
      <c r="CW39" s="20">
        <f t="shared" si="13"/>
        <v>257.73070591520286</v>
      </c>
      <c r="CX39" s="59">
        <f t="shared" si="14"/>
        <v>502.24312415623729</v>
      </c>
      <c r="CY39" s="59">
        <f ca="1">AVERAGE(OFFSET($CX$3,0,0,'Données projet'!$E$13+1,1))-AVERAGE(OFFSET($H$3,0,0,'Données projet'!$E$13+1,1))</f>
        <v>557.48193674339791</v>
      </c>
      <c r="CZ39" s="59">
        <f t="shared" si="42"/>
        <v>271.51396593253048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3.3603333333333336</v>
      </c>
      <c r="DO39" s="12">
        <f>IF('Données projet'!$A$166&gt;35,DO38+DN39-DW38,IF(A39&lt;'Données projet'!$A$166,$DL$205^A39,IF(A39='Données projet'!$A$166,'Données projet'!$B$166,DO38+DN39-DW38)))</f>
        <v>120.97199999999998</v>
      </c>
      <c r="DP39" s="17">
        <f>DO39*VLOOKUP('Données projet'!$B$14,Paramètres!$A$1:$I$89,3,0)*VLOOKUP('Données projet'!$B$14,Paramètres!$A$1:$I$89,5,0)</f>
        <v>130.21426079999995</v>
      </c>
      <c r="DQ39" s="13">
        <f t="shared" si="43"/>
        <v>34.045863966204202</v>
      </c>
      <c r="DR39" s="20">
        <f t="shared" si="16"/>
        <v>286.08638396780555</v>
      </c>
      <c r="DS39" s="59">
        <f t="shared" si="17"/>
        <v>530.59880220883997</v>
      </c>
      <c r="DT39" s="59">
        <f ca="1">AVERAGE(OFFSET($DS$3,0,0,'Données projet'!$E$14+1,1))-AVERAGE(OFFSET($H$3,0,0,'Données projet'!$E$14+1,1))</f>
        <v>610.05768948788375</v>
      </c>
      <c r="DU39" s="59">
        <f t="shared" si="44"/>
        <v>295.23928902444845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4.0942857142857143</v>
      </c>
      <c r="N40" s="13">
        <f>IF('Données projet'!$A$36&gt;35,N39+M40-V39,IF(A40&lt;'Données projet'!$A$36,$K$205^A40,IF(A40='Données projet'!$A$36,'Données projet'!$B$36,N39+M40-V39)))</f>
        <v>151.48857142857153</v>
      </c>
      <c r="O40" s="13">
        <f>N40*VLOOKUP('Données projet'!$B$9,Paramètres!$A$1:$I$89,3,0)*VLOOKUP('Données projet'!$B$9,Paramètres!$A$1:$I$89,5,0)</f>
        <v>137.06685942857152</v>
      </c>
      <c r="P40" s="13">
        <f t="shared" si="33"/>
        <v>35.624238388297236</v>
      </c>
      <c r="Q40" s="20">
        <f t="shared" si="53"/>
        <v>300.77032869771307</v>
      </c>
      <c r="R40" s="59">
        <f t="shared" si="0"/>
        <v>546.12968066838414</v>
      </c>
      <c r="S40" s="59">
        <f ca="1">AVERAGE(OFFSET($R$3,0,0,'Données projet'!$E$9+1,1))-AVERAGE(OFFSET($H$3,0,0,'Données projet'!$E$9+1,1))</f>
        <v>681.47578137804555</v>
      </c>
      <c r="T40" s="59">
        <f t="shared" si="34"/>
        <v>300.88511065995885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>
        <f>VLOOKUP(A40,'Données projet'!$A$61:$I$81,2,0)</f>
        <v>120.51282051282051</v>
      </c>
      <c r="AG40" s="12">
        <f>VLOOKUP(A40,'Données projet'!$A$61:$I$81,9,0)</f>
        <v>7.3717948717948731</v>
      </c>
      <c r="AH40" s="12">
        <f t="array" ref="AH40">INDEX(AG:AG,MIN(IF(ISNUMBER(AG40:AG236),ROW(AG40:AG236),"")))</f>
        <v>7.3717948717948731</v>
      </c>
      <c r="AI40" s="13">
        <f>IF('Données projet'!$A$62&gt;35,AI39+AH40-AQ39,IF(A40&lt;'Données projet'!$A$62,$AF$205^A40,IF(A40='Données projet'!$A$62,'Données projet'!$B$62,AI39+AH40-AQ39)))</f>
        <v>120.51282051282055</v>
      </c>
      <c r="AJ40" s="13">
        <f>AI40*VLOOKUP('Données projet'!$B$10,Paramètres!$A$1:$I$89,3,0)*VLOOKUP('Données projet'!$B$10,Paramètres!$A$1:$I$89,5,0)</f>
        <v>94.000000000000028</v>
      </c>
      <c r="AK40" s="13">
        <f t="shared" si="35"/>
        <v>25.527473634349285</v>
      </c>
      <c r="AL40" s="20">
        <f t="shared" si="4"/>
        <v>208.17701657982505</v>
      </c>
      <c r="AM40" s="59">
        <f t="shared" si="5"/>
        <v>453.53636855049615</v>
      </c>
      <c r="AN40" s="59">
        <f ca="1">AVERAGE(OFFSET($AM$3,0,0,'Données projet'!$E$10+1,1))-AVERAGE(OFFSET($H$3,0,0,'Données projet'!$E$10+1,1))</f>
        <v>217.53602321474159</v>
      </c>
      <c r="AO40" s="59">
        <f t="shared" si="36"/>
        <v>215.75909414893025</v>
      </c>
      <c r="AP40" s="15">
        <f>IF(ISNA(VLOOKUP(A40,'Données projet'!$A$61:$I$81,3,0)),0,VLOOKUP(A40,'Données projet'!$A$61:$I$81,3,0))</f>
        <v>5</v>
      </c>
      <c r="AQ40" s="15">
        <f>IF(ISNA(VLOOKUP(A40,'Données projet'!$A$61:$I$81,4,0)),0,VLOOKUP(A40,'Données projet'!$A$61:$I$81,4,0))</f>
        <v>23.076923076923077</v>
      </c>
      <c r="AR40" s="16">
        <f>IF(ISNA(VLOOKUP(A40,'Données projet'!$A$61:$I$81,5,0)),0%,VLOOKUP(A40,'Données projet'!$A$61:$I$81,5,0)*VLOOKUP('Données projet'!$B$10,Paramètres!$A$1:$I$89,7,0))</f>
        <v>0.1075</v>
      </c>
      <c r="AS40" s="16">
        <f>IF(ISNA(VLOOKUP(A40,'Données projet'!$A$61:$I$81,6,0)),0%,VLOOKUP(A40,'Données projet'!$A$61:$I$81,6,0)*VLOOKUP('Données projet'!$B$10,Paramètres!$A$1:$I$89,7,0))</f>
        <v>0.1075</v>
      </c>
      <c r="AT40" s="16">
        <f>IF(ISNA(VLOOKUP(A40,'Données projet'!$A$61:$I$81,7,0)),0%,VLOOKUP(A40,'Données projet'!$A$61:$I$81,7,0))</f>
        <v>0.25</v>
      </c>
      <c r="AU40" s="21">
        <f>EXP(-LN(2)/35)*AU39+(1-EXP(-LN(2)/35))/(LN(2)/35)*AQ40*AR40*VLOOKUP('Données projet'!$B$10,Paramètres!$A$1:$I$89,3,0)*0.475*44/12</f>
        <v>4.0385136298899909</v>
      </c>
      <c r="AV40" s="21">
        <f>EXP(-LN(2)/25)*AV39+(1-EXP(-LN(2)/25))/(LN(2)/25)*Calculateur!AQ40*Calculateur!AS40*VLOOKUP('Données projet'!$B$10,Paramètres!$A$1:$I$89,3,0)*0.475*44/12</f>
        <v>6.1005291651074227</v>
      </c>
      <c r="AW40" s="21">
        <f>EXP(-LN(2)/2)*AW39+(1-EXP(-LN(2)/2))/(LN(2)/2)*AQ40*AT40*VLOOKUP('Données projet'!$B$10,Paramètres!$A$1:$I$89,3,0)*0.475*44/12</f>
        <v>4.8346782895448053</v>
      </c>
      <c r="AX40" s="21">
        <f t="shared" si="6"/>
        <v>14.97372108454222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9.6</v>
      </c>
      <c r="BD40" s="12">
        <f>IF('Données projet'!$A$88&gt;35,BD39+BC40-BL39,IF(A40&lt;'Données projet'!$A$88,$BA$205^A40,IF(A40='Données projet'!$A$88,'Données projet'!$B$88,BD39+BC40-BL39)))</f>
        <v>163.20000000000002</v>
      </c>
      <c r="BE40" s="13">
        <f>BD40*VLOOKUP('Données projet'!$B$11,Paramètres!$A$1:$I$89,3,0)*VLOOKUP('Données projet'!$B$11,Paramètres!$A$1:$I$89,5,0)</f>
        <v>109.47456000000001</v>
      </c>
      <c r="BF40" s="13">
        <f t="shared" si="37"/>
        <v>29.207152332483151</v>
      </c>
      <c r="BG40" s="20">
        <f t="shared" si="7"/>
        <v>241.53731564574147</v>
      </c>
      <c r="BH40" s="59">
        <f t="shared" si="8"/>
        <v>486.89666761641257</v>
      </c>
      <c r="BI40" s="59">
        <f ca="1">AVERAGE(OFFSET($BH$3,0,0,'Données projet'!$E$11+1,1))-AVERAGE(OFFSET($H$3,0,0,'Données projet'!$E$11+1,1))</f>
        <v>281.67293577289729</v>
      </c>
      <c r="BJ40" s="59">
        <f t="shared" si="38"/>
        <v>272.44904846480154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9.3222311292963571</v>
      </c>
      <c r="BR40" s="21">
        <f>EXP(-LN(2)/2)*BR39+(1-EXP(-LN(2)/2))/(LN(2)/2)*BL40*BO40*VLOOKUP('Données projet'!$B$11,Paramètres!$A$1:$I$89,3,0)*0.475*44/12</f>
        <v>2.6894321667426833</v>
      </c>
      <c r="BS40" s="22">
        <f t="shared" si="9"/>
        <v>12.011663296039041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9.6</v>
      </c>
      <c r="BY40" s="12">
        <f>IF('Données projet'!$A$114&gt;35,BY39+BX40-CG39,IF(A40&lt;'Données projet'!$A$114,$BV$205^A40,IF(A40='Données projet'!$A$114,'Données projet'!$B$114,BY39+BX40-CG39)))</f>
        <v>163.20000000000002</v>
      </c>
      <c r="BZ40" s="13">
        <f>BY40*VLOOKUP('Données projet'!$B$12,Paramètres!$A$1:$I$89,3,0)*VLOOKUP('Données projet'!$B$12,Paramètres!$A$1:$I$89,5,0)</f>
        <v>142.57152000000005</v>
      </c>
      <c r="CA40" s="13">
        <f t="shared" si="39"/>
        <v>36.885479122455578</v>
      </c>
      <c r="CB40" s="20">
        <f t="shared" si="10"/>
        <v>312.5542734716102</v>
      </c>
      <c r="CC40" s="59">
        <f t="shared" si="11"/>
        <v>557.91362544228127</v>
      </c>
      <c r="CD40" s="59">
        <f ca="1">AVERAGE(OFFSET($CC$3,0,0,'Données projet'!$E$12+1,1))-AVERAGE(OFFSET($H$3,0,0,'Données projet'!$E$12+1,1))</f>
        <v>348.77506423101278</v>
      </c>
      <c r="CE40" s="59">
        <f t="shared" si="40"/>
        <v>336.13747591329548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12.140580075362703</v>
      </c>
      <c r="CM40" s="21">
        <f>EXP(-LN(2)/2)*CM39+(1-EXP(-LN(2)/2))/(LN(2)/2)*CG40*CJ40*VLOOKUP('Données projet'!$B$12,Paramètres!$A$1:$I$89,3,0)*0.475*44/12</f>
        <v>3.5025163101765182</v>
      </c>
      <c r="CN40" s="22">
        <f t="shared" si="12"/>
        <v>15.64309638553922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3.3603333333333336</v>
      </c>
      <c r="CT40" s="12">
        <f>IF('Données projet'!$A$140&gt;35,CT39+CS40-DB39,IF(A40&lt;'Données projet'!$A$140,$CQ$205^A40,IF(A40='Données projet'!$A$140,'Données projet'!$B$140,CT39+CS40-DB39)))</f>
        <v>124.33233333333331</v>
      </c>
      <c r="CU40" s="17">
        <f>CT40*VLOOKUP('Données projet'!$B$13,Paramètres!$A$1:$I$89,3,0)*VLOOKUP('Données projet'!$B$13,Paramètres!$A$1:$I$89,5,0)</f>
        <v>120.25423279999997</v>
      </c>
      <c r="CV40" s="13">
        <f t="shared" si="41"/>
        <v>31.734287614181273</v>
      </c>
      <c r="CW40" s="20">
        <f t="shared" si="13"/>
        <v>264.71333972136563</v>
      </c>
      <c r="CX40" s="59">
        <f t="shared" si="14"/>
        <v>510.07269169203676</v>
      </c>
      <c r="CY40" s="59">
        <f ca="1">AVERAGE(OFFSET($CX$3,0,0,'Données projet'!$E$13+1,1))-AVERAGE(OFFSET($H$3,0,0,'Données projet'!$E$13+1,1))</f>
        <v>557.48193674339791</v>
      </c>
      <c r="CZ40" s="59">
        <f t="shared" si="42"/>
        <v>271.51396593253048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3.3603333333333336</v>
      </c>
      <c r="DO40" s="12">
        <f>IF('Données projet'!$A$166&gt;35,DO39+DN40-DW39,IF(A40&lt;'Données projet'!$A$166,$DL$205^A40,IF(A40='Données projet'!$A$166,'Données projet'!$B$166,DO39+DN40-DW39)))</f>
        <v>124.33233333333331</v>
      </c>
      <c r="DP40" s="17">
        <f>DO40*VLOOKUP('Données projet'!$B$14,Paramètres!$A$1:$I$89,3,0)*VLOOKUP('Données projet'!$B$14,Paramètres!$A$1:$I$89,5,0)</f>
        <v>133.83132359999996</v>
      </c>
      <c r="DQ40" s="13">
        <f t="shared" si="43"/>
        <v>34.880163599723161</v>
      </c>
      <c r="DR40" s="20">
        <f t="shared" si="16"/>
        <v>293.83917353951779</v>
      </c>
      <c r="DS40" s="59">
        <f t="shared" si="17"/>
        <v>539.19852551018892</v>
      </c>
      <c r="DT40" s="59">
        <f ca="1">AVERAGE(OFFSET($DS$3,0,0,'Données projet'!$E$14+1,1))-AVERAGE(OFFSET($H$3,0,0,'Données projet'!$E$14+1,1))</f>
        <v>610.05768948788375</v>
      </c>
      <c r="DU40" s="59">
        <f t="shared" si="44"/>
        <v>295.23928902444845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4.0942857142857143</v>
      </c>
      <c r="N41" s="13">
        <f>IF('Données projet'!$A$36&gt;35,N40+M41-V40,IF(A41&lt;'Données projet'!$A$36,$K$205^A41,IF(A41='Données projet'!$A$36,'Données projet'!$B$36,N40+M41-V40)))</f>
        <v>155.58285714285725</v>
      </c>
      <c r="O41" s="13">
        <f>N41*VLOOKUP('Données projet'!$B$9,Paramètres!$A$1:$I$89,3,0)*VLOOKUP('Données projet'!$B$9,Paramètres!$A$1:$I$89,5,0)</f>
        <v>140.77136914285722</v>
      </c>
      <c r="P41" s="13">
        <f t="shared" si="33"/>
        <v>36.473658784165018</v>
      </c>
      <c r="Q41" s="20">
        <f t="shared" si="53"/>
        <v>308.70175697289704</v>
      </c>
      <c r="R41" s="59">
        <f t="shared" si="0"/>
        <v>554.89335026645574</v>
      </c>
      <c r="S41" s="59">
        <f ca="1">AVERAGE(OFFSET($R$3,0,0,'Données projet'!$E$9+1,1))-AVERAGE(OFFSET($H$3,0,0,'Données projet'!$E$9+1,1))</f>
        <v>681.47578137804555</v>
      </c>
      <c r="T41" s="59">
        <f t="shared" si="34"/>
        <v>300.88511065995885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7.1428571428571432</v>
      </c>
      <c r="AI41" s="13">
        <f>IF('Données projet'!$A$62&gt;35,AI40+AH41-AQ40,IF(A41&lt;'Données projet'!$A$62,$AF$205^A41,IF(A41='Données projet'!$A$62,'Données projet'!$B$62,AI40+AH41-AQ40)))</f>
        <v>104.57875457875461</v>
      </c>
      <c r="AJ41" s="13">
        <f>AI41*VLOOKUP('Données projet'!$B$10,Paramètres!$A$1:$I$89,3,0)*VLOOKUP('Données projet'!$B$10,Paramètres!$A$1:$I$89,5,0)</f>
        <v>81.571428571428598</v>
      </c>
      <c r="AK41" s="13">
        <f t="shared" si="35"/>
        <v>22.520970512999273</v>
      </c>
      <c r="AL41" s="20">
        <f t="shared" si="4"/>
        <v>181.29426173871184</v>
      </c>
      <c r="AM41" s="59">
        <f t="shared" si="5"/>
        <v>427.48585503227059</v>
      </c>
      <c r="AN41" s="59">
        <f ca="1">AVERAGE(OFFSET($AM$3,0,0,'Données projet'!$E$10+1,1))-AVERAGE(OFFSET($H$3,0,0,'Données projet'!$E$10+1,1))</f>
        <v>217.53602321474159</v>
      </c>
      <c r="AO41" s="59">
        <f t="shared" si="36"/>
        <v>215.75909414893025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3.9593208408579366</v>
      </c>
      <c r="AV41" s="21">
        <f>EXP(-LN(2)/25)*AV40+(1-EXP(-LN(2)/25))/(LN(2)/25)*Calculateur!AQ41*Calculateur!AS41*VLOOKUP('Données projet'!$B$10,Paramètres!$A$1:$I$89,3,0)*0.475*44/12</f>
        <v>5.9337098742746743</v>
      </c>
      <c r="AW41" s="21">
        <f>EXP(-LN(2)/2)*AW40+(1-EXP(-LN(2)/2))/(LN(2)/2)*AQ41*AT41*VLOOKUP('Données projet'!$B$10,Paramètres!$A$1:$I$89,3,0)*0.475*44/12</f>
        <v>3.4186338033925106</v>
      </c>
      <c r="AX41" s="21">
        <f t="shared" si="6"/>
        <v>13.31166451852512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9.6</v>
      </c>
      <c r="BD41" s="12">
        <f>IF('Données projet'!$A$88&gt;35,BD40+BC41-BL40,IF(A41&lt;'Données projet'!$A$88,$BA$205^A41,IF(A41='Données projet'!$A$88,'Données projet'!$B$88,BD40+BC41-BL40)))</f>
        <v>172.8</v>
      </c>
      <c r="BE41" s="13">
        <f>BD41*VLOOKUP('Données projet'!$B$11,Paramètres!$A$1:$I$89,3,0)*VLOOKUP('Données projet'!$B$11,Paramètres!$A$1:$I$89,5,0)</f>
        <v>115.91424000000001</v>
      </c>
      <c r="BF41" s="13">
        <f t="shared" si="37"/>
        <v>30.720150170890342</v>
      </c>
      <c r="BG41" s="20">
        <f t="shared" si="7"/>
        <v>255.38822954763404</v>
      </c>
      <c r="BH41" s="59">
        <f t="shared" si="8"/>
        <v>501.57982284119277</v>
      </c>
      <c r="BI41" s="59">
        <f ca="1">AVERAGE(OFFSET($BH$3,0,0,'Données projet'!$E$11+1,1))-AVERAGE(OFFSET($H$3,0,0,'Données projet'!$E$11+1,1))</f>
        <v>281.67293577289729</v>
      </c>
      <c r="BJ41" s="59">
        <f t="shared" si="38"/>
        <v>272.44904846480154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9.0673142288309201</v>
      </c>
      <c r="BR41" s="21">
        <f>EXP(-LN(2)/2)*BR40+(1-EXP(-LN(2)/2))/(LN(2)/2)*BL41*BO41*VLOOKUP('Données projet'!$B$11,Paramètres!$A$1:$I$89,3,0)*0.475*44/12</f>
        <v>1.901715722644981</v>
      </c>
      <c r="BS41" s="22">
        <f t="shared" si="9"/>
        <v>10.969029951475902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9.6</v>
      </c>
      <c r="BY41" s="12">
        <f>IF('Données projet'!$A$114&gt;35,BY40+BX41-CG40,IF(A41&lt;'Données projet'!$A$114,$BV$205^A41,IF(A41='Données projet'!$A$114,'Données projet'!$B$114,BY40+BX41-CG40)))</f>
        <v>172.8</v>
      </c>
      <c r="BZ41" s="13">
        <f>BY41*VLOOKUP('Données projet'!$B$12,Paramètres!$A$1:$I$89,3,0)*VLOOKUP('Données projet'!$B$12,Paramètres!$A$1:$I$89,5,0)</f>
        <v>150.95808000000002</v>
      </c>
      <c r="CA41" s="13">
        <f t="shared" si="39"/>
        <v>38.796231993724774</v>
      </c>
      <c r="CB41" s="20">
        <f t="shared" si="10"/>
        <v>330.48876005573732</v>
      </c>
      <c r="CC41" s="59">
        <f t="shared" si="11"/>
        <v>576.68035334929607</v>
      </c>
      <c r="CD41" s="59">
        <f ca="1">AVERAGE(OFFSET($CC$3,0,0,'Données projet'!$E$12+1,1))-AVERAGE(OFFSET($H$3,0,0,'Données projet'!$E$12+1,1))</f>
        <v>348.77506423101278</v>
      </c>
      <c r="CE41" s="59">
        <f t="shared" si="40"/>
        <v>336.13747591329548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11.80859527475655</v>
      </c>
      <c r="CM41" s="21">
        <f>EXP(-LN(2)/2)*CM40+(1-EXP(-LN(2)/2))/(LN(2)/2)*CG41*CJ41*VLOOKUP('Données projet'!$B$12,Paramètres!$A$1:$I$89,3,0)*0.475*44/12</f>
        <v>2.4766530341423012</v>
      </c>
      <c r="CN41" s="22">
        <f t="shared" si="12"/>
        <v>14.285248308898851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3.3603333333333336</v>
      </c>
      <c r="CT41" s="12">
        <f>IF('Données projet'!$A$140&gt;35,CT40+CS41-DB40,IF(A41&lt;'Données projet'!$A$140,$CQ$205^A41,IF(A41='Données projet'!$A$140,'Données projet'!$B$140,CT40+CS41-DB40)))</f>
        <v>127.69266666666664</v>
      </c>
      <c r="CU41" s="17">
        <f>CT41*VLOOKUP('Données projet'!$B$13,Paramètres!$A$1:$I$89,3,0)*VLOOKUP('Données projet'!$B$13,Paramètres!$A$1:$I$89,5,0)</f>
        <v>123.50434719999998</v>
      </c>
      <c r="CV41" s="13">
        <f t="shared" si="41"/>
        <v>32.490956454480575</v>
      </c>
      <c r="CW41" s="20">
        <f t="shared" si="13"/>
        <v>271.69182053155362</v>
      </c>
      <c r="CX41" s="59">
        <f t="shared" si="14"/>
        <v>517.88341382511237</v>
      </c>
      <c r="CY41" s="59">
        <f ca="1">AVERAGE(OFFSET($CX$3,0,0,'Données projet'!$E$13+1,1))-AVERAGE(OFFSET($H$3,0,0,'Données projet'!$E$13+1,1))</f>
        <v>557.48193674339791</v>
      </c>
      <c r="CZ41" s="59">
        <f t="shared" si="42"/>
        <v>271.51396593253048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3.3603333333333336</v>
      </c>
      <c r="DO41" s="12">
        <f>IF('Données projet'!$A$166&gt;35,DO40+DN41-DW40,IF(A41&lt;'Données projet'!$A$166,$DL$205^A41,IF(A41='Données projet'!$A$166,'Données projet'!$B$166,DO40+DN41-DW40)))</f>
        <v>127.69266666666664</v>
      </c>
      <c r="DP41" s="17">
        <f>DO41*VLOOKUP('Données projet'!$B$14,Paramètres!$A$1:$I$89,3,0)*VLOOKUP('Données projet'!$B$14,Paramètres!$A$1:$I$89,5,0)</f>
        <v>137.44838639999995</v>
      </c>
      <c r="DQ41" s="13">
        <f t="shared" si="43"/>
        <v>35.711842358715067</v>
      </c>
      <c r="DR41" s="20">
        <f t="shared" si="16"/>
        <v>301.58739842142865</v>
      </c>
      <c r="DS41" s="59">
        <f t="shared" si="17"/>
        <v>547.77899171498734</v>
      </c>
      <c r="DT41" s="59">
        <f ca="1">AVERAGE(OFFSET($DS$3,0,0,'Données projet'!$E$14+1,1))-AVERAGE(OFFSET($H$3,0,0,'Données projet'!$E$14+1,1))</f>
        <v>610.05768948788375</v>
      </c>
      <c r="DU41" s="59">
        <f t="shared" si="44"/>
        <v>295.23928902444845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4.0942857142857143</v>
      </c>
      <c r="N42" s="13">
        <f>IF('Données projet'!$A$36&gt;35,N41+M42-V41,IF(A42&lt;'Données projet'!$A$36,$K$205^A42,IF(A42='Données projet'!$A$36,'Données projet'!$B$36,N41+M42-V41)))</f>
        <v>159.67714285714297</v>
      </c>
      <c r="O42" s="13">
        <f>N42*VLOOKUP('Données projet'!$B$9,Paramètres!$A$1:$I$89,3,0)*VLOOKUP('Données projet'!$B$9,Paramètres!$A$1:$I$89,5,0)</f>
        <v>144.47587885714296</v>
      </c>
      <c r="P42" s="13">
        <f t="shared" si="33"/>
        <v>37.320480935293446</v>
      </c>
      <c r="Q42" s="20">
        <f t="shared" si="53"/>
        <v>316.62865997182678</v>
      </c>
      <c r="R42" s="59">
        <f t="shared" si="0"/>
        <v>563.63805706193386</v>
      </c>
      <c r="S42" s="59">
        <f ca="1">AVERAGE(OFFSET($R$3,0,0,'Données projet'!$E$9+1,1))-AVERAGE(OFFSET($H$3,0,0,'Données projet'!$E$9+1,1))</f>
        <v>681.47578137804555</v>
      </c>
      <c r="T42" s="59">
        <f t="shared" si="34"/>
        <v>300.88511065995885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7.1428571428571432</v>
      </c>
      <c r="AI42" s="13">
        <f>IF('Données projet'!$A$62&gt;35,AI41+AH42-AQ41,IF(A42&lt;'Données projet'!$A$62,$AF$205^A42,IF(A42='Données projet'!$A$62,'Données projet'!$B$62,AI41+AH42-AQ41)))</f>
        <v>111.72161172161175</v>
      </c>
      <c r="AJ42" s="13">
        <f>AI42*VLOOKUP('Données projet'!$B$10,Paramètres!$A$1:$I$89,3,0)*VLOOKUP('Données projet'!$B$10,Paramètres!$A$1:$I$89,5,0)</f>
        <v>87.142857142857167</v>
      </c>
      <c r="AK42" s="13">
        <f t="shared" si="35"/>
        <v>23.874862491880062</v>
      </c>
      <c r="AL42" s="20">
        <f t="shared" si="4"/>
        <v>193.35586169716734</v>
      </c>
      <c r="AM42" s="59">
        <f t="shared" si="5"/>
        <v>440.36525878727446</v>
      </c>
      <c r="AN42" s="59">
        <f ca="1">AVERAGE(OFFSET($AM$3,0,0,'Données projet'!$E$10+1,1))-AVERAGE(OFFSET($H$3,0,0,'Données projet'!$E$10+1,1))</f>
        <v>217.53602321474159</v>
      </c>
      <c r="AO42" s="59">
        <f t="shared" si="36"/>
        <v>215.75909414893025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3.881680974115969</v>
      </c>
      <c r="AV42" s="21">
        <f>EXP(-LN(2)/25)*AV41+(1-EXP(-LN(2)/25))/(LN(2)/25)*Calculateur!AQ42*Calculateur!AS42*VLOOKUP('Données projet'!$B$10,Paramètres!$A$1:$I$89,3,0)*0.475*44/12</f>
        <v>5.7714522657223926</v>
      </c>
      <c r="AW42" s="21">
        <f>EXP(-LN(2)/2)*AW41+(1-EXP(-LN(2)/2))/(LN(2)/2)*AQ42*AT42*VLOOKUP('Données projet'!$B$10,Paramètres!$A$1:$I$89,3,0)*0.475*44/12</f>
        <v>2.4173391447724026</v>
      </c>
      <c r="AX42" s="21">
        <f t="shared" si="6"/>
        <v>12.070472384610763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9.6</v>
      </c>
      <c r="BD42" s="12">
        <f>IF('Données projet'!$A$88&gt;35,BD41+BC42-BL41,IF(A42&lt;'Données projet'!$A$88,$BA$205^A42,IF(A42='Données projet'!$A$88,'Données projet'!$B$88,BD41+BC42-BL41)))</f>
        <v>182.4</v>
      </c>
      <c r="BE42" s="13">
        <f>BD42*VLOOKUP('Données projet'!$B$11,Paramètres!$A$1:$I$89,3,0)*VLOOKUP('Données projet'!$B$11,Paramètres!$A$1:$I$89,5,0)</f>
        <v>122.35392</v>
      </c>
      <c r="BF42" s="13">
        <f t="shared" si="37"/>
        <v>32.223390225253354</v>
      </c>
      <c r="BG42" s="20">
        <f t="shared" si="7"/>
        <v>269.22214864231626</v>
      </c>
      <c r="BH42" s="59">
        <f t="shared" si="8"/>
        <v>516.23154573242334</v>
      </c>
      <c r="BI42" s="59">
        <f ca="1">AVERAGE(OFFSET($BH$3,0,0,'Données projet'!$E$11+1,1))-AVERAGE(OFFSET($H$3,0,0,'Données projet'!$E$11+1,1))</f>
        <v>281.67293577289729</v>
      </c>
      <c r="BJ42" s="59">
        <f t="shared" si="38"/>
        <v>272.44904846480154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8.8193680444142064</v>
      </c>
      <c r="BR42" s="21">
        <f>EXP(-LN(2)/2)*BR41+(1-EXP(-LN(2)/2))/(LN(2)/2)*BL42*BO42*VLOOKUP('Données projet'!$B$11,Paramètres!$A$1:$I$89,3,0)*0.475*44/12</f>
        <v>1.3447160833713419</v>
      </c>
      <c r="BS42" s="22">
        <f t="shared" si="9"/>
        <v>10.164084127785548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9.6</v>
      </c>
      <c r="BY42" s="12">
        <f>IF('Données projet'!$A$114&gt;35,BY41+BX42-CG41,IF(A42&lt;'Données projet'!$A$114,$BV$205^A42,IF(A42='Données projet'!$A$114,'Données projet'!$B$114,BY41+BX42-CG41)))</f>
        <v>182.4</v>
      </c>
      <c r="BZ42" s="13">
        <f>BY42*VLOOKUP('Données projet'!$B$12,Paramètres!$A$1:$I$89,3,0)*VLOOKUP('Données projet'!$B$12,Paramètres!$A$1:$I$89,5,0)</f>
        <v>159.34464000000003</v>
      </c>
      <c r="CA42" s="13">
        <f t="shared" si="39"/>
        <v>40.694661837553809</v>
      </c>
      <c r="CB42" s="20">
        <f t="shared" si="10"/>
        <v>348.4017840337396</v>
      </c>
      <c r="CC42" s="59">
        <f t="shared" si="11"/>
        <v>595.41118112384675</v>
      </c>
      <c r="CD42" s="59">
        <f ca="1">AVERAGE(OFFSET($CC$3,0,0,'Données projet'!$E$12+1,1))-AVERAGE(OFFSET($H$3,0,0,'Données projet'!$E$12+1,1))</f>
        <v>348.77506423101278</v>
      </c>
      <c r="CE42" s="59">
        <f t="shared" si="40"/>
        <v>336.13747591329548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11.485688615981296</v>
      </c>
      <c r="CM42" s="21">
        <f>EXP(-LN(2)/2)*CM41+(1-EXP(-LN(2)/2))/(LN(2)/2)*CG42*CJ42*VLOOKUP('Données projet'!$B$12,Paramètres!$A$1:$I$89,3,0)*0.475*44/12</f>
        <v>1.7512581550882593</v>
      </c>
      <c r="CN42" s="22">
        <f t="shared" si="12"/>
        <v>13.236946771069555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3.3603333333333336</v>
      </c>
      <c r="CT42" s="12">
        <f>IF('Données projet'!$A$140&gt;35,CT41+CS42-DB41,IF(A42&lt;'Données projet'!$A$140,$CQ$205^A42,IF(A42='Données projet'!$A$140,'Données projet'!$B$140,CT41+CS42-DB41)))</f>
        <v>131.05299999999997</v>
      </c>
      <c r="CU42" s="17">
        <f>CT42*VLOOKUP('Données projet'!$B$13,Paramètres!$A$1:$I$89,3,0)*VLOOKUP('Données projet'!$B$13,Paramètres!$A$1:$I$89,5,0)</f>
        <v>126.75446159999998</v>
      </c>
      <c r="CV42" s="13">
        <f t="shared" si="41"/>
        <v>33.245310762607936</v>
      </c>
      <c r="CW42" s="20">
        <f t="shared" si="13"/>
        <v>278.66627019820879</v>
      </c>
      <c r="CX42" s="59">
        <f t="shared" si="14"/>
        <v>525.67566728831594</v>
      </c>
      <c r="CY42" s="59">
        <f ca="1">AVERAGE(OFFSET($CX$3,0,0,'Données projet'!$E$13+1,1))-AVERAGE(OFFSET($H$3,0,0,'Données projet'!$E$13+1,1))</f>
        <v>557.48193674339791</v>
      </c>
      <c r="CZ42" s="59">
        <f t="shared" si="42"/>
        <v>271.51396593253048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3.3603333333333336</v>
      </c>
      <c r="DO42" s="12">
        <f>IF('Données projet'!$A$166&gt;35,DO41+DN42-DW41,IF(A42&lt;'Données projet'!$A$166,$DL$205^A42,IF(A42='Données projet'!$A$166,'Données projet'!$B$166,DO41+DN42-DW41)))</f>
        <v>131.05299999999997</v>
      </c>
      <c r="DP42" s="17">
        <f>DO42*VLOOKUP('Données projet'!$B$14,Paramètres!$A$1:$I$89,3,0)*VLOOKUP('Données projet'!$B$14,Paramètres!$A$1:$I$89,5,0)</f>
        <v>141.06544919999996</v>
      </c>
      <c r="DQ42" s="13">
        <f t="shared" si="43"/>
        <v>36.540977141872453</v>
      </c>
      <c r="DR42" s="20">
        <f t="shared" si="16"/>
        <v>309.33119254542777</v>
      </c>
      <c r="DS42" s="59">
        <f t="shared" si="17"/>
        <v>556.34058963553491</v>
      </c>
      <c r="DT42" s="59">
        <f ca="1">AVERAGE(OFFSET($DS$3,0,0,'Données projet'!$E$14+1,1))-AVERAGE(OFFSET($H$3,0,0,'Données projet'!$E$14+1,1))</f>
        <v>610.05768948788375</v>
      </c>
      <c r="DU42" s="59">
        <f t="shared" si="44"/>
        <v>295.23928902444845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4.0942857142857143</v>
      </c>
      <c r="N43" s="13">
        <f>IF('Données projet'!$A$36&gt;35,N42+M43-V42,IF(A43&lt;'Données projet'!$A$36,$K$205^A43,IF(A43='Données projet'!$A$36,'Données projet'!$B$36,N42+M43-V42)))</f>
        <v>163.77142857142869</v>
      </c>
      <c r="O43" s="13">
        <f>N43*VLOOKUP('Données projet'!$B$9,Paramètres!$A$1:$I$89,3,0)*VLOOKUP('Données projet'!$B$9,Paramètres!$A$1:$I$89,5,0)</f>
        <v>148.18038857142867</v>
      </c>
      <c r="P43" s="13">
        <f t="shared" si="33"/>
        <v>38.16477912369308</v>
      </c>
      <c r="Q43" s="20">
        <f t="shared" si="53"/>
        <v>324.55116706900372</v>
      </c>
      <c r="R43" s="59">
        <f t="shared" si="0"/>
        <v>572.36418088812457</v>
      </c>
      <c r="S43" s="59">
        <f ca="1">AVERAGE(OFFSET($R$3,0,0,'Données projet'!$E$9+1,1))-AVERAGE(OFFSET($H$3,0,0,'Données projet'!$E$9+1,1))</f>
        <v>681.47578137804555</v>
      </c>
      <c r="T43" s="59">
        <f t="shared" si="34"/>
        <v>300.88511065995885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7.1428571428571432</v>
      </c>
      <c r="AI43" s="13">
        <f>IF('Données projet'!$A$62&gt;35,AI42+AH43-AQ42,IF(A43&lt;'Données projet'!$A$62,$AF$205^A43,IF(A43='Données projet'!$A$62,'Données projet'!$B$62,AI42+AH43-AQ42)))</f>
        <v>118.86446886446889</v>
      </c>
      <c r="AJ43" s="13">
        <f>AI43*VLOOKUP('Données projet'!$B$10,Paramètres!$A$1:$I$89,3,0)*VLOOKUP('Données projet'!$B$10,Paramètres!$A$1:$I$89,5,0)</f>
        <v>92.714285714285737</v>
      </c>
      <c r="AK43" s="13">
        <f t="shared" si="35"/>
        <v>25.218709027237011</v>
      </c>
      <c r="AL43" s="20">
        <f t="shared" si="4"/>
        <v>205.39996584148545</v>
      </c>
      <c r="AM43" s="59">
        <f t="shared" si="5"/>
        <v>453.21297966060627</v>
      </c>
      <c r="AN43" s="59">
        <f ca="1">AVERAGE(OFFSET($AM$3,0,0,'Données projet'!$E$10+1,1))-AVERAGE(OFFSET($H$3,0,0,'Données projet'!$E$10+1,1))</f>
        <v>217.53602321474159</v>
      </c>
      <c r="AO43" s="59">
        <f t="shared" si="36"/>
        <v>215.75909414893025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3.8055635778051689</v>
      </c>
      <c r="AV43" s="21">
        <f>EXP(-LN(2)/25)*AV42+(1-EXP(-LN(2)/25))/(LN(2)/25)*Calculateur!AQ43*Calculateur!AS43*VLOOKUP('Données projet'!$B$10,Paramètres!$A$1:$I$89,3,0)*0.475*44/12</f>
        <v>5.6136316000087296</v>
      </c>
      <c r="AW43" s="21">
        <f>EXP(-LN(2)/2)*AW42+(1-EXP(-LN(2)/2))/(LN(2)/2)*AQ43*AT43*VLOOKUP('Données projet'!$B$10,Paramètres!$A$1:$I$89,3,0)*0.475*44/12</f>
        <v>1.7093169016962553</v>
      </c>
      <c r="AX43" s="21">
        <f t="shared" si="6"/>
        <v>11.128512079510154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192</v>
      </c>
      <c r="BB43" s="12">
        <f>VLOOKUP(A43,'Données projet'!$A$87:$I$107,9,0)</f>
        <v>9.6</v>
      </c>
      <c r="BC43" s="12">
        <f t="array" ref="BC43">INDEX(BB:BB,MIN(IF(ISNUMBER(BB43:BB239),ROW(BB43:BB239),"")))</f>
        <v>9.6</v>
      </c>
      <c r="BD43" s="12">
        <f>IF('Données projet'!$A$88&gt;35,BD42+BC43-BL42,IF(A43&lt;'Données projet'!$A$88,$BA$205^A43,IF(A43='Données projet'!$A$88,'Données projet'!$B$88,BD42+BC43-BL42)))</f>
        <v>192</v>
      </c>
      <c r="BE43" s="13">
        <f>BD43*VLOOKUP('Données projet'!$B$11,Paramètres!$A$1:$I$89,3,0)*VLOOKUP('Données projet'!$B$11,Paramètres!$A$1:$I$89,5,0)</f>
        <v>128.7936</v>
      </c>
      <c r="BF43" s="13">
        <f t="shared" si="37"/>
        <v>33.717444631501564</v>
      </c>
      <c r="BG43" s="20">
        <f t="shared" si="7"/>
        <v>283.04006939986522</v>
      </c>
      <c r="BH43" s="59">
        <f t="shared" si="8"/>
        <v>530.85308321898606</v>
      </c>
      <c r="BI43" s="59">
        <f ca="1">AVERAGE(OFFSET($BH$3,0,0,'Données projet'!$E$11+1,1))-AVERAGE(OFFSET($H$3,0,0,'Données projet'!$E$11+1,1))</f>
        <v>281.67293577289729</v>
      </c>
      <c r="BJ43" s="59">
        <f t="shared" si="38"/>
        <v>272.44904846480154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0.13250000000000001</v>
      </c>
      <c r="BN43" s="16">
        <f>IF(ISNA(VLOOKUP(A43,'Données projet'!$A$87:$I$107,6,0)),0%,VLOOKUP(A43,'Données projet'!$A$87:$I$107,6,0)*VLOOKUP('Données projet'!$B$11,Paramètres!$A$1:$I$89,7,0))</f>
        <v>0.13250000000000001</v>
      </c>
      <c r="BO43" s="16">
        <f>IF(ISNA(VLOOKUP(A43,'Données projet'!$A$87:$I$107,7,0)),0%,VLOOKUP(A43,'Données projet'!$A$87:$I$107,7,0))</f>
        <v>0.25</v>
      </c>
      <c r="BP43" s="21">
        <f>EXP(-LN(2)/35)*BP42+(1-EXP(-LN(2)/35))/(LN(2)/35)*BL43*BM43*VLOOKUP('Données projet'!$B$11,Paramètres!$A$1:$I$89,3,0)*0.475*44/12</f>
        <v>2.7511487584915084</v>
      </c>
      <c r="BQ43" s="21">
        <f>EXP(-LN(2)/25)*BQ42+(1-EXP(-LN(2)/25))/(LN(2)/25)*Calculateur!BL43*Calculateur!BN43*VLOOKUP('Données projet'!$B$11,Paramètres!$A$1:$I$89,3,0)*0.475*44/12</f>
        <v>11.318518399008759</v>
      </c>
      <c r="BR43" s="21">
        <f>EXP(-LN(2)/2)*BR42+(1-EXP(-LN(2)/2))/(LN(2)/2)*BL43*BO43*VLOOKUP('Données projet'!$B$11,Paramètres!$A$1:$I$89,3,0)*0.475*44/12</f>
        <v>5.3812828415435519</v>
      </c>
      <c r="BS43" s="22">
        <f t="shared" si="9"/>
        <v>19.450949999043821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192</v>
      </c>
      <c r="BW43" s="12">
        <f>VLOOKUP(A43,'Données projet'!$A$113:$I$133,9,0)</f>
        <v>9.6</v>
      </c>
      <c r="BX43" s="12">
        <f t="array" ref="BX43">INDEX(BW:BW,MIN(IF(ISNUMBER(BW43:BW239),ROW(BW43:BW239),"")))</f>
        <v>9.6</v>
      </c>
      <c r="BY43" s="12">
        <f>IF('Données projet'!$A$114&gt;35,BY42+BX43-CG42,IF(A43&lt;'Données projet'!$A$114,$BV$205^A43,IF(A43='Données projet'!$A$114,'Données projet'!$B$114,BY42+BX43-CG42)))</f>
        <v>192</v>
      </c>
      <c r="BZ43" s="13">
        <f>BY43*VLOOKUP('Données projet'!$B$12,Paramètres!$A$1:$I$89,3,0)*VLOOKUP('Données projet'!$B$12,Paramètres!$A$1:$I$89,5,0)</f>
        <v>167.73120000000003</v>
      </c>
      <c r="CA43" s="13">
        <f t="shared" si="39"/>
        <v>42.581491199832655</v>
      </c>
      <c r="CB43" s="20">
        <f t="shared" si="10"/>
        <v>366.29460383970854</v>
      </c>
      <c r="CC43" s="59">
        <f t="shared" si="11"/>
        <v>614.10761765882933</v>
      </c>
      <c r="CD43" s="59">
        <f ca="1">AVERAGE(OFFSET($CC$3,0,0,'Données projet'!$E$12+1,1))-AVERAGE(OFFSET($H$3,0,0,'Données projet'!$E$12+1,1))</f>
        <v>348.77506423101278</v>
      </c>
      <c r="CE43" s="59">
        <f t="shared" si="40"/>
        <v>336.13747591329548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28</v>
      </c>
      <c r="CH43" s="16">
        <f>IF(ISNA(VLOOKUP(A43,'Données projet'!$A$113:$I$133,5,0)),0%,VLOOKUP(A43,'Données projet'!$A$113:$I$133,5,0)*VLOOKUP('Données projet'!$B$12,Paramètres!$A$1:$I$89,7,0))</f>
        <v>0.13250000000000001</v>
      </c>
      <c r="CI43" s="16">
        <f>IF(ISNA(VLOOKUP(A43,'Données projet'!$A$113:$I$133,6,0)),0%,VLOOKUP(A43,'Données projet'!$A$113:$I$133,6,0)*VLOOKUP('Données projet'!$B$12,Paramètres!$A$1:$I$89,7,0))</f>
        <v>0.13250000000000001</v>
      </c>
      <c r="CJ43" s="16">
        <f>IF(ISNA(VLOOKUP(A43,'Données projet'!$A$113:$I$133,7,0)),0%,VLOOKUP(A43,'Données projet'!$A$113:$I$133,7,0))</f>
        <v>0.25</v>
      </c>
      <c r="CK43" s="21">
        <f>EXP(-LN(2)/35)*CK42+(1-EXP(-LN(2)/35))/(LN(2)/35)*CG43*CH43*VLOOKUP('Données projet'!$B$12,Paramètres!$A$1:$I$89,3,0)*0.475*44/12</f>
        <v>3.5828914064075454</v>
      </c>
      <c r="CL43" s="21">
        <f>EXP(-LN(2)/25)*CL42+(1-EXP(-LN(2)/25))/(LN(2)/25)*Calculateur!CG43*Calculateur!CI43*VLOOKUP('Données projet'!$B$12,Paramètres!$A$1:$I$89,3,0)*0.475*44/12</f>
        <v>14.740396054523039</v>
      </c>
      <c r="CM43" s="21">
        <f>EXP(-LN(2)/2)*CM42+(1-EXP(-LN(2)/2))/(LN(2)/2)*CG43*CJ43*VLOOKUP('Données projet'!$B$12,Paramètres!$A$1:$I$89,3,0)*0.475*44/12</f>
        <v>7.0081823052660219</v>
      </c>
      <c r="CN43" s="22">
        <f t="shared" si="12"/>
        <v>25.331469766196605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3.3603333333333336</v>
      </c>
      <c r="CT43" s="12">
        <f>IF('Données projet'!$A$140&gt;35,CT42+CS43-DB42,IF(A43&lt;'Données projet'!$A$140,$CQ$205^A43,IF(A43='Données projet'!$A$140,'Données projet'!$B$140,CT42+CS43-DB42)))</f>
        <v>134.4133333333333</v>
      </c>
      <c r="CU43" s="17">
        <f>CT43*VLOOKUP('Données projet'!$B$13,Paramètres!$A$1:$I$89,3,0)*VLOOKUP('Données projet'!$B$13,Paramètres!$A$1:$I$89,5,0)</f>
        <v>130.00457599999996</v>
      </c>
      <c r="CV43" s="13">
        <f t="shared" si="41"/>
        <v>33.997416709428933</v>
      </c>
      <c r="CW43" s="20">
        <f t="shared" si="13"/>
        <v>285.63680396892198</v>
      </c>
      <c r="CX43" s="59">
        <f t="shared" si="14"/>
        <v>533.44981778804276</v>
      </c>
      <c r="CY43" s="59">
        <f ca="1">AVERAGE(OFFSET($CX$3,0,0,'Données projet'!$E$13+1,1))-AVERAGE(OFFSET($H$3,0,0,'Données projet'!$E$13+1,1))</f>
        <v>557.48193674339791</v>
      </c>
      <c r="CZ43" s="59">
        <f t="shared" si="42"/>
        <v>271.51396593253048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3.3603333333333336</v>
      </c>
      <c r="DO43" s="12">
        <f>IF('Données projet'!$A$166&gt;35,DO42+DN43-DW42,IF(A43&lt;'Données projet'!$A$166,$DL$205^A43,IF(A43='Données projet'!$A$166,'Données projet'!$B$166,DO42+DN43-DW42)))</f>
        <v>134.4133333333333</v>
      </c>
      <c r="DP43" s="17">
        <f>DO43*VLOOKUP('Données projet'!$B$14,Paramètres!$A$1:$I$89,3,0)*VLOOKUP('Données projet'!$B$14,Paramètres!$A$1:$I$89,5,0)</f>
        <v>144.68251199999995</v>
      </c>
      <c r="DQ43" s="13">
        <f t="shared" si="43"/>
        <v>37.367640679695718</v>
      </c>
      <c r="DR43" s="20">
        <f t="shared" si="16"/>
        <v>317.07068258380326</v>
      </c>
      <c r="DS43" s="59">
        <f t="shared" si="17"/>
        <v>564.8836964029241</v>
      </c>
      <c r="DT43" s="59">
        <f ca="1">AVERAGE(OFFSET($DS$3,0,0,'Données projet'!$E$14+1,1))-AVERAGE(OFFSET($H$3,0,0,'Données projet'!$E$14+1,1))</f>
        <v>610.05768948788375</v>
      </c>
      <c r="DU43" s="59">
        <f t="shared" si="44"/>
        <v>295.23928902444845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4.0942857142857143</v>
      </c>
      <c r="N44" s="13">
        <f>IF('Données projet'!$A$36&gt;35,N43+M44-V43,IF(A44&lt;'Données projet'!$A$36,$K$205^A44,IF(A44='Données projet'!$A$36,'Données projet'!$B$36,N43+M44-V43)))</f>
        <v>167.8657142857144</v>
      </c>
      <c r="O44" s="13">
        <f>N44*VLOOKUP('Données projet'!$B$9,Paramètres!$A$1:$I$89,3,0)*VLOOKUP('Données projet'!$B$9,Paramètres!$A$1:$I$89,5,0)</f>
        <v>151.88489828571437</v>
      </c>
      <c r="P44" s="13">
        <f t="shared" si="33"/>
        <v>39.006623705593562</v>
      </c>
      <c r="Q44" s="20">
        <f t="shared" si="53"/>
        <v>332.46940080152797</v>
      </c>
      <c r="R44" s="59">
        <f t="shared" si="0"/>
        <v>581.07209039603197</v>
      </c>
      <c r="S44" s="59">
        <f ca="1">AVERAGE(OFFSET($R$3,0,0,'Données projet'!$E$9+1,1))-AVERAGE(OFFSET($H$3,0,0,'Données projet'!$E$9+1,1))</f>
        <v>681.47578137804555</v>
      </c>
      <c r="T44" s="59">
        <f t="shared" si="34"/>
        <v>300.88511065995885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7.1428571428571432</v>
      </c>
      <c r="AI44" s="13">
        <f>IF('Données projet'!$A$62&gt;35,AI43+AH44-AQ43,IF(A44&lt;'Données projet'!$A$62,$AF$205^A44,IF(A44='Données projet'!$A$62,'Données projet'!$B$62,AI43+AH44-AQ43)))</f>
        <v>126.00732600732603</v>
      </c>
      <c r="AJ44" s="13">
        <f>AI44*VLOOKUP('Données projet'!$B$10,Paramètres!$A$1:$I$89,3,0)*VLOOKUP('Données projet'!$B$10,Paramètres!$A$1:$I$89,5,0)</f>
        <v>98.285714285714306</v>
      </c>
      <c r="AK44" s="13">
        <f t="shared" si="35"/>
        <v>26.553182521641848</v>
      </c>
      <c r="AL44" s="20">
        <f t="shared" si="4"/>
        <v>217.42774527281196</v>
      </c>
      <c r="AM44" s="59">
        <f t="shared" si="5"/>
        <v>466.03043486731593</v>
      </c>
      <c r="AN44" s="59">
        <f ca="1">AVERAGE(OFFSET($AM$3,0,0,'Données projet'!$E$10+1,1))-AVERAGE(OFFSET($H$3,0,0,'Données projet'!$E$10+1,1))</f>
        <v>217.53602321474159</v>
      </c>
      <c r="AO44" s="59">
        <f t="shared" si="36"/>
        <v>215.75909414893025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3.7309387972089958</v>
      </c>
      <c r="AV44" s="21">
        <f>EXP(-LN(2)/25)*AV43+(1-EXP(-LN(2)/25))/(LN(2)/25)*Calculateur!AQ44*Calculateur!AS44*VLOOKUP('Données projet'!$B$10,Paramètres!$A$1:$I$89,3,0)*0.475*44/12</f>
        <v>5.4601265486984349</v>
      </c>
      <c r="AW44" s="21">
        <f>EXP(-LN(2)/2)*AW43+(1-EXP(-LN(2)/2))/(LN(2)/2)*AQ44*AT44*VLOOKUP('Données projet'!$B$10,Paramètres!$A$1:$I$89,3,0)*0.475*44/12</f>
        <v>1.2086695723862013</v>
      </c>
      <c r="AX44" s="21">
        <f t="shared" si="6"/>
        <v>10.399734918293632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8.1999999999999993</v>
      </c>
      <c r="BD44" s="12">
        <f>IF('Données projet'!$A$88&gt;35,BD43+BC44-BL43,IF(A44&lt;'Données projet'!$A$88,$BA$205^A44,IF(A44='Données projet'!$A$88,'Données projet'!$B$88,BD43+BC44-BL43)))</f>
        <v>172.2</v>
      </c>
      <c r="BE44" s="13">
        <f>BD44*VLOOKUP('Données projet'!$B$11,Paramètres!$A$1:$I$89,3,0)*VLOOKUP('Données projet'!$B$11,Paramètres!$A$1:$I$89,5,0)</f>
        <v>115.51176</v>
      </c>
      <c r="BF44" s="13">
        <f t="shared" si="37"/>
        <v>30.625879972253081</v>
      </c>
      <c r="BG44" s="20">
        <f t="shared" si="7"/>
        <v>254.52305628500744</v>
      </c>
      <c r="BH44" s="59">
        <f t="shared" si="8"/>
        <v>503.12574587951144</v>
      </c>
      <c r="BI44" s="59">
        <f ca="1">AVERAGE(OFFSET($BH$3,0,0,'Données projet'!$E$11+1,1))-AVERAGE(OFFSET($H$3,0,0,'Données projet'!$E$11+1,1))</f>
        <v>281.67293577289729</v>
      </c>
      <c r="BJ44" s="59">
        <f t="shared" si="38"/>
        <v>272.44904846480154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2.6972004093725404</v>
      </c>
      <c r="BQ44" s="21">
        <f>EXP(-LN(2)/25)*BQ43+(1-EXP(-LN(2)/25))/(LN(2)/25)*Calculateur!BL44*Calculateur!BN44*VLOOKUP('Données projet'!$B$11,Paramètres!$A$1:$I$89,3,0)*0.475*44/12</f>
        <v>11.009012918172852</v>
      </c>
      <c r="BR44" s="21">
        <f>EXP(-LN(2)/2)*BR43+(1-EXP(-LN(2)/2))/(LN(2)/2)*BL44*BO44*VLOOKUP('Données projet'!$B$11,Paramètres!$A$1:$I$89,3,0)*0.475*44/12</f>
        <v>3.8051415887382594</v>
      </c>
      <c r="BS44" s="22">
        <f t="shared" si="9"/>
        <v>17.511354916283651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8.1999999999999993</v>
      </c>
      <c r="BY44" s="12">
        <f>IF('Données projet'!$A$114&gt;35,BY43+BX44-CG43,IF(A44&lt;'Données projet'!$A$114,$BV$205^A44,IF(A44='Données projet'!$A$114,'Données projet'!$B$114,BY43+BX44-CG43)))</f>
        <v>172.2</v>
      </c>
      <c r="BZ44" s="13">
        <f>BY44*VLOOKUP('Données projet'!$B$12,Paramètres!$A$1:$I$89,3,0)*VLOOKUP('Données projet'!$B$12,Paramètres!$A$1:$I$89,5,0)</f>
        <v>150.43392</v>
      </c>
      <c r="CA44" s="13">
        <f t="shared" si="39"/>
        <v>38.677178913707927</v>
      </c>
      <c r="CB44" s="20">
        <f t="shared" si="10"/>
        <v>329.36849727470798</v>
      </c>
      <c r="CC44" s="59">
        <f t="shared" si="11"/>
        <v>577.97118686921192</v>
      </c>
      <c r="CD44" s="59">
        <f ca="1">AVERAGE(OFFSET($CC$3,0,0,'Données projet'!$E$12+1,1))-AVERAGE(OFFSET($H$3,0,0,'Données projet'!$E$12+1,1))</f>
        <v>348.77506423101278</v>
      </c>
      <c r="CE44" s="59">
        <f t="shared" si="40"/>
        <v>336.13747591329548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3.5126330912758661</v>
      </c>
      <c r="CL44" s="21">
        <f>EXP(-LN(2)/25)*CL43+(1-EXP(-LN(2)/25))/(LN(2)/25)*Calculateur!CG44*Calculateur!CI44*VLOOKUP('Données projet'!$B$12,Paramètres!$A$1:$I$89,3,0)*0.475*44/12</f>
        <v>14.337319149248367</v>
      </c>
      <c r="CM44" s="21">
        <f>EXP(-LN(2)/2)*CM43+(1-EXP(-LN(2)/2))/(LN(2)/2)*CG44*CJ44*VLOOKUP('Données projet'!$B$12,Paramètres!$A$1:$I$89,3,0)*0.475*44/12</f>
        <v>4.9555332318451759</v>
      </c>
      <c r="CN44" s="22">
        <f t="shared" si="12"/>
        <v>22.805485472369408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3.3603333333333336</v>
      </c>
      <c r="CT44" s="12">
        <f>IF('Données projet'!$A$140&gt;35,CT43+CS44-DB43,IF(A44&lt;'Données projet'!$A$140,$CQ$205^A44,IF(A44='Données projet'!$A$140,'Données projet'!$B$140,CT43+CS44-DB43)))</f>
        <v>137.77366666666663</v>
      </c>
      <c r="CU44" s="17">
        <f>CT44*VLOOKUP('Données projet'!$B$13,Paramètres!$A$1:$I$89,3,0)*VLOOKUP('Données projet'!$B$13,Paramètres!$A$1:$I$89,5,0)</f>
        <v>133.25469039999996</v>
      </c>
      <c r="CV44" s="13">
        <f t="shared" si="41"/>
        <v>34.747336968699585</v>
      </c>
      <c r="CW44" s="20">
        <f t="shared" si="13"/>
        <v>292.60353100048502</v>
      </c>
      <c r="CX44" s="59">
        <f t="shared" si="14"/>
        <v>541.20622059498896</v>
      </c>
      <c r="CY44" s="59">
        <f ca="1">AVERAGE(OFFSET($CX$3,0,0,'Données projet'!$E$13+1,1))-AVERAGE(OFFSET($H$3,0,0,'Données projet'!$E$13+1,1))</f>
        <v>557.48193674339791</v>
      </c>
      <c r="CZ44" s="59">
        <f t="shared" si="42"/>
        <v>271.51396593253048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3.3603333333333336</v>
      </c>
      <c r="DO44" s="12">
        <f>IF('Données projet'!$A$166&gt;35,DO43+DN44-DW43,IF(A44&lt;'Données projet'!$A$166,$DL$205^A44,IF(A44='Données projet'!$A$166,'Données projet'!$B$166,DO43+DN44-DW43)))</f>
        <v>137.77366666666663</v>
      </c>
      <c r="DP44" s="17">
        <f>DO44*VLOOKUP('Données projet'!$B$14,Paramètres!$A$1:$I$89,3,0)*VLOOKUP('Données projet'!$B$14,Paramètres!$A$1:$I$89,5,0)</f>
        <v>148.29957479999996</v>
      </c>
      <c r="DQ44" s="13">
        <f t="shared" si="43"/>
        <v>38.191901858901076</v>
      </c>
      <c r="DR44" s="20">
        <f t="shared" si="16"/>
        <v>324.80598851425265</v>
      </c>
      <c r="DS44" s="59">
        <f t="shared" si="17"/>
        <v>573.40867810875659</v>
      </c>
      <c r="DT44" s="59">
        <f ca="1">AVERAGE(OFFSET($DS$3,0,0,'Données projet'!$E$14+1,1))-AVERAGE(OFFSET($H$3,0,0,'Données projet'!$E$14+1,1))</f>
        <v>610.05768948788375</v>
      </c>
      <c r="DU44" s="59">
        <f t="shared" si="44"/>
        <v>295.23928902444845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171.96</v>
      </c>
      <c r="L45" s="12">
        <f>VLOOKUP(A45,'Données projet'!$A$35:$I$55,9,0)</f>
        <v>4.0942857142857143</v>
      </c>
      <c r="M45" s="12">
        <f t="array" ref="M45">INDEX(L:L,MIN(IF(ISNUMBER(L45:L241),ROW(L45:L241),"")))</f>
        <v>4.0942857142857143</v>
      </c>
      <c r="N45" s="13">
        <f>IF('Données projet'!$A$36&gt;35,N44+M45-V44,IF(A45&lt;'Données projet'!$A$36,$K$205^A45,IF(A45='Données projet'!$A$36,'Données projet'!$B$36,N44+M45-V44)))</f>
        <v>171.96000000000012</v>
      </c>
      <c r="O45" s="13">
        <f>N45*VLOOKUP('Données projet'!$B$9,Paramètres!$A$1:$I$89,3,0)*VLOOKUP('Données projet'!$B$9,Paramètres!$A$1:$I$89,5,0)</f>
        <v>155.58940800000011</v>
      </c>
      <c r="P45" s="13">
        <f t="shared" si="33"/>
        <v>39.846081409537142</v>
      </c>
      <c r="Q45" s="20">
        <f t="shared" si="53"/>
        <v>340.3834773882773</v>
      </c>
      <c r="R45" s="59">
        <f t="shared" si="0"/>
        <v>589.762143648912</v>
      </c>
      <c r="S45" s="59">
        <f ca="1">AVERAGE(OFFSET($R$3,0,0,'Données projet'!$E$9+1,1))-AVERAGE(OFFSET($H$3,0,0,'Données projet'!$E$9+1,1))</f>
        <v>681.47578137804555</v>
      </c>
      <c r="T45" s="59">
        <f t="shared" si="34"/>
        <v>300.88511065995885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44.510000000000005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0.34400000000000003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15.254654682209745</v>
      </c>
      <c r="AB45" s="21">
        <f>EXP(-LN(2)/2)*AB44+(1-EXP(-LN(2)/2))/(LN(2)/2)*V45*Y45*VLOOKUP('Données projet'!$B$9,Paramètres!$A$1:$I$89,3,0)*0.475*44/12</f>
        <v>7.599665462085774</v>
      </c>
      <c r="AC45" s="22">
        <f t="shared" si="3"/>
        <v>22.854320144295521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7.1428571428571432</v>
      </c>
      <c r="AI45" s="13">
        <f>IF('Données projet'!$A$62&gt;35,AI44+AH45-AQ44,IF(A45&lt;'Données projet'!$A$62,$AF$205^A45,IF(A45='Données projet'!$A$62,'Données projet'!$B$62,AI44+AH45-AQ44)))</f>
        <v>133.15018315018318</v>
      </c>
      <c r="AJ45" s="13">
        <f>AI45*VLOOKUP('Données projet'!$B$10,Paramètres!$A$1:$I$89,3,0)*VLOOKUP('Données projet'!$B$10,Paramètres!$A$1:$I$89,5,0)</f>
        <v>103.85714285714289</v>
      </c>
      <c r="AK45" s="13">
        <f t="shared" si="35"/>
        <v>27.878874840299215</v>
      </c>
      <c r="AL45" s="20">
        <f t="shared" si="4"/>
        <v>229.44023082304497</v>
      </c>
      <c r="AM45" s="59">
        <f t="shared" si="5"/>
        <v>478.8188970836797</v>
      </c>
      <c r="AN45" s="59">
        <f ca="1">AVERAGE(OFFSET($AM$3,0,0,'Données projet'!$E$10+1,1))-AVERAGE(OFFSET($H$3,0,0,'Données projet'!$E$10+1,1))</f>
        <v>217.53602321474159</v>
      </c>
      <c r="AO45" s="59">
        <f t="shared" si="36"/>
        <v>215.75909414893025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3.6577773630436923</v>
      </c>
      <c r="AV45" s="21">
        <f>EXP(-LN(2)/25)*AV44+(1-EXP(-LN(2)/25))/(LN(2)/25)*Calculateur!AQ45*Calculateur!AS45*VLOOKUP('Données projet'!$B$10,Paramètres!$A$1:$I$89,3,0)*0.475*44/12</f>
        <v>5.3108191010887005</v>
      </c>
      <c r="AW45" s="21">
        <f>EXP(-LN(2)/2)*AW44+(1-EXP(-LN(2)/2))/(LN(2)/2)*AQ45*AT45*VLOOKUP('Données projet'!$B$10,Paramètres!$A$1:$I$89,3,0)*0.475*44/12</f>
        <v>0.85465845084812764</v>
      </c>
      <c r="AX45" s="21">
        <f t="shared" si="6"/>
        <v>9.8232549149805202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8.1999999999999993</v>
      </c>
      <c r="BD45" s="12">
        <f>IF('Données projet'!$A$88&gt;35,BD44+BC45-BL44,IF(A45&lt;'Données projet'!$A$88,$BA$205^A45,IF(A45='Données projet'!$A$88,'Données projet'!$B$88,BD44+BC45-BL44)))</f>
        <v>180.39999999999998</v>
      </c>
      <c r="BE45" s="13">
        <f>BD45*VLOOKUP('Données projet'!$B$11,Paramètres!$A$1:$I$89,3,0)*VLOOKUP('Données projet'!$B$11,Paramètres!$A$1:$I$89,5,0)</f>
        <v>121.01231999999999</v>
      </c>
      <c r="BF45" s="13">
        <f t="shared" si="37"/>
        <v>31.910990749554291</v>
      </c>
      <c r="BG45" s="20">
        <f t="shared" si="7"/>
        <v>266.34143288880705</v>
      </c>
      <c r="BH45" s="59">
        <f t="shared" si="8"/>
        <v>515.72009914944181</v>
      </c>
      <c r="BI45" s="59">
        <f ca="1">AVERAGE(OFFSET($BH$3,0,0,'Données projet'!$E$11+1,1))-AVERAGE(OFFSET($H$3,0,0,'Données projet'!$E$11+1,1))</f>
        <v>281.67293577289729</v>
      </c>
      <c r="BJ45" s="59">
        <f t="shared" si="38"/>
        <v>272.44904846480154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2.6443099544745516</v>
      </c>
      <c r="BQ45" s="21">
        <f>EXP(-LN(2)/25)*BQ44+(1-EXP(-LN(2)/25))/(LN(2)/25)*Calculateur!BL45*Calculateur!BN45*VLOOKUP('Données projet'!$B$11,Paramètres!$A$1:$I$89,3,0)*0.475*44/12</f>
        <v>10.707970880986586</v>
      </c>
      <c r="BR45" s="21">
        <f>EXP(-LN(2)/2)*BR44+(1-EXP(-LN(2)/2))/(LN(2)/2)*BL45*BO45*VLOOKUP('Données projet'!$B$11,Paramètres!$A$1:$I$89,3,0)*0.475*44/12</f>
        <v>2.6906414207717764</v>
      </c>
      <c r="BS45" s="22">
        <f t="shared" si="9"/>
        <v>16.042922256232913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8.1999999999999993</v>
      </c>
      <c r="BY45" s="12">
        <f>IF('Données projet'!$A$114&gt;35,BY44+BX45-CG44,IF(A45&lt;'Données projet'!$A$114,$BV$205^A45,IF(A45='Données projet'!$A$114,'Données projet'!$B$114,BY44+BX45-CG44)))</f>
        <v>180.39999999999998</v>
      </c>
      <c r="BZ45" s="13">
        <f>BY45*VLOOKUP('Données projet'!$B$12,Paramètres!$A$1:$I$89,3,0)*VLOOKUP('Données projet'!$B$12,Paramètres!$A$1:$I$89,5,0)</f>
        <v>157.59744000000001</v>
      </c>
      <c r="CA45" s="13">
        <f t="shared" si="39"/>
        <v>40.300135037830529</v>
      </c>
      <c r="CB45" s="20">
        <f t="shared" si="10"/>
        <v>344.67160985755481</v>
      </c>
      <c r="CC45" s="59">
        <f t="shared" si="11"/>
        <v>594.05027611818957</v>
      </c>
      <c r="CD45" s="59">
        <f ca="1">AVERAGE(OFFSET($CC$3,0,0,'Données projet'!$E$12+1,1))-AVERAGE(OFFSET($H$3,0,0,'Données projet'!$E$12+1,1))</f>
        <v>348.77506423101278</v>
      </c>
      <c r="CE45" s="59">
        <f t="shared" si="40"/>
        <v>336.13747591329548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3.4437524988505781</v>
      </c>
      <c r="CL45" s="21">
        <f>EXP(-LN(2)/25)*CL44+(1-EXP(-LN(2)/25))/(LN(2)/25)*Calculateur!CG45*Calculateur!CI45*VLOOKUP('Données projet'!$B$12,Paramètres!$A$1:$I$89,3,0)*0.475*44/12</f>
        <v>13.945264403145325</v>
      </c>
      <c r="CM45" s="21">
        <f>EXP(-LN(2)/2)*CM44+(1-EXP(-LN(2)/2))/(LN(2)/2)*CG45*CJ45*VLOOKUP('Données projet'!$B$12,Paramètres!$A$1:$I$89,3,0)*0.475*44/12</f>
        <v>3.5040911526330119</v>
      </c>
      <c r="CN45" s="22">
        <f t="shared" si="12"/>
        <v>20.893108054628915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3.3603333333333336</v>
      </c>
      <c r="CT45" s="12">
        <f>IF('Données projet'!$A$140&gt;35,CT44+CS45-DB44,IF(A45&lt;'Données projet'!$A$140,$CQ$205^A45,IF(A45='Données projet'!$A$140,'Données projet'!$B$140,CT44+CS45-DB44)))</f>
        <v>141.13399999999996</v>
      </c>
      <c r="CU45" s="17">
        <f>CT45*VLOOKUP('Données projet'!$B$13,Paramètres!$A$1:$I$89,3,0)*VLOOKUP('Données projet'!$B$13,Paramètres!$A$1:$I$89,5,0)</f>
        <v>136.50480479999996</v>
      </c>
      <c r="CV45" s="13">
        <f t="shared" si="41"/>
        <v>35.49513098260995</v>
      </c>
      <c r="CW45" s="20">
        <f t="shared" si="13"/>
        <v>299.56655482137893</v>
      </c>
      <c r="CX45" s="59">
        <f t="shared" si="14"/>
        <v>548.94522108201363</v>
      </c>
      <c r="CY45" s="59">
        <f ca="1">AVERAGE(OFFSET($CX$3,0,0,'Données projet'!$E$13+1,1))-AVERAGE(OFFSET($H$3,0,0,'Données projet'!$E$13+1,1))</f>
        <v>557.48193674339791</v>
      </c>
      <c r="CZ45" s="59">
        <f t="shared" si="42"/>
        <v>271.51396593253048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3.3603333333333336</v>
      </c>
      <c r="DO45" s="12">
        <f>IF('Données projet'!$A$166&gt;35,DO44+DN45-DW44,IF(A45&lt;'Données projet'!$A$166,$DL$205^A45,IF(A45='Données projet'!$A$166,'Données projet'!$B$166,DO44+DN45-DW44)))</f>
        <v>141.13399999999996</v>
      </c>
      <c r="DP45" s="17">
        <f>DO45*VLOOKUP('Données projet'!$B$14,Paramètres!$A$1:$I$89,3,0)*VLOOKUP('Données projet'!$B$14,Paramètres!$A$1:$I$89,5,0)</f>
        <v>151.91663759999994</v>
      </c>
      <c r="DQ45" s="13">
        <f t="shared" si="43"/>
        <v>39.013826014287865</v>
      </c>
      <c r="DR45" s="20">
        <f t="shared" si="16"/>
        <v>332.53722412821793</v>
      </c>
      <c r="DS45" s="59">
        <f t="shared" si="17"/>
        <v>581.91589038885263</v>
      </c>
      <c r="DT45" s="59">
        <f ca="1">AVERAGE(OFFSET($DS$3,0,0,'Données projet'!$E$14+1,1))-AVERAGE(OFFSET($H$3,0,0,'Données projet'!$E$14+1,1))</f>
        <v>610.05768948788375</v>
      </c>
      <c r="DU45" s="59">
        <f t="shared" si="44"/>
        <v>295.23928902444845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10.110000000000001</v>
      </c>
      <c r="N46" s="13">
        <f>IF('Données projet'!$A$36&gt;35,N45+M46-V45,IF(A46&lt;'Données projet'!$A$36,$K$205^A46,IF(A46='Données projet'!$A$36,'Données projet'!$B$36,N45+M46-V45)))</f>
        <v>137.56000000000012</v>
      </c>
      <c r="O46" s="13">
        <f>N46*VLOOKUP('Données projet'!$B$9,Paramètres!$A$1:$I$89,3,0)*VLOOKUP('Données projet'!$B$9,Paramètres!$A$1:$I$89,5,0)</f>
        <v>124.4642880000001</v>
      </c>
      <c r="P46" s="13">
        <f t="shared" si="33"/>
        <v>32.713997336243899</v>
      </c>
      <c r="Q46" s="20">
        <f t="shared" si="53"/>
        <v>273.75218029395825</v>
      </c>
      <c r="R46" s="59">
        <f t="shared" si="0"/>
        <v>523.89336176039023</v>
      </c>
      <c r="S46" s="59">
        <f ca="1">AVERAGE(OFFSET($R$3,0,0,'Données projet'!$E$9+1,1))-AVERAGE(OFFSET($H$3,0,0,'Données projet'!$E$9+1,1))</f>
        <v>681.47578137804555</v>
      </c>
      <c r="T46" s="59">
        <f t="shared" si="34"/>
        <v>300.88511065995885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14.837515347717295</v>
      </c>
      <c r="AB46" s="21">
        <f>EXP(-LN(2)/2)*AB45+(1-EXP(-LN(2)/2))/(LN(2)/2)*V46*Y46*VLOOKUP('Données projet'!$B$9,Paramètres!$A$1:$I$89,3,0)*0.475*44/12</f>
        <v>5.3737749829900485</v>
      </c>
      <c r="AC46" s="22">
        <f t="shared" si="3"/>
        <v>20.211290330707342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7.1428571428571432</v>
      </c>
      <c r="AI46" s="13">
        <f>IF('Données projet'!$A$62&gt;35,AI45+AH46-AQ45,IF(A46&lt;'Données projet'!$A$62,$AF$205^A46,IF(A46='Données projet'!$A$62,'Données projet'!$B$62,AI45+AH46-AQ45)))</f>
        <v>140.29304029304032</v>
      </c>
      <c r="AJ46" s="13">
        <f>AI46*VLOOKUP('Données projet'!$B$10,Paramètres!$A$1:$I$89,3,0)*VLOOKUP('Données projet'!$B$10,Paramètres!$A$1:$I$89,5,0)</f>
        <v>109.42857142857146</v>
      </c>
      <c r="AK46" s="13">
        <f t="shared" si="35"/>
        <v>29.196310760611571</v>
      </c>
      <c r="AL46" s="20">
        <f t="shared" si="4"/>
        <v>241.43833647949381</v>
      </c>
      <c r="AM46" s="59">
        <f t="shared" si="5"/>
        <v>491.57951794592589</v>
      </c>
      <c r="AN46" s="59">
        <f ca="1">AVERAGE(OFFSET($AM$3,0,0,'Données projet'!$E$10+1,1))-AVERAGE(OFFSET($H$3,0,0,'Données projet'!$E$10+1,1))</f>
        <v>217.53602321474159</v>
      </c>
      <c r="AO46" s="59">
        <f t="shared" si="36"/>
        <v>215.75909414893025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3.5860505799783016</v>
      </c>
      <c r="AV46" s="21">
        <f>EXP(-LN(2)/25)*AV45+(1-EXP(-LN(2)/25))/(LN(2)/25)*Calculateur!AQ46*Calculateur!AS46*VLOOKUP('Données projet'!$B$10,Paramètres!$A$1:$I$89,3,0)*0.475*44/12</f>
        <v>5.1655944734855916</v>
      </c>
      <c r="AW46" s="21">
        <f>EXP(-LN(2)/2)*AW45+(1-EXP(-LN(2)/2))/(LN(2)/2)*AQ46*AT46*VLOOKUP('Données projet'!$B$10,Paramètres!$A$1:$I$89,3,0)*0.475*44/12</f>
        <v>0.60433478619310066</v>
      </c>
      <c r="AX46" s="21">
        <f t="shared" si="6"/>
        <v>9.3559798396569942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8.1999999999999993</v>
      </c>
      <c r="BD46" s="12">
        <f>IF('Données projet'!$A$88&gt;35,BD45+BC46-BL45,IF(A46&lt;'Données projet'!$A$88,$BA$205^A46,IF(A46='Données projet'!$A$88,'Données projet'!$B$88,BD45+BC46-BL45)))</f>
        <v>188.59999999999997</v>
      </c>
      <c r="BE46" s="13">
        <f>BD46*VLOOKUP('Données projet'!$B$11,Paramètres!$A$1:$I$89,3,0)*VLOOKUP('Données projet'!$B$11,Paramètres!$A$1:$I$89,5,0)</f>
        <v>126.51287999999998</v>
      </c>
      <c r="BF46" s="13">
        <f t="shared" si="37"/>
        <v>33.189317611674888</v>
      </c>
      <c r="BG46" s="20">
        <f t="shared" si="7"/>
        <v>278.14799417366703</v>
      </c>
      <c r="BH46" s="59">
        <f t="shared" si="8"/>
        <v>528.28917564009907</v>
      </c>
      <c r="BI46" s="59">
        <f ca="1">AVERAGE(OFFSET($BH$3,0,0,'Données projet'!$E$11+1,1))-AVERAGE(OFFSET($H$3,0,0,'Données projet'!$E$11+1,1))</f>
        <v>281.67293577289729</v>
      </c>
      <c r="BJ46" s="59">
        <f t="shared" si="38"/>
        <v>272.44904846480154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2.5924566491371204</v>
      </c>
      <c r="BQ46" s="21">
        <f>EXP(-LN(2)/25)*BQ45+(1-EXP(-LN(2)/25))/(LN(2)/25)*Calculateur!BL46*Calculateur!BN46*VLOOKUP('Données projet'!$B$11,Paramètres!$A$1:$I$89,3,0)*0.475*44/12</f>
        <v>10.415160854138293</v>
      </c>
      <c r="BR46" s="21">
        <f>EXP(-LN(2)/2)*BR45+(1-EXP(-LN(2)/2))/(LN(2)/2)*BL46*BO46*VLOOKUP('Données projet'!$B$11,Paramètres!$A$1:$I$89,3,0)*0.475*44/12</f>
        <v>1.9025707943691299</v>
      </c>
      <c r="BS46" s="22">
        <f t="shared" si="9"/>
        <v>14.910188297644542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8.1999999999999993</v>
      </c>
      <c r="BY46" s="12">
        <f>IF('Données projet'!$A$114&gt;35,BY45+BX46-CG45,IF(A46&lt;'Données projet'!$A$114,$BV$205^A46,IF(A46='Données projet'!$A$114,'Données projet'!$B$114,BY45+BX46-CG45)))</f>
        <v>188.59999999999997</v>
      </c>
      <c r="BZ46" s="13">
        <f>BY46*VLOOKUP('Données projet'!$B$12,Paramètres!$A$1:$I$89,3,0)*VLOOKUP('Données projet'!$B$12,Paramètres!$A$1:$I$89,5,0)</f>
        <v>164.76095999999998</v>
      </c>
      <c r="CA46" s="13">
        <f t="shared" si="39"/>
        <v>41.91452380971991</v>
      </c>
      <c r="CB46" s="20">
        <f t="shared" si="10"/>
        <v>359.9598009685954</v>
      </c>
      <c r="CC46" s="59">
        <f t="shared" si="11"/>
        <v>610.10098243502739</v>
      </c>
      <c r="CD46" s="59">
        <f ca="1">AVERAGE(OFFSET($CC$3,0,0,'Données projet'!$E$12+1,1))-AVERAGE(OFFSET($H$3,0,0,'Données projet'!$E$12+1,1))</f>
        <v>348.77506423101278</v>
      </c>
      <c r="CE46" s="59">
        <f t="shared" si="40"/>
        <v>336.13747591329548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3.376222612829737</v>
      </c>
      <c r="CL46" s="21">
        <f>EXP(-LN(2)/25)*CL45+(1-EXP(-LN(2)/25))/(LN(2)/25)*Calculateur!CG46*Calculateur!CI46*VLOOKUP('Données projet'!$B$12,Paramètres!$A$1:$I$89,3,0)*0.475*44/12</f>
        <v>13.563930414691734</v>
      </c>
      <c r="CM46" s="21">
        <f>EXP(-LN(2)/2)*CM45+(1-EXP(-LN(2)/2))/(LN(2)/2)*CG46*CJ46*VLOOKUP('Données projet'!$B$12,Paramètres!$A$1:$I$89,3,0)*0.475*44/12</f>
        <v>2.4777666159225884</v>
      </c>
      <c r="CN46" s="22">
        <f t="shared" si="12"/>
        <v>19.417919643444058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3.3603333333333336</v>
      </c>
      <c r="CT46" s="12">
        <f>IF('Données projet'!$A$140&gt;35,CT45+CS46-DB45,IF(A46&lt;'Données projet'!$A$140,$CQ$205^A46,IF(A46='Données projet'!$A$140,'Données projet'!$B$140,CT45+CS46-DB45)))</f>
        <v>144.49433333333329</v>
      </c>
      <c r="CU46" s="17">
        <f>CT46*VLOOKUP('Données projet'!$B$13,Paramètres!$A$1:$I$89,3,0)*VLOOKUP('Données projet'!$B$13,Paramètres!$A$1:$I$89,5,0)</f>
        <v>139.75491919999996</v>
      </c>
      <c r="CV46" s="13">
        <f t="shared" si="41"/>
        <v>36.240855201325502</v>
      </c>
      <c r="CW46" s="20">
        <f t="shared" si="13"/>
        <v>306.52597374897516</v>
      </c>
      <c r="CX46" s="59">
        <f t="shared" si="14"/>
        <v>556.66715521540721</v>
      </c>
      <c r="CY46" s="59">
        <f ca="1">AVERAGE(OFFSET($CX$3,0,0,'Données projet'!$E$13+1,1))-AVERAGE(OFFSET($H$3,0,0,'Données projet'!$E$13+1,1))</f>
        <v>557.48193674339791</v>
      </c>
      <c r="CZ46" s="59">
        <f t="shared" si="42"/>
        <v>271.51396593253048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3.3603333333333336</v>
      </c>
      <c r="DO46" s="12">
        <f>IF('Données projet'!$A$166&gt;35,DO45+DN46-DW45,IF(A46&lt;'Données projet'!$A$166,$DL$205^A46,IF(A46='Données projet'!$A$166,'Données projet'!$B$166,DO45+DN46-DW45)))</f>
        <v>144.49433333333329</v>
      </c>
      <c r="DP46" s="17">
        <f>DO46*VLOOKUP('Données projet'!$B$14,Paramètres!$A$1:$I$89,3,0)*VLOOKUP('Données projet'!$B$14,Paramètres!$A$1:$I$89,5,0)</f>
        <v>155.53370039999996</v>
      </c>
      <c r="DQ46" s="13">
        <f t="shared" si="43"/>
        <v>39.833475192026157</v>
      </c>
      <c r="DR46" s="20">
        <f t="shared" si="16"/>
        <v>340.26449748944543</v>
      </c>
      <c r="DS46" s="59">
        <f t="shared" si="17"/>
        <v>590.40567895587742</v>
      </c>
      <c r="DT46" s="59">
        <f ca="1">AVERAGE(OFFSET($DS$3,0,0,'Données projet'!$E$14+1,1))-AVERAGE(OFFSET($H$3,0,0,'Données projet'!$E$14+1,1))</f>
        <v>610.05768948788375</v>
      </c>
      <c r="DU46" s="59">
        <f t="shared" si="44"/>
        <v>295.23928902444845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10.110000000000001</v>
      </c>
      <c r="N47" s="13">
        <f>IF('Données projet'!$A$36&gt;35,N46+M47-V46,IF(A47&lt;'Données projet'!$A$36,$K$205^A47,IF(A47='Données projet'!$A$36,'Données projet'!$B$36,N46+M47-V46)))</f>
        <v>147.67000000000013</v>
      </c>
      <c r="O47" s="13">
        <f>N47*VLOOKUP('Données projet'!$B$9,Paramètres!$A$1:$I$89,3,0)*VLOOKUP('Données projet'!$B$9,Paramètres!$A$1:$I$89,5,0)</f>
        <v>133.61181600000012</v>
      </c>
      <c r="P47" s="13">
        <f t="shared" si="33"/>
        <v>34.829608206917271</v>
      </c>
      <c r="Q47" s="20">
        <f t="shared" si="53"/>
        <v>293.36881382704775</v>
      </c>
      <c r="R47" s="59">
        <f t="shared" si="0"/>
        <v>544.25928256518523</v>
      </c>
      <c r="S47" s="59">
        <f ca="1">AVERAGE(OFFSET($R$3,0,0,'Données projet'!$E$9+1,1))-AVERAGE(OFFSET($H$3,0,0,'Données projet'!$E$9+1,1))</f>
        <v>681.47578137804555</v>
      </c>
      <c r="T47" s="59">
        <f t="shared" si="34"/>
        <v>300.88511065995885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14.431782710262945</v>
      </c>
      <c r="AB47" s="21">
        <f>EXP(-LN(2)/2)*AB46+(1-EXP(-LN(2)/2))/(LN(2)/2)*V47*Y47*VLOOKUP('Données projet'!$B$9,Paramètres!$A$1:$I$89,3,0)*0.475*44/12</f>
        <v>3.7998327310428874</v>
      </c>
      <c r="AC47" s="22">
        <f t="shared" si="3"/>
        <v>18.231615441305834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147.43589743589743</v>
      </c>
      <c r="AG47" s="12">
        <f>VLOOKUP(A47,'Données projet'!$A$61:$I$81,9,0)</f>
        <v>7.1428571428571432</v>
      </c>
      <c r="AH47" s="12">
        <f t="array" ref="AH47">INDEX(AG:AG,MIN(IF(ISNUMBER(AG47:AG243),ROW(AG47:AG243),"")))</f>
        <v>7.1428571428571432</v>
      </c>
      <c r="AI47" s="13">
        <f>IF('Données projet'!$A$62&gt;35,AI46+AH47-AQ46,IF(A47&lt;'Données projet'!$A$62,$AF$205^A47,IF(A47='Données projet'!$A$62,'Données projet'!$B$62,AI46+AH47-AQ46)))</f>
        <v>147.43589743589746</v>
      </c>
      <c r="AJ47" s="13">
        <f>AI47*VLOOKUP('Données projet'!$B$10,Paramètres!$A$1:$I$89,3,0)*VLOOKUP('Données projet'!$B$10,Paramètres!$A$1:$I$89,5,0)</f>
        <v>115.00000000000003</v>
      </c>
      <c r="AK47" s="13">
        <f t="shared" si="35"/>
        <v>30.505958604729159</v>
      </c>
      <c r="AL47" s="20">
        <f t="shared" si="4"/>
        <v>253.42287790323667</v>
      </c>
      <c r="AM47" s="59">
        <f t="shared" si="5"/>
        <v>504.3133466413741</v>
      </c>
      <c r="AN47" s="59">
        <f ca="1">AVERAGE(OFFSET($AM$3,0,0,'Données projet'!$E$10+1,1))-AVERAGE(OFFSET($H$3,0,0,'Données projet'!$E$10+1,1))</f>
        <v>217.53602321474159</v>
      </c>
      <c r="AO47" s="59">
        <f t="shared" si="36"/>
        <v>215.75909414893025</v>
      </c>
      <c r="AP47" s="15">
        <f>IF(ISNA(VLOOKUP(A47,'Données projet'!$A$61:$I$81,3,0)),0,VLOOKUP(A47,'Données projet'!$A$61:$I$81,3,0))</f>
        <v>6</v>
      </c>
      <c r="AQ47" s="15">
        <f>IF(ISNA(VLOOKUP(A47,'Données projet'!$A$61:$I$81,4,0)),0,VLOOKUP(A47,'Données projet'!$A$61:$I$81,4,0))</f>
        <v>27.564102564102562</v>
      </c>
      <c r="AR47" s="16">
        <f>IF(ISNA(VLOOKUP(A47,'Données projet'!$A$61:$I$81,5,0)),0%,VLOOKUP(A47,'Données projet'!$A$61:$I$81,5,0)*VLOOKUP('Données projet'!$B$10,Paramètres!$A$1:$I$89,7,0))</f>
        <v>0.1075</v>
      </c>
      <c r="AS47" s="16">
        <f>IF(ISNA(VLOOKUP(A47,'Données projet'!$A$61:$I$81,6,0)),0%,VLOOKUP(A47,'Données projet'!$A$61:$I$81,6,0)*VLOOKUP('Données projet'!$B$10,Paramètres!$A$1:$I$89,7,0))</f>
        <v>0.1075</v>
      </c>
      <c r="AT47" s="16">
        <f>IF(ISNA(VLOOKUP(A47,'Données projet'!$A$61:$I$81,7,0)),0%,VLOOKUP(A47,'Données projet'!$A$61:$I$81,7,0))</f>
        <v>0.25</v>
      </c>
      <c r="AU47" s="21">
        <f>EXP(-LN(2)/35)*AU46+(1-EXP(-LN(2)/35))/(LN(2)/35)*AQ47*AR47*VLOOKUP('Données projet'!$B$10,Paramètres!$A$1:$I$89,3,0)*0.475*44/12</f>
        <v>6.0707487300753362</v>
      </c>
      <c r="AV47" s="21">
        <f>EXP(-LN(2)/25)*AV46+(1-EXP(-LN(2)/25))/(LN(2)/25)*Calculateur!AQ47*Calculateur!AS47*VLOOKUP('Données projet'!$B$10,Paramètres!$A$1:$I$89,3,0)*0.475*44/12</f>
        <v>7.5692993546198561</v>
      </c>
      <c r="AW47" s="21">
        <f>EXP(-LN(2)/2)*AW46+(1-EXP(-LN(2)/2))/(LN(2)/2)*AQ47*AT47*VLOOKUP('Données projet'!$B$10,Paramètres!$A$1:$I$89,3,0)*0.475*44/12</f>
        <v>5.4987863914280251</v>
      </c>
      <c r="AX47" s="21">
        <f t="shared" si="6"/>
        <v>19.138834476123215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8.1999999999999993</v>
      </c>
      <c r="BD47" s="12">
        <f>IF('Données projet'!$A$88&gt;35,BD46+BC47-BL46,IF(A47&lt;'Données projet'!$A$88,$BA$205^A47,IF(A47='Données projet'!$A$88,'Données projet'!$B$88,BD46+BC47-BL46)))</f>
        <v>196.79999999999995</v>
      </c>
      <c r="BE47" s="13">
        <f>BD47*VLOOKUP('Données projet'!$B$11,Paramètres!$A$1:$I$89,3,0)*VLOOKUP('Données projet'!$B$11,Paramètres!$A$1:$I$89,5,0)</f>
        <v>132.01343999999997</v>
      </c>
      <c r="BF47" s="13">
        <f t="shared" si="37"/>
        <v>34.461189223513074</v>
      </c>
      <c r="BG47" s="20">
        <f t="shared" si="7"/>
        <v>289.94331256428518</v>
      </c>
      <c r="BH47" s="59">
        <f t="shared" si="8"/>
        <v>540.83378130242261</v>
      </c>
      <c r="BI47" s="59">
        <f ca="1">AVERAGE(OFFSET($BH$3,0,0,'Données projet'!$E$11+1,1))-AVERAGE(OFFSET($H$3,0,0,'Données projet'!$E$11+1,1))</f>
        <v>281.67293577289729</v>
      </c>
      <c r="BJ47" s="59">
        <f t="shared" si="38"/>
        <v>272.44904846480154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2.5416201554899627</v>
      </c>
      <c r="BQ47" s="21">
        <f>EXP(-LN(2)/25)*BQ46+(1-EXP(-LN(2)/25))/(LN(2)/25)*Calculateur!BL47*Calculateur!BN47*VLOOKUP('Données projet'!$B$11,Paramètres!$A$1:$I$89,3,0)*0.475*44/12</f>
        <v>10.130357732872376</v>
      </c>
      <c r="BR47" s="21">
        <f>EXP(-LN(2)/2)*BR46+(1-EXP(-LN(2)/2))/(LN(2)/2)*BL47*BO47*VLOOKUP('Données projet'!$B$11,Paramètres!$A$1:$I$89,3,0)*0.475*44/12</f>
        <v>1.3453207103858884</v>
      </c>
      <c r="BS47" s="22">
        <f t="shared" si="9"/>
        <v>14.017298598748226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8.1999999999999993</v>
      </c>
      <c r="BY47" s="12">
        <f>IF('Données projet'!$A$114&gt;35,BY46+BX47-CG46,IF(A47&lt;'Données projet'!$A$114,$BV$205^A47,IF(A47='Données projet'!$A$114,'Données projet'!$B$114,BY46+BX47-CG46)))</f>
        <v>196.79999999999995</v>
      </c>
      <c r="BZ47" s="13">
        <f>BY47*VLOOKUP('Données projet'!$B$12,Paramètres!$A$1:$I$89,3,0)*VLOOKUP('Données projet'!$B$12,Paramètres!$A$1:$I$89,5,0)</f>
        <v>171.92447999999999</v>
      </c>
      <c r="CA47" s="13">
        <f t="shared" si="39"/>
        <v>43.520760297647755</v>
      </c>
      <c r="CB47" s="20">
        <f t="shared" si="10"/>
        <v>375.23379351840316</v>
      </c>
      <c r="CC47" s="59">
        <f t="shared" si="11"/>
        <v>626.12426225654053</v>
      </c>
      <c r="CD47" s="59">
        <f ca="1">AVERAGE(OFFSET($CC$3,0,0,'Données projet'!$E$12+1,1))-AVERAGE(OFFSET($H$3,0,0,'Données projet'!$E$12+1,1))</f>
        <v>348.77506423101278</v>
      </c>
      <c r="CE47" s="59">
        <f t="shared" si="40"/>
        <v>336.13747591329548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3.3100169466846014</v>
      </c>
      <c r="CL47" s="21">
        <f>EXP(-LN(2)/25)*CL46+(1-EXP(-LN(2)/25))/(LN(2)/25)*Calculateur!CG47*Calculateur!CI47*VLOOKUP('Données projet'!$B$12,Paramètres!$A$1:$I$89,3,0)*0.475*44/12</f>
        <v>13.193024024205888</v>
      </c>
      <c r="CM47" s="21">
        <f>EXP(-LN(2)/2)*CM46+(1-EXP(-LN(2)/2))/(LN(2)/2)*CG47*CJ47*VLOOKUP('Données projet'!$B$12,Paramètres!$A$1:$I$89,3,0)*0.475*44/12</f>
        <v>1.7520455763165061</v>
      </c>
      <c r="CN47" s="22">
        <f t="shared" si="12"/>
        <v>18.255086547206993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3.3603333333333336</v>
      </c>
      <c r="CT47" s="12">
        <f>IF('Données projet'!$A$140&gt;35,CT46+CS47-DB46,IF(A47&lt;'Données projet'!$A$140,$CQ$205^A47,IF(A47='Données projet'!$A$140,'Données projet'!$B$140,CT46+CS47-DB46)))</f>
        <v>147.85466666666662</v>
      </c>
      <c r="CU47" s="17">
        <f>CT47*VLOOKUP('Données projet'!$B$13,Paramètres!$A$1:$I$89,3,0)*VLOOKUP('Données projet'!$B$13,Paramètres!$A$1:$I$89,5,0)</f>
        <v>143.00503359999996</v>
      </c>
      <c r="CV47" s="13">
        <f t="shared" si="41"/>
        <v>36.984563299617569</v>
      </c>
      <c r="CW47" s="20">
        <f t="shared" si="13"/>
        <v>313.48188126683385</v>
      </c>
      <c r="CX47" s="59">
        <f t="shared" si="14"/>
        <v>564.37235000497128</v>
      </c>
      <c r="CY47" s="59">
        <f ca="1">AVERAGE(OFFSET($CX$3,0,0,'Données projet'!$E$13+1,1))-AVERAGE(OFFSET($H$3,0,0,'Données projet'!$E$13+1,1))</f>
        <v>557.48193674339791</v>
      </c>
      <c r="CZ47" s="59">
        <f t="shared" si="42"/>
        <v>271.51396593253048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3.3603333333333336</v>
      </c>
      <c r="DO47" s="12">
        <f>IF('Données projet'!$A$166&gt;35,DO46+DN47-DW46,IF(A47&lt;'Données projet'!$A$166,$DL$205^A47,IF(A47='Données projet'!$A$166,'Données projet'!$B$166,DO46+DN47-DW46)))</f>
        <v>147.85466666666662</v>
      </c>
      <c r="DP47" s="17">
        <f>DO47*VLOOKUP('Données projet'!$B$14,Paramètres!$A$1:$I$89,3,0)*VLOOKUP('Données projet'!$B$14,Paramètres!$A$1:$I$89,5,0)</f>
        <v>159.15076319999994</v>
      </c>
      <c r="DQ47" s="13">
        <f t="shared" si="43"/>
        <v>40.650908387762179</v>
      </c>
      <c r="DR47" s="20">
        <f t="shared" si="16"/>
        <v>347.98791134868566</v>
      </c>
      <c r="DS47" s="59">
        <f t="shared" si="17"/>
        <v>598.87838008682309</v>
      </c>
      <c r="DT47" s="59">
        <f ca="1">AVERAGE(OFFSET($DS$3,0,0,'Données projet'!$E$14+1,1))-AVERAGE(OFFSET($H$3,0,0,'Données projet'!$E$14+1,1))</f>
        <v>610.05768948788375</v>
      </c>
      <c r="DU47" s="59">
        <f t="shared" si="44"/>
        <v>295.23928902444845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10.110000000000001</v>
      </c>
      <c r="N48" s="13">
        <f>IF('Données projet'!$A$36&gt;35,N47+M48-V47,IF(A48&lt;'Données projet'!$A$36,$K$205^A48,IF(A48='Données projet'!$A$36,'Données projet'!$B$36,N47+M48-V47)))</f>
        <v>157.78000000000014</v>
      </c>
      <c r="O48" s="13">
        <f>N48*VLOOKUP('Données projet'!$B$9,Paramètres!$A$1:$I$89,3,0)*VLOOKUP('Données projet'!$B$9,Paramètres!$A$1:$I$89,5,0)</f>
        <v>142.75934400000011</v>
      </c>
      <c r="P48" s="13">
        <f t="shared" si="33"/>
        <v>36.928412609012774</v>
      </c>
      <c r="Q48" s="20">
        <f t="shared" si="53"/>
        <v>312.95617609403075</v>
      </c>
      <c r="R48" s="59">
        <f t="shared" si="0"/>
        <v>564.58293364486485</v>
      </c>
      <c r="S48" s="59">
        <f ca="1">AVERAGE(OFFSET($R$3,0,0,'Données projet'!$E$9+1,1))-AVERAGE(OFFSET($H$3,0,0,'Données projet'!$E$9+1,1))</f>
        <v>681.47578137804555</v>
      </c>
      <c r="T48" s="59">
        <f t="shared" si="34"/>
        <v>300.88511065995885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14.037144853116336</v>
      </c>
      <c r="AB48" s="21">
        <f>EXP(-LN(2)/2)*AB47+(1-EXP(-LN(2)/2))/(LN(2)/2)*V48*Y48*VLOOKUP('Données projet'!$B$9,Paramètres!$A$1:$I$89,3,0)*0.475*44/12</f>
        <v>2.6868874914950243</v>
      </c>
      <c r="AC48" s="22">
        <f t="shared" si="3"/>
        <v>16.724032344611359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6.6506410256410255</v>
      </c>
      <c r="AI48" s="13">
        <f>IF('Données projet'!$A$62&gt;35,AI47+AH48-AQ47,IF(A48&lt;'Données projet'!$A$62,$AF$205^A48,IF(A48='Données projet'!$A$62,'Données projet'!$B$62,AI47+AH48-AQ47)))</f>
        <v>126.52243589743591</v>
      </c>
      <c r="AJ48" s="13">
        <f>AI48*VLOOKUP('Données projet'!$B$10,Paramètres!$A$1:$I$89,3,0)*VLOOKUP('Données projet'!$B$10,Paramètres!$A$1:$I$89,5,0)</f>
        <v>98.687500000000014</v>
      </c>
      <c r="AK48" s="13">
        <f t="shared" si="35"/>
        <v>26.649072495226527</v>
      </c>
      <c r="AL48" s="20">
        <f t="shared" si="4"/>
        <v>218.29453042918621</v>
      </c>
      <c r="AM48" s="59">
        <f t="shared" si="5"/>
        <v>469.92128798002034</v>
      </c>
      <c r="AN48" s="59">
        <f ca="1">AVERAGE(OFFSET($AM$3,0,0,'Données projet'!$E$10+1,1))-AVERAGE(OFFSET($H$3,0,0,'Données projet'!$E$10+1,1))</f>
        <v>217.53602321474159</v>
      </c>
      <c r="AO48" s="59">
        <f t="shared" si="36"/>
        <v>215.75909414893025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5.9517050502696636</v>
      </c>
      <c r="AV48" s="21">
        <f>EXP(-LN(2)/25)*AV47+(1-EXP(-LN(2)/25))/(LN(2)/25)*Calculateur!AQ48*Calculateur!AS48*VLOOKUP('Données projet'!$B$10,Paramètres!$A$1:$I$89,3,0)*0.475*44/12</f>
        <v>7.3623164657156233</v>
      </c>
      <c r="AW48" s="21">
        <f>EXP(-LN(2)/2)*AW47+(1-EXP(-LN(2)/2))/(LN(2)/2)*AQ48*AT48*VLOOKUP('Données projet'!$B$10,Paramètres!$A$1:$I$89,3,0)*0.475*44/12</f>
        <v>3.8882291456750622</v>
      </c>
      <c r="AX48" s="21">
        <f t="shared" si="6"/>
        <v>17.202250661660351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205</v>
      </c>
      <c r="BB48" s="12">
        <f>VLOOKUP(A48,'Données projet'!$A$87:$I$107,9,0)</f>
        <v>8.1999999999999993</v>
      </c>
      <c r="BC48" s="12">
        <f t="array" ref="BC48">INDEX(BB:BB,MIN(IF(ISNUMBER(BB48:BB244),ROW(BB48:BB244),"")))</f>
        <v>8.1999999999999993</v>
      </c>
      <c r="BD48" s="12">
        <f>IF('Données projet'!$A$88&gt;35,BD47+BC48-BL47,IF(A48&lt;'Données projet'!$A$88,$BA$205^A48,IF(A48='Données projet'!$A$88,'Données projet'!$B$88,BD47+BC48-BL47)))</f>
        <v>204.99999999999994</v>
      </c>
      <c r="BE48" s="13">
        <f>BD48*VLOOKUP('Données projet'!$B$11,Paramètres!$A$1:$I$89,3,0)*VLOOKUP('Données projet'!$B$11,Paramètres!$A$1:$I$89,5,0)</f>
        <v>137.51399999999998</v>
      </c>
      <c r="BF48" s="13">
        <f t="shared" si="37"/>
        <v>35.726905311681854</v>
      </c>
      <c r="BG48" s="20">
        <f t="shared" si="7"/>
        <v>301.72791008451253</v>
      </c>
      <c r="BH48" s="59">
        <f t="shared" si="8"/>
        <v>553.35466763534669</v>
      </c>
      <c r="BI48" s="59">
        <f ca="1">AVERAGE(OFFSET($BH$3,0,0,'Données projet'!$E$11+1,1))-AVERAGE(OFFSET($H$3,0,0,'Données projet'!$E$11+1,1))</f>
        <v>281.67293577289729</v>
      </c>
      <c r="BJ48" s="59">
        <f t="shared" si="38"/>
        <v>272.44904846480154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22</v>
      </c>
      <c r="BM48" s="16">
        <f>IF(ISNA(VLOOKUP(A48,'Données projet'!$A$87:$I$107,5,0)),0%,VLOOKUP(A48,'Données projet'!$A$87:$I$107,5,0)*VLOOKUP('Données projet'!$B$11,Paramètres!$A$1:$I$89,7,0))</f>
        <v>0.13250000000000001</v>
      </c>
      <c r="BN48" s="16">
        <f>IF(ISNA(VLOOKUP(A48,'Données projet'!$A$87:$I$107,6,0)),0%,VLOOKUP(A48,'Données projet'!$A$87:$I$107,6,0)*VLOOKUP('Données projet'!$B$11,Paramètres!$A$1:$I$89,7,0))</f>
        <v>0.13250000000000001</v>
      </c>
      <c r="BO48" s="16">
        <f>IF(ISNA(VLOOKUP(A48,'Données projet'!$A$87:$I$107,7,0)),0%,VLOOKUP(A48,'Données projet'!$A$87:$I$107,7,0))</f>
        <v>0.25</v>
      </c>
      <c r="BP48" s="21">
        <f>EXP(-LN(2)/35)*BP47+(1-EXP(-LN(2)/35))/(LN(2)/35)*BL48*BM48*VLOOKUP('Données projet'!$B$11,Paramètres!$A$1:$I$89,3,0)*0.475*44/12</f>
        <v>4.6533974161479259</v>
      </c>
      <c r="BQ48" s="21">
        <f>EXP(-LN(2)/25)*BQ47+(1-EXP(-LN(2)/25))/(LN(2)/25)*Calculateur!BL48*Calculateur!BN48*VLOOKUP('Données projet'!$B$11,Paramètres!$A$1:$I$89,3,0)*0.475*44/12</f>
        <v>12.006448340302775</v>
      </c>
      <c r="BR48" s="21">
        <f>EXP(-LN(2)/2)*BR47+(1-EXP(-LN(2)/2))/(LN(2)/2)*BL48*BO48*VLOOKUP('Données projet'!$B$11,Paramètres!$A$1:$I$89,3,0)*0.475*44/12</f>
        <v>4.4323335959296841</v>
      </c>
      <c r="BS48" s="22">
        <f t="shared" si="9"/>
        <v>21.092179352380384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205</v>
      </c>
      <c r="BW48" s="12">
        <f>VLOOKUP(A48,'Données projet'!$A$113:$I$133,9,0)</f>
        <v>8.1999999999999993</v>
      </c>
      <c r="BX48" s="12">
        <f t="array" ref="BX48">INDEX(BW:BW,MIN(IF(ISNUMBER(BW48:BW244),ROW(BW48:BW244),"")))</f>
        <v>8.1999999999999993</v>
      </c>
      <c r="BY48" s="12">
        <f>IF('Données projet'!$A$114&gt;35,BY47+BX48-CG47,IF(A48&lt;'Données projet'!$A$114,$BV$205^A48,IF(A48='Données projet'!$A$114,'Données projet'!$B$114,BY47+BX48-CG47)))</f>
        <v>204.99999999999994</v>
      </c>
      <c r="BZ48" s="13">
        <f>BY48*VLOOKUP('Données projet'!$B$12,Paramètres!$A$1:$I$89,3,0)*VLOOKUP('Données projet'!$B$12,Paramètres!$A$1:$I$89,5,0)</f>
        <v>179.08799999999997</v>
      </c>
      <c r="CA48" s="13">
        <f t="shared" si="39"/>
        <v>45.119223023956835</v>
      </c>
      <c r="CB48" s="20">
        <f t="shared" si="10"/>
        <v>390.49424676672476</v>
      </c>
      <c r="CC48" s="59">
        <f t="shared" si="11"/>
        <v>642.12100431755891</v>
      </c>
      <c r="CD48" s="59">
        <f ca="1">AVERAGE(OFFSET($CC$3,0,0,'Données projet'!$E$12+1,1))-AVERAGE(OFFSET($H$3,0,0,'Données projet'!$E$12+1,1))</f>
        <v>348.77506423101278</v>
      </c>
      <c r="CE48" s="59">
        <f t="shared" si="40"/>
        <v>336.13747591329548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22</v>
      </c>
      <c r="CH48" s="16">
        <f>IF(ISNA(VLOOKUP(A48,'Données projet'!$A$113:$I$133,5,0)),0%,VLOOKUP(A48,'Données projet'!$A$113:$I$133,5,0)*VLOOKUP('Données projet'!$B$12,Paramètres!$A$1:$I$89,7,0))</f>
        <v>0.13250000000000001</v>
      </c>
      <c r="CI48" s="16">
        <f>IF(ISNA(VLOOKUP(A48,'Données projet'!$A$113:$I$133,6,0)),0%,VLOOKUP(A48,'Données projet'!$A$113:$I$133,6,0)*VLOOKUP('Données projet'!$B$12,Paramètres!$A$1:$I$89,7,0))</f>
        <v>0.13250000000000001</v>
      </c>
      <c r="CJ48" s="16">
        <f>IF(ISNA(VLOOKUP(A48,'Données projet'!$A$113:$I$133,7,0)),0%,VLOOKUP(A48,'Données projet'!$A$113:$I$133,7,0))</f>
        <v>0.25</v>
      </c>
      <c r="CK48" s="21">
        <f>EXP(-LN(2)/35)*CK47+(1-EXP(-LN(2)/35))/(LN(2)/35)*CG48*CH48*VLOOKUP('Données projet'!$B$12,Paramètres!$A$1:$I$89,3,0)*0.475*44/12</f>
        <v>6.0602384954484609</v>
      </c>
      <c r="CL48" s="21">
        <f>EXP(-LN(2)/25)*CL47+(1-EXP(-LN(2)/25))/(LN(2)/25)*Calculateur!CG48*Calculateur!CI48*VLOOKUP('Données projet'!$B$12,Paramètres!$A$1:$I$89,3,0)*0.475*44/12</f>
        <v>15.636304815278034</v>
      </c>
      <c r="CM48" s="21">
        <f>EXP(-LN(2)/2)*CM47+(1-EXP(-LN(2)/2))/(LN(2)/2)*CG48*CJ48*VLOOKUP('Données projet'!$B$12,Paramètres!$A$1:$I$89,3,0)*0.475*44/12</f>
        <v>5.7723414272572642</v>
      </c>
      <c r="CN48" s="22">
        <f t="shared" si="12"/>
        <v>27.46888473798376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3.3603333333333336</v>
      </c>
      <c r="CT48" s="12">
        <f>IF('Données projet'!$A$140&gt;35,CT47+CS48-DB47,IF(A48&lt;'Données projet'!$A$140,$CQ$205^A48,IF(A48='Données projet'!$A$140,'Données projet'!$B$140,CT47+CS48-DB47)))</f>
        <v>151.21499999999995</v>
      </c>
      <c r="CU48" s="17">
        <f>CT48*VLOOKUP('Données projet'!$B$13,Paramètres!$A$1:$I$89,3,0)*VLOOKUP('Données projet'!$B$13,Paramètres!$A$1:$I$89,5,0)</f>
        <v>146.25514799999996</v>
      </c>
      <c r="CV48" s="13">
        <f t="shared" si="41"/>
        <v>37.726306373245144</v>
      </c>
      <c r="CW48" s="20">
        <f t="shared" si="13"/>
        <v>320.43436636673522</v>
      </c>
      <c r="CX48" s="59">
        <f t="shared" si="14"/>
        <v>572.06112391756938</v>
      </c>
      <c r="CY48" s="59">
        <f ca="1">AVERAGE(OFFSET($CX$3,0,0,'Données projet'!$E$13+1,1))-AVERAGE(OFFSET($H$3,0,0,'Données projet'!$E$13+1,1))</f>
        <v>557.48193674339791</v>
      </c>
      <c r="CZ48" s="59">
        <f t="shared" si="42"/>
        <v>271.51396593253048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3.3603333333333336</v>
      </c>
      <c r="DO48" s="12">
        <f>IF('Données projet'!$A$166&gt;35,DO47+DN48-DW47,IF(A48&lt;'Données projet'!$A$166,$DL$205^A48,IF(A48='Données projet'!$A$166,'Données projet'!$B$166,DO47+DN48-DW47)))</f>
        <v>151.21499999999995</v>
      </c>
      <c r="DP48" s="17">
        <f>DO48*VLOOKUP('Données projet'!$B$14,Paramètres!$A$1:$I$89,3,0)*VLOOKUP('Données projet'!$B$14,Paramètres!$A$1:$I$89,5,0)</f>
        <v>162.76782599999993</v>
      </c>
      <c r="DQ48" s="13">
        <f t="shared" si="43"/>
        <v>41.466181762467777</v>
      </c>
      <c r="DR48" s="20">
        <f t="shared" si="16"/>
        <v>355.70756351963126</v>
      </c>
      <c r="DS48" s="59">
        <f t="shared" si="17"/>
        <v>607.33432107046542</v>
      </c>
      <c r="DT48" s="59">
        <f ca="1">AVERAGE(OFFSET($DS$3,0,0,'Données projet'!$E$14+1,1))-AVERAGE(OFFSET($H$3,0,0,'Données projet'!$E$14+1,1))</f>
        <v>610.05768948788375</v>
      </c>
      <c r="DU48" s="59">
        <f t="shared" si="44"/>
        <v>295.23928902444845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10.110000000000001</v>
      </c>
      <c r="N49" s="13">
        <f>IF('Données projet'!$A$36&gt;35,N48+M49-V48,IF(A49&lt;'Données projet'!$A$36,$K$205^A49,IF(A49='Données projet'!$A$36,'Données projet'!$B$36,N48+M49-V48)))</f>
        <v>167.89000000000016</v>
      </c>
      <c r="O49" s="13">
        <f>N49*VLOOKUP('Données projet'!$B$9,Paramètres!$A$1:$I$89,3,0)*VLOOKUP('Données projet'!$B$9,Paramètres!$A$1:$I$89,5,0)</f>
        <v>151.90687200000013</v>
      </c>
      <c r="P49" s="13">
        <f t="shared" si="33"/>
        <v>39.011610015763097</v>
      </c>
      <c r="Q49" s="20">
        <f t="shared" si="53"/>
        <v>332.51635617745427</v>
      </c>
      <c r="R49" s="59">
        <f t="shared" si="0"/>
        <v>584.86662957617989</v>
      </c>
      <c r="S49" s="59">
        <f ca="1">AVERAGE(OFFSET($R$3,0,0,'Données projet'!$E$9+1,1))-AVERAGE(OFFSET($H$3,0,0,'Données projet'!$E$9+1,1))</f>
        <v>681.47578137804555</v>
      </c>
      <c r="T49" s="59">
        <f t="shared" si="34"/>
        <v>300.88511065995885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13.653298388926505</v>
      </c>
      <c r="AB49" s="21">
        <f>EXP(-LN(2)/2)*AB48+(1-EXP(-LN(2)/2))/(LN(2)/2)*V49*Y49*VLOOKUP('Données projet'!$B$9,Paramètres!$A$1:$I$89,3,0)*0.475*44/12</f>
        <v>1.8999163655214437</v>
      </c>
      <c r="AC49" s="22">
        <f t="shared" si="3"/>
        <v>15.553214754447948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6.6506410256410255</v>
      </c>
      <c r="AI49" s="13">
        <f>IF('Données projet'!$A$62&gt;35,AI48+AH49-AQ48,IF(A49&lt;'Données projet'!$A$62,$AF$205^A49,IF(A49='Données projet'!$A$62,'Données projet'!$B$62,AI48+AH49-AQ48)))</f>
        <v>133.17307692307693</v>
      </c>
      <c r="AJ49" s="13">
        <f>AI49*VLOOKUP('Données projet'!$B$10,Paramètres!$A$1:$I$89,3,0)*VLOOKUP('Données projet'!$B$10,Paramètres!$A$1:$I$89,5,0)</f>
        <v>103.87500000000001</v>
      </c>
      <c r="AK49" s="13">
        <f t="shared" si="35"/>
        <v>27.883110316110333</v>
      </c>
      <c r="AL49" s="20">
        <f t="shared" si="4"/>
        <v>229.47870880055882</v>
      </c>
      <c r="AM49" s="59">
        <f t="shared" si="5"/>
        <v>481.8289821992845</v>
      </c>
      <c r="AN49" s="59">
        <f ca="1">AVERAGE(OFFSET($AM$3,0,0,'Données projet'!$E$10+1,1))-AVERAGE(OFFSET($H$3,0,0,'Données projet'!$E$10+1,1))</f>
        <v>217.53602321474159</v>
      </c>
      <c r="AO49" s="59">
        <f t="shared" si="36"/>
        <v>215.75909414893025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5.8349957444155054</v>
      </c>
      <c r="AV49" s="21">
        <f>EXP(-LN(2)/25)*AV48+(1-EXP(-LN(2)/25))/(LN(2)/25)*Calculateur!AQ49*Calculateur!AS49*VLOOKUP('Données projet'!$B$10,Paramètres!$A$1:$I$89,3,0)*0.475*44/12</f>
        <v>7.1609935347932332</v>
      </c>
      <c r="AW49" s="21">
        <f>EXP(-LN(2)/2)*AW48+(1-EXP(-LN(2)/2))/(LN(2)/2)*AQ49*AT49*VLOOKUP('Données projet'!$B$10,Paramètres!$A$1:$I$89,3,0)*0.475*44/12</f>
        <v>2.749393195714013</v>
      </c>
      <c r="AX49" s="21">
        <f t="shared" si="6"/>
        <v>15.745382474922753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7.2</v>
      </c>
      <c r="BD49" s="12">
        <f>IF('Données projet'!$A$88&gt;35,BD48+BC49-BL48,IF(A49&lt;'Données projet'!$A$88,$BA$205^A49,IF(A49='Données projet'!$A$88,'Données projet'!$B$88,BD48+BC49-BL48)))</f>
        <v>190.19999999999993</v>
      </c>
      <c r="BE49" s="13">
        <f>BD49*VLOOKUP('Données projet'!$B$11,Paramètres!$A$1:$I$89,3,0)*VLOOKUP('Données projet'!$B$11,Paramètres!$A$1:$I$89,5,0)</f>
        <v>127.58615999999996</v>
      </c>
      <c r="BF49" s="13">
        <f t="shared" si="37"/>
        <v>33.437984818390682</v>
      </c>
      <c r="BG49" s="20">
        <f t="shared" si="7"/>
        <v>280.45038555869701</v>
      </c>
      <c r="BH49" s="59">
        <f t="shared" si="8"/>
        <v>532.80065895742268</v>
      </c>
      <c r="BI49" s="59">
        <f ca="1">AVERAGE(OFFSET($BH$3,0,0,'Données projet'!$E$11+1,1))-AVERAGE(OFFSET($H$3,0,0,'Données projet'!$E$11+1,1))</f>
        <v>281.67293577289729</v>
      </c>
      <c r="BJ49" s="59">
        <f t="shared" si="38"/>
        <v>272.44904846480154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4.5621471311094313</v>
      </c>
      <c r="BQ49" s="21">
        <f>EXP(-LN(2)/25)*BQ48+(1-EXP(-LN(2)/25))/(LN(2)/25)*Calculateur!BL49*Calculateur!BN49*VLOOKUP('Données projet'!$B$11,Paramètres!$A$1:$I$89,3,0)*0.475*44/12</f>
        <v>11.678131379045519</v>
      </c>
      <c r="BR49" s="21">
        <f>EXP(-LN(2)/2)*BR48+(1-EXP(-LN(2)/2))/(LN(2)/2)*BL49*BO49*VLOOKUP('Données projet'!$B$11,Paramètres!$A$1:$I$89,3,0)*0.475*44/12</f>
        <v>3.1341331421628347</v>
      </c>
      <c r="BS49" s="22">
        <f t="shared" si="9"/>
        <v>19.374411652317786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7.2</v>
      </c>
      <c r="BY49" s="12">
        <f>IF('Données projet'!$A$114&gt;35,BY48+BX49-CG48,IF(A49&lt;'Données projet'!$A$114,$BV$205^A49,IF(A49='Données projet'!$A$114,'Données projet'!$B$114,BY48+BX49-CG48)))</f>
        <v>190.19999999999993</v>
      </c>
      <c r="BZ49" s="13">
        <f>BY49*VLOOKUP('Données projet'!$B$12,Paramètres!$A$1:$I$89,3,0)*VLOOKUP('Données projet'!$B$12,Paramètres!$A$1:$I$89,5,0)</f>
        <v>166.15871999999996</v>
      </c>
      <c r="CA49" s="13">
        <f t="shared" si="39"/>
        <v>42.228563636586387</v>
      </c>
      <c r="CB49" s="20">
        <f t="shared" si="10"/>
        <v>362.94118566705453</v>
      </c>
      <c r="CC49" s="59">
        <f t="shared" si="11"/>
        <v>615.29145906578015</v>
      </c>
      <c r="CD49" s="59">
        <f ca="1">AVERAGE(OFFSET($CC$3,0,0,'Données projet'!$E$12+1,1))-AVERAGE(OFFSET($H$3,0,0,'Données projet'!$E$12+1,1))</f>
        <v>348.77506423101278</v>
      </c>
      <c r="CE49" s="59">
        <f t="shared" si="40"/>
        <v>336.13747591329548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5.9414009149332117</v>
      </c>
      <c r="CL49" s="21">
        <f>EXP(-LN(2)/25)*CL48+(1-EXP(-LN(2)/25))/(LN(2)/25)*Calculateur!CG49*Calculateur!CI49*VLOOKUP('Données projet'!$B$12,Paramètres!$A$1:$I$89,3,0)*0.475*44/12</f>
        <v>15.208729237826724</v>
      </c>
      <c r="CM49" s="21">
        <f>EXP(-LN(2)/2)*CM48+(1-EXP(-LN(2)/2))/(LN(2)/2)*CG49*CJ49*VLOOKUP('Données projet'!$B$12,Paramètres!$A$1:$I$89,3,0)*0.475*44/12</f>
        <v>4.0816617665376462</v>
      </c>
      <c r="CN49" s="22">
        <f t="shared" si="12"/>
        <v>25.231791919297581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3.3603333333333336</v>
      </c>
      <c r="CT49" s="12">
        <f>IF('Données projet'!$A$140&gt;35,CT48+CS49-DB48,IF(A49&lt;'Données projet'!$A$140,$CQ$205^A49,IF(A49='Données projet'!$A$140,'Données projet'!$B$140,CT48+CS49-DB48)))</f>
        <v>154.57533333333328</v>
      </c>
      <c r="CU49" s="17">
        <f>CT49*VLOOKUP('Données projet'!$B$13,Paramètres!$A$1:$I$89,3,0)*VLOOKUP('Données projet'!$B$13,Paramètres!$A$1:$I$89,5,0)</f>
        <v>149.50526239999994</v>
      </c>
      <c r="CV49" s="13">
        <f t="shared" si="41"/>
        <v>38.466133117388303</v>
      </c>
      <c r="CW49" s="20">
        <f t="shared" si="13"/>
        <v>327.38351385945117</v>
      </c>
      <c r="CX49" s="59">
        <f t="shared" si="14"/>
        <v>579.73378725817679</v>
      </c>
      <c r="CY49" s="59">
        <f ca="1">AVERAGE(OFFSET($CX$3,0,0,'Données projet'!$E$13+1,1))-AVERAGE(OFFSET($H$3,0,0,'Données projet'!$E$13+1,1))</f>
        <v>557.48193674339791</v>
      </c>
      <c r="CZ49" s="59">
        <f t="shared" si="42"/>
        <v>271.51396593253048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3.3603333333333336</v>
      </c>
      <c r="DO49" s="12">
        <f>IF('Données projet'!$A$166&gt;35,DO48+DN49-DW48,IF(A49&lt;'Données projet'!$A$166,$DL$205^A49,IF(A49='Données projet'!$A$166,'Données projet'!$B$166,DO48+DN49-DW48)))</f>
        <v>154.57533333333328</v>
      </c>
      <c r="DP49" s="17">
        <f>DO49*VLOOKUP('Données projet'!$B$14,Paramètres!$A$1:$I$89,3,0)*VLOOKUP('Données projet'!$B$14,Paramètres!$A$1:$I$89,5,0)</f>
        <v>166.38488879999991</v>
      </c>
      <c r="DQ49" s="13">
        <f t="shared" si="43"/>
        <v>42.27934883856225</v>
      </c>
      <c r="DR49" s="20">
        <f t="shared" si="16"/>
        <v>363.42354722049572</v>
      </c>
      <c r="DS49" s="59">
        <f t="shared" si="17"/>
        <v>615.7738206192214</v>
      </c>
      <c r="DT49" s="59">
        <f ca="1">AVERAGE(OFFSET($DS$3,0,0,'Données projet'!$E$14+1,1))-AVERAGE(OFFSET($H$3,0,0,'Données projet'!$E$14+1,1))</f>
        <v>610.05768948788375</v>
      </c>
      <c r="DU49" s="59">
        <f t="shared" si="44"/>
        <v>295.23928902444845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10.110000000000001</v>
      </c>
      <c r="N50" s="13">
        <f>IF('Données projet'!$A$36&gt;35,N49+M50-V49,IF(A50&lt;'Données projet'!$A$36,$K$205^A50,IF(A50='Données projet'!$A$36,'Données projet'!$B$36,N49+M50-V49)))</f>
        <v>178.00000000000017</v>
      </c>
      <c r="O50" s="13">
        <f>N50*VLOOKUP('Données projet'!$B$9,Paramètres!$A$1:$I$89,3,0)*VLOOKUP('Données projet'!$B$9,Paramètres!$A$1:$I$89,5,0)</f>
        <v>161.05440000000016</v>
      </c>
      <c r="P50" s="13">
        <f t="shared" si="33"/>
        <v>41.080247278685491</v>
      </c>
      <c r="Q50" s="20">
        <f t="shared" si="53"/>
        <v>352.05117734371078</v>
      </c>
      <c r="R50" s="59">
        <f t="shared" si="0"/>
        <v>605.11241520790622</v>
      </c>
      <c r="S50" s="59">
        <f ca="1">AVERAGE(OFFSET($R$3,0,0,'Données projet'!$E$9+1,1))-AVERAGE(OFFSET($H$3,0,0,'Données projet'!$E$9+1,1))</f>
        <v>681.47578137804555</v>
      </c>
      <c r="T50" s="59">
        <f t="shared" si="34"/>
        <v>300.88511065995885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13.279948226485553</v>
      </c>
      <c r="AB50" s="21">
        <f>EXP(-LN(2)/2)*AB49+(1-EXP(-LN(2)/2))/(LN(2)/2)*V50*Y50*VLOOKUP('Données projet'!$B$9,Paramètres!$A$1:$I$89,3,0)*0.475*44/12</f>
        <v>1.3434437457475121</v>
      </c>
      <c r="AC50" s="22">
        <f t="shared" si="3"/>
        <v>14.623391972233065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6.6506410256410255</v>
      </c>
      <c r="AI50" s="13">
        <f>IF('Données projet'!$A$62&gt;35,AI49+AH50-AQ49,IF(A50&lt;'Données projet'!$A$62,$AF$205^A50,IF(A50='Données projet'!$A$62,'Données projet'!$B$62,AI49+AH50-AQ49)))</f>
        <v>139.82371794871796</v>
      </c>
      <c r="AJ50" s="13">
        <f>AI50*VLOOKUP('Données projet'!$B$10,Paramètres!$A$1:$I$89,3,0)*VLOOKUP('Données projet'!$B$10,Paramètres!$A$1:$I$89,5,0)</f>
        <v>109.06250000000001</v>
      </c>
      <c r="AK50" s="13">
        <f t="shared" si="35"/>
        <v>29.10999234861896</v>
      </c>
      <c r="AL50" s="20">
        <f t="shared" si="4"/>
        <v>240.6504241738447</v>
      </c>
      <c r="AM50" s="59">
        <f t="shared" si="5"/>
        <v>493.71166203804012</v>
      </c>
      <c r="AN50" s="59">
        <f ca="1">AVERAGE(OFFSET($AM$3,0,0,'Données projet'!$E$10+1,1))-AVERAGE(OFFSET($H$3,0,0,'Données projet'!$E$10+1,1))</f>
        <v>217.53602321474159</v>
      </c>
      <c r="AO50" s="59">
        <f t="shared" si="36"/>
        <v>215.75909414893025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5.7205750368635</v>
      </c>
      <c r="AV50" s="21">
        <f>EXP(-LN(2)/25)*AV49+(1-EXP(-LN(2)/25))/(LN(2)/25)*Calculateur!AQ50*Calculateur!AS50*VLOOKUP('Données projet'!$B$10,Paramètres!$A$1:$I$89,3,0)*0.475*44/12</f>
        <v>6.9651757900040288</v>
      </c>
      <c r="AW50" s="21">
        <f>EXP(-LN(2)/2)*AW49+(1-EXP(-LN(2)/2))/(LN(2)/2)*AQ50*AT50*VLOOKUP('Données projet'!$B$10,Paramètres!$A$1:$I$89,3,0)*0.475*44/12</f>
        <v>1.9441145728375313</v>
      </c>
      <c r="AX50" s="21">
        <f t="shared" si="6"/>
        <v>14.629865399705061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7.2</v>
      </c>
      <c r="BD50" s="12">
        <f>IF('Données projet'!$A$88&gt;35,BD49+BC50-BL49,IF(A50&lt;'Données projet'!$A$88,$BA$205^A50,IF(A50='Données projet'!$A$88,'Données projet'!$B$88,BD49+BC50-BL49)))</f>
        <v>197.39999999999992</v>
      </c>
      <c r="BE50" s="13">
        <f>BD50*VLOOKUP('Données projet'!$B$11,Paramètres!$A$1:$I$89,3,0)*VLOOKUP('Données projet'!$B$11,Paramètres!$A$1:$I$89,5,0)</f>
        <v>132.41591999999994</v>
      </c>
      <c r="BF50" s="13">
        <f t="shared" si="37"/>
        <v>34.554007851306523</v>
      </c>
      <c r="BG50" s="20">
        <f t="shared" si="7"/>
        <v>290.80595767435875</v>
      </c>
      <c r="BH50" s="59">
        <f t="shared" si="8"/>
        <v>543.86719553855414</v>
      </c>
      <c r="BI50" s="59">
        <f ca="1">AVERAGE(OFFSET($BH$3,0,0,'Données projet'!$E$11+1,1))-AVERAGE(OFFSET($H$3,0,0,'Données projet'!$E$11+1,1))</f>
        <v>281.67293577289729</v>
      </c>
      <c r="BJ50" s="59">
        <f t="shared" si="38"/>
        <v>272.44904846480154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4.4726862085033625</v>
      </c>
      <c r="BQ50" s="21">
        <f>EXP(-LN(2)/25)*BQ49+(1-EXP(-LN(2)/25))/(LN(2)/25)*Calculateur!BL50*Calculateur!BN50*VLOOKUP('Données projet'!$B$11,Paramètres!$A$1:$I$89,3,0)*0.475*44/12</f>
        <v>11.35879226235928</v>
      </c>
      <c r="BR50" s="21">
        <f>EXP(-LN(2)/2)*BR49+(1-EXP(-LN(2)/2))/(LN(2)/2)*BL50*BO50*VLOOKUP('Données projet'!$B$11,Paramètres!$A$1:$I$89,3,0)*0.475*44/12</f>
        <v>2.2161667979648425</v>
      </c>
      <c r="BS50" s="22">
        <f t="shared" si="9"/>
        <v>18.047645268827484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7.2</v>
      </c>
      <c r="BY50" s="12">
        <f>IF('Données projet'!$A$114&gt;35,BY49+BX50-CG49,IF(A50&lt;'Données projet'!$A$114,$BV$205^A50,IF(A50='Données projet'!$A$114,'Données projet'!$B$114,BY49+BX50-CG49)))</f>
        <v>197.39999999999992</v>
      </c>
      <c r="BZ50" s="13">
        <f>BY50*VLOOKUP('Données projet'!$B$12,Paramètres!$A$1:$I$89,3,0)*VLOOKUP('Données projet'!$B$12,Paramètres!$A$1:$I$89,5,0)</f>
        <v>172.44863999999995</v>
      </c>
      <c r="CA50" s="13">
        <f t="shared" si="39"/>
        <v>43.637980200453676</v>
      </c>
      <c r="CB50" s="20">
        <f t="shared" si="10"/>
        <v>376.35086351579008</v>
      </c>
      <c r="CC50" s="59">
        <f t="shared" si="11"/>
        <v>629.41210137998542</v>
      </c>
      <c r="CD50" s="59">
        <f ca="1">AVERAGE(OFFSET($CC$3,0,0,'Données projet'!$E$12+1,1))-AVERAGE(OFFSET($H$3,0,0,'Données projet'!$E$12+1,1))</f>
        <v>348.77506423101278</v>
      </c>
      <c r="CE50" s="59">
        <f t="shared" si="40"/>
        <v>336.13747591329548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5.8248936668880997</v>
      </c>
      <c r="CL50" s="21">
        <f>EXP(-LN(2)/25)*CL49+(1-EXP(-LN(2)/25))/(LN(2)/25)*Calculateur!CG50*Calculateur!CI50*VLOOKUP('Données projet'!$B$12,Paramètres!$A$1:$I$89,3,0)*0.475*44/12</f>
        <v>14.792845737026042</v>
      </c>
      <c r="CM50" s="21">
        <f>EXP(-LN(2)/2)*CM49+(1-EXP(-LN(2)/2))/(LN(2)/2)*CG50*CJ50*VLOOKUP('Données projet'!$B$12,Paramètres!$A$1:$I$89,3,0)*0.475*44/12</f>
        <v>2.8861707136286325</v>
      </c>
      <c r="CN50" s="22">
        <f t="shared" si="12"/>
        <v>23.503910117542777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3.3603333333333336</v>
      </c>
      <c r="CT50" s="12">
        <f>IF('Données projet'!$A$140&gt;35,CT49+CS50-DB49,IF(A50&lt;'Données projet'!$A$140,$CQ$205^A50,IF(A50='Données projet'!$A$140,'Données projet'!$B$140,CT49+CS50-DB49)))</f>
        <v>157.93566666666661</v>
      </c>
      <c r="CU50" s="17">
        <f>CT50*VLOOKUP('Données projet'!$B$13,Paramètres!$A$1:$I$89,3,0)*VLOOKUP('Données projet'!$B$13,Paramètres!$A$1:$I$89,5,0)</f>
        <v>152.75537679999994</v>
      </c>
      <c r="CV50" s="13">
        <f t="shared" si="41"/>
        <v>39.204089989127873</v>
      </c>
      <c r="CW50" s="20">
        <f t="shared" si="13"/>
        <v>334.32940465773095</v>
      </c>
      <c r="CX50" s="59">
        <f t="shared" si="14"/>
        <v>587.39064252192634</v>
      </c>
      <c r="CY50" s="59">
        <f ca="1">AVERAGE(OFFSET($CX$3,0,0,'Données projet'!$E$13+1,1))-AVERAGE(OFFSET($H$3,0,0,'Données projet'!$E$13+1,1))</f>
        <v>557.48193674339791</v>
      </c>
      <c r="CZ50" s="59">
        <f t="shared" si="42"/>
        <v>271.51396593253048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3.3603333333333336</v>
      </c>
      <c r="DO50" s="12">
        <f>IF('Données projet'!$A$166&gt;35,DO49+DN50-DW49,IF(A50&lt;'Données projet'!$A$166,$DL$205^A50,IF(A50='Données projet'!$A$166,'Données projet'!$B$166,DO49+DN50-DW49)))</f>
        <v>157.93566666666661</v>
      </c>
      <c r="DP50" s="17">
        <f>DO50*VLOOKUP('Données projet'!$B$14,Paramètres!$A$1:$I$89,3,0)*VLOOKUP('Données projet'!$B$14,Paramètres!$A$1:$I$89,5,0)</f>
        <v>170.00195159999993</v>
      </c>
      <c r="DQ50" s="13">
        <f t="shared" si="43"/>
        <v>43.090460678498829</v>
      </c>
      <c r="DR50" s="20">
        <f t="shared" si="16"/>
        <v>371.13595138505201</v>
      </c>
      <c r="DS50" s="59">
        <f t="shared" si="17"/>
        <v>624.19718924924746</v>
      </c>
      <c r="DT50" s="59">
        <f ca="1">AVERAGE(OFFSET($DS$3,0,0,'Données projet'!$E$14+1,1))-AVERAGE(OFFSET($H$3,0,0,'Données projet'!$E$14+1,1))</f>
        <v>610.05768948788375</v>
      </c>
      <c r="DU50" s="59">
        <f t="shared" si="44"/>
        <v>295.23928902444845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10.110000000000001</v>
      </c>
      <c r="N51" s="13">
        <f>IF('Données projet'!$A$36&gt;35,N50+M51-V50,IF(A51&lt;'Données projet'!$A$36,$K$205^A51,IF(A51='Données projet'!$A$36,'Données projet'!$B$36,N50+M51-V50)))</f>
        <v>188.11000000000018</v>
      </c>
      <c r="O51" s="13">
        <f>N51*VLOOKUP('Données projet'!$B$9,Paramètres!$A$1:$I$89,3,0)*VLOOKUP('Données projet'!$B$9,Paramètres!$A$1:$I$89,5,0)</f>
        <v>170.20192800000018</v>
      </c>
      <c r="P51" s="13">
        <f t="shared" si="33"/>
        <v>43.135245614983553</v>
      </c>
      <c r="Q51" s="20">
        <f t="shared" si="53"/>
        <v>371.56224404609662</v>
      </c>
      <c r="R51" s="59">
        <f t="shared" si="0"/>
        <v>625.32211273176426</v>
      </c>
      <c r="S51" s="59">
        <f ca="1">AVERAGE(OFFSET($R$3,0,0,'Données projet'!$E$9+1,1))-AVERAGE(OFFSET($H$3,0,0,'Données projet'!$E$9+1,1))</f>
        <v>681.47578137804555</v>
      </c>
      <c r="T51" s="59">
        <f t="shared" si="34"/>
        <v>300.88511065995885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12.916807343870181</v>
      </c>
      <c r="AB51" s="21">
        <f>EXP(-LN(2)/2)*AB50+(1-EXP(-LN(2)/2))/(LN(2)/2)*V51*Y51*VLOOKUP('Données projet'!$B$9,Paramètres!$A$1:$I$89,3,0)*0.475*44/12</f>
        <v>0.94995818276072186</v>
      </c>
      <c r="AC51" s="22">
        <f t="shared" si="3"/>
        <v>13.866765526630903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6.6506410256410255</v>
      </c>
      <c r="AI51" s="13">
        <f>IF('Données projet'!$A$62&gt;35,AI50+AH51-AQ50,IF(A51&lt;'Données projet'!$A$62,$AF$205^A51,IF(A51='Données projet'!$A$62,'Données projet'!$B$62,AI50+AH51-AQ50)))</f>
        <v>146.47435897435898</v>
      </c>
      <c r="AJ51" s="13">
        <f>AI51*VLOOKUP('Données projet'!$B$10,Paramètres!$A$1:$I$89,3,0)*VLOOKUP('Données projet'!$B$10,Paramètres!$A$1:$I$89,5,0)</f>
        <v>114.25</v>
      </c>
      <c r="AK51" s="13">
        <f t="shared" si="35"/>
        <v>30.330097814653229</v>
      </c>
      <c r="AL51" s="20">
        <f t="shared" si="4"/>
        <v>251.81033702718767</v>
      </c>
      <c r="AM51" s="59">
        <f t="shared" si="5"/>
        <v>505.57020571285534</v>
      </c>
      <c r="AN51" s="59">
        <f ca="1">AVERAGE(OFFSET($AM$3,0,0,'Données projet'!$E$10+1,1))-AVERAGE(OFFSET($H$3,0,0,'Données projet'!$E$10+1,1))</f>
        <v>217.53602321474159</v>
      </c>
      <c r="AO51" s="59">
        <f t="shared" si="36"/>
        <v>215.75909414893025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5.6083980495968486</v>
      </c>
      <c r="AV51" s="21">
        <f>EXP(-LN(2)/25)*AV50+(1-EXP(-LN(2)/25))/(LN(2)/25)*Calculateur!AQ51*Calculateur!AS51*VLOOKUP('Données projet'!$B$10,Paramètres!$A$1:$I$89,3,0)*0.475*44/12</f>
        <v>6.7747126917436926</v>
      </c>
      <c r="AW51" s="21">
        <f>EXP(-LN(2)/2)*AW50+(1-EXP(-LN(2)/2))/(LN(2)/2)*AQ51*AT51*VLOOKUP('Données projet'!$B$10,Paramètres!$A$1:$I$89,3,0)*0.475*44/12</f>
        <v>1.3746965978570067</v>
      </c>
      <c r="AX51" s="21">
        <f t="shared" si="6"/>
        <v>13.757807339197548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7.2</v>
      </c>
      <c r="BD51" s="12">
        <f>IF('Données projet'!$A$88&gt;35,BD50+BC51-BL50,IF(A51&lt;'Données projet'!$A$88,$BA$205^A51,IF(A51='Données projet'!$A$88,'Données projet'!$B$88,BD50+BC51-BL50)))</f>
        <v>204.59999999999991</v>
      </c>
      <c r="BE51" s="13">
        <f>BD51*VLOOKUP('Données projet'!$B$11,Paramètres!$A$1:$I$89,3,0)*VLOOKUP('Données projet'!$B$11,Paramètres!$A$1:$I$89,5,0)</f>
        <v>137.24567999999996</v>
      </c>
      <c r="BF51" s="13">
        <f t="shared" si="37"/>
        <v>35.665301641310378</v>
      </c>
      <c r="BG51" s="20">
        <f t="shared" si="7"/>
        <v>301.15329302528215</v>
      </c>
      <c r="BH51" s="59">
        <f t="shared" si="8"/>
        <v>554.91316171094991</v>
      </c>
      <c r="BI51" s="59">
        <f ca="1">AVERAGE(OFFSET($BH$3,0,0,'Données projet'!$E$11+1,1))-AVERAGE(OFFSET($H$3,0,0,'Données projet'!$E$11+1,1))</f>
        <v>281.67293577289729</v>
      </c>
      <c r="BJ51" s="59">
        <f t="shared" si="38"/>
        <v>272.44904846480154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4.3849795600238242</v>
      </c>
      <c r="BQ51" s="21">
        <f>EXP(-LN(2)/25)*BQ50+(1-EXP(-LN(2)/25))/(LN(2)/25)*Calculateur!BL51*Calculateur!BN51*VLOOKUP('Données projet'!$B$11,Paramètres!$A$1:$I$89,3,0)*0.475*44/12</f>
        <v>11.048185490612141</v>
      </c>
      <c r="BR51" s="21">
        <f>EXP(-LN(2)/2)*BR50+(1-EXP(-LN(2)/2))/(LN(2)/2)*BL51*BO51*VLOOKUP('Données projet'!$B$11,Paramètres!$A$1:$I$89,3,0)*0.475*44/12</f>
        <v>1.5670665710814178</v>
      </c>
      <c r="BS51" s="22">
        <f t="shared" si="9"/>
        <v>17.000231621717383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7.2</v>
      </c>
      <c r="BY51" s="12">
        <f>IF('Données projet'!$A$114&gt;35,BY50+BX51-CG50,IF(A51&lt;'Données projet'!$A$114,$BV$205^A51,IF(A51='Données projet'!$A$114,'Données projet'!$B$114,BY50+BX51-CG50)))</f>
        <v>204.59999999999991</v>
      </c>
      <c r="BZ51" s="13">
        <f>BY51*VLOOKUP('Données projet'!$B$12,Paramètres!$A$1:$I$89,3,0)*VLOOKUP('Données projet'!$B$12,Paramètres!$A$1:$I$89,5,0)</f>
        <v>178.73855999999995</v>
      </c>
      <c r="CA51" s="13">
        <f t="shared" si="39"/>
        <v>45.041424241265332</v>
      </c>
      <c r="CB51" s="20">
        <f t="shared" si="10"/>
        <v>389.75013922020366</v>
      </c>
      <c r="CC51" s="59">
        <f t="shared" si="11"/>
        <v>643.51000790587136</v>
      </c>
      <c r="CD51" s="59">
        <f ca="1">AVERAGE(OFFSET($CC$3,0,0,'Données projet'!$E$12+1,1))-AVERAGE(OFFSET($H$3,0,0,'Données projet'!$E$12+1,1))</f>
        <v>348.77506423101278</v>
      </c>
      <c r="CE51" s="59">
        <f t="shared" si="40"/>
        <v>336.13747591329548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5.7106710549147479</v>
      </c>
      <c r="CL51" s="21">
        <f>EXP(-LN(2)/25)*CL50+(1-EXP(-LN(2)/25))/(LN(2)/25)*Calculateur!CG51*Calculateur!CI51*VLOOKUP('Données projet'!$B$12,Paramètres!$A$1:$I$89,3,0)*0.475*44/12</f>
        <v>14.388334592425117</v>
      </c>
      <c r="CM51" s="21">
        <f>EXP(-LN(2)/2)*CM50+(1-EXP(-LN(2)/2))/(LN(2)/2)*CG51*CJ51*VLOOKUP('Données projet'!$B$12,Paramètres!$A$1:$I$89,3,0)*0.475*44/12</f>
        <v>2.0408308832688231</v>
      </c>
      <c r="CN51" s="22">
        <f t="shared" si="12"/>
        <v>22.13983653060869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3.3603333333333336</v>
      </c>
      <c r="CT51" s="12">
        <f>IF('Données projet'!$A$140&gt;35,CT50+CS51-DB50,IF(A51&lt;'Données projet'!$A$140,$CQ$205^A51,IF(A51='Données projet'!$A$140,'Données projet'!$B$140,CT50+CS51-DB50)))</f>
        <v>161.29599999999994</v>
      </c>
      <c r="CU51" s="17">
        <f>CT51*VLOOKUP('Données projet'!$B$13,Paramètres!$A$1:$I$89,3,0)*VLOOKUP('Données projet'!$B$13,Paramètres!$A$1:$I$89,5,0)</f>
        <v>156.00549119999997</v>
      </c>
      <c r="CV51" s="13">
        <f t="shared" si="41"/>
        <v>39.940221355707003</v>
      </c>
      <c r="CW51" s="20">
        <f t="shared" si="13"/>
        <v>341.27211603452292</v>
      </c>
      <c r="CX51" s="59">
        <f t="shared" si="14"/>
        <v>595.03198472019062</v>
      </c>
      <c r="CY51" s="59">
        <f ca="1">AVERAGE(OFFSET($CX$3,0,0,'Données projet'!$E$13+1,1))-AVERAGE(OFFSET($H$3,0,0,'Données projet'!$E$13+1,1))</f>
        <v>557.48193674339791</v>
      </c>
      <c r="CZ51" s="59">
        <f t="shared" si="42"/>
        <v>271.51396593253048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3.3603333333333336</v>
      </c>
      <c r="DO51" s="12">
        <f>IF('Données projet'!$A$166&gt;35,DO50+DN51-DW50,IF(A51&lt;'Données projet'!$A$166,$DL$205^A51,IF(A51='Données projet'!$A$166,'Données projet'!$B$166,DO50+DN51-DW50)))</f>
        <v>161.29599999999994</v>
      </c>
      <c r="DP51" s="17">
        <f>DO51*VLOOKUP('Données projet'!$B$14,Paramètres!$A$1:$I$89,3,0)*VLOOKUP('Données projet'!$B$14,Paramètres!$A$1:$I$89,5,0)</f>
        <v>173.61901439999991</v>
      </c>
      <c r="DQ51" s="13">
        <f t="shared" si="43"/>
        <v>43.899566047723972</v>
      </c>
      <c r="DR51" s="20">
        <f t="shared" si="16"/>
        <v>378.8448609464524</v>
      </c>
      <c r="DS51" s="59">
        <f t="shared" si="17"/>
        <v>632.6047296321201</v>
      </c>
      <c r="DT51" s="59">
        <f ca="1">AVERAGE(OFFSET($DS$3,0,0,'Données projet'!$E$14+1,1))-AVERAGE(OFFSET($H$3,0,0,'Données projet'!$E$14+1,1))</f>
        <v>610.05768948788375</v>
      </c>
      <c r="DU51" s="59">
        <f t="shared" si="44"/>
        <v>295.23928902444845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10.110000000000001</v>
      </c>
      <c r="N52" s="13">
        <f>IF('Données projet'!$A$36&gt;35,N51+M52-V51,IF(A52&lt;'Données projet'!$A$36,$K$205^A52,IF(A52='Données projet'!$A$36,'Données projet'!$B$36,N51+M52-V51)))</f>
        <v>198.2200000000002</v>
      </c>
      <c r="O52" s="13">
        <f>N52*VLOOKUP('Données projet'!$B$9,Paramètres!$A$1:$I$89,3,0)*VLOOKUP('Données projet'!$B$9,Paramètres!$A$1:$I$89,5,0)</f>
        <v>179.34945600000017</v>
      </c>
      <c r="P52" s="13">
        <f t="shared" si="33"/>
        <v>45.177421627371096</v>
      </c>
      <c r="Q52" s="20">
        <f t="shared" si="53"/>
        <v>391.0509785343383</v>
      </c>
      <c r="R52" s="59">
        <f t="shared" si="0"/>
        <v>645.49735835863021</v>
      </c>
      <c r="S52" s="59">
        <f ca="1">AVERAGE(OFFSET($R$3,0,0,'Données projet'!$E$9+1,1))-AVERAGE(OFFSET($H$3,0,0,'Données projet'!$E$9+1,1))</f>
        <v>681.47578137804555</v>
      </c>
      <c r="T52" s="59">
        <f t="shared" si="34"/>
        <v>300.88511065995885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12.563596567786675</v>
      </c>
      <c r="AB52" s="21">
        <f>EXP(-LN(2)/2)*AB51+(1-EXP(-LN(2)/2))/(LN(2)/2)*V52*Y52*VLOOKUP('Données projet'!$B$9,Paramètres!$A$1:$I$89,3,0)*0.475*44/12</f>
        <v>0.67172187287375607</v>
      </c>
      <c r="AC52" s="22">
        <f t="shared" si="3"/>
        <v>13.23531844066043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6.6506410256410255</v>
      </c>
      <c r="AI52" s="13">
        <f>IF('Données projet'!$A$62&gt;35,AI51+AH52-AQ51,IF(A52&lt;'Données projet'!$A$62,$AF$205^A52,IF(A52='Données projet'!$A$62,'Données projet'!$B$62,AI51+AH52-AQ51)))</f>
        <v>153.125</v>
      </c>
      <c r="AJ52" s="13">
        <f>AI52*VLOOKUP('Données projet'!$B$10,Paramètres!$A$1:$I$89,3,0)*VLOOKUP('Données projet'!$B$10,Paramètres!$A$1:$I$89,5,0)</f>
        <v>119.4375</v>
      </c>
      <c r="AK52" s="13">
        <f t="shared" si="35"/>
        <v>31.5437695525004</v>
      </c>
      <c r="AL52" s="20">
        <f t="shared" si="4"/>
        <v>262.95904447060485</v>
      </c>
      <c r="AM52" s="59">
        <f t="shared" si="5"/>
        <v>517.40542429489687</v>
      </c>
      <c r="AN52" s="59">
        <f ca="1">AVERAGE(OFFSET($AM$3,0,0,'Données projet'!$E$10+1,1))-AVERAGE(OFFSET($H$3,0,0,'Données projet'!$E$10+1,1))</f>
        <v>217.53602321474159</v>
      </c>
      <c r="AO52" s="59">
        <f t="shared" si="36"/>
        <v>215.75909414893025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5.4984207846292898</v>
      </c>
      <c r="AV52" s="21">
        <f>EXP(-LN(2)/25)*AV51+(1-EXP(-LN(2)/25))/(LN(2)/25)*Calculateur!AQ52*Calculateur!AS52*VLOOKUP('Données projet'!$B$10,Paramètres!$A$1:$I$89,3,0)*0.475*44/12</f>
        <v>6.5894578169213043</v>
      </c>
      <c r="AW52" s="21">
        <f>EXP(-LN(2)/2)*AW51+(1-EXP(-LN(2)/2))/(LN(2)/2)*AQ52*AT52*VLOOKUP('Données projet'!$B$10,Paramètres!$A$1:$I$89,3,0)*0.475*44/12</f>
        <v>0.97205728641876588</v>
      </c>
      <c r="AX52" s="21">
        <f t="shared" si="6"/>
        <v>13.05993588796936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7.2</v>
      </c>
      <c r="BD52" s="12">
        <f>IF('Données projet'!$A$88&gt;35,BD51+BC52-BL51,IF(A52&lt;'Données projet'!$A$88,$BA$205^A52,IF(A52='Données projet'!$A$88,'Données projet'!$B$88,BD51+BC52-BL51)))</f>
        <v>211.7999999999999</v>
      </c>
      <c r="BE52" s="13">
        <f>BD52*VLOOKUP('Données projet'!$B$11,Paramètres!$A$1:$I$89,3,0)*VLOOKUP('Données projet'!$B$11,Paramètres!$A$1:$I$89,5,0)</f>
        <v>142.07543999999993</v>
      </c>
      <c r="BF52" s="13">
        <f t="shared" si="37"/>
        <v>36.772051683063594</v>
      </c>
      <c r="BG52" s="20">
        <f t="shared" si="7"/>
        <v>311.49271468133566</v>
      </c>
      <c r="BH52" s="59">
        <f t="shared" si="8"/>
        <v>565.93909450562762</v>
      </c>
      <c r="BI52" s="59">
        <f ca="1">AVERAGE(OFFSET($BH$3,0,0,'Données projet'!$E$11+1,1))-AVERAGE(OFFSET($H$3,0,0,'Données projet'!$E$11+1,1))</f>
        <v>281.67293577289729</v>
      </c>
      <c r="BJ52" s="59">
        <f t="shared" si="38"/>
        <v>272.44904846480154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4.2989927854251961</v>
      </c>
      <c r="BQ52" s="21">
        <f>EXP(-LN(2)/25)*BQ51+(1-EXP(-LN(2)/25))/(LN(2)/25)*Calculateur!BL52*Calculateur!BN52*VLOOKUP('Données projet'!$B$11,Paramètres!$A$1:$I$89,3,0)*0.475*44/12</f>
        <v>10.746072277372528</v>
      </c>
      <c r="BR52" s="21">
        <f>EXP(-LN(2)/2)*BR51+(1-EXP(-LN(2)/2))/(LN(2)/2)*BL52*BO52*VLOOKUP('Données projet'!$B$11,Paramètres!$A$1:$I$89,3,0)*0.475*44/12</f>
        <v>1.1080833989824215</v>
      </c>
      <c r="BS52" s="22">
        <f t="shared" si="9"/>
        <v>16.153148461780148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7.2</v>
      </c>
      <c r="BY52" s="12">
        <f>IF('Données projet'!$A$114&gt;35,BY51+BX52-CG51,IF(A52&lt;'Données projet'!$A$114,$BV$205^A52,IF(A52='Données projet'!$A$114,'Données projet'!$B$114,BY51+BX52-CG51)))</f>
        <v>211.7999999999999</v>
      </c>
      <c r="BZ52" s="13">
        <f>BY52*VLOOKUP('Données projet'!$B$12,Paramètres!$A$1:$I$89,3,0)*VLOOKUP('Données projet'!$B$12,Paramètres!$A$1:$I$89,5,0)</f>
        <v>185.02847999999992</v>
      </c>
      <c r="CA52" s="13">
        <f t="shared" si="39"/>
        <v>46.439130018745807</v>
      </c>
      <c r="CB52" s="20">
        <f t="shared" si="10"/>
        <v>403.13942078264876</v>
      </c>
      <c r="CC52" s="59">
        <f t="shared" si="11"/>
        <v>657.58580060694067</v>
      </c>
      <c r="CD52" s="59">
        <f ca="1">AVERAGE(OFFSET($CC$3,0,0,'Données projet'!$E$12+1,1))-AVERAGE(OFFSET($H$3,0,0,'Données projet'!$E$12+1,1))</f>
        <v>348.77506423101278</v>
      </c>
      <c r="CE52" s="59">
        <f t="shared" si="40"/>
        <v>336.13747591329548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5.5986882786932792</v>
      </c>
      <c r="CL52" s="21">
        <f>EXP(-LN(2)/25)*CL51+(1-EXP(-LN(2)/25))/(LN(2)/25)*Calculateur!CG52*Calculateur!CI52*VLOOKUP('Données projet'!$B$12,Paramètres!$A$1:$I$89,3,0)*0.475*44/12</f>
        <v>13.994884826345622</v>
      </c>
      <c r="CM52" s="21">
        <f>EXP(-LN(2)/2)*CM51+(1-EXP(-LN(2)/2))/(LN(2)/2)*CG52*CJ52*VLOOKUP('Données projet'!$B$12,Paramètres!$A$1:$I$89,3,0)*0.475*44/12</f>
        <v>1.4430853568143163</v>
      </c>
      <c r="CN52" s="22">
        <f t="shared" si="12"/>
        <v>21.036658461853214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3.3603333333333336</v>
      </c>
      <c r="CT52" s="12">
        <f>IF('Données projet'!$A$140&gt;35,CT51+CS52-DB51,IF(A52&lt;'Données projet'!$A$140,$CQ$205^A52,IF(A52='Données projet'!$A$140,'Données projet'!$B$140,CT51+CS52-DB51)))</f>
        <v>164.65633333333327</v>
      </c>
      <c r="CU52" s="17">
        <f>CT52*VLOOKUP('Données projet'!$B$13,Paramètres!$A$1:$I$89,3,0)*VLOOKUP('Données projet'!$B$13,Paramètres!$A$1:$I$89,5,0)</f>
        <v>159.25560559999994</v>
      </c>
      <c r="CV52" s="13">
        <f t="shared" si="41"/>
        <v>40.674569630088818</v>
      </c>
      <c r="CW52" s="20">
        <f t="shared" si="13"/>
        <v>348.21172185907125</v>
      </c>
      <c r="CX52" s="59">
        <f t="shared" si="14"/>
        <v>602.65810168336316</v>
      </c>
      <c r="CY52" s="59">
        <f ca="1">AVERAGE(OFFSET($CX$3,0,0,'Données projet'!$E$13+1,1))-AVERAGE(OFFSET($H$3,0,0,'Données projet'!$E$13+1,1))</f>
        <v>557.48193674339791</v>
      </c>
      <c r="CZ52" s="59">
        <f t="shared" si="42"/>
        <v>271.51396593253048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3.3603333333333336</v>
      </c>
      <c r="DO52" s="12">
        <f>IF('Données projet'!$A$166&gt;35,DO51+DN52-DW51,IF(A52&lt;'Données projet'!$A$166,$DL$205^A52,IF(A52='Données projet'!$A$166,'Données projet'!$B$166,DO51+DN52-DW51)))</f>
        <v>164.65633333333327</v>
      </c>
      <c r="DP52" s="17">
        <f>DO52*VLOOKUP('Données projet'!$B$14,Paramètres!$A$1:$I$89,3,0)*VLOOKUP('Données projet'!$B$14,Paramètres!$A$1:$I$89,5,0)</f>
        <v>177.23607719999993</v>
      </c>
      <c r="DQ52" s="13">
        <f t="shared" si="43"/>
        <v>44.706711563672613</v>
      </c>
      <c r="DR52" s="20">
        <f t="shared" si="16"/>
        <v>386.55035709672961</v>
      </c>
      <c r="DS52" s="59">
        <f t="shared" si="17"/>
        <v>640.99673692102158</v>
      </c>
      <c r="DT52" s="59">
        <f ca="1">AVERAGE(OFFSET($DS$3,0,0,'Données projet'!$E$14+1,1))-AVERAGE(OFFSET($H$3,0,0,'Données projet'!$E$14+1,1))</f>
        <v>610.05768948788375</v>
      </c>
      <c r="DU52" s="59">
        <f t="shared" si="44"/>
        <v>295.23928902444845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208.33</v>
      </c>
      <c r="L53" s="12">
        <f>VLOOKUP(A53,'Données projet'!$A$35:$I$55,9,0)</f>
        <v>10.110000000000001</v>
      </c>
      <c r="M53" s="12">
        <f t="array" ref="M53">INDEX(L:L,MIN(IF(ISNUMBER(L53:L249),ROW(L53:L249),"")))</f>
        <v>10.110000000000001</v>
      </c>
      <c r="N53" s="13">
        <f>IF('Données projet'!$A$36&gt;35,N52+M53-V52,IF(A53&lt;'Données projet'!$A$36,$K$205^A53,IF(A53='Données projet'!$A$36,'Données projet'!$B$36,N52+M53-V52)))</f>
        <v>208.33000000000021</v>
      </c>
      <c r="O53" s="13">
        <f>N53*VLOOKUP('Données projet'!$B$9,Paramètres!$A$1:$I$89,3,0)*VLOOKUP('Données projet'!$B$9,Paramètres!$A$1:$I$89,5,0)</f>
        <v>188.4969840000002</v>
      </c>
      <c r="P53" s="13">
        <f t="shared" si="33"/>
        <v>47.207503913482938</v>
      </c>
      <c r="Q53" s="20">
        <f t="shared" si="53"/>
        <v>410.51864978264985</v>
      </c>
      <c r="R53" s="59">
        <f t="shared" si="0"/>
        <v>665.63963131211995</v>
      </c>
      <c r="S53" s="59">
        <f ca="1">AVERAGE(OFFSET($R$3,0,0,'Données projet'!$E$9+1,1))-AVERAGE(OFFSET($H$3,0,0,'Données projet'!$E$9+1,1))</f>
        <v>681.47578137804555</v>
      </c>
      <c r="T53" s="59">
        <f t="shared" si="34"/>
        <v>300.88511065995885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37.54000000000002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0.34400000000000003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25.085911282565853</v>
      </c>
      <c r="AB53" s="21">
        <f>EXP(-LN(2)/2)*AB52+(1-EXP(-LN(2)/2))/(LN(2)/2)*V53*Y53*VLOOKUP('Données projet'!$B$9,Paramètres!$A$1:$I$89,3,0)*0.475*44/12</f>
        <v>6.8845823591112083</v>
      </c>
      <c r="AC53" s="22">
        <f t="shared" si="3"/>
        <v>31.970493641677059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6.6506410256410255</v>
      </c>
      <c r="AI53" s="13">
        <f>IF('Données projet'!$A$62&gt;35,AI52+AH53-AQ52,IF(A53&lt;'Données projet'!$A$62,$AF$205^A53,IF(A53='Données projet'!$A$62,'Données projet'!$B$62,AI52+AH53-AQ52)))</f>
        <v>159.77564102564102</v>
      </c>
      <c r="AJ53" s="13">
        <f>AI53*VLOOKUP('Données projet'!$B$10,Paramètres!$A$1:$I$89,3,0)*VLOOKUP('Données projet'!$B$10,Paramètres!$A$1:$I$89,5,0)</f>
        <v>124.625</v>
      </c>
      <c r="AK53" s="13">
        <f t="shared" si="35"/>
        <v>32.751318935498368</v>
      </c>
      <c r="AL53" s="20">
        <f t="shared" si="4"/>
        <v>274.09708881265965</v>
      </c>
      <c r="AM53" s="59">
        <f t="shared" si="5"/>
        <v>529.21807034212975</v>
      </c>
      <c r="AN53" s="59">
        <f ca="1">AVERAGE(OFFSET($AM$3,0,0,'Données projet'!$E$10+1,1))-AVERAGE(OFFSET($H$3,0,0,'Données projet'!$E$10+1,1))</f>
        <v>217.53602321474159</v>
      </c>
      <c r="AO53" s="59">
        <f t="shared" si="36"/>
        <v>215.75909414893025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5.390600106748237</v>
      </c>
      <c r="AV53" s="21">
        <f>EXP(-LN(2)/25)*AV52+(1-EXP(-LN(2)/25))/(LN(2)/25)*Calculateur!AQ53*Calculateur!AS53*VLOOKUP('Données projet'!$B$10,Paramètres!$A$1:$I$89,3,0)*0.475*44/12</f>
        <v>6.4092687463930647</v>
      </c>
      <c r="AW53" s="21">
        <f>EXP(-LN(2)/2)*AW52+(1-EXP(-LN(2)/2))/(LN(2)/2)*AQ53*AT53*VLOOKUP('Données projet'!$B$10,Paramètres!$A$1:$I$89,3,0)*0.475*44/12</f>
        <v>0.68734829892850346</v>
      </c>
      <c r="AX53" s="21">
        <f t="shared" si="6"/>
        <v>12.487217152069805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219</v>
      </c>
      <c r="BB53" s="12">
        <f>VLOOKUP(A53,'Données projet'!$A$87:$I$107,9,0)</f>
        <v>7.2</v>
      </c>
      <c r="BC53" s="12">
        <f t="array" ref="BC53">INDEX(BB:BB,MIN(IF(ISNUMBER(BB53:BB249),ROW(BB53:BB249),"")))</f>
        <v>7.2</v>
      </c>
      <c r="BD53" s="12">
        <f>IF('Données projet'!$A$88&gt;35,BD52+BC53-BL52,IF(A53&lt;'Données projet'!$A$88,$BA$205^A53,IF(A53='Données projet'!$A$88,'Données projet'!$B$88,BD52+BC53-BL52)))</f>
        <v>218.99999999999989</v>
      </c>
      <c r="BE53" s="13">
        <f>BD53*VLOOKUP('Données projet'!$B$11,Paramètres!$A$1:$I$89,3,0)*VLOOKUP('Données projet'!$B$11,Paramètres!$A$1:$I$89,5,0)</f>
        <v>146.90519999999992</v>
      </c>
      <c r="BF53" s="13">
        <f t="shared" si="37"/>
        <v>37.874430144259527</v>
      </c>
      <c r="BG53" s="20">
        <f t="shared" si="7"/>
        <v>321.82452250125186</v>
      </c>
      <c r="BH53" s="59">
        <f t="shared" si="8"/>
        <v>576.94550403072196</v>
      </c>
      <c r="BI53" s="59">
        <f ca="1">AVERAGE(OFFSET($BH$3,0,0,'Données projet'!$E$11+1,1))-AVERAGE(OFFSET($H$3,0,0,'Données projet'!$E$11+1,1))</f>
        <v>281.67293577289729</v>
      </c>
      <c r="BJ53" s="59">
        <f t="shared" si="38"/>
        <v>272.44904846480154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17</v>
      </c>
      <c r="BM53" s="16">
        <f>IF(ISNA(VLOOKUP(A53,'Données projet'!$A$87:$I$107,5,0)),0%,VLOOKUP(A53,'Données projet'!$A$87:$I$107,5,0)*VLOOKUP('Données projet'!$B$11,Paramètres!$A$1:$I$89,7,0))</f>
        <v>0.13250000000000001</v>
      </c>
      <c r="BN53" s="16">
        <f>IF(ISNA(VLOOKUP(A53,'Données projet'!$A$87:$I$107,6,0)),0%,VLOOKUP(A53,'Données projet'!$A$87:$I$107,6,0)*VLOOKUP('Données projet'!$B$11,Paramètres!$A$1:$I$89,7,0))</f>
        <v>0.13250000000000001</v>
      </c>
      <c r="BO53" s="16">
        <f>IF(ISNA(VLOOKUP(A53,'Données projet'!$A$87:$I$107,7,0)),0%,VLOOKUP(A53,'Données projet'!$A$87:$I$107,7,0))</f>
        <v>0.25</v>
      </c>
      <c r="BP53" s="21">
        <f>EXP(-LN(2)/35)*BP52+(1-EXP(-LN(2)/35))/(LN(2)/35)*BL53*BM53*VLOOKUP('Données projet'!$B$11,Paramètres!$A$1:$I$89,3,0)*0.475*44/12</f>
        <v>5.885032476685252</v>
      </c>
      <c r="BQ53" s="21">
        <f>EXP(-LN(2)/25)*BQ52+(1-EXP(-LN(2)/25))/(LN(2)/25)*Calculateur!BL53*Calculateur!BN53*VLOOKUP('Données projet'!$B$11,Paramètres!$A$1:$I$89,3,0)*0.475*44/12</f>
        <v>12.115983917211787</v>
      </c>
      <c r="BR53" s="21">
        <f>EXP(-LN(2)/2)*BR52+(1-EXP(-LN(2)/2))/(LN(2)/2)*BL53*BO53*VLOOKUP('Données projet'!$B$11,Paramètres!$A$1:$I$89,3,0)*0.475*44/12</f>
        <v>3.4734341663892105</v>
      </c>
      <c r="BS53" s="22">
        <f t="shared" si="9"/>
        <v>21.47445056028625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219</v>
      </c>
      <c r="BW53" s="12">
        <f>VLOOKUP(A53,'Données projet'!$A$113:$I$133,9,0)</f>
        <v>7.2</v>
      </c>
      <c r="BX53" s="12">
        <f t="array" ref="BX53">INDEX(BW:BW,MIN(IF(ISNUMBER(BW53:BW249),ROW(BW53:BW249),"")))</f>
        <v>7.2</v>
      </c>
      <c r="BY53" s="12">
        <f>IF('Données projet'!$A$114&gt;35,BY52+BX53-CG52,IF(A53&lt;'Données projet'!$A$114,$BV$205^A53,IF(A53='Données projet'!$A$114,'Données projet'!$B$114,BY52+BX53-CG52)))</f>
        <v>218.99999999999989</v>
      </c>
      <c r="BZ53" s="13">
        <f>BY53*VLOOKUP('Données projet'!$B$12,Paramètres!$A$1:$I$89,3,0)*VLOOKUP('Données projet'!$B$12,Paramètres!$A$1:$I$89,5,0)</f>
        <v>191.31839999999991</v>
      </c>
      <c r="CA53" s="13">
        <f t="shared" si="39"/>
        <v>47.831314962098354</v>
      </c>
      <c r="CB53" s="20">
        <f t="shared" si="10"/>
        <v>416.51908689232118</v>
      </c>
      <c r="CC53" s="59">
        <f t="shared" si="11"/>
        <v>671.64006842179128</v>
      </c>
      <c r="CD53" s="59">
        <f ca="1">AVERAGE(OFFSET($CC$3,0,0,'Données projet'!$E$12+1,1))-AVERAGE(OFFSET($H$3,0,0,'Données projet'!$E$12+1,1))</f>
        <v>348.77506423101278</v>
      </c>
      <c r="CE53" s="59">
        <f t="shared" si="40"/>
        <v>336.13747591329548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17</v>
      </c>
      <c r="CH53" s="16">
        <f>IF(ISNA(VLOOKUP(A53,'Données projet'!$A$113:$I$133,5,0)),0%,VLOOKUP(A53,'Données projet'!$A$113:$I$133,5,0)*VLOOKUP('Données projet'!$B$12,Paramètres!$A$1:$I$89,7,0))</f>
        <v>0.13250000000000001</v>
      </c>
      <c r="CI53" s="16">
        <f>IF(ISNA(VLOOKUP(A53,'Données projet'!$A$113:$I$133,6,0)),0%,VLOOKUP(A53,'Données projet'!$A$113:$I$133,6,0)*VLOOKUP('Données projet'!$B$12,Paramètres!$A$1:$I$89,7,0))</f>
        <v>0.13250000000000001</v>
      </c>
      <c r="CJ53" s="16">
        <f>IF(ISNA(VLOOKUP(A53,'Données projet'!$A$113:$I$133,7,0)),0%,VLOOKUP(A53,'Données projet'!$A$113:$I$133,7,0))</f>
        <v>0.25</v>
      </c>
      <c r="CK53" s="21">
        <f>EXP(-LN(2)/35)*CK52+(1-EXP(-LN(2)/35))/(LN(2)/35)*CG53*CH53*VLOOKUP('Données projet'!$B$12,Paramètres!$A$1:$I$89,3,0)*0.475*44/12</f>
        <v>7.6642283417296317</v>
      </c>
      <c r="CL53" s="21">
        <f>EXP(-LN(2)/25)*CL52+(1-EXP(-LN(2)/25))/(LN(2)/25)*Calculateur!CG53*Calculateur!CI53*VLOOKUP('Données projet'!$B$12,Paramètres!$A$1:$I$89,3,0)*0.475*44/12</f>
        <v>15.77895579915954</v>
      </c>
      <c r="CM53" s="21">
        <f>EXP(-LN(2)/2)*CM52+(1-EXP(-LN(2)/2))/(LN(2)/2)*CG53*CJ53*VLOOKUP('Données projet'!$B$12,Paramètres!$A$1:$I$89,3,0)*0.475*44/12</f>
        <v>4.5235421701812975</v>
      </c>
      <c r="CN53" s="22">
        <f t="shared" si="12"/>
        <v>27.96672631107047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3.3603333333333336</v>
      </c>
      <c r="CT53" s="12">
        <f>IF('Données projet'!$A$140&gt;35,CT52+CS53-DB52,IF(A53&lt;'Données projet'!$A$140,$CQ$205^A53,IF(A53='Données projet'!$A$140,'Données projet'!$B$140,CT52+CS53-DB52)))</f>
        <v>168.01666666666659</v>
      </c>
      <c r="CU53" s="17">
        <f>CT53*VLOOKUP('Données projet'!$B$13,Paramètres!$A$1:$I$89,3,0)*VLOOKUP('Données projet'!$B$13,Paramètres!$A$1:$I$89,5,0)</f>
        <v>162.50571999999994</v>
      </c>
      <c r="CV53" s="13">
        <f t="shared" si="41"/>
        <v>41.407175395135489</v>
      </c>
      <c r="CW53" s="20">
        <f t="shared" si="13"/>
        <v>355.14829281319425</v>
      </c>
      <c r="CX53" s="59">
        <f t="shared" si="14"/>
        <v>610.2692743426644</v>
      </c>
      <c r="CY53" s="59">
        <f ca="1">AVERAGE(OFFSET($CX$3,0,0,'Données projet'!$E$13+1,1))-AVERAGE(OFFSET($H$3,0,0,'Données projet'!$E$13+1,1))</f>
        <v>557.48193674339791</v>
      </c>
      <c r="CZ53" s="59">
        <f t="shared" si="42"/>
        <v>271.51396593253048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3.3603333333333336</v>
      </c>
      <c r="DO53" s="12">
        <f>IF('Données projet'!$A$166&gt;35,DO52+DN53-DW52,IF(A53&lt;'Données projet'!$A$166,$DL$205^A53,IF(A53='Données projet'!$A$166,'Données projet'!$B$166,DO52+DN53-DW52)))</f>
        <v>168.01666666666659</v>
      </c>
      <c r="DP53" s="17">
        <f>DO53*VLOOKUP('Données projet'!$B$14,Paramètres!$A$1:$I$89,3,0)*VLOOKUP('Données projet'!$B$14,Paramètres!$A$1:$I$89,5,0)</f>
        <v>180.85313999999991</v>
      </c>
      <c r="DQ53" s="13">
        <f t="shared" si="43"/>
        <v>45.511941832257804</v>
      </c>
      <c r="DR53" s="20">
        <f t="shared" si="16"/>
        <v>394.2525175245155</v>
      </c>
      <c r="DS53" s="59">
        <f t="shared" si="17"/>
        <v>649.3734990539856</v>
      </c>
      <c r="DT53" s="59">
        <f ca="1">AVERAGE(OFFSET($DS$3,0,0,'Données projet'!$E$14+1,1))-AVERAGE(OFFSET($H$3,0,0,'Données projet'!$E$14+1,1))</f>
        <v>610.05768948788375</v>
      </c>
      <c r="DU53" s="59">
        <f t="shared" si="44"/>
        <v>295.23928902444845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10.36375</v>
      </c>
      <c r="N54" s="13">
        <f>IF('Données projet'!$A$36&gt;35,N53+M54-V53,IF(A54&lt;'Données projet'!$A$36,$K$205^A54,IF(A54='Données projet'!$A$36,'Données projet'!$B$36,N53+M54-V53)))</f>
        <v>181.1537500000002</v>
      </c>
      <c r="O54" s="13">
        <f>N54*VLOOKUP('Données projet'!$B$9,Paramètres!$A$1:$I$89,3,0)*VLOOKUP('Données projet'!$B$9,Paramètres!$A$1:$I$89,5,0)</f>
        <v>163.90791300000018</v>
      </c>
      <c r="P54" s="13">
        <f t="shared" si="33"/>
        <v>41.72271436472046</v>
      </c>
      <c r="Q54" s="20">
        <f t="shared" si="53"/>
        <v>358.14000932688845</v>
      </c>
      <c r="R54" s="59">
        <f t="shared" si="0"/>
        <v>613.92388973013522</v>
      </c>
      <c r="S54" s="59">
        <f ca="1">AVERAGE(OFFSET($R$3,0,0,'Données projet'!$E$9+1,1))-AVERAGE(OFFSET($H$3,0,0,'Données projet'!$E$9+1,1))</f>
        <v>681.47578137804555</v>
      </c>
      <c r="T54" s="59">
        <f t="shared" si="34"/>
        <v>300.88511065995885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24.399935719333349</v>
      </c>
      <c r="AB54" s="21">
        <f>EXP(-LN(2)/2)*AB53+(1-EXP(-LN(2)/2))/(LN(2)/2)*V54*Y54*VLOOKUP('Données projet'!$B$9,Paramètres!$A$1:$I$89,3,0)*0.475*44/12</f>
        <v>4.8681348717648145</v>
      </c>
      <c r="AC54" s="22">
        <f t="shared" si="3"/>
        <v>29.268070591098166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6.6506410256410255</v>
      </c>
      <c r="AI54" s="13">
        <f>IF('Données projet'!$A$62&gt;35,AI53+AH54-AQ53,IF(A54&lt;'Données projet'!$A$62,$AF$205^A54,IF(A54='Données projet'!$A$62,'Données projet'!$B$62,AI53+AH54-AQ53)))</f>
        <v>166.42628205128204</v>
      </c>
      <c r="AJ54" s="13">
        <f>AI54*VLOOKUP('Données projet'!$B$10,Paramètres!$A$1:$I$89,3,0)*VLOOKUP('Données projet'!$B$10,Paramètres!$A$1:$I$89,5,0)</f>
        <v>129.8125</v>
      </c>
      <c r="AK54" s="13">
        <f t="shared" si="35"/>
        <v>33.953029948668728</v>
      </c>
      <c r="AL54" s="20">
        <f t="shared" si="4"/>
        <v>285.224964660598</v>
      </c>
      <c r="AM54" s="59">
        <f t="shared" si="5"/>
        <v>541.00884506384477</v>
      </c>
      <c r="AN54" s="59">
        <f ca="1">AVERAGE(OFFSET($AM$3,0,0,'Données projet'!$E$10+1,1))-AVERAGE(OFFSET($H$3,0,0,'Données projet'!$E$10+1,1))</f>
        <v>217.53602321474159</v>
      </c>
      <c r="AO54" s="59">
        <f t="shared" si="36"/>
        <v>215.75909414893025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5.2848937265963123</v>
      </c>
      <c r="AV54" s="21">
        <f>EXP(-LN(2)/25)*AV53+(1-EXP(-LN(2)/25))/(LN(2)/25)*Calculateur!AQ54*Calculateur!AS54*VLOOKUP('Données projet'!$B$10,Paramètres!$A$1:$I$89,3,0)*0.475*44/12</f>
        <v>6.2340069554741513</v>
      </c>
      <c r="AW54" s="21">
        <f>EXP(-LN(2)/2)*AW53+(1-EXP(-LN(2)/2))/(LN(2)/2)*AQ54*AT54*VLOOKUP('Données projet'!$B$10,Paramètres!$A$1:$I$89,3,0)*0.475*44/12</f>
        <v>0.48602864320938299</v>
      </c>
      <c r="AX54" s="21">
        <f t="shared" si="6"/>
        <v>12.004929325279846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</v>
      </c>
      <c r="BD54" s="12">
        <f>IF('Données projet'!$A$88&gt;35,BD53+BC54-BL53,IF(A54&lt;'Données projet'!$A$88,$BA$205^A54,IF(A54='Données projet'!$A$88,'Données projet'!$B$88,BD53+BC54-BL53)))</f>
        <v>207.99999999999989</v>
      </c>
      <c r="BE54" s="13">
        <f>BD54*VLOOKUP('Données projet'!$B$11,Paramètres!$A$1:$I$89,3,0)*VLOOKUP('Données projet'!$B$11,Paramètres!$A$1:$I$89,5,0)</f>
        <v>139.52639999999994</v>
      </c>
      <c r="BF54" s="13">
        <f t="shared" si="37"/>
        <v>36.188488997813856</v>
      </c>
      <c r="BG54" s="20">
        <f t="shared" si="7"/>
        <v>306.03676500452571</v>
      </c>
      <c r="BH54" s="59">
        <f t="shared" si="8"/>
        <v>561.82064540777253</v>
      </c>
      <c r="BI54" s="59">
        <f ca="1">AVERAGE(OFFSET($BH$3,0,0,'Données projet'!$E$11+1,1))-AVERAGE(OFFSET($H$3,0,0,'Données projet'!$E$11+1,1))</f>
        <v>281.67293577289729</v>
      </c>
      <c r="BJ54" s="59">
        <f t="shared" si="38"/>
        <v>272.44904846480154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5.76963057933283</v>
      </c>
      <c r="BQ54" s="21">
        <f>EXP(-LN(2)/25)*BQ53+(1-EXP(-LN(2)/25))/(LN(2)/25)*Calculateur!BL54*Calculateur!BN54*VLOOKUP('Données projet'!$B$11,Paramètres!$A$1:$I$89,3,0)*0.475*44/12</f>
        <v>11.784671699843729</v>
      </c>
      <c r="BR54" s="21">
        <f>EXP(-LN(2)/2)*BR53+(1-EXP(-LN(2)/2))/(LN(2)/2)*BL54*BO54*VLOOKUP('Données projet'!$B$11,Paramètres!$A$1:$I$89,3,0)*0.475*44/12</f>
        <v>2.4560888530588536</v>
      </c>
      <c r="BS54" s="22">
        <f t="shared" si="9"/>
        <v>20.010391132235416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</v>
      </c>
      <c r="BY54" s="12">
        <f>IF('Données projet'!$A$114&gt;35,BY53+BX54-CG53,IF(A54&lt;'Données projet'!$A$114,$BV$205^A54,IF(A54='Données projet'!$A$114,'Données projet'!$B$114,BY53+BX54-CG53)))</f>
        <v>207.99999999999989</v>
      </c>
      <c r="BZ54" s="13">
        <f>BY54*VLOOKUP('Données projet'!$B$12,Paramètres!$A$1:$I$89,3,0)*VLOOKUP('Données projet'!$B$12,Paramètres!$A$1:$I$89,5,0)</f>
        <v>181.70879999999991</v>
      </c>
      <c r="CA54" s="13">
        <f t="shared" si="39"/>
        <v>45.702153370067769</v>
      </c>
      <c r="CB54" s="20">
        <f t="shared" si="10"/>
        <v>396.07407711953448</v>
      </c>
      <c r="CC54" s="59">
        <f t="shared" si="11"/>
        <v>651.85795752278136</v>
      </c>
      <c r="CD54" s="59">
        <f ca="1">AVERAGE(OFFSET($CC$3,0,0,'Données projet'!$E$12+1,1))-AVERAGE(OFFSET($H$3,0,0,'Données projet'!$E$12+1,1))</f>
        <v>348.77506423101278</v>
      </c>
      <c r="CE54" s="59">
        <f t="shared" si="40"/>
        <v>336.13747591329548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7.5139374986660119</v>
      </c>
      <c r="CL54" s="21">
        <f>EXP(-LN(2)/25)*CL53+(1-EXP(-LN(2)/25))/(LN(2)/25)*Calculateur!CG54*Calculateur!CI54*VLOOKUP('Données projet'!$B$12,Paramètres!$A$1:$I$89,3,0)*0.475*44/12</f>
        <v>15.347479423052301</v>
      </c>
      <c r="CM54" s="21">
        <f>EXP(-LN(2)/2)*CM53+(1-EXP(-LN(2)/2))/(LN(2)/2)*CG54*CJ54*VLOOKUP('Données projet'!$B$12,Paramètres!$A$1:$I$89,3,0)*0.475*44/12</f>
        <v>3.1986273435185071</v>
      </c>
      <c r="CN54" s="22">
        <f t="shared" si="12"/>
        <v>26.060044265236819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3.3603333333333336</v>
      </c>
      <c r="CT54" s="12">
        <f>IF('Données projet'!$A$140&gt;35,CT53+CS54-DB53,IF(A54&lt;'Données projet'!$A$140,$CQ$205^A54,IF(A54='Données projet'!$A$140,'Données projet'!$B$140,CT53+CS54-DB53)))</f>
        <v>171.37699999999992</v>
      </c>
      <c r="CU54" s="17">
        <f>CT54*VLOOKUP('Données projet'!$B$13,Paramètres!$A$1:$I$89,3,0)*VLOOKUP('Données projet'!$B$13,Paramètres!$A$1:$I$89,5,0)</f>
        <v>165.75583439999994</v>
      </c>
      <c r="CV54" s="13">
        <f t="shared" si="41"/>
        <v>42.13807751757264</v>
      </c>
      <c r="CW54" s="20">
        <f t="shared" si="13"/>
        <v>362.08189658977221</v>
      </c>
      <c r="CX54" s="59">
        <f t="shared" si="14"/>
        <v>617.86577699301904</v>
      </c>
      <c r="CY54" s="59">
        <f ca="1">AVERAGE(OFFSET($CX$3,0,0,'Données projet'!$E$13+1,1))-AVERAGE(OFFSET($H$3,0,0,'Données projet'!$E$13+1,1))</f>
        <v>557.48193674339791</v>
      </c>
      <c r="CZ54" s="59">
        <f t="shared" si="42"/>
        <v>271.51396593253048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3.3603333333333336</v>
      </c>
      <c r="DO54" s="12">
        <f>IF('Données projet'!$A$166&gt;35,DO53+DN54-DW53,IF(A54&lt;'Données projet'!$A$166,$DL$205^A54,IF(A54='Données projet'!$A$166,'Données projet'!$B$166,DO53+DN54-DW53)))</f>
        <v>171.37699999999992</v>
      </c>
      <c r="DP54" s="17">
        <f>DO54*VLOOKUP('Données projet'!$B$14,Paramètres!$A$1:$I$89,3,0)*VLOOKUP('Données projet'!$B$14,Paramètres!$A$1:$I$89,5,0)</f>
        <v>184.47020279999992</v>
      </c>
      <c r="DQ54" s="13">
        <f t="shared" si="43"/>
        <v>46.315299573132378</v>
      </c>
      <c r="DR54" s="20">
        <f t="shared" si="16"/>
        <v>401.95141663320538</v>
      </c>
      <c r="DS54" s="59">
        <f t="shared" si="17"/>
        <v>657.73529703645227</v>
      </c>
      <c r="DT54" s="59">
        <f ca="1">AVERAGE(OFFSET($DS$3,0,0,'Données projet'!$E$14+1,1))-AVERAGE(OFFSET($H$3,0,0,'Données projet'!$E$14+1,1))</f>
        <v>610.05768948788375</v>
      </c>
      <c r="DU54" s="59">
        <f t="shared" si="44"/>
        <v>295.23928902444845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10.36375</v>
      </c>
      <c r="N55" s="13">
        <f>IF('Données projet'!$A$36&gt;35,N54+M55-V54,IF(A55&lt;'Données projet'!$A$36,$K$205^A55,IF(A55='Données projet'!$A$36,'Données projet'!$B$36,N54+M55-V54)))</f>
        <v>191.51750000000021</v>
      </c>
      <c r="O55" s="13">
        <f>N55*VLOOKUP('Données projet'!$B$9,Paramètres!$A$1:$I$89,3,0)*VLOOKUP('Données projet'!$B$9,Paramètres!$A$1:$I$89,5,0)</f>
        <v>173.28503400000019</v>
      </c>
      <c r="P55" s="13">
        <f t="shared" si="33"/>
        <v>43.82494037101592</v>
      </c>
      <c r="Q55" s="20">
        <f t="shared" si="53"/>
        <v>378.133205362853</v>
      </c>
      <c r="R55" s="59">
        <f t="shared" si="0"/>
        <v>634.56848482643636</v>
      </c>
      <c r="S55" s="59">
        <f ca="1">AVERAGE(OFFSET($R$3,0,0,'Données projet'!$E$9+1,1))-AVERAGE(OFFSET($H$3,0,0,'Données projet'!$E$9+1,1))</f>
        <v>681.47578137804555</v>
      </c>
      <c r="T55" s="59">
        <f t="shared" si="34"/>
        <v>300.88511065995885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23.732718193951328</v>
      </c>
      <c r="AB55" s="21">
        <f>EXP(-LN(2)/2)*AB54+(1-EXP(-LN(2)/2))/(LN(2)/2)*V55*Y55*VLOOKUP('Données projet'!$B$9,Paramètres!$A$1:$I$89,3,0)*0.475*44/12</f>
        <v>3.4422911795556046</v>
      </c>
      <c r="AC55" s="22">
        <f t="shared" si="3"/>
        <v>27.175009373506931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173.07692307692307</v>
      </c>
      <c r="AG55" s="12">
        <f>VLOOKUP(A55,'Données projet'!$A$61:$I$81,9,0)</f>
        <v>6.6506410256410255</v>
      </c>
      <c r="AH55" s="12">
        <f t="array" ref="AH55">INDEX(AG:AG,MIN(IF(ISNUMBER(AG55:AG251),ROW(AG55:AG251),"")))</f>
        <v>6.6506410256410255</v>
      </c>
      <c r="AI55" s="13">
        <f>IF('Données projet'!$A$62&gt;35,AI54+AH55-AQ54,IF(A55&lt;'Données projet'!$A$62,$AF$205^A55,IF(A55='Données projet'!$A$62,'Données projet'!$B$62,AI54+AH55-AQ54)))</f>
        <v>173.07692307692307</v>
      </c>
      <c r="AJ55" s="13">
        <f>AI55*VLOOKUP('Données projet'!$B$10,Paramètres!$A$1:$I$89,3,0)*VLOOKUP('Données projet'!$B$10,Paramètres!$A$1:$I$89,5,0)</f>
        <v>135</v>
      </c>
      <c r="AK55" s="13">
        <f t="shared" si="35"/>
        <v>35.149162595374243</v>
      </c>
      <c r="AL55" s="20">
        <f t="shared" si="4"/>
        <v>296.34312485361016</v>
      </c>
      <c r="AM55" s="59">
        <f t="shared" si="5"/>
        <v>552.77840431719346</v>
      </c>
      <c r="AN55" s="59">
        <f ca="1">AVERAGE(OFFSET($AM$3,0,0,'Données projet'!$E$10+1,1))-AVERAGE(OFFSET($H$3,0,0,'Données projet'!$E$10+1,1))</f>
        <v>217.53602321474159</v>
      </c>
      <c r="AO55" s="59">
        <f t="shared" si="36"/>
        <v>215.75909414893025</v>
      </c>
      <c r="AP55" s="15">
        <f>IF(ISNA(VLOOKUP(A55,'Données projet'!$A$61:$I$81,3,0)),0,VLOOKUP(A55,'Données projet'!$A$61:$I$81,3,0))</f>
        <v>7</v>
      </c>
      <c r="AQ55" s="15">
        <f>IF(ISNA(VLOOKUP(A55,'Données projet'!$A$61:$I$81,4,0)),0,VLOOKUP(A55,'Données projet'!$A$61:$I$81,4,0))</f>
        <v>30.769230769230766</v>
      </c>
      <c r="AR55" s="16">
        <f>IF(ISNA(VLOOKUP(A55,'Données projet'!$A$61:$I$81,5,0)),0%,VLOOKUP(A55,'Données projet'!$A$61:$I$81,5,0)*VLOOKUP('Données projet'!$B$10,Paramètres!$A$1:$I$89,7,0))</f>
        <v>0.1075</v>
      </c>
      <c r="AS55" s="16">
        <f>IF(ISNA(VLOOKUP(A55,'Données projet'!$A$61:$I$81,6,0)),0%,VLOOKUP(A55,'Données projet'!$A$61:$I$81,6,0)*VLOOKUP('Données projet'!$B$10,Paramètres!$A$1:$I$89,7,0))</f>
        <v>0.1075</v>
      </c>
      <c r="AT55" s="16">
        <f>IF(ISNA(VLOOKUP(A55,'Données projet'!$A$61:$I$81,7,0)),0%,VLOOKUP(A55,'Données projet'!$A$61:$I$81,7,0))</f>
        <v>0.25</v>
      </c>
      <c r="AU55" s="21">
        <f>EXP(-LN(2)/35)*AU54+(1-EXP(-LN(2)/35))/(LN(2)/35)*AQ55*AR55*VLOOKUP('Données projet'!$B$10,Paramètres!$A$1:$I$89,3,0)*0.475*44/12</f>
        <v>8.033373763279652</v>
      </c>
      <c r="AV55" s="21">
        <f>EXP(-LN(2)/25)*AV54+(1-EXP(-LN(2)/25))/(LN(2)/25)*Calculateur!AQ55*Calculateur!AS55*VLOOKUP('Données projet'!$B$10,Paramètres!$A$1:$I$89,3,0)*0.475*44/12</f>
        <v>8.9044214287377805</v>
      </c>
      <c r="AW55" s="21">
        <f>EXP(-LN(2)/2)*AW54+(1-EXP(-LN(2)/2))/(LN(2)/2)*AQ55*AT55*VLOOKUP('Données projet'!$B$10,Paramètres!$A$1:$I$89,3,0)*0.475*44/12</f>
        <v>6.0048356370965799</v>
      </c>
      <c r="AX55" s="21">
        <f t="shared" si="6"/>
        <v>22.942630829114012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</v>
      </c>
      <c r="BD55" s="12">
        <f>IF('Données projet'!$A$88&gt;35,BD54+BC55-BL54,IF(A55&lt;'Données projet'!$A$88,$BA$205^A55,IF(A55='Données projet'!$A$88,'Données projet'!$B$88,BD54+BC55-BL54)))</f>
        <v>213.99999999999989</v>
      </c>
      <c r="BE55" s="13">
        <f>BD55*VLOOKUP('Données projet'!$B$11,Paramètres!$A$1:$I$89,3,0)*VLOOKUP('Données projet'!$B$11,Paramètres!$A$1:$I$89,5,0)</f>
        <v>143.55119999999994</v>
      </c>
      <c r="BF55" s="13">
        <f t="shared" si="37"/>
        <v>37.109345732537925</v>
      </c>
      <c r="BG55" s="20">
        <f t="shared" si="7"/>
        <v>314.65045048417011</v>
      </c>
      <c r="BH55" s="59">
        <f t="shared" si="8"/>
        <v>571.08572994775341</v>
      </c>
      <c r="BI55" s="59">
        <f ca="1">AVERAGE(OFFSET($BH$3,0,0,'Données projet'!$E$11+1,1))-AVERAGE(OFFSET($H$3,0,0,'Données projet'!$E$11+1,1))</f>
        <v>281.67293577289729</v>
      </c>
      <c r="BJ55" s="59">
        <f t="shared" si="38"/>
        <v>272.44904846480154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5.6564916427992813</v>
      </c>
      <c r="BQ55" s="21">
        <f>EXP(-LN(2)/25)*BQ54+(1-EXP(-LN(2)/25))/(LN(2)/25)*Calculateur!BL55*Calculateur!BN55*VLOOKUP('Données projet'!$B$11,Paramètres!$A$1:$I$89,3,0)*0.475*44/12</f>
        <v>11.462419232482551</v>
      </c>
      <c r="BR55" s="21">
        <f>EXP(-LN(2)/2)*BR54+(1-EXP(-LN(2)/2))/(LN(2)/2)*BL55*BO55*VLOOKUP('Données projet'!$B$11,Paramètres!$A$1:$I$89,3,0)*0.475*44/12</f>
        <v>1.7367170831946055</v>
      </c>
      <c r="BS55" s="22">
        <f t="shared" si="9"/>
        <v>18.85562795847644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</v>
      </c>
      <c r="BY55" s="12">
        <f>IF('Données projet'!$A$114&gt;35,BY54+BX55-CG54,IF(A55&lt;'Données projet'!$A$114,$BV$205^A55,IF(A55='Données projet'!$A$114,'Données projet'!$B$114,BY54+BX55-CG54)))</f>
        <v>213.99999999999989</v>
      </c>
      <c r="BZ55" s="13">
        <f>BY55*VLOOKUP('Données projet'!$B$12,Paramètres!$A$1:$I$89,3,0)*VLOOKUP('Données projet'!$B$12,Paramètres!$A$1:$I$89,5,0)</f>
        <v>186.95039999999992</v>
      </c>
      <c r="CA55" s="13">
        <f t="shared" si="39"/>
        <v>46.86509597661761</v>
      </c>
      <c r="CB55" s="20">
        <f t="shared" si="10"/>
        <v>407.22865549260882</v>
      </c>
      <c r="CC55" s="59">
        <f t="shared" si="11"/>
        <v>663.66393495619218</v>
      </c>
      <c r="CD55" s="59">
        <f ca="1">AVERAGE(OFFSET($CC$3,0,0,'Données projet'!$E$12+1,1))-AVERAGE(OFFSET($H$3,0,0,'Données projet'!$E$12+1,1))</f>
        <v>348.77506423101278</v>
      </c>
      <c r="CE55" s="59">
        <f t="shared" si="40"/>
        <v>336.13747591329548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7.3665937673665072</v>
      </c>
      <c r="CL55" s="21">
        <f>EXP(-LN(2)/25)*CL54+(1-EXP(-LN(2)/25))/(LN(2)/25)*Calculateur!CG55*Calculateur!CI55*VLOOKUP('Données projet'!$B$12,Paramètres!$A$1:$I$89,3,0)*0.475*44/12</f>
        <v>14.92780179114007</v>
      </c>
      <c r="CM55" s="21">
        <f>EXP(-LN(2)/2)*CM54+(1-EXP(-LN(2)/2))/(LN(2)/2)*CG55*CJ55*VLOOKUP('Données projet'!$B$12,Paramètres!$A$1:$I$89,3,0)*0.475*44/12</f>
        <v>2.2617710850906487</v>
      </c>
      <c r="CN55" s="22">
        <f t="shared" si="12"/>
        <v>24.556166643597223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3.3603333333333336</v>
      </c>
      <c r="CT55" s="12">
        <f>IF('Données projet'!$A$140&gt;35,CT54+CS55-DB54,IF(A55&lt;'Données projet'!$A$140,$CQ$205^A55,IF(A55='Données projet'!$A$140,'Données projet'!$B$140,CT54+CS55-DB54)))</f>
        <v>174.73733333333325</v>
      </c>
      <c r="CU55" s="17">
        <f>CT55*VLOOKUP('Données projet'!$B$13,Paramètres!$A$1:$I$89,3,0)*VLOOKUP('Données projet'!$B$13,Paramètres!$A$1:$I$89,5,0)</f>
        <v>169.00594879999991</v>
      </c>
      <c r="CV55" s="13">
        <f t="shared" si="41"/>
        <v>42.867313252762536</v>
      </c>
      <c r="CW55" s="20">
        <f t="shared" si="13"/>
        <v>369.01259807522791</v>
      </c>
      <c r="CX55" s="59">
        <f t="shared" si="14"/>
        <v>625.44787753881133</v>
      </c>
      <c r="CY55" s="59">
        <f ca="1">AVERAGE(OFFSET($CX$3,0,0,'Données projet'!$E$13+1,1))-AVERAGE(OFFSET($H$3,0,0,'Données projet'!$E$13+1,1))</f>
        <v>557.48193674339791</v>
      </c>
      <c r="CZ55" s="59">
        <f t="shared" si="42"/>
        <v>271.51396593253048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3.3603333333333336</v>
      </c>
      <c r="DO55" s="12">
        <f>IF('Données projet'!$A$166&gt;35,DO54+DN55-DW54,IF(A55&lt;'Données projet'!$A$166,$DL$205^A55,IF(A55='Données projet'!$A$166,'Données projet'!$B$166,DO54+DN55-DW54)))</f>
        <v>174.73733333333325</v>
      </c>
      <c r="DP55" s="17">
        <f>DO55*VLOOKUP('Données projet'!$B$14,Paramètres!$A$1:$I$89,3,0)*VLOOKUP('Données projet'!$B$14,Paramètres!$A$1:$I$89,5,0)</f>
        <v>188.08726559999991</v>
      </c>
      <c r="DQ55" s="13">
        <f t="shared" si="43"/>
        <v>47.116825734848518</v>
      </c>
      <c r="DR55" s="20">
        <f t="shared" si="16"/>
        <v>409.64712574152765</v>
      </c>
      <c r="DS55" s="59">
        <f t="shared" si="17"/>
        <v>666.08240520511094</v>
      </c>
      <c r="DT55" s="59">
        <f ca="1">AVERAGE(OFFSET($DS$3,0,0,'Données projet'!$E$14+1,1))-AVERAGE(OFFSET($H$3,0,0,'Données projet'!$E$14+1,1))</f>
        <v>610.05768948788375</v>
      </c>
      <c r="DU55" s="59">
        <f t="shared" si="44"/>
        <v>295.23928902444845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10.36375</v>
      </c>
      <c r="N56" s="13">
        <f>IF('Données projet'!$A$36&gt;35,N55+M56-V55,IF(A56&lt;'Données projet'!$A$36,$K$205^A56,IF(A56='Données projet'!$A$36,'Données projet'!$B$36,N55+M56-V55)))</f>
        <v>201.88125000000022</v>
      </c>
      <c r="O56" s="13">
        <f>N56*VLOOKUP('Données projet'!$B$9,Paramètres!$A$1:$I$89,3,0)*VLOOKUP('Données projet'!$B$9,Paramètres!$A$1:$I$89,5,0)</f>
        <v>182.66215500000018</v>
      </c>
      <c r="P56" s="13">
        <f t="shared" si="33"/>
        <v>45.913959577546748</v>
      </c>
      <c r="Q56" s="20">
        <f t="shared" si="53"/>
        <v>398.10339955589421</v>
      </c>
      <c r="R56" s="59">
        <f t="shared" si="0"/>
        <v>655.17877776242744</v>
      </c>
      <c r="S56" s="59">
        <f ca="1">AVERAGE(OFFSET($R$3,0,0,'Données projet'!$E$9+1,1))-AVERAGE(OFFSET($H$3,0,0,'Données projet'!$E$9+1,1))</f>
        <v>681.47578137804555</v>
      </c>
      <c r="T56" s="59">
        <f t="shared" si="34"/>
        <v>300.88511065995885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23.08374576688832</v>
      </c>
      <c r="AB56" s="21">
        <f>EXP(-LN(2)/2)*AB55+(1-EXP(-LN(2)/2))/(LN(2)/2)*V56*Y56*VLOOKUP('Données projet'!$B$9,Paramètres!$A$1:$I$89,3,0)*0.475*44/12</f>
        <v>2.4340674358824077</v>
      </c>
      <c r="AC56" s="22">
        <f t="shared" si="3"/>
        <v>25.517813202770729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6.0096153846153868</v>
      </c>
      <c r="AI56" s="13">
        <f>IF('Données projet'!$A$62&gt;35,AI55+AH56-AQ55,IF(A56&lt;'Données projet'!$A$62,$AF$205^A56,IF(A56='Données projet'!$A$62,'Données projet'!$B$62,AI55+AH56-AQ55)))</f>
        <v>148.31730769230768</v>
      </c>
      <c r="AJ56" s="13">
        <f>AI56*VLOOKUP('Données projet'!$B$10,Paramètres!$A$1:$I$89,3,0)*VLOOKUP('Données projet'!$B$10,Paramètres!$A$1:$I$89,5,0)</f>
        <v>115.6875</v>
      </c>
      <c r="AK56" s="13">
        <f t="shared" si="35"/>
        <v>30.667047071789558</v>
      </c>
      <c r="AL56" s="20">
        <f t="shared" si="4"/>
        <v>254.90083615003348</v>
      </c>
      <c r="AM56" s="59">
        <f t="shared" si="5"/>
        <v>511.97621435656674</v>
      </c>
      <c r="AN56" s="59">
        <f ca="1">AVERAGE(OFFSET($AM$3,0,0,'Données projet'!$E$10+1,1))-AVERAGE(OFFSET($H$3,0,0,'Données projet'!$E$10+1,1))</f>
        <v>217.53602321474159</v>
      </c>
      <c r="AO56" s="59">
        <f t="shared" si="36"/>
        <v>215.75909414893025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7.8758442036559115</v>
      </c>
      <c r="AV56" s="21">
        <f>EXP(-LN(2)/25)*AV55+(1-EXP(-LN(2)/25))/(LN(2)/25)*Calculateur!AQ56*Calculateur!AS56*VLOOKUP('Données projet'!$B$10,Paramètres!$A$1:$I$89,3,0)*0.475*44/12</f>
        <v>8.6609295565057742</v>
      </c>
      <c r="AW56" s="21">
        <f>EXP(-LN(2)/2)*AW55+(1-EXP(-LN(2)/2))/(LN(2)/2)*AQ56*AT56*VLOOKUP('Données projet'!$B$10,Paramètres!$A$1:$I$89,3,0)*0.475*44/12</f>
        <v>4.2460599989016341</v>
      </c>
      <c r="AX56" s="21">
        <f t="shared" si="6"/>
        <v>20.782833759063323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</v>
      </c>
      <c r="BD56" s="12">
        <f>IF('Données projet'!$A$88&gt;35,BD55+BC56-BL55,IF(A56&lt;'Données projet'!$A$88,$BA$205^A56,IF(A56='Données projet'!$A$88,'Données projet'!$B$88,BD55+BC56-BL55)))</f>
        <v>219.99999999999989</v>
      </c>
      <c r="BE56" s="13">
        <f>BD56*VLOOKUP('Données projet'!$B$11,Paramètres!$A$1:$I$89,3,0)*VLOOKUP('Données projet'!$B$11,Paramètres!$A$1:$I$89,5,0)</f>
        <v>147.57599999999994</v>
      </c>
      <c r="BF56" s="13">
        <f t="shared" si="37"/>
        <v>38.027201687128048</v>
      </c>
      <c r="BG56" s="20">
        <f t="shared" si="7"/>
        <v>323.25890960508121</v>
      </c>
      <c r="BH56" s="59">
        <f t="shared" si="8"/>
        <v>580.33428781161444</v>
      </c>
      <c r="BI56" s="59">
        <f ca="1">AVERAGE(OFFSET($BH$3,0,0,'Données projet'!$E$11+1,1))-AVERAGE(OFFSET($H$3,0,0,'Données projet'!$E$11+1,1))</f>
        <v>281.67293577289729</v>
      </c>
      <c r="BJ56" s="59">
        <f t="shared" si="38"/>
        <v>272.44904846480154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5.5455712918032187</v>
      </c>
      <c r="BQ56" s="21">
        <f>EXP(-LN(2)/25)*BQ55+(1-EXP(-LN(2)/25))/(LN(2)/25)*Calculateur!BL56*Calculateur!BN56*VLOOKUP('Données projet'!$B$11,Paramètres!$A$1:$I$89,3,0)*0.475*44/12</f>
        <v>11.148978775787887</v>
      </c>
      <c r="BR56" s="21">
        <f>EXP(-LN(2)/2)*BR55+(1-EXP(-LN(2)/2))/(LN(2)/2)*BL56*BO56*VLOOKUP('Données projet'!$B$11,Paramètres!$A$1:$I$89,3,0)*0.475*44/12</f>
        <v>1.228044426529427</v>
      </c>
      <c r="BS56" s="22">
        <f t="shared" si="9"/>
        <v>17.922594494120531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</v>
      </c>
      <c r="BY56" s="12">
        <f>IF('Données projet'!$A$114&gt;35,BY55+BX56-CG55,IF(A56&lt;'Données projet'!$A$114,$BV$205^A56,IF(A56='Données projet'!$A$114,'Données projet'!$B$114,BY55+BX56-CG55)))</f>
        <v>219.99999999999989</v>
      </c>
      <c r="BZ56" s="13">
        <f>BY56*VLOOKUP('Données projet'!$B$12,Paramètres!$A$1:$I$89,3,0)*VLOOKUP('Données projet'!$B$12,Paramètres!$A$1:$I$89,5,0)</f>
        <v>192.19199999999992</v>
      </c>
      <c r="CA56" s="13">
        <f t="shared" si="39"/>
        <v>48.02424892193244</v>
      </c>
      <c r="CB56" s="20">
        <f t="shared" si="10"/>
        <v>418.37663353903218</v>
      </c>
      <c r="CC56" s="59">
        <f t="shared" si="11"/>
        <v>675.45201174556541</v>
      </c>
      <c r="CD56" s="59">
        <f ca="1">AVERAGE(OFFSET($CC$3,0,0,'Données projet'!$E$12+1,1))-AVERAGE(OFFSET($H$3,0,0,'Données projet'!$E$12+1,1))</f>
        <v>348.77506423101278</v>
      </c>
      <c r="CE56" s="59">
        <f t="shared" si="40"/>
        <v>336.13747591329548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7.2221393567669834</v>
      </c>
      <c r="CL56" s="21">
        <f>EXP(-LN(2)/25)*CL55+(1-EXP(-LN(2)/25))/(LN(2)/25)*Calculateur!CG56*Calculateur!CI56*VLOOKUP('Données projet'!$B$12,Paramètres!$A$1:$I$89,3,0)*0.475*44/12</f>
        <v>14.519600266142366</v>
      </c>
      <c r="CM56" s="21">
        <f>EXP(-LN(2)/2)*CM55+(1-EXP(-LN(2)/2))/(LN(2)/2)*CG56*CJ56*VLOOKUP('Données projet'!$B$12,Paramètres!$A$1:$I$89,3,0)*0.475*44/12</f>
        <v>1.5993136717592535</v>
      </c>
      <c r="CN56" s="22">
        <f t="shared" si="12"/>
        <v>23.341053294668605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3.3603333333333336</v>
      </c>
      <c r="CT56" s="12">
        <f>IF('Données projet'!$A$140&gt;35,CT55+CS56-DB55,IF(A56&lt;'Données projet'!$A$140,$CQ$205^A56,IF(A56='Données projet'!$A$140,'Données projet'!$B$140,CT55+CS56-DB55)))</f>
        <v>178.09766666666658</v>
      </c>
      <c r="CU56" s="17">
        <f>CT56*VLOOKUP('Données projet'!$B$13,Paramètres!$A$1:$I$89,3,0)*VLOOKUP('Données projet'!$B$13,Paramètres!$A$1:$I$89,5,0)</f>
        <v>172.25606319999994</v>
      </c>
      <c r="CV56" s="13">
        <f t="shared" si="41"/>
        <v>43.594918341190329</v>
      </c>
      <c r="CW56" s="20">
        <f t="shared" si="13"/>
        <v>375.94045951757306</v>
      </c>
      <c r="CX56" s="59">
        <f t="shared" si="14"/>
        <v>633.01583772410629</v>
      </c>
      <c r="CY56" s="59">
        <f ca="1">AVERAGE(OFFSET($CX$3,0,0,'Données projet'!$E$13+1,1))-AVERAGE(OFFSET($H$3,0,0,'Données projet'!$E$13+1,1))</f>
        <v>557.48193674339791</v>
      </c>
      <c r="CZ56" s="59">
        <f t="shared" si="42"/>
        <v>271.51396593253048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3.3603333333333336</v>
      </c>
      <c r="DO56" s="12">
        <f>IF('Données projet'!$A$166&gt;35,DO55+DN56-DW55,IF(A56&lt;'Données projet'!$A$166,$DL$205^A56,IF(A56='Données projet'!$A$166,'Données projet'!$B$166,DO55+DN56-DW55)))</f>
        <v>178.09766666666658</v>
      </c>
      <c r="DP56" s="17">
        <f>DO56*VLOOKUP('Données projet'!$B$14,Paramètres!$A$1:$I$89,3,0)*VLOOKUP('Données projet'!$B$14,Paramètres!$A$1:$I$89,5,0)</f>
        <v>191.70432839999992</v>
      </c>
      <c r="DQ56" s="13">
        <f t="shared" si="43"/>
        <v>47.91655960090862</v>
      </c>
      <c r="DR56" s="20">
        <f t="shared" si="16"/>
        <v>417.339713268249</v>
      </c>
      <c r="DS56" s="59">
        <f t="shared" si="17"/>
        <v>674.41509147478223</v>
      </c>
      <c r="DT56" s="59">
        <f ca="1">AVERAGE(OFFSET($DS$3,0,0,'Données projet'!$E$14+1,1))-AVERAGE(OFFSET($H$3,0,0,'Données projet'!$E$14+1,1))</f>
        <v>610.05768948788375</v>
      </c>
      <c r="DU56" s="59">
        <f t="shared" si="44"/>
        <v>295.23928902444845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10.36375</v>
      </c>
      <c r="N57" s="13">
        <f>IF('Données projet'!$A$36&gt;35,N56+M57-V56,IF(A57&lt;'Données projet'!$A$36,$K$205^A57,IF(A57='Données projet'!$A$36,'Données projet'!$B$36,N56+M57-V56)))</f>
        <v>212.24500000000023</v>
      </c>
      <c r="O57" s="13">
        <f>N57*VLOOKUP('Données projet'!$B$9,Paramètres!$A$1:$I$89,3,0)*VLOOKUP('Données projet'!$B$9,Paramètres!$A$1:$I$89,5,0)</f>
        <v>192.0392760000002</v>
      </c>
      <c r="P57" s="13">
        <f t="shared" si="33"/>
        <v>47.990527307113453</v>
      </c>
      <c r="Q57" s="20">
        <f t="shared" si="53"/>
        <v>418.05190742655623</v>
      </c>
      <c r="R57" s="59">
        <f t="shared" si="0"/>
        <v>675.75628009389561</v>
      </c>
      <c r="S57" s="59">
        <f ca="1">AVERAGE(OFFSET($R$3,0,0,'Données projet'!$E$9+1,1))-AVERAGE(OFFSET($H$3,0,0,'Données projet'!$E$9+1,1))</f>
        <v>681.47578137804555</v>
      </c>
      <c r="T57" s="59">
        <f t="shared" si="34"/>
        <v>300.88511065995885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22.452519524971329</v>
      </c>
      <c r="AB57" s="21">
        <f>EXP(-LN(2)/2)*AB56+(1-EXP(-LN(2)/2))/(LN(2)/2)*V57*Y57*VLOOKUP('Données projet'!$B$9,Paramètres!$A$1:$I$89,3,0)*0.475*44/12</f>
        <v>1.7211455897778025</v>
      </c>
      <c r="AC57" s="22">
        <f t="shared" si="3"/>
        <v>24.173665114749131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6.0096153846153868</v>
      </c>
      <c r="AI57" s="13">
        <f>IF('Données projet'!$A$62&gt;35,AI56+AH57-AQ56,IF(A57&lt;'Données projet'!$A$62,$AF$205^A57,IF(A57='Données projet'!$A$62,'Données projet'!$B$62,AI56+AH57-AQ56)))</f>
        <v>154.32692307692307</v>
      </c>
      <c r="AJ57" s="13">
        <f>AI57*VLOOKUP('Données projet'!$B$10,Paramètres!$A$1:$I$89,3,0)*VLOOKUP('Données projet'!$B$10,Paramètres!$A$1:$I$89,5,0)</f>
        <v>120.375</v>
      </c>
      <c r="AK57" s="13">
        <f t="shared" si="35"/>
        <v>31.762445997133341</v>
      </c>
      <c r="AL57" s="20">
        <f t="shared" si="4"/>
        <v>264.97271844500727</v>
      </c>
      <c r="AM57" s="59">
        <f t="shared" si="5"/>
        <v>522.6770911123466</v>
      </c>
      <c r="AN57" s="59">
        <f ca="1">AVERAGE(OFFSET($AM$3,0,0,'Données projet'!$E$10+1,1))-AVERAGE(OFFSET($H$3,0,0,'Données projet'!$E$10+1,1))</f>
        <v>217.53602321474159</v>
      </c>
      <c r="AO57" s="59">
        <f t="shared" si="36"/>
        <v>215.75909414893025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7.7214037026128484</v>
      </c>
      <c r="AV57" s="21">
        <f>EXP(-LN(2)/25)*AV56+(1-EXP(-LN(2)/25))/(LN(2)/25)*Calculateur!AQ57*Calculateur!AS57*VLOOKUP('Données projet'!$B$10,Paramètres!$A$1:$I$89,3,0)*0.475*44/12</f>
        <v>8.4240959823246335</v>
      </c>
      <c r="AW57" s="21">
        <f>EXP(-LN(2)/2)*AW56+(1-EXP(-LN(2)/2))/(LN(2)/2)*AQ57*AT57*VLOOKUP('Données projet'!$B$10,Paramètres!$A$1:$I$89,3,0)*0.475*44/12</f>
        <v>3.0024178185482904</v>
      </c>
      <c r="AX57" s="21">
        <f t="shared" si="6"/>
        <v>19.147917503485775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</v>
      </c>
      <c r="BD57" s="12">
        <f>IF('Données projet'!$A$88&gt;35,BD56+BC57-BL56,IF(A57&lt;'Données projet'!$A$88,$BA$205^A57,IF(A57='Données projet'!$A$88,'Données projet'!$B$88,BD56+BC57-BL56)))</f>
        <v>225.99999999999989</v>
      </c>
      <c r="BE57" s="13">
        <f>BD57*VLOOKUP('Données projet'!$B$11,Paramètres!$A$1:$I$89,3,0)*VLOOKUP('Données projet'!$B$11,Paramètres!$A$1:$I$89,5,0)</f>
        <v>151.60079999999994</v>
      </c>
      <c r="BF57" s="13">
        <f t="shared" si="37"/>
        <v>38.942148105194256</v>
      </c>
      <c r="BG57" s="20">
        <f t="shared" si="7"/>
        <v>331.86230128321324</v>
      </c>
      <c r="BH57" s="59">
        <f t="shared" si="8"/>
        <v>589.56667395055251</v>
      </c>
      <c r="BI57" s="59">
        <f ca="1">AVERAGE(OFFSET($BH$3,0,0,'Données projet'!$E$11+1,1))-AVERAGE(OFFSET($H$3,0,0,'Données projet'!$E$11+1,1))</f>
        <v>281.67293577289729</v>
      </c>
      <c r="BJ57" s="59">
        <f t="shared" si="38"/>
        <v>272.44904846480154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5.4368260212354551</v>
      </c>
      <c r="BQ57" s="21">
        <f>EXP(-LN(2)/25)*BQ56+(1-EXP(-LN(2)/25))/(LN(2)/25)*Calculateur!BL57*Calculateur!BN57*VLOOKUP('Données projet'!$B$11,Paramètres!$A$1:$I$89,3,0)*0.475*44/12</f>
        <v>10.844109364864655</v>
      </c>
      <c r="BR57" s="21">
        <f>EXP(-LN(2)/2)*BR56+(1-EXP(-LN(2)/2))/(LN(2)/2)*BL57*BO57*VLOOKUP('Données projet'!$B$11,Paramètres!$A$1:$I$89,3,0)*0.475*44/12</f>
        <v>0.86835854159730286</v>
      </c>
      <c r="BS57" s="22">
        <f t="shared" si="9"/>
        <v>17.149293927697414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</v>
      </c>
      <c r="BY57" s="12">
        <f>IF('Données projet'!$A$114&gt;35,BY56+BX57-CG56,IF(A57&lt;'Données projet'!$A$114,$BV$205^A57,IF(A57='Données projet'!$A$114,'Données projet'!$B$114,BY56+BX57-CG56)))</f>
        <v>225.99999999999989</v>
      </c>
      <c r="BZ57" s="13">
        <f>BY57*VLOOKUP('Données projet'!$B$12,Paramètres!$A$1:$I$89,3,0)*VLOOKUP('Données projet'!$B$12,Paramètres!$A$1:$I$89,5,0)</f>
        <v>197.43359999999993</v>
      </c>
      <c r="CA57" s="13">
        <f t="shared" si="39"/>
        <v>49.179727436837609</v>
      </c>
      <c r="CB57" s="20">
        <f t="shared" si="10"/>
        <v>429.51821195249204</v>
      </c>
      <c r="CC57" s="59">
        <f t="shared" si="11"/>
        <v>687.22258461983142</v>
      </c>
      <c r="CD57" s="59">
        <f ca="1">AVERAGE(OFFSET($CC$3,0,0,'Données projet'!$E$12+1,1))-AVERAGE(OFFSET($H$3,0,0,'Données projet'!$E$12+1,1))</f>
        <v>348.77506423101278</v>
      </c>
      <c r="CE57" s="59">
        <f t="shared" si="40"/>
        <v>336.13747591329548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7.0805176090508262</v>
      </c>
      <c r="CL57" s="21">
        <f>EXP(-LN(2)/25)*CL56+(1-EXP(-LN(2)/25))/(LN(2)/25)*Calculateur!CG57*Calculateur!CI57*VLOOKUP('Données projet'!$B$12,Paramètres!$A$1:$I$89,3,0)*0.475*44/12</f>
        <v>14.12256103331211</v>
      </c>
      <c r="CM57" s="21">
        <f>EXP(-LN(2)/2)*CM56+(1-EXP(-LN(2)/2))/(LN(2)/2)*CG57*CJ57*VLOOKUP('Données projet'!$B$12,Paramètres!$A$1:$I$89,3,0)*0.475*44/12</f>
        <v>1.1308855425453244</v>
      </c>
      <c r="CN57" s="22">
        <f t="shared" si="12"/>
        <v>22.333964184908261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3.3603333333333336</v>
      </c>
      <c r="CT57" s="12">
        <f>IF('Données projet'!$A$140&gt;35,CT56+CS57-DB56,IF(A57&lt;'Données projet'!$A$140,$CQ$205^A57,IF(A57='Données projet'!$A$140,'Données projet'!$B$140,CT56+CS57-DB56)))</f>
        <v>181.45799999999991</v>
      </c>
      <c r="CU57" s="17">
        <f>CT57*VLOOKUP('Données projet'!$B$13,Paramètres!$A$1:$I$89,3,0)*VLOOKUP('Données projet'!$B$13,Paramètres!$A$1:$I$89,5,0)</f>
        <v>175.50617759999992</v>
      </c>
      <c r="CV57" s="13">
        <f t="shared" si="41"/>
        <v>44.320927097461883</v>
      </c>
      <c r="CW57" s="20">
        <f t="shared" si="13"/>
        <v>382.8655406814126</v>
      </c>
      <c r="CX57" s="59">
        <f t="shared" si="14"/>
        <v>640.56991334875192</v>
      </c>
      <c r="CY57" s="59">
        <f ca="1">AVERAGE(OFFSET($CX$3,0,0,'Données projet'!$E$13+1,1))-AVERAGE(OFFSET($H$3,0,0,'Données projet'!$E$13+1,1))</f>
        <v>557.48193674339791</v>
      </c>
      <c r="CZ57" s="59">
        <f t="shared" si="42"/>
        <v>271.51396593253048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3.3603333333333336</v>
      </c>
      <c r="DO57" s="12">
        <f>IF('Données projet'!$A$166&gt;35,DO56+DN57-DW56,IF(A57&lt;'Données projet'!$A$166,$DL$205^A57,IF(A57='Données projet'!$A$166,'Données projet'!$B$166,DO56+DN57-DW56)))</f>
        <v>181.45799999999991</v>
      </c>
      <c r="DP57" s="17">
        <f>DO57*VLOOKUP('Données projet'!$B$14,Paramètres!$A$1:$I$89,3,0)*VLOOKUP('Données projet'!$B$14,Paramètres!$A$1:$I$89,5,0)</f>
        <v>195.32139119999988</v>
      </c>
      <c r="DQ57" s="13">
        <f t="shared" si="43"/>
        <v>48.714538887586095</v>
      </c>
      <c r="DR57" s="20">
        <f t="shared" si="16"/>
        <v>425.02924490254554</v>
      </c>
      <c r="DS57" s="59">
        <f t="shared" si="17"/>
        <v>682.73361756988493</v>
      </c>
      <c r="DT57" s="59">
        <f ca="1">AVERAGE(OFFSET($DS$3,0,0,'Données projet'!$E$14+1,1))-AVERAGE(OFFSET($H$3,0,0,'Données projet'!$E$14+1,1))</f>
        <v>610.05768948788375</v>
      </c>
      <c r="DU57" s="59">
        <f t="shared" si="44"/>
        <v>295.23928902444845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10.36375</v>
      </c>
      <c r="N58" s="13">
        <f>IF('Données projet'!$A$36&gt;35,N57+M58-V57,IF(A58&lt;'Données projet'!$A$36,$K$205^A58,IF(A58='Données projet'!$A$36,'Données projet'!$B$36,N57+M58-V57)))</f>
        <v>222.60875000000024</v>
      </c>
      <c r="O58" s="13">
        <f>N58*VLOOKUP('Données projet'!$B$9,Paramètres!$A$1:$I$89,3,0)*VLOOKUP('Données projet'!$B$9,Paramètres!$A$1:$I$89,5,0)</f>
        <v>201.41639700000019</v>
      </c>
      <c r="P58" s="13">
        <f t="shared" si="33"/>
        <v>50.055320951535919</v>
      </c>
      <c r="Q58" s="20">
        <f t="shared" si="53"/>
        <v>437.97990876559203</v>
      </c>
      <c r="R58" s="59">
        <f t="shared" si="0"/>
        <v>696.30236424606346</v>
      </c>
      <c r="S58" s="59">
        <f ca="1">AVERAGE(OFFSET($R$3,0,0,'Données projet'!$E$9+1,1))-AVERAGE(OFFSET($H$3,0,0,'Données projet'!$E$9+1,1))</f>
        <v>681.47578137804555</v>
      </c>
      <c r="T58" s="59">
        <f t="shared" si="34"/>
        <v>300.88511065995885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21.838554197834302</v>
      </c>
      <c r="AB58" s="21">
        <f>EXP(-LN(2)/2)*AB57+(1-EXP(-LN(2)/2))/(LN(2)/2)*V58*Y58*VLOOKUP('Données projet'!$B$9,Paramètres!$A$1:$I$89,3,0)*0.475*44/12</f>
        <v>1.2170337179412041</v>
      </c>
      <c r="AC58" s="22">
        <f t="shared" si="3"/>
        <v>23.055587915775504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6.0096153846153868</v>
      </c>
      <c r="AI58" s="13">
        <f>IF('Données projet'!$A$62&gt;35,AI57+AH58-AQ57,IF(A58&lt;'Données projet'!$A$62,$AF$205^A58,IF(A58='Données projet'!$A$62,'Données projet'!$B$62,AI57+AH58-AQ57)))</f>
        <v>160.33653846153845</v>
      </c>
      <c r="AJ58" s="13">
        <f>AI58*VLOOKUP('Données projet'!$B$10,Paramètres!$A$1:$I$89,3,0)*VLOOKUP('Données projet'!$B$10,Paramètres!$A$1:$I$89,5,0)</f>
        <v>125.0625</v>
      </c>
      <c r="AK58" s="13">
        <f t="shared" si="35"/>
        <v>32.852889709555718</v>
      </c>
      <c r="AL58" s="20">
        <f t="shared" si="4"/>
        <v>275.03597041080951</v>
      </c>
      <c r="AM58" s="59">
        <f t="shared" si="5"/>
        <v>533.35842589128083</v>
      </c>
      <c r="AN58" s="59">
        <f ca="1">AVERAGE(OFFSET($AM$3,0,0,'Données projet'!$E$10+1,1))-AVERAGE(OFFSET($H$3,0,0,'Données projet'!$E$10+1,1))</f>
        <v>217.53602321474159</v>
      </c>
      <c r="AO58" s="59">
        <f t="shared" si="36"/>
        <v>215.75909414893025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7.5699916855958351</v>
      </c>
      <c r="AV58" s="21">
        <f>EXP(-LN(2)/25)*AV57+(1-EXP(-LN(2)/25))/(LN(2)/25)*Calculateur!AQ58*Calculateur!AS58*VLOOKUP('Données projet'!$B$10,Paramètres!$A$1:$I$89,3,0)*0.475*44/12</f>
        <v>8.1937386346840118</v>
      </c>
      <c r="AW58" s="21">
        <f>EXP(-LN(2)/2)*AW57+(1-EXP(-LN(2)/2))/(LN(2)/2)*AQ58*AT58*VLOOKUP('Données projet'!$B$10,Paramètres!$A$1:$I$89,3,0)*0.475*44/12</f>
        <v>2.1230299994508175</v>
      </c>
      <c r="AX58" s="21">
        <f t="shared" si="6"/>
        <v>17.886760319730666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232</v>
      </c>
      <c r="BB58" s="12">
        <f>VLOOKUP(A58,'Données projet'!$A$87:$I$107,9,0)</f>
        <v>6</v>
      </c>
      <c r="BC58" s="12">
        <f t="array" ref="BC58">INDEX(BB:BB,MIN(IF(ISNUMBER(BB58:BB254),ROW(BB58:BB254),"")))</f>
        <v>6</v>
      </c>
      <c r="BD58" s="12">
        <f>IF('Données projet'!$A$88&gt;35,BD57+BC58-BL57,IF(A58&lt;'Données projet'!$A$88,$BA$205^A58,IF(A58='Données projet'!$A$88,'Données projet'!$B$88,BD57+BC58-BL57)))</f>
        <v>231.99999999999989</v>
      </c>
      <c r="BE58" s="13">
        <f>BD58*VLOOKUP('Données projet'!$B$11,Paramètres!$A$1:$I$89,3,0)*VLOOKUP('Données projet'!$B$11,Paramètres!$A$1:$I$89,5,0)</f>
        <v>155.62559999999993</v>
      </c>
      <c r="BF58" s="13">
        <f t="shared" si="37"/>
        <v>39.854271109683118</v>
      </c>
      <c r="BG58" s="20">
        <f t="shared" si="7"/>
        <v>340.46077551603128</v>
      </c>
      <c r="BH58" s="59">
        <f t="shared" si="8"/>
        <v>598.78323099650265</v>
      </c>
      <c r="BI58" s="59">
        <f ca="1">AVERAGE(OFFSET($BH$3,0,0,'Données projet'!$E$11+1,1))-AVERAGE(OFFSET($H$3,0,0,'Données projet'!$E$11+1,1))</f>
        <v>281.67293577289729</v>
      </c>
      <c r="BJ58" s="59">
        <f t="shared" si="38"/>
        <v>272.44904846480154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13</v>
      </c>
      <c r="BM58" s="16">
        <f>IF(ISNA(VLOOKUP(A58,'Données projet'!$A$87:$I$107,5,0)),0%,VLOOKUP(A58,'Données projet'!$A$87:$I$107,5,0)*VLOOKUP('Données projet'!$B$11,Paramètres!$A$1:$I$89,7,0))</f>
        <v>0.13250000000000001</v>
      </c>
      <c r="BN58" s="16">
        <f>IF(ISNA(VLOOKUP(A58,'Données projet'!$A$87:$I$107,6,0)),0%,VLOOKUP(A58,'Données projet'!$A$87:$I$107,6,0)*VLOOKUP('Données projet'!$B$11,Paramètres!$A$1:$I$89,7,0))</f>
        <v>0.13250000000000001</v>
      </c>
      <c r="BO58" s="16">
        <f>IF(ISNA(VLOOKUP(A58,'Données projet'!$A$87:$I$107,7,0)),0%,VLOOKUP(A58,'Données projet'!$A$87:$I$107,7,0))</f>
        <v>0.25</v>
      </c>
      <c r="BP58" s="21">
        <f>EXP(-LN(2)/35)*BP57+(1-EXP(-LN(2)/35))/(LN(2)/35)*BL58*BM58*VLOOKUP('Données projet'!$B$11,Paramètres!$A$1:$I$89,3,0)*0.475*44/12</f>
        <v>6.6075322455379455</v>
      </c>
      <c r="BQ58" s="21">
        <f>EXP(-LN(2)/25)*BQ57+(1-EXP(-LN(2)/25))/(LN(2)/25)*Calculateur!BL58*Calculateur!BN58*VLOOKUP('Données projet'!$B$11,Paramètres!$A$1:$I$89,3,0)*0.475*44/12</f>
        <v>11.819866398596684</v>
      </c>
      <c r="BR58" s="21">
        <f>EXP(-LN(2)/2)*BR57+(1-EXP(-LN(2)/2))/(LN(2)/2)*BL58*BO58*VLOOKUP('Données projet'!$B$11,Paramètres!$A$1:$I$89,3,0)*0.475*44/12</f>
        <v>2.6710052397959205</v>
      </c>
      <c r="BS58" s="22">
        <f t="shared" si="9"/>
        <v>21.098403883930551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232</v>
      </c>
      <c r="BW58" s="12">
        <f>VLOOKUP(A58,'Données projet'!$A$113:$I$133,9,0)</f>
        <v>6</v>
      </c>
      <c r="BX58" s="12">
        <f t="array" ref="BX58">INDEX(BW:BW,MIN(IF(ISNUMBER(BW58:BW254),ROW(BW58:BW254),"")))</f>
        <v>6</v>
      </c>
      <c r="BY58" s="12">
        <f>IF('Données projet'!$A$114&gt;35,BY57+BX58-CG57,IF(A58&lt;'Données projet'!$A$114,$BV$205^A58,IF(A58='Données projet'!$A$114,'Données projet'!$B$114,BY57+BX58-CG57)))</f>
        <v>231.99999999999989</v>
      </c>
      <c r="BZ58" s="13">
        <f>BY58*VLOOKUP('Données projet'!$B$12,Paramètres!$A$1:$I$89,3,0)*VLOOKUP('Données projet'!$B$12,Paramètres!$A$1:$I$89,5,0)</f>
        <v>202.67519999999993</v>
      </c>
      <c r="CA58" s="13">
        <f t="shared" si="39"/>
        <v>50.33164028531364</v>
      </c>
      <c r="CB58" s="20">
        <f t="shared" si="10"/>
        <v>440.65358016358778</v>
      </c>
      <c r="CC58" s="59">
        <f t="shared" si="11"/>
        <v>698.97603564405915</v>
      </c>
      <c r="CD58" s="59">
        <f ca="1">AVERAGE(OFFSET($CC$3,0,0,'Données projet'!$E$12+1,1))-AVERAGE(OFFSET($H$3,0,0,'Données projet'!$E$12+1,1))</f>
        <v>348.77506423101278</v>
      </c>
      <c r="CE58" s="59">
        <f t="shared" si="40"/>
        <v>336.13747591329548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13</v>
      </c>
      <c r="CH58" s="16">
        <f>IF(ISNA(VLOOKUP(A58,'Données projet'!$A$113:$I$133,5,0)),0%,VLOOKUP(A58,'Données projet'!$A$113:$I$133,5,0)*VLOOKUP('Données projet'!$B$12,Paramètres!$A$1:$I$89,7,0))</f>
        <v>0.13250000000000001</v>
      </c>
      <c r="CI58" s="16">
        <f>IF(ISNA(VLOOKUP(A58,'Données projet'!$A$113:$I$133,6,0)),0%,VLOOKUP(A58,'Données projet'!$A$113:$I$133,6,0)*VLOOKUP('Données projet'!$B$12,Paramètres!$A$1:$I$89,7,0))</f>
        <v>0.13250000000000001</v>
      </c>
      <c r="CJ58" s="16">
        <f>IF(ISNA(VLOOKUP(A58,'Données projet'!$A$113:$I$133,7,0)),0%,VLOOKUP(A58,'Données projet'!$A$113:$I$133,7,0))</f>
        <v>0.25</v>
      </c>
      <c r="CK58" s="21">
        <f>EXP(-LN(2)/35)*CK57+(1-EXP(-LN(2)/35))/(LN(2)/35)*CG58*CH58*VLOOKUP('Données projet'!$B$12,Paramètres!$A$1:$I$89,3,0)*0.475*44/12</f>
        <v>8.60515827325872</v>
      </c>
      <c r="CL58" s="21">
        <f>EXP(-LN(2)/25)*CL57+(1-EXP(-LN(2)/25))/(LN(2)/25)*Calculateur!CG58*Calculateur!CI58*VLOOKUP('Données projet'!$B$12,Paramètres!$A$1:$I$89,3,0)*0.475*44/12</f>
        <v>15.393314379567776</v>
      </c>
      <c r="CM58" s="21">
        <f>EXP(-LN(2)/2)*CM57+(1-EXP(-LN(2)/2))/(LN(2)/2)*CG58*CJ58*VLOOKUP('Données projet'!$B$12,Paramètres!$A$1:$I$89,3,0)*0.475*44/12</f>
        <v>3.4785184518272452</v>
      </c>
      <c r="CN58" s="22">
        <f t="shared" si="12"/>
        <v>27.476991104653742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3.3603333333333336</v>
      </c>
      <c r="CT58" s="12">
        <f>IF('Données projet'!$A$140&gt;35,CT57+CS58-DB57,IF(A58&lt;'Données projet'!$A$140,$CQ$205^A58,IF(A58='Données projet'!$A$140,'Données projet'!$B$140,CT57+CS58-DB57)))</f>
        <v>184.81833333333324</v>
      </c>
      <c r="CU58" s="17">
        <f>CT58*VLOOKUP('Données projet'!$B$13,Paramètres!$A$1:$I$89,3,0)*VLOOKUP('Données projet'!$B$13,Paramètres!$A$1:$I$89,5,0)</f>
        <v>178.75629199999992</v>
      </c>
      <c r="CV58" s="13">
        <f t="shared" si="41"/>
        <v>45.045372492523107</v>
      </c>
      <c r="CW58" s="20">
        <f t="shared" si="13"/>
        <v>389.78789899114423</v>
      </c>
      <c r="CX58" s="59">
        <f t="shared" si="14"/>
        <v>648.11035447161566</v>
      </c>
      <c r="CY58" s="59">
        <f ca="1">AVERAGE(OFFSET($CX$3,0,0,'Données projet'!$E$13+1,1))-AVERAGE(OFFSET($H$3,0,0,'Données projet'!$E$13+1,1))</f>
        <v>557.48193674339791</v>
      </c>
      <c r="CZ58" s="59">
        <f t="shared" si="42"/>
        <v>271.51396593253048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3.3603333333333336</v>
      </c>
      <c r="DO58" s="12">
        <f>IF('Données projet'!$A$166&gt;35,DO57+DN58-DW57,IF(A58&lt;'Données projet'!$A$166,$DL$205^A58,IF(A58='Données projet'!$A$166,'Données projet'!$B$166,DO57+DN58-DW57)))</f>
        <v>184.81833333333324</v>
      </c>
      <c r="DP58" s="17">
        <f>DO58*VLOOKUP('Données projet'!$B$14,Paramètres!$A$1:$I$89,3,0)*VLOOKUP('Données projet'!$B$14,Paramètres!$A$1:$I$89,5,0)</f>
        <v>198.93845399999989</v>
      </c>
      <c r="DQ58" s="13">
        <f t="shared" si="43"/>
        <v>49.510799834295028</v>
      </c>
      <c r="DR58" s="20">
        <f t="shared" si="16"/>
        <v>432.71578376139695</v>
      </c>
      <c r="DS58" s="59">
        <f t="shared" si="17"/>
        <v>691.03823924186827</v>
      </c>
      <c r="DT58" s="59">
        <f ca="1">AVERAGE(OFFSET($DS$3,0,0,'Données projet'!$E$14+1,1))-AVERAGE(OFFSET($H$3,0,0,'Données projet'!$E$14+1,1))</f>
        <v>610.05768948788375</v>
      </c>
      <c r="DU58" s="59">
        <f t="shared" si="44"/>
        <v>295.23928902444845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10.36375</v>
      </c>
      <c r="N59" s="13">
        <f>IF('Données projet'!$A$36&gt;35,N58+M59-V58,IF(A59&lt;'Données projet'!$A$36,$K$205^A59,IF(A59='Données projet'!$A$36,'Données projet'!$B$36,N58+M59-V58)))</f>
        <v>232.97250000000025</v>
      </c>
      <c r="O59" s="13">
        <f>N59*VLOOKUP('Données projet'!$B$9,Paramètres!$A$1:$I$89,3,0)*VLOOKUP('Données projet'!$B$9,Paramètres!$A$1:$I$89,5,0)</f>
        <v>210.7935180000002</v>
      </c>
      <c r="P59" s="13">
        <f t="shared" si="33"/>
        <v>52.108951264882847</v>
      </c>
      <c r="Q59" s="20">
        <f t="shared" si="53"/>
        <v>457.88846730300457</v>
      </c>
      <c r="R59" s="59">
        <f t="shared" si="0"/>
        <v>716.81828324162632</v>
      </c>
      <c r="S59" s="59">
        <f ca="1">AVERAGE(OFFSET($R$3,0,0,'Données projet'!$E$9+1,1))-AVERAGE(OFFSET($H$3,0,0,'Données projet'!$E$9+1,1))</f>
        <v>681.47578137804555</v>
      </c>
      <c r="T59" s="59">
        <f t="shared" si="34"/>
        <v>300.88511065995885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21.241377784854869</v>
      </c>
      <c r="AB59" s="21">
        <f>EXP(-LN(2)/2)*AB58+(1-EXP(-LN(2)/2))/(LN(2)/2)*V59*Y59*VLOOKUP('Données projet'!$B$9,Paramètres!$A$1:$I$89,3,0)*0.475*44/12</f>
        <v>0.86057279488890148</v>
      </c>
      <c r="AC59" s="22">
        <f t="shared" si="3"/>
        <v>22.101950579743772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6.0096153846153868</v>
      </c>
      <c r="AI59" s="13">
        <f>IF('Données projet'!$A$62&gt;35,AI58+AH59-AQ58,IF(A59&lt;'Données projet'!$A$62,$AF$205^A59,IF(A59='Données projet'!$A$62,'Données projet'!$B$62,AI58+AH59-AQ58)))</f>
        <v>166.34615384615384</v>
      </c>
      <c r="AJ59" s="13">
        <f>AI59*VLOOKUP('Données projet'!$B$10,Paramètres!$A$1:$I$89,3,0)*VLOOKUP('Données projet'!$B$10,Paramètres!$A$1:$I$89,5,0)</f>
        <v>129.75</v>
      </c>
      <c r="AK59" s="13">
        <f t="shared" si="35"/>
        <v>33.938585202364465</v>
      </c>
      <c r="AL59" s="20">
        <f t="shared" si="4"/>
        <v>285.09095256078473</v>
      </c>
      <c r="AM59" s="59">
        <f t="shared" si="5"/>
        <v>544.02076849940647</v>
      </c>
      <c r="AN59" s="59">
        <f ca="1">AVERAGE(OFFSET($AM$3,0,0,'Données projet'!$E$10+1,1))-AVERAGE(OFFSET($H$3,0,0,'Données projet'!$E$10+1,1))</f>
        <v>217.53602321474159</v>
      </c>
      <c r="AO59" s="59">
        <f t="shared" si="36"/>
        <v>215.75909414893025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7.4215487658803143</v>
      </c>
      <c r="AV59" s="21">
        <f>EXP(-LN(2)/25)*AV58+(1-EXP(-LN(2)/25))/(LN(2)/25)*Calculateur!AQ59*Calculateur!AS59*VLOOKUP('Données projet'!$B$10,Paramètres!$A$1:$I$89,3,0)*0.475*44/12</f>
        <v>7.9696804208285901</v>
      </c>
      <c r="AW59" s="21">
        <f>EXP(-LN(2)/2)*AW58+(1-EXP(-LN(2)/2))/(LN(2)/2)*AQ59*AT59*VLOOKUP('Données projet'!$B$10,Paramètres!$A$1:$I$89,3,0)*0.475*44/12</f>
        <v>1.5012089092741454</v>
      </c>
      <c r="AX59" s="21">
        <f t="shared" si="6"/>
        <v>16.892438095983049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5.2</v>
      </c>
      <c r="BD59" s="12">
        <f>IF('Données projet'!$A$88&gt;35,BD58+BC59-BL58,IF(A59&lt;'Données projet'!$A$88,$BA$205^A59,IF(A59='Données projet'!$A$88,'Données projet'!$B$88,BD58+BC59-BL58)))</f>
        <v>224.19999999999987</v>
      </c>
      <c r="BE59" s="13">
        <f>BD59*VLOOKUP('Données projet'!$B$11,Paramètres!$A$1:$I$89,3,0)*VLOOKUP('Données projet'!$B$11,Paramètres!$A$1:$I$89,5,0)</f>
        <v>150.39335999999992</v>
      </c>
      <c r="BF59" s="13">
        <f t="shared" si="37"/>
        <v>38.667964462260457</v>
      </c>
      <c r="BG59" s="20">
        <f t="shared" si="7"/>
        <v>329.28180677177016</v>
      </c>
      <c r="BH59" s="59">
        <f t="shared" si="8"/>
        <v>588.21162271039191</v>
      </c>
      <c r="BI59" s="59">
        <f ca="1">AVERAGE(OFFSET($BH$3,0,0,'Données projet'!$E$11+1,1))-AVERAGE(OFFSET($H$3,0,0,'Données projet'!$E$11+1,1))</f>
        <v>281.67293577289729</v>
      </c>
      <c r="BJ59" s="59">
        <f t="shared" si="38"/>
        <v>272.44904846480154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6.4779625683996676</v>
      </c>
      <c r="BQ59" s="21">
        <f>EXP(-LN(2)/25)*BQ58+(1-EXP(-LN(2)/25))/(LN(2)/25)*Calculateur!BL59*Calculateur!BN59*VLOOKUP('Données projet'!$B$11,Paramètres!$A$1:$I$89,3,0)*0.475*44/12</f>
        <v>11.496651530347298</v>
      </c>
      <c r="BR59" s="21">
        <f>EXP(-LN(2)/2)*BR58+(1-EXP(-LN(2)/2))/(LN(2)/2)*BL59*BO59*VLOOKUP('Données projet'!$B$11,Paramètres!$A$1:$I$89,3,0)*0.475*44/12</f>
        <v>1.8886859176444961</v>
      </c>
      <c r="BS59" s="22">
        <f t="shared" si="9"/>
        <v>19.863300016391463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5.2</v>
      </c>
      <c r="BY59" s="12">
        <f>IF('Données projet'!$A$114&gt;35,BY58+BX59-CG58,IF(A59&lt;'Données projet'!$A$114,$BV$205^A59,IF(A59='Données projet'!$A$114,'Données projet'!$B$114,BY58+BX59-CG58)))</f>
        <v>224.19999999999987</v>
      </c>
      <c r="BZ59" s="13">
        <f>BY59*VLOOKUP('Données projet'!$B$12,Paramètres!$A$1:$I$89,3,0)*VLOOKUP('Données projet'!$B$12,Paramètres!$A$1:$I$89,5,0)</f>
        <v>195.86111999999991</v>
      </c>
      <c r="CA59" s="13">
        <f t="shared" si="39"/>
        <v>48.833463106716422</v>
      </c>
      <c r="CB59" s="20">
        <f t="shared" si="10"/>
        <v>426.17639891086424</v>
      </c>
      <c r="CC59" s="59">
        <f t="shared" si="11"/>
        <v>685.10621484948592</v>
      </c>
      <c r="CD59" s="59">
        <f ca="1">AVERAGE(OFFSET($CC$3,0,0,'Données projet'!$E$12+1,1))-AVERAGE(OFFSET($H$3,0,0,'Données projet'!$E$12+1,1))</f>
        <v>348.77506423101278</v>
      </c>
      <c r="CE59" s="59">
        <f t="shared" si="40"/>
        <v>336.13747591329548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8.4364163681484037</v>
      </c>
      <c r="CL59" s="21">
        <f>EXP(-LN(2)/25)*CL58+(1-EXP(-LN(2)/25))/(LN(2)/25)*Calculateur!CG59*Calculateur!CI59*VLOOKUP('Données projet'!$B$12,Paramètres!$A$1:$I$89,3,0)*0.475*44/12</f>
        <v>14.972383388359274</v>
      </c>
      <c r="CM59" s="21">
        <f>EXP(-LN(2)/2)*CM58+(1-EXP(-LN(2)/2))/(LN(2)/2)*CG59*CJ59*VLOOKUP('Données projet'!$B$12,Paramètres!$A$1:$I$89,3,0)*0.475*44/12</f>
        <v>2.4596839857695763</v>
      </c>
      <c r="CN59" s="22">
        <f t="shared" si="12"/>
        <v>25.868483742277252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3.3603333333333336</v>
      </c>
      <c r="CT59" s="12">
        <f>IF('Données projet'!$A$140&gt;35,CT58+CS59-DB58,IF(A59&lt;'Données projet'!$A$140,$CQ$205^A59,IF(A59='Données projet'!$A$140,'Données projet'!$B$140,CT58+CS59-DB58)))</f>
        <v>188.17866666666657</v>
      </c>
      <c r="CU59" s="17">
        <f>CT59*VLOOKUP('Données projet'!$B$13,Paramètres!$A$1:$I$89,3,0)*VLOOKUP('Données projet'!$B$13,Paramètres!$A$1:$I$89,5,0)</f>
        <v>182.00640639999992</v>
      </c>
      <c r="CV59" s="13">
        <f t="shared" si="41"/>
        <v>45.768286229730428</v>
      </c>
      <c r="CW59" s="20">
        <f t="shared" si="13"/>
        <v>396.70758966344698</v>
      </c>
      <c r="CX59" s="59">
        <f t="shared" si="14"/>
        <v>655.63740560206872</v>
      </c>
      <c r="CY59" s="59">
        <f ca="1">AVERAGE(OFFSET($CX$3,0,0,'Données projet'!$E$13+1,1))-AVERAGE(OFFSET($H$3,0,0,'Données projet'!$E$13+1,1))</f>
        <v>557.48193674339791</v>
      </c>
      <c r="CZ59" s="59">
        <f t="shared" si="42"/>
        <v>271.51396593253048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3.3603333333333336</v>
      </c>
      <c r="DO59" s="12">
        <f>IF('Données projet'!$A$166&gt;35,DO58+DN59-DW58,IF(A59&lt;'Données projet'!$A$166,$DL$205^A59,IF(A59='Données projet'!$A$166,'Données projet'!$B$166,DO58+DN59-DW58)))</f>
        <v>188.17866666666657</v>
      </c>
      <c r="DP59" s="17">
        <f>DO59*VLOOKUP('Données projet'!$B$14,Paramètres!$A$1:$I$89,3,0)*VLOOKUP('Données projet'!$B$14,Paramètres!$A$1:$I$89,5,0)</f>
        <v>202.55551679999991</v>
      </c>
      <c r="DQ59" s="13">
        <f t="shared" si="43"/>
        <v>50.30537728720153</v>
      </c>
      <c r="DR59" s="20">
        <f t="shared" si="16"/>
        <v>440.39939053520919</v>
      </c>
      <c r="DS59" s="59">
        <f t="shared" si="17"/>
        <v>699.32920647383094</v>
      </c>
      <c r="DT59" s="59">
        <f ca="1">AVERAGE(OFFSET($DS$3,0,0,'Données projet'!$E$14+1,1))-AVERAGE(OFFSET($H$3,0,0,'Données projet'!$E$14+1,1))</f>
        <v>610.05768948788375</v>
      </c>
      <c r="DU59" s="59">
        <f t="shared" si="44"/>
        <v>295.23928902444845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10.36375</v>
      </c>
      <c r="N60" s="13">
        <f>IF('Données projet'!$A$36&gt;35,N59+M60-V59,IF(A60&lt;'Données projet'!$A$36,$K$205^A60,IF(A60='Données projet'!$A$36,'Données projet'!$B$36,N59+M60-V59)))</f>
        <v>243.33625000000026</v>
      </c>
      <c r="O60" s="13">
        <f>N60*VLOOKUP('Données projet'!$B$9,Paramètres!$A$1:$I$89,3,0)*VLOOKUP('Données projet'!$B$9,Paramètres!$A$1:$I$89,5,0)</f>
        <v>220.17063900000025</v>
      </c>
      <c r="P60" s="13">
        <f t="shared" si="33"/>
        <v>54.151971590437505</v>
      </c>
      <c r="Q60" s="20">
        <f t="shared" si="53"/>
        <v>477.7785467783458</v>
      </c>
      <c r="R60" s="59">
        <f t="shared" si="0"/>
        <v>737.30518682902357</v>
      </c>
      <c r="S60" s="59">
        <f ca="1">AVERAGE(OFFSET($R$3,0,0,'Données projet'!$E$9+1,1))-AVERAGE(OFFSET($H$3,0,0,'Données projet'!$E$9+1,1))</f>
        <v>681.47578137804555</v>
      </c>
      <c r="T60" s="59">
        <f t="shared" si="34"/>
        <v>300.88511065995885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20.660531192292503</v>
      </c>
      <c r="AB60" s="21">
        <f>EXP(-LN(2)/2)*AB59+(1-EXP(-LN(2)/2))/(LN(2)/2)*V60*Y60*VLOOKUP('Données projet'!$B$9,Paramètres!$A$1:$I$89,3,0)*0.475*44/12</f>
        <v>0.60851685897060215</v>
      </c>
      <c r="AC60" s="22">
        <f t="shared" si="3"/>
        <v>21.269048051263105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6.0096153846153868</v>
      </c>
      <c r="AI60" s="13">
        <f>IF('Données projet'!$A$62&gt;35,AI59+AH60-AQ59,IF(A60&lt;'Données projet'!$A$62,$AF$205^A60,IF(A60='Données projet'!$A$62,'Données projet'!$B$62,AI59+AH60-AQ59)))</f>
        <v>172.35576923076923</v>
      </c>
      <c r="AJ60" s="13">
        <f>AI60*VLOOKUP('Données projet'!$B$10,Paramètres!$A$1:$I$89,3,0)*VLOOKUP('Données projet'!$B$10,Paramètres!$A$1:$I$89,5,0)</f>
        <v>134.4375</v>
      </c>
      <c r="AK60" s="13">
        <f t="shared" si="35"/>
        <v>35.019723665000747</v>
      </c>
      <c r="AL60" s="20">
        <f t="shared" si="4"/>
        <v>295.13799788320961</v>
      </c>
      <c r="AM60" s="59">
        <f t="shared" si="5"/>
        <v>554.66463793388732</v>
      </c>
      <c r="AN60" s="59">
        <f ca="1">AVERAGE(OFFSET($AM$3,0,0,'Données projet'!$E$10+1,1))-AVERAGE(OFFSET($H$3,0,0,'Données projet'!$E$10+1,1))</f>
        <v>217.53602321474159</v>
      </c>
      <c r="AO60" s="59">
        <f t="shared" si="36"/>
        <v>215.75909414893025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7.2760167212791744</v>
      </c>
      <c r="AV60" s="21">
        <f>EXP(-LN(2)/25)*AV59+(1-EXP(-LN(2)/25))/(LN(2)/25)*Calculateur!AQ60*Calculateur!AS60*VLOOKUP('Données projet'!$B$10,Paramètres!$A$1:$I$89,3,0)*0.475*44/12</f>
        <v>7.7517490906137541</v>
      </c>
      <c r="AW60" s="21">
        <f>EXP(-LN(2)/2)*AW59+(1-EXP(-LN(2)/2))/(LN(2)/2)*AQ60*AT60*VLOOKUP('Données projet'!$B$10,Paramètres!$A$1:$I$89,3,0)*0.475*44/12</f>
        <v>1.061514999725409</v>
      </c>
      <c r="AX60" s="21">
        <f t="shared" si="6"/>
        <v>16.089280811618337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5.2</v>
      </c>
      <c r="BD60" s="12">
        <f>IF('Données projet'!$A$88&gt;35,BD59+BC60-BL59,IF(A60&lt;'Données projet'!$A$88,$BA$205^A60,IF(A60='Données projet'!$A$88,'Données projet'!$B$88,BD59+BC60-BL59)))</f>
        <v>229.39999999999986</v>
      </c>
      <c r="BE60" s="13">
        <f>BD60*VLOOKUP('Données projet'!$B$11,Paramètres!$A$1:$I$89,3,0)*VLOOKUP('Données projet'!$B$11,Paramètres!$A$1:$I$89,5,0)</f>
        <v>153.88151999999991</v>
      </c>
      <c r="BF60" s="13">
        <f t="shared" si="37"/>
        <v>39.459359136474234</v>
      </c>
      <c r="BG60" s="20">
        <f t="shared" si="7"/>
        <v>336.7353644960258</v>
      </c>
      <c r="BH60" s="59">
        <f t="shared" si="8"/>
        <v>596.26200454670357</v>
      </c>
      <c r="BI60" s="59">
        <f ca="1">AVERAGE(OFFSET($BH$3,0,0,'Données projet'!$E$11+1,1))-AVERAGE(OFFSET($H$3,0,0,'Données projet'!$E$11+1,1))</f>
        <v>281.67293577289729</v>
      </c>
      <c r="BJ60" s="59">
        <f t="shared" si="38"/>
        <v>272.44904846480154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6.3509336736003714</v>
      </c>
      <c r="BQ60" s="21">
        <f>EXP(-LN(2)/25)*BQ59+(1-EXP(-LN(2)/25))/(LN(2)/25)*Calculateur!BL60*Calculateur!BN60*VLOOKUP('Données projet'!$B$11,Paramètres!$A$1:$I$89,3,0)*0.475*44/12</f>
        <v>11.182274989667324</v>
      </c>
      <c r="BR60" s="21">
        <f>EXP(-LN(2)/2)*BR59+(1-EXP(-LN(2)/2))/(LN(2)/2)*BL60*BO60*VLOOKUP('Données projet'!$B$11,Paramètres!$A$1:$I$89,3,0)*0.475*44/12</f>
        <v>1.3355026198979605</v>
      </c>
      <c r="BS60" s="22">
        <f t="shared" si="9"/>
        <v>18.868711283165652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5.2</v>
      </c>
      <c r="BY60" s="12">
        <f>IF('Données projet'!$A$114&gt;35,BY59+BX60-CG59,IF(A60&lt;'Données projet'!$A$114,$BV$205^A60,IF(A60='Données projet'!$A$114,'Données projet'!$B$114,BY59+BX60-CG59)))</f>
        <v>229.39999999999986</v>
      </c>
      <c r="BZ60" s="13">
        <f>BY60*VLOOKUP('Données projet'!$B$12,Paramètres!$A$1:$I$89,3,0)*VLOOKUP('Données projet'!$B$12,Paramètres!$A$1:$I$89,5,0)</f>
        <v>200.40383999999992</v>
      </c>
      <c r="CA60" s="13">
        <f t="shared" si="39"/>
        <v>49.832909112305636</v>
      </c>
      <c r="CB60" s="20">
        <f t="shared" si="10"/>
        <v>435.82900470393218</v>
      </c>
      <c r="CC60" s="59">
        <f t="shared" si="11"/>
        <v>695.3556447546099</v>
      </c>
      <c r="CD60" s="59">
        <f ca="1">AVERAGE(OFFSET($CC$3,0,0,'Données projet'!$E$12+1,1))-AVERAGE(OFFSET($H$3,0,0,'Données projet'!$E$12+1,1))</f>
        <v>348.77506423101278</v>
      </c>
      <c r="CE60" s="59">
        <f t="shared" si="40"/>
        <v>336.13747591329548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8.2709833888749014</v>
      </c>
      <c r="CL60" s="21">
        <f>EXP(-LN(2)/25)*CL59+(1-EXP(-LN(2)/25))/(LN(2)/25)*Calculateur!CG60*Calculateur!CI60*VLOOKUP('Données projet'!$B$12,Paramètres!$A$1:$I$89,3,0)*0.475*44/12</f>
        <v>14.562962777241168</v>
      </c>
      <c r="CM60" s="21">
        <f>EXP(-LN(2)/2)*CM59+(1-EXP(-LN(2)/2))/(LN(2)/2)*CG60*CJ60*VLOOKUP('Données projet'!$B$12,Paramètres!$A$1:$I$89,3,0)*0.475*44/12</f>
        <v>1.739259225913623</v>
      </c>
      <c r="CN60" s="22">
        <f t="shared" si="12"/>
        <v>24.573205392029696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3.3603333333333336</v>
      </c>
      <c r="CT60" s="12">
        <f>IF('Données projet'!$A$140&gt;35,CT59+CS60-DB59,IF(A60&lt;'Données projet'!$A$140,$CQ$205^A60,IF(A60='Données projet'!$A$140,'Données projet'!$B$140,CT59+CS60-DB59)))</f>
        <v>191.5389999999999</v>
      </c>
      <c r="CU60" s="17">
        <f>CT60*VLOOKUP('Données projet'!$B$13,Paramètres!$A$1:$I$89,3,0)*VLOOKUP('Données projet'!$B$13,Paramètres!$A$1:$I$89,5,0)</f>
        <v>185.25652079999989</v>
      </c>
      <c r="CV60" s="13">
        <f t="shared" si="41"/>
        <v>46.489698815333881</v>
      </c>
      <c r="CW60" s="20">
        <f t="shared" si="13"/>
        <v>403.62466583003965</v>
      </c>
      <c r="CX60" s="59">
        <f t="shared" si="14"/>
        <v>663.15130588071736</v>
      </c>
      <c r="CY60" s="59">
        <f ca="1">AVERAGE(OFFSET($CX$3,0,0,'Données projet'!$E$13+1,1))-AVERAGE(OFFSET($H$3,0,0,'Données projet'!$E$13+1,1))</f>
        <v>557.48193674339791</v>
      </c>
      <c r="CZ60" s="59">
        <f t="shared" si="42"/>
        <v>271.51396593253048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3.3603333333333336</v>
      </c>
      <c r="DO60" s="12">
        <f>IF('Données projet'!$A$166&gt;35,DO59+DN60-DW59,IF(A60&lt;'Données projet'!$A$166,$DL$205^A60,IF(A60='Données projet'!$A$166,'Données projet'!$B$166,DO59+DN60-DW59)))</f>
        <v>191.5389999999999</v>
      </c>
      <c r="DP60" s="17">
        <f>DO60*VLOOKUP('Données projet'!$B$14,Paramètres!$A$1:$I$89,3,0)*VLOOKUP('Données projet'!$B$14,Paramètres!$A$1:$I$89,5,0)</f>
        <v>206.17257959999989</v>
      </c>
      <c r="DQ60" s="13">
        <f t="shared" si="43"/>
        <v>51.0983047766941</v>
      </c>
      <c r="DR60" s="20">
        <f t="shared" si="16"/>
        <v>448.08012362274195</v>
      </c>
      <c r="DS60" s="59">
        <f t="shared" si="17"/>
        <v>707.60676367341966</v>
      </c>
      <c r="DT60" s="59">
        <f ca="1">AVERAGE(OFFSET($DS$3,0,0,'Données projet'!$E$14+1,1))-AVERAGE(OFFSET($H$3,0,0,'Données projet'!$E$14+1,1))</f>
        <v>610.05768948788375</v>
      </c>
      <c r="DU60" s="59">
        <f t="shared" si="44"/>
        <v>295.23928902444845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253.7</v>
      </c>
      <c r="L61" s="12">
        <f>VLOOKUP(A61,'Données projet'!$A$35:$I$55,9,0)</f>
        <v>10.36375</v>
      </c>
      <c r="M61" s="12">
        <f t="array" ref="M61">INDEX(L:L,MIN(IF(ISNUMBER(L61:L257),ROW(L61:L257),"")))</f>
        <v>10.36375</v>
      </c>
      <c r="N61" s="13">
        <f>IF('Données projet'!$A$36&gt;35,N60+M61-V60,IF(A61&lt;'Données projet'!$A$36,$K$205^A61,IF(A61='Données projet'!$A$36,'Données projet'!$B$36,N60+M61-V60)))</f>
        <v>253.70000000000027</v>
      </c>
      <c r="O61" s="13">
        <f>N61*VLOOKUP('Données projet'!$B$9,Paramètres!$A$1:$I$89,3,0)*VLOOKUP('Données projet'!$B$9,Paramètres!$A$1:$I$89,5,0)</f>
        <v>229.54776000000027</v>
      </c>
      <c r="P61" s="13">
        <f t="shared" si="33"/>
        <v>56.184885471425758</v>
      </c>
      <c r="Q61" s="20">
        <f t="shared" si="53"/>
        <v>497.651024196067</v>
      </c>
      <c r="R61" s="59">
        <f t="shared" si="0"/>
        <v>757.76413479475536</v>
      </c>
      <c r="S61" s="59">
        <f ca="1">AVERAGE(OFFSET($R$3,0,0,'Données projet'!$E$9+1,1))-AVERAGE(OFFSET($H$3,0,0,'Données projet'!$E$9+1,1))</f>
        <v>681.47578137804555</v>
      </c>
      <c r="T61" s="59">
        <f t="shared" si="34"/>
        <v>300.88511065995885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47.789999999999992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0.34400000000000003</v>
      </c>
      <c r="Y61" s="16">
        <f>IF(ISNA(VLOOKUP(A61,'Données projet'!$A$35:$I$55,7,0)),0%,VLOOKUP(A61,'Données projet'!$A$35:$I$55,7,0))</f>
        <v>0.2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36.474357978367649</v>
      </c>
      <c r="AB61" s="21">
        <f>EXP(-LN(2)/2)*AB60+(1-EXP(-LN(2)/2))/(LN(2)/2)*V61*Y61*VLOOKUP('Données projet'!$B$9,Paramètres!$A$1:$I$89,3,0)*0.475*44/12</f>
        <v>8.589981127461952</v>
      </c>
      <c r="AC61" s="22">
        <f t="shared" si="3"/>
        <v>45.064339105829603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6.0096153846153868</v>
      </c>
      <c r="AI61" s="13">
        <f>IF('Données projet'!$A$62&gt;35,AI60+AH61-AQ60,IF(A61&lt;'Données projet'!$A$62,$AF$205^A61,IF(A61='Données projet'!$A$62,'Données projet'!$B$62,AI60+AH61-AQ60)))</f>
        <v>178.36538461538461</v>
      </c>
      <c r="AJ61" s="13">
        <f>AI61*VLOOKUP('Données projet'!$B$10,Paramètres!$A$1:$I$89,3,0)*VLOOKUP('Données projet'!$B$10,Paramètres!$A$1:$I$89,5,0)</f>
        <v>139.125</v>
      </c>
      <c r="AK61" s="13">
        <f t="shared" si="35"/>
        <v>36.096482198248644</v>
      </c>
      <c r="AL61" s="20">
        <f t="shared" si="4"/>
        <v>305.17741482861635</v>
      </c>
      <c r="AM61" s="59">
        <f t="shared" si="5"/>
        <v>565.29052542730483</v>
      </c>
      <c r="AN61" s="59">
        <f ca="1">AVERAGE(OFFSET($AM$3,0,0,'Données projet'!$E$10+1,1))-AVERAGE(OFFSET($H$3,0,0,'Données projet'!$E$10+1,1))</f>
        <v>217.53602321474159</v>
      </c>
      <c r="AO61" s="59">
        <f t="shared" si="36"/>
        <v>215.75909414893025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7.1333384713068808</v>
      </c>
      <c r="AV61" s="21">
        <f>EXP(-LN(2)/25)*AV60+(1-EXP(-LN(2)/25))/(LN(2)/25)*Calculateur!AQ61*Calculateur!AS61*VLOOKUP('Données projet'!$B$10,Paramètres!$A$1:$I$89,3,0)*0.475*44/12</f>
        <v>7.5397771040841528</v>
      </c>
      <c r="AW61" s="21">
        <f>EXP(-LN(2)/2)*AW60+(1-EXP(-LN(2)/2))/(LN(2)/2)*AQ61*AT61*VLOOKUP('Données projet'!$B$10,Paramètres!$A$1:$I$89,3,0)*0.475*44/12</f>
        <v>0.75060445463707282</v>
      </c>
      <c r="AX61" s="21">
        <f t="shared" si="6"/>
        <v>15.423720030028106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5.2</v>
      </c>
      <c r="BD61" s="12">
        <f>IF('Données projet'!$A$88&gt;35,BD60+BC61-BL60,IF(A61&lt;'Données projet'!$A$88,$BA$205^A61,IF(A61='Données projet'!$A$88,'Données projet'!$B$88,BD60+BC61-BL60)))</f>
        <v>234.59999999999985</v>
      </c>
      <c r="BE61" s="13">
        <f>BD61*VLOOKUP('Données projet'!$B$11,Paramètres!$A$1:$I$89,3,0)*VLOOKUP('Données projet'!$B$11,Paramètres!$A$1:$I$89,5,0)</f>
        <v>157.3696799999999</v>
      </c>
      <c r="BF61" s="13">
        <f t="shared" si="37"/>
        <v>40.248668251494898</v>
      </c>
      <c r="BG61" s="20">
        <f t="shared" si="7"/>
        <v>344.18528987135346</v>
      </c>
      <c r="BH61" s="59">
        <f t="shared" si="8"/>
        <v>604.29840047004188</v>
      </c>
      <c r="BI61" s="59">
        <f ca="1">AVERAGE(OFFSET($BH$3,0,0,'Données projet'!$E$11+1,1))-AVERAGE(OFFSET($H$3,0,0,'Données projet'!$E$11+1,1))</f>
        <v>281.67293577289729</v>
      </c>
      <c r="BJ61" s="59">
        <f t="shared" si="38"/>
        <v>272.44904846480154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6.2263957379481143</v>
      </c>
      <c r="BQ61" s="21">
        <f>EXP(-LN(2)/25)*BQ60+(1-EXP(-LN(2)/25))/(LN(2)/25)*Calculateur!BL61*Calculateur!BN61*VLOOKUP('Données projet'!$B$11,Paramètres!$A$1:$I$89,3,0)*0.475*44/12</f>
        <v>10.876495092024587</v>
      </c>
      <c r="BR61" s="21">
        <f>EXP(-LN(2)/2)*BR60+(1-EXP(-LN(2)/2))/(LN(2)/2)*BL61*BO61*VLOOKUP('Données projet'!$B$11,Paramètres!$A$1:$I$89,3,0)*0.475*44/12</f>
        <v>0.94434295882224817</v>
      </c>
      <c r="BS61" s="22">
        <f t="shared" si="9"/>
        <v>18.047233788794948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5.2</v>
      </c>
      <c r="BY61" s="12">
        <f>IF('Données projet'!$A$114&gt;35,BY60+BX61-CG60,IF(A61&lt;'Données projet'!$A$114,$BV$205^A61,IF(A61='Données projet'!$A$114,'Données projet'!$B$114,BY60+BX61-CG60)))</f>
        <v>234.59999999999985</v>
      </c>
      <c r="BZ61" s="13">
        <f>BY61*VLOOKUP('Données projet'!$B$12,Paramètres!$A$1:$I$89,3,0)*VLOOKUP('Données projet'!$B$12,Paramètres!$A$1:$I$89,5,0)</f>
        <v>204.94655999999989</v>
      </c>
      <c r="CA61" s="13">
        <f t="shared" si="39"/>
        <v>50.829721281867236</v>
      </c>
      <c r="CB61" s="20">
        <f t="shared" si="10"/>
        <v>445.47702323258522</v>
      </c>
      <c r="CC61" s="59">
        <f t="shared" si="11"/>
        <v>705.59013383127365</v>
      </c>
      <c r="CD61" s="59">
        <f ca="1">AVERAGE(OFFSET($CC$3,0,0,'Données projet'!$E$12+1,1))-AVERAGE(OFFSET($H$3,0,0,'Données projet'!$E$12+1,1))</f>
        <v>348.77506423101278</v>
      </c>
      <c r="CE61" s="59">
        <f t="shared" si="40"/>
        <v>336.13747591329548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8.1087944494207989</v>
      </c>
      <c r="CL61" s="21">
        <f>EXP(-LN(2)/25)*CL60+(1-EXP(-LN(2)/25))/(LN(2)/25)*Calculateur!CG61*Calculateur!CI61*VLOOKUP('Données projet'!$B$12,Paramètres!$A$1:$I$89,3,0)*0.475*44/12</f>
        <v>14.16473779426458</v>
      </c>
      <c r="CM61" s="21">
        <f>EXP(-LN(2)/2)*CM60+(1-EXP(-LN(2)/2))/(LN(2)/2)*CG61*CJ61*VLOOKUP('Données projet'!$B$12,Paramètres!$A$1:$I$89,3,0)*0.475*44/12</f>
        <v>1.2298419928847883</v>
      </c>
      <c r="CN61" s="22">
        <f t="shared" si="12"/>
        <v>23.503374236570171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3.3603333333333336</v>
      </c>
      <c r="CT61" s="12">
        <f>IF('Données projet'!$A$140&gt;35,CT60+CS61-DB60,IF(A61&lt;'Données projet'!$A$140,$CQ$205^A61,IF(A61='Données projet'!$A$140,'Données projet'!$B$140,CT60+CS61-DB60)))</f>
        <v>194.89933333333323</v>
      </c>
      <c r="CU61" s="17">
        <f>CT61*VLOOKUP('Données projet'!$B$13,Paramètres!$A$1:$I$89,3,0)*VLOOKUP('Données projet'!$B$13,Paramètres!$A$1:$I$89,5,0)</f>
        <v>188.50663519999989</v>
      </c>
      <c r="CV61" s="13">
        <f t="shared" si="41"/>
        <v>47.209639623873699</v>
      </c>
      <c r="CW61" s="20">
        <f t="shared" si="13"/>
        <v>410.53917865157979</v>
      </c>
      <c r="CX61" s="59">
        <f t="shared" si="14"/>
        <v>670.65228925026827</v>
      </c>
      <c r="CY61" s="59">
        <f ca="1">AVERAGE(OFFSET($CX$3,0,0,'Données projet'!$E$13+1,1))-AVERAGE(OFFSET($H$3,0,0,'Données projet'!$E$13+1,1))</f>
        <v>557.48193674339791</v>
      </c>
      <c r="CZ61" s="59">
        <f t="shared" si="42"/>
        <v>271.51396593253048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3.3603333333333336</v>
      </c>
      <c r="DO61" s="12">
        <f>IF('Données projet'!$A$166&gt;35,DO60+DN61-DW60,IF(A61&lt;'Données projet'!$A$166,$DL$205^A61,IF(A61='Données projet'!$A$166,'Données projet'!$B$166,DO60+DN61-DW60)))</f>
        <v>194.89933333333323</v>
      </c>
      <c r="DP61" s="17">
        <f>DO61*VLOOKUP('Données projet'!$B$14,Paramètres!$A$1:$I$89,3,0)*VLOOKUP('Données projet'!$B$14,Paramètres!$A$1:$I$89,5,0)</f>
        <v>209.78964239999985</v>
      </c>
      <c r="DQ61" s="13">
        <f t="shared" si="43"/>
        <v>51.889614589263012</v>
      </c>
      <c r="DR61" s="20">
        <f t="shared" si="16"/>
        <v>455.75803925629947</v>
      </c>
      <c r="DS61" s="59">
        <f t="shared" si="17"/>
        <v>715.87114985498783</v>
      </c>
      <c r="DT61" s="59">
        <f ca="1">AVERAGE(OFFSET($DS$3,0,0,'Données projet'!$E$14+1,1))-AVERAGE(OFFSET($H$3,0,0,'Données projet'!$E$14+1,1))</f>
        <v>610.05768948788375</v>
      </c>
      <c r="DU61" s="59">
        <f t="shared" si="44"/>
        <v>295.23928902444845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10.107499999999998</v>
      </c>
      <c r="N62" s="13">
        <f>IF('Données projet'!$A$36&gt;35,N61+M62-V61,IF(A62&lt;'Données projet'!$A$36,$K$205^A62,IF(A62='Données projet'!$A$36,'Données projet'!$B$36,N61+M62-V61)))</f>
        <v>216.0175000000003</v>
      </c>
      <c r="O62" s="13">
        <f>N62*VLOOKUP('Données projet'!$B$9,Paramètres!$A$1:$I$89,3,0)*VLOOKUP('Données projet'!$B$9,Paramètres!$A$1:$I$89,5,0)</f>
        <v>195.45263400000027</v>
      </c>
      <c r="P62" s="13">
        <f t="shared" si="33"/>
        <v>48.743460533300031</v>
      </c>
      <c r="Q62" s="20">
        <f t="shared" si="53"/>
        <v>425.3081979788314</v>
      </c>
      <c r="R62" s="59">
        <f t="shared" si="0"/>
        <v>685.99760517267418</v>
      </c>
      <c r="S62" s="59">
        <f ca="1">AVERAGE(OFFSET($R$3,0,0,'Données projet'!$E$9+1,1))-AVERAGE(OFFSET($H$3,0,0,'Données projet'!$E$9+1,1))</f>
        <v>681.47578137804555</v>
      </c>
      <c r="T62" s="59">
        <f t="shared" si="34"/>
        <v>300.88511065995885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35.476964741346066</v>
      </c>
      <c r="AB62" s="21">
        <f>EXP(-LN(2)/2)*AB61+(1-EXP(-LN(2)/2))/(LN(2)/2)*V62*Y62*VLOOKUP('Données projet'!$B$9,Paramètres!$A$1:$I$89,3,0)*0.475*44/12</f>
        <v>6.0740339054928114</v>
      </c>
      <c r="AC62" s="22">
        <f t="shared" si="3"/>
        <v>41.550998646838877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6.0096153846153868</v>
      </c>
      <c r="AI62" s="13">
        <f>IF('Données projet'!$A$62&gt;35,AI61+AH62-AQ61,IF(A62&lt;'Données projet'!$A$62,$AF$205^A62,IF(A62='Données projet'!$A$62,'Données projet'!$B$62,AI61+AH62-AQ61)))</f>
        <v>184.375</v>
      </c>
      <c r="AJ62" s="13">
        <f>AI62*VLOOKUP('Données projet'!$B$10,Paramètres!$A$1:$I$89,3,0)*VLOOKUP('Données projet'!$B$10,Paramètres!$A$1:$I$89,5,0)</f>
        <v>143.8125</v>
      </c>
      <c r="AK62" s="13">
        <f t="shared" si="35"/>
        <v>37.169025291790518</v>
      </c>
      <c r="AL62" s="20">
        <f t="shared" si="4"/>
        <v>315.2094898832018</v>
      </c>
      <c r="AM62" s="59">
        <f t="shared" si="5"/>
        <v>575.89889707704458</v>
      </c>
      <c r="AN62" s="59">
        <f ca="1">AVERAGE(OFFSET($AM$3,0,0,'Données projet'!$E$10+1,1))-AVERAGE(OFFSET($H$3,0,0,'Données projet'!$E$10+1,1))</f>
        <v>217.53602321474159</v>
      </c>
      <c r="AO62" s="59">
        <f t="shared" si="36"/>
        <v>215.75909414893025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6.9934580547914038</v>
      </c>
      <c r="AV62" s="21">
        <f>EXP(-LN(2)/25)*AV61+(1-EXP(-LN(2)/25))/(LN(2)/25)*Calculateur!AQ62*Calculateur!AS62*VLOOKUP('Données projet'!$B$10,Paramètres!$A$1:$I$89,3,0)*0.475*44/12</f>
        <v>7.3336015026733259</v>
      </c>
      <c r="AW62" s="21">
        <f>EXP(-LN(2)/2)*AW61+(1-EXP(-LN(2)/2))/(LN(2)/2)*AQ62*AT62*VLOOKUP('Données projet'!$B$10,Paramètres!$A$1:$I$89,3,0)*0.475*44/12</f>
        <v>0.53075749986270448</v>
      </c>
      <c r="AX62" s="21">
        <f t="shared" si="6"/>
        <v>14.857817057327434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5.2</v>
      </c>
      <c r="BD62" s="12">
        <f>IF('Données projet'!$A$88&gt;35,BD61+BC62-BL61,IF(A62&lt;'Données projet'!$A$88,$BA$205^A62,IF(A62='Données projet'!$A$88,'Données projet'!$B$88,BD61+BC62-BL61)))</f>
        <v>239.79999999999984</v>
      </c>
      <c r="BE62" s="13">
        <f>BD62*VLOOKUP('Données projet'!$B$11,Paramètres!$A$1:$I$89,3,0)*VLOOKUP('Données projet'!$B$11,Paramètres!$A$1:$I$89,5,0)</f>
        <v>160.8578399999999</v>
      </c>
      <c r="BF62" s="13">
        <f t="shared" si="37"/>
        <v>41.035943357409813</v>
      </c>
      <c r="BG62" s="20">
        <f t="shared" si="7"/>
        <v>351.63167268082196</v>
      </c>
      <c r="BH62" s="59">
        <f t="shared" si="8"/>
        <v>612.32107987466475</v>
      </c>
      <c r="BI62" s="59">
        <f ca="1">AVERAGE(OFFSET($BH$3,0,0,'Données projet'!$E$11+1,1))-AVERAGE(OFFSET($H$3,0,0,'Données projet'!$E$11+1,1))</f>
        <v>281.67293577289729</v>
      </c>
      <c r="BJ62" s="59">
        <f t="shared" si="38"/>
        <v>272.44904846480154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6.1042999152533577</v>
      </c>
      <c r="BQ62" s="21">
        <f>EXP(-LN(2)/25)*BQ61+(1-EXP(-LN(2)/25))/(LN(2)/25)*Calculateur!BL62*Calculateur!BN62*VLOOKUP('Données projet'!$B$11,Paramètres!$A$1:$I$89,3,0)*0.475*44/12</f>
        <v>10.579076761763156</v>
      </c>
      <c r="BR62" s="21">
        <f>EXP(-LN(2)/2)*BR61+(1-EXP(-LN(2)/2))/(LN(2)/2)*BL62*BO62*VLOOKUP('Données projet'!$B$11,Paramètres!$A$1:$I$89,3,0)*0.475*44/12</f>
        <v>0.66775130994898035</v>
      </c>
      <c r="BS62" s="22">
        <f t="shared" si="9"/>
        <v>17.351127986965494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5.2</v>
      </c>
      <c r="BY62" s="12">
        <f>IF('Données projet'!$A$114&gt;35,BY61+BX62-CG61,IF(A62&lt;'Données projet'!$A$114,$BV$205^A62,IF(A62='Données projet'!$A$114,'Données projet'!$B$114,BY61+BX62-CG61)))</f>
        <v>239.79999999999984</v>
      </c>
      <c r="BZ62" s="13">
        <f>BY62*VLOOKUP('Données projet'!$B$12,Paramètres!$A$1:$I$89,3,0)*VLOOKUP('Données projet'!$B$12,Paramètres!$A$1:$I$89,5,0)</f>
        <v>209.48927999999989</v>
      </c>
      <c r="CA62" s="13">
        <f t="shared" si="39"/>
        <v>51.823964717594365</v>
      </c>
      <c r="CB62" s="20">
        <f t="shared" si="10"/>
        <v>455.12056788314334</v>
      </c>
      <c r="CC62" s="59">
        <f t="shared" si="11"/>
        <v>715.80997507698612</v>
      </c>
      <c r="CD62" s="59">
        <f ca="1">AVERAGE(OFFSET($CC$3,0,0,'Données projet'!$E$12+1,1))-AVERAGE(OFFSET($H$3,0,0,'Données projet'!$E$12+1,1))</f>
        <v>348.77506423101278</v>
      </c>
      <c r="CE62" s="59">
        <f t="shared" si="40"/>
        <v>336.13747591329548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7.9497859361439067</v>
      </c>
      <c r="CL62" s="21">
        <f>EXP(-LN(2)/25)*CL61+(1-EXP(-LN(2)/25))/(LN(2)/25)*Calculateur!CG62*Calculateur!CI62*VLOOKUP('Données projet'!$B$12,Paramètres!$A$1:$I$89,3,0)*0.475*44/12</f>
        <v>13.777402294389228</v>
      </c>
      <c r="CM62" s="21">
        <f>EXP(-LN(2)/2)*CM61+(1-EXP(-LN(2)/2))/(LN(2)/2)*CG62*CJ62*VLOOKUP('Données projet'!$B$12,Paramètres!$A$1:$I$89,3,0)*0.475*44/12</f>
        <v>0.86962961295681163</v>
      </c>
      <c r="CN62" s="22">
        <f t="shared" si="12"/>
        <v>22.596817843489944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3.3603333333333336</v>
      </c>
      <c r="CT62" s="12">
        <f>IF('Données projet'!$A$140&gt;35,CT61+CS62-DB61,IF(A62&lt;'Données projet'!$A$140,$CQ$205^A62,IF(A62='Données projet'!$A$140,'Données projet'!$B$140,CT61+CS62-DB61)))</f>
        <v>198.25966666666656</v>
      </c>
      <c r="CU62" s="17">
        <f>CT62*VLOOKUP('Données projet'!$B$13,Paramètres!$A$1:$I$89,3,0)*VLOOKUP('Données projet'!$B$13,Paramètres!$A$1:$I$89,5,0)</f>
        <v>191.75674959999992</v>
      </c>
      <c r="CV62" s="13">
        <f t="shared" si="41"/>
        <v>47.928136958939533</v>
      </c>
      <c r="CW62" s="20">
        <f t="shared" si="13"/>
        <v>417.45117742348617</v>
      </c>
      <c r="CX62" s="59">
        <f t="shared" si="14"/>
        <v>678.14058461732895</v>
      </c>
      <c r="CY62" s="59">
        <f ca="1">AVERAGE(OFFSET($CX$3,0,0,'Données projet'!$E$13+1,1))-AVERAGE(OFFSET($H$3,0,0,'Données projet'!$E$13+1,1))</f>
        <v>557.48193674339791</v>
      </c>
      <c r="CZ62" s="59">
        <f t="shared" si="42"/>
        <v>271.51396593253048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3.3603333333333336</v>
      </c>
      <c r="DO62" s="12">
        <f>IF('Données projet'!$A$166&gt;35,DO61+DN62-DW61,IF(A62&lt;'Données projet'!$A$166,$DL$205^A62,IF(A62='Données projet'!$A$166,'Données projet'!$B$166,DO61+DN62-DW61)))</f>
        <v>198.25966666666656</v>
      </c>
      <c r="DP62" s="17">
        <f>DO62*VLOOKUP('Données projet'!$B$14,Paramètres!$A$1:$I$89,3,0)*VLOOKUP('Données projet'!$B$14,Paramètres!$A$1:$I$89,5,0)</f>
        <v>213.40670519999989</v>
      </c>
      <c r="DQ62" s="13">
        <f t="shared" si="43"/>
        <v>52.67933783428272</v>
      </c>
      <c r="DR62" s="20">
        <f t="shared" si="16"/>
        <v>463.4331916180422</v>
      </c>
      <c r="DS62" s="59">
        <f t="shared" si="17"/>
        <v>724.12259881188493</v>
      </c>
      <c r="DT62" s="59">
        <f ca="1">AVERAGE(OFFSET($DS$3,0,0,'Données projet'!$E$14+1,1))-AVERAGE(OFFSET($H$3,0,0,'Données projet'!$E$14+1,1))</f>
        <v>610.05768948788375</v>
      </c>
      <c r="DU62" s="59">
        <f t="shared" si="44"/>
        <v>295.23928902444845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10.107499999999998</v>
      </c>
      <c r="N63" s="13">
        <f>IF('Données projet'!$A$36&gt;35,N62+M63-V62,IF(A63&lt;'Données projet'!$A$36,$K$205^A63,IF(A63='Données projet'!$A$36,'Données projet'!$B$36,N62+M63-V62)))</f>
        <v>226.12500000000028</v>
      </c>
      <c r="O63" s="13">
        <f>N63*VLOOKUP('Données projet'!$B$9,Paramètres!$A$1:$I$89,3,0)*VLOOKUP('Données projet'!$B$9,Paramètres!$A$1:$I$89,5,0)</f>
        <v>204.59790000000024</v>
      </c>
      <c r="P63" s="13">
        <f t="shared" si="33"/>
        <v>50.753306398717811</v>
      </c>
      <c r="Q63" s="20">
        <f t="shared" si="53"/>
        <v>444.73668447776726</v>
      </c>
      <c r="R63" s="59">
        <f t="shared" si="0"/>
        <v>705.99239080924474</v>
      </c>
      <c r="S63" s="59">
        <f ca="1">AVERAGE(OFFSET($R$3,0,0,'Données projet'!$E$9+1,1))-AVERAGE(OFFSET($H$3,0,0,'Données projet'!$E$9+1,1))</f>
        <v>681.47578137804555</v>
      </c>
      <c r="T63" s="59">
        <f t="shared" si="34"/>
        <v>300.88511065995885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34.506845274841467</v>
      </c>
      <c r="AB63" s="21">
        <f>EXP(-LN(2)/2)*AB62+(1-EXP(-LN(2)/2))/(LN(2)/2)*V63*Y63*VLOOKUP('Données projet'!$B$9,Paramètres!$A$1:$I$89,3,0)*0.475*44/12</f>
        <v>4.294990563730976</v>
      </c>
      <c r="AC63" s="22">
        <f t="shared" si="3"/>
        <v>38.801835838572444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190.38461538461539</v>
      </c>
      <c r="AG63" s="12">
        <f>VLOOKUP(A63,'Données projet'!$A$61:$I$81,9,0)</f>
        <v>6.0096153846153868</v>
      </c>
      <c r="AH63" s="12">
        <f t="array" ref="AH63">INDEX(AG:AG,MIN(IF(ISNUMBER(AG63:AG259),ROW(AG63:AG259),"")))</f>
        <v>6.0096153846153868</v>
      </c>
      <c r="AI63" s="13">
        <f>IF('Données projet'!$A$62&gt;35,AI62+AH63-AQ62,IF(A63&lt;'Données projet'!$A$62,$AF$205^A63,IF(A63='Données projet'!$A$62,'Données projet'!$B$62,AI62+AH63-AQ62)))</f>
        <v>190.38461538461539</v>
      </c>
      <c r="AJ63" s="13">
        <f>AI63*VLOOKUP('Données projet'!$B$10,Paramètres!$A$1:$I$89,3,0)*VLOOKUP('Données projet'!$B$10,Paramètres!$A$1:$I$89,5,0)</f>
        <v>148.5</v>
      </c>
      <c r="AK63" s="13">
        <f t="shared" si="35"/>
        <v>38.237506103710217</v>
      </c>
      <c r="AL63" s="20">
        <f t="shared" si="4"/>
        <v>325.23448979729528</v>
      </c>
      <c r="AM63" s="59">
        <f t="shared" si="5"/>
        <v>586.49019612877282</v>
      </c>
      <c r="AN63" s="59">
        <f ca="1">AVERAGE(OFFSET($AM$3,0,0,'Données projet'!$E$10+1,1))-AVERAGE(OFFSET($H$3,0,0,'Données projet'!$E$10+1,1))</f>
        <v>217.53602321474159</v>
      </c>
      <c r="AO63" s="59">
        <f t="shared" si="36"/>
        <v>215.75909414893025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30.128205128205128</v>
      </c>
      <c r="AR63" s="16">
        <f>IF(ISNA(VLOOKUP(A63,'Données projet'!$A$61:$I$81,5,0)),0%,VLOOKUP(A63,'Données projet'!$A$61:$I$81,5,0)*VLOOKUP('Données projet'!$B$10,Paramètres!$A$1:$I$89,7,0))</f>
        <v>0.1075</v>
      </c>
      <c r="AS63" s="16">
        <f>IF(ISNA(VLOOKUP(A63,'Données projet'!$A$61:$I$81,6,0)),0%,VLOOKUP(A63,'Données projet'!$A$61:$I$81,6,0)*VLOOKUP('Données projet'!$B$10,Paramètres!$A$1:$I$89,7,0))</f>
        <v>0.1075</v>
      </c>
      <c r="AT63" s="16">
        <f>IF(ISNA(VLOOKUP(A63,'Données projet'!$A$61:$I$81,7,0)),0%,VLOOKUP(A63,'Données projet'!$A$61:$I$81,7,0))</f>
        <v>0.25</v>
      </c>
      <c r="AU63" s="21">
        <f>EXP(-LN(2)/35)*AU62+(1-EXP(-LN(2)/35))/(LN(2)/35)*AQ63*AR63*VLOOKUP('Données projet'!$B$10,Paramètres!$A$1:$I$89,3,0)*0.475*44/12</f>
        <v>9.6490151542202796</v>
      </c>
      <c r="AV63" s="21">
        <f>EXP(-LN(2)/25)*AV62+(1-EXP(-LN(2)/25))/(LN(2)/25)*Calculateur!AQ63*Calculateur!AS63*VLOOKUP('Données projet'!$B$10,Paramètres!$A$1:$I$89,3,0)*0.475*44/12</f>
        <v>9.9147624276916879</v>
      </c>
      <c r="AW63" s="21">
        <f>EXP(-LN(2)/2)*AW62+(1-EXP(-LN(2)/2))/(LN(2)/2)*AQ63*AT63*VLOOKUP('Données projet'!$B$10,Paramètres!$A$1:$I$89,3,0)*0.475*44/12</f>
        <v>5.918522850625191</v>
      </c>
      <c r="AX63" s="21">
        <f t="shared" si="6"/>
        <v>25.482300432537158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245</v>
      </c>
      <c r="BB63" s="12">
        <f>VLOOKUP(A63,'Données projet'!$A$87:$I$107,9,0)</f>
        <v>5.2</v>
      </c>
      <c r="BC63" s="12">
        <f t="array" ref="BC63">INDEX(BB:BB,MIN(IF(ISNUMBER(BB63:BB259),ROW(BB63:BB259),"")))</f>
        <v>5.2</v>
      </c>
      <c r="BD63" s="12">
        <f>IF('Données projet'!$A$88&gt;35,BD62+BC63-BL62,IF(A63&lt;'Données projet'!$A$88,$BA$205^A63,IF(A63='Données projet'!$A$88,'Données projet'!$B$88,BD62+BC63-BL62)))</f>
        <v>244.99999999999983</v>
      </c>
      <c r="BE63" s="13">
        <f>BD63*VLOOKUP('Données projet'!$B$11,Paramètres!$A$1:$I$89,3,0)*VLOOKUP('Données projet'!$B$11,Paramètres!$A$1:$I$89,5,0)</f>
        <v>164.34599999999989</v>
      </c>
      <c r="BF63" s="13">
        <f t="shared" si="37"/>
        <v>41.821233640915111</v>
      </c>
      <c r="BG63" s="20">
        <f t="shared" si="7"/>
        <v>359.07459859126033</v>
      </c>
      <c r="BH63" s="59">
        <f t="shared" si="8"/>
        <v>620.33030492273781</v>
      </c>
      <c r="BI63" s="59">
        <f ca="1">AVERAGE(OFFSET($BH$3,0,0,'Données projet'!$E$11+1,1))-AVERAGE(OFFSET($H$3,0,0,'Données projet'!$E$11+1,1))</f>
        <v>281.67293577289729</v>
      </c>
      <c r="BJ63" s="59">
        <f t="shared" si="38"/>
        <v>272.44904846480154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12</v>
      </c>
      <c r="BM63" s="16">
        <f>IF(ISNA(VLOOKUP(A63,'Données projet'!$A$87:$I$107,5,0)),0%,VLOOKUP(A63,'Données projet'!$A$87:$I$107,5,0)*VLOOKUP('Données projet'!$B$11,Paramètres!$A$1:$I$89,7,0))</f>
        <v>0.13250000000000001</v>
      </c>
      <c r="BN63" s="16">
        <f>IF(ISNA(VLOOKUP(A63,'Données projet'!$A$87:$I$107,6,0)),0%,VLOOKUP(A63,'Données projet'!$A$87:$I$107,6,0)*VLOOKUP('Données projet'!$B$11,Paramètres!$A$1:$I$89,7,0))</f>
        <v>0.13250000000000001</v>
      </c>
      <c r="BO63" s="16">
        <f>IF(ISNA(VLOOKUP(A63,'Données projet'!$A$87:$I$107,7,0)),0%,VLOOKUP(A63,'Données projet'!$A$87:$I$107,7,0))</f>
        <v>0.25</v>
      </c>
      <c r="BP63" s="21">
        <f>EXP(-LN(2)/35)*BP62+(1-EXP(-LN(2)/35))/(LN(2)/35)*BL63*BM63*VLOOKUP('Données projet'!$B$11,Paramètres!$A$1:$I$89,3,0)*0.475*44/12</f>
        <v>7.1636620708097647</v>
      </c>
      <c r="BQ63" s="21">
        <f>EXP(-LN(2)/25)*BQ62+(1-EXP(-LN(2)/25))/(LN(2)/25)*Calculateur!BL63*Calculateur!BN63*VLOOKUP('Données projet'!$B$11,Paramètres!$A$1:$I$89,3,0)*0.475*44/12</f>
        <v>11.464212681765904</v>
      </c>
      <c r="BR63" s="21">
        <f>EXP(-LN(2)/2)*BR62+(1-EXP(-LN(2)/2))/(LN(2)/2)*BL63*BO63*VLOOKUP('Données projet'!$B$11,Paramètres!$A$1:$I$89,3,0)*0.475*44/12</f>
        <v>2.3709250423630071</v>
      </c>
      <c r="BS63" s="22">
        <f t="shared" si="9"/>
        <v>20.998799794938677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245</v>
      </c>
      <c r="BW63" s="12">
        <f>VLOOKUP(A63,'Données projet'!$A$113:$I$133,9,0)</f>
        <v>5.2</v>
      </c>
      <c r="BX63" s="12">
        <f t="array" ref="BX63">INDEX(BW:BW,MIN(IF(ISNUMBER(BW63:BW259),ROW(BW63:BW259),"")))</f>
        <v>5.2</v>
      </c>
      <c r="BY63" s="12">
        <f>IF('Données projet'!$A$114&gt;35,BY62+BX63-CG62,IF(A63&lt;'Données projet'!$A$114,$BV$205^A63,IF(A63='Données projet'!$A$114,'Données projet'!$B$114,BY62+BX63-CG62)))</f>
        <v>244.99999999999983</v>
      </c>
      <c r="BZ63" s="13">
        <f>BY63*VLOOKUP('Données projet'!$B$12,Paramètres!$A$1:$I$89,3,0)*VLOOKUP('Données projet'!$B$12,Paramètres!$A$1:$I$89,5,0)</f>
        <v>214.03199999999987</v>
      </c>
      <c r="CA63" s="13">
        <f t="shared" si="39"/>
        <v>52.815701536972192</v>
      </c>
      <c r="CB63" s="20">
        <f t="shared" si="10"/>
        <v>464.7597468435597</v>
      </c>
      <c r="CC63" s="59">
        <f t="shared" si="11"/>
        <v>726.01545317503724</v>
      </c>
      <c r="CD63" s="59">
        <f ca="1">AVERAGE(OFFSET($CC$3,0,0,'Données projet'!$E$12+1,1))-AVERAGE(OFFSET($H$3,0,0,'Données projet'!$E$12+1,1))</f>
        <v>348.77506423101278</v>
      </c>
      <c r="CE63" s="59">
        <f t="shared" si="40"/>
        <v>336.13747591329548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12</v>
      </c>
      <c r="CH63" s="16">
        <f>IF(ISNA(VLOOKUP(A63,'Données projet'!$A$113:$I$133,5,0)),0%,VLOOKUP(A63,'Données projet'!$A$113:$I$133,5,0)*VLOOKUP('Données projet'!$B$12,Paramètres!$A$1:$I$89,7,0))</f>
        <v>0.13250000000000001</v>
      </c>
      <c r="CI63" s="16">
        <f>IF(ISNA(VLOOKUP(A63,'Données projet'!$A$113:$I$133,6,0)),0%,VLOOKUP(A63,'Données projet'!$A$113:$I$133,6,0)*VLOOKUP('Données projet'!$B$12,Paramètres!$A$1:$I$89,7,0))</f>
        <v>0.13250000000000001</v>
      </c>
      <c r="CJ63" s="16">
        <f>IF(ISNA(VLOOKUP(A63,'Données projet'!$A$113:$I$133,7,0)),0%,VLOOKUP(A63,'Données projet'!$A$113:$I$133,7,0))</f>
        <v>0.25</v>
      </c>
      <c r="CK63" s="21">
        <f>EXP(-LN(2)/35)*CK62+(1-EXP(-LN(2)/35))/(LN(2)/35)*CG63*CH63*VLOOKUP('Données projet'!$B$12,Paramètres!$A$1:$I$89,3,0)*0.475*44/12</f>
        <v>9.3294203712871351</v>
      </c>
      <c r="CL63" s="21">
        <f>EXP(-LN(2)/25)*CL62+(1-EXP(-LN(2)/25))/(LN(2)/25)*Calculateur!CG63*Calculateur!CI63*VLOOKUP('Données projet'!$B$12,Paramètres!$A$1:$I$89,3,0)*0.475*44/12</f>
        <v>14.930137446020712</v>
      </c>
      <c r="CM63" s="21">
        <f>EXP(-LN(2)/2)*CM62+(1-EXP(-LN(2)/2))/(LN(2)/2)*CG63*CJ63*VLOOKUP('Données projet'!$B$12,Paramètres!$A$1:$I$89,3,0)*0.475*44/12</f>
        <v>3.0877163342401959</v>
      </c>
      <c r="CN63" s="22">
        <f t="shared" si="12"/>
        <v>27.347274151548042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201.62</v>
      </c>
      <c r="CR63" s="12">
        <f>VLOOKUP(A63,'Données projet'!$A$139:$I$159,9,0)</f>
        <v>3.3603333333333336</v>
      </c>
      <c r="CS63" s="12">
        <f t="array" ref="CS63">INDEX(CR:CR,MIN(IF(ISNUMBER(CR63:CR259),ROW(CR63:CR259),"")))</f>
        <v>3.3603333333333336</v>
      </c>
      <c r="CT63" s="12">
        <f>IF('Données projet'!$A$140&gt;35,CT62+CS63-DB62,IF(A63&lt;'Données projet'!$A$140,$CQ$205^A63,IF(A63='Données projet'!$A$140,'Données projet'!$B$140,CT62+CS63-DB62)))</f>
        <v>201.61999999999989</v>
      </c>
      <c r="CU63" s="17">
        <f>CT63*VLOOKUP('Données projet'!$B$13,Paramètres!$A$1:$I$89,3,0)*VLOOKUP('Données projet'!$B$13,Paramètres!$A$1:$I$89,5,0)</f>
        <v>195.00686399999989</v>
      </c>
      <c r="CV63" s="13">
        <f t="shared" si="41"/>
        <v>48.645218109693126</v>
      </c>
      <c r="CW63" s="20">
        <f t="shared" si="13"/>
        <v>424.36070967438195</v>
      </c>
      <c r="CX63" s="59">
        <f t="shared" si="14"/>
        <v>685.61641600585949</v>
      </c>
      <c r="CY63" s="59">
        <f ca="1">AVERAGE(OFFSET($CX$3,0,0,'Données projet'!$E$13+1,1))-AVERAGE(OFFSET($H$3,0,0,'Données projet'!$E$13+1,1))</f>
        <v>557.48193674339791</v>
      </c>
      <c r="CZ63" s="59">
        <f t="shared" si="42"/>
        <v>271.51396593253048</v>
      </c>
      <c r="DA63" s="15">
        <f>IF(ISNA(VLOOKUP(A63,'Données projet'!$A$139:$I$159,3,0)),0,VLOOKUP(A63,'Données projet'!$A$139:$I$159,3,0))</f>
        <v>1</v>
      </c>
      <c r="DB63" s="15">
        <f>IF(ISNA(VLOOKUP(A63,'Données projet'!$A$139:$I$159,4,0)),0,VLOOKUP(A63,'Données projet'!$A$139:$I$159,4,0))</f>
        <v>72.87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0.34400000000000003</v>
      </c>
      <c r="DE63" s="16">
        <f>IF(ISNA(VLOOKUP(A63,'Données projet'!$A$139:$I$159,7,0)),0%,VLOOKUP(A63,'Données projet'!$A$139:$I$159,7,0))</f>
        <v>0.2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26.696679775541607</v>
      </c>
      <c r="DH63" s="21">
        <f>EXP(-LN(2)/2)*DH62+(1-EXP(-LN(2)/2))/(LN(2)/2)*DB63*DE63*VLOOKUP('Données projet'!$B$13,Paramètres!$A$1:$I$89,3,0)*0.475*44/12</f>
        <v>13.299929724345475</v>
      </c>
      <c r="DI63" s="22">
        <f t="shared" si="15"/>
        <v>39.996609499887086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201.62</v>
      </c>
      <c r="DM63" s="12">
        <f>VLOOKUP(A63,'Données projet'!$A$165:$I$185,9,0)</f>
        <v>3.3603333333333336</v>
      </c>
      <c r="DN63" s="12">
        <f t="array" ref="DN63">INDEX(DM:DM,MIN(IF(ISNUMBER(DM63:DM259),ROW(DM63:DM259),"")))</f>
        <v>3.3603333333333336</v>
      </c>
      <c r="DO63" s="12">
        <f>IF('Données projet'!$A$166&gt;35,DO62+DN63-DW62,IF(A63&lt;'Données projet'!$A$166,$DL$205^A63,IF(A63='Données projet'!$A$166,'Données projet'!$B$166,DO62+DN63-DW62)))</f>
        <v>201.61999999999989</v>
      </c>
      <c r="DP63" s="17">
        <f>DO63*VLOOKUP('Données projet'!$B$14,Paramètres!$A$1:$I$89,3,0)*VLOOKUP('Données projet'!$B$14,Paramètres!$A$1:$I$89,5,0)</f>
        <v>217.02376799999985</v>
      </c>
      <c r="DQ63" s="13">
        <f t="shared" si="43"/>
        <v>53.467504506137956</v>
      </c>
      <c r="DR63" s="20">
        <f t="shared" si="16"/>
        <v>471.10563294819008</v>
      </c>
      <c r="DS63" s="59">
        <f t="shared" si="17"/>
        <v>732.36133927966762</v>
      </c>
      <c r="DT63" s="59">
        <f ca="1">AVERAGE(OFFSET($DS$3,0,0,'Données projet'!$E$14+1,1))-AVERAGE(OFFSET($H$3,0,0,'Données projet'!$E$14+1,1))</f>
        <v>610.05768948788375</v>
      </c>
      <c r="DU63" s="59">
        <f t="shared" si="44"/>
        <v>295.23928902444845</v>
      </c>
      <c r="DV63" s="15">
        <f>IF(ISNA(VLOOKUP(A63,'Données projet'!$A$165:$I$185,3,0)),0,VLOOKUP(A63,'Données projet'!$A$165:$I$185,3,0))</f>
        <v>1</v>
      </c>
      <c r="DW63" s="15">
        <f>IF(ISNA(VLOOKUP(A63,'Données projet'!$A$165:$I$185,4,0)),0,VLOOKUP(A63,'Données projet'!$A$165:$I$185,4,0))</f>
        <v>72.87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0.34400000000000003</v>
      </c>
      <c r="DZ63" s="16">
        <f>IF(ISNA(VLOOKUP(A63,'Données projet'!$A$165:$I$185,7,0)),0%,VLOOKUP(A63,'Données projet'!$A$165:$I$185,7,0))</f>
        <v>0.2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29.710821040522109</v>
      </c>
      <c r="EC63" s="21">
        <f>EXP(-LN(2)/2)*EC62+(1-EXP(-LN(2)/2))/(LN(2)/2)*DW63*DZ63*VLOOKUP('Données projet'!$B$14,Paramètres!$A$1:$I$89,3,0)*0.475*44/12</f>
        <v>14.801534693223191</v>
      </c>
      <c r="ED63" s="22">
        <f t="shared" si="18"/>
        <v>44.512355733745302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10.107499999999998</v>
      </c>
      <c r="N64" s="13">
        <f>IF('Données projet'!$A$36&gt;35,N63+M64-V63,IF(A64&lt;'Données projet'!$A$36,$K$205^A64,IF(A64='Données projet'!$A$36,'Données projet'!$B$36,N63+M64-V63)))</f>
        <v>236.23250000000027</v>
      </c>
      <c r="O64" s="13">
        <f>N64*VLOOKUP('Données projet'!$B$9,Paramètres!$A$1:$I$89,3,0)*VLOOKUP('Données projet'!$B$9,Paramètres!$A$1:$I$89,5,0)</f>
        <v>213.74316600000023</v>
      </c>
      <c r="P64" s="13">
        <f t="shared" si="33"/>
        <v>52.752718660626023</v>
      </c>
      <c r="Q64" s="20">
        <f t="shared" si="53"/>
        <v>464.14699911725734</v>
      </c>
      <c r="R64" s="59">
        <f t="shared" si="0"/>
        <v>725.95918056238668</v>
      </c>
      <c r="S64" s="59">
        <f ca="1">AVERAGE(OFFSET($R$3,0,0,'Données projet'!$E$9+1,1))-AVERAGE(OFFSET($H$3,0,0,'Données projet'!$E$9+1,1))</f>
        <v>681.47578137804555</v>
      </c>
      <c r="T64" s="59">
        <f t="shared" si="34"/>
        <v>300.88511065995885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33.5632537761648</v>
      </c>
      <c r="AB64" s="21">
        <f>EXP(-LN(2)/2)*AB63+(1-EXP(-LN(2)/2))/(LN(2)/2)*V64*Y64*VLOOKUP('Données projet'!$B$9,Paramètres!$A$1:$I$89,3,0)*0.475*44/12</f>
        <v>3.0370169527464057</v>
      </c>
      <c r="AC64" s="22">
        <f t="shared" si="3"/>
        <v>36.600270728911205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5.5555555555555554</v>
      </c>
      <c r="AI64" s="13">
        <f>IF('Données projet'!$A$62&gt;35,AI63+AH64-AQ63,IF(A64&lt;'Données projet'!$A$62,$AF$205^A64,IF(A64='Données projet'!$A$62,'Données projet'!$B$62,AI63+AH64-AQ63)))</f>
        <v>165.81196581196579</v>
      </c>
      <c r="AJ64" s="13">
        <f>AI64*VLOOKUP('Données projet'!$B$10,Paramètres!$A$1:$I$89,3,0)*VLOOKUP('Données projet'!$B$10,Paramètres!$A$1:$I$89,5,0)</f>
        <v>129.33333333333331</v>
      </c>
      <c r="AK64" s="13">
        <f t="shared" si="35"/>
        <v>33.84226617438533</v>
      </c>
      <c r="AL64" s="20">
        <f t="shared" si="4"/>
        <v>284.19750247594328</v>
      </c>
      <c r="AM64" s="59">
        <f t="shared" si="5"/>
        <v>546.00968392107256</v>
      </c>
      <c r="AN64" s="59">
        <f ca="1">AVERAGE(OFFSET($AM$3,0,0,'Données projet'!$E$10+1,1))-AVERAGE(OFFSET($H$3,0,0,'Données projet'!$E$10+1,1))</f>
        <v>217.53602321474159</v>
      </c>
      <c r="AO64" s="59">
        <f t="shared" si="36"/>
        <v>215.75909414893025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9.4598038523641375</v>
      </c>
      <c r="AV64" s="21">
        <f>EXP(-LN(2)/25)*AV63+(1-EXP(-LN(2)/25))/(LN(2)/25)*Calculateur!AQ64*Calculateur!AS64*VLOOKUP('Données projet'!$B$10,Paramètres!$A$1:$I$89,3,0)*0.475*44/12</f>
        <v>9.6436427277117627</v>
      </c>
      <c r="AW64" s="21">
        <f>EXP(-LN(2)/2)*AW63+(1-EXP(-LN(2)/2))/(LN(2)/2)*AQ64*AT64*VLOOKUP('Données projet'!$B$10,Paramètres!$A$1:$I$89,3,0)*0.475*44/12</f>
        <v>4.1850276422846084</v>
      </c>
      <c r="AX64" s="21">
        <f t="shared" si="6"/>
        <v>23.288474222360509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4.4000000000000004</v>
      </c>
      <c r="BD64" s="12">
        <f>IF('Données projet'!$A$88&gt;35,BD63+BC64-BL63,IF(A64&lt;'Données projet'!$A$88,$BA$205^A64,IF(A64='Données projet'!$A$88,'Données projet'!$B$88,BD63+BC64-BL63)))</f>
        <v>237.39999999999984</v>
      </c>
      <c r="BE64" s="13">
        <f>BD64*VLOOKUP('Données projet'!$B$11,Paramètres!$A$1:$I$89,3,0)*VLOOKUP('Données projet'!$B$11,Paramètres!$A$1:$I$89,5,0)</f>
        <v>159.24791999999988</v>
      </c>
      <c r="BF64" s="13">
        <f t="shared" si="37"/>
        <v>40.672835175461827</v>
      </c>
      <c r="BG64" s="20">
        <f t="shared" si="7"/>
        <v>348.1953152639291</v>
      </c>
      <c r="BH64" s="59">
        <f t="shared" si="8"/>
        <v>610.00749670905839</v>
      </c>
      <c r="BI64" s="59">
        <f ca="1">AVERAGE(OFFSET($BH$3,0,0,'Données projet'!$E$11+1,1))-AVERAGE(OFFSET($H$3,0,0,'Données projet'!$E$11+1,1))</f>
        <v>281.67293577289729</v>
      </c>
      <c r="BJ64" s="59">
        <f t="shared" si="38"/>
        <v>272.44904846480154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7.0231870270036056</v>
      </c>
      <c r="BQ64" s="21">
        <f>EXP(-LN(2)/25)*BQ63+(1-EXP(-LN(2)/25))/(LN(2)/25)*Calculateur!BL64*Calculateur!BN64*VLOOKUP('Données projet'!$B$11,Paramètres!$A$1:$I$89,3,0)*0.475*44/12</f>
        <v>11.150723183106273</v>
      </c>
      <c r="BR64" s="21">
        <f>EXP(-LN(2)/2)*BR63+(1-EXP(-LN(2)/2))/(LN(2)/2)*BL64*BO64*VLOOKUP('Données projet'!$B$11,Paramètres!$A$1:$I$89,3,0)*0.475*44/12</f>
        <v>1.6764971751398849</v>
      </c>
      <c r="BS64" s="22">
        <f t="shared" si="9"/>
        <v>19.850407385249763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4.4000000000000004</v>
      </c>
      <c r="BY64" s="12">
        <f>IF('Données projet'!$A$114&gt;35,BY63+BX64-CG63,IF(A64&lt;'Données projet'!$A$114,$BV$205^A64,IF(A64='Données projet'!$A$114,'Données projet'!$B$114,BY63+BX64-CG63)))</f>
        <v>237.39999999999984</v>
      </c>
      <c r="BZ64" s="13">
        <f>BY64*VLOOKUP('Données projet'!$B$12,Paramètres!$A$1:$I$89,3,0)*VLOOKUP('Données projet'!$B$12,Paramètres!$A$1:$I$89,5,0)</f>
        <v>207.39263999999989</v>
      </c>
      <c r="CA64" s="13">
        <f t="shared" si="39"/>
        <v>51.365398298247158</v>
      </c>
      <c r="CB64" s="20">
        <f t="shared" si="10"/>
        <v>450.67025003611349</v>
      </c>
      <c r="CC64" s="59">
        <f t="shared" si="11"/>
        <v>712.48243148124288</v>
      </c>
      <c r="CD64" s="59">
        <f ca="1">AVERAGE(OFFSET($CC$3,0,0,'Données projet'!$E$12+1,1))-AVERAGE(OFFSET($H$3,0,0,'Données projet'!$E$12+1,1))</f>
        <v>348.77506423101278</v>
      </c>
      <c r="CE64" s="59">
        <f t="shared" si="40"/>
        <v>336.13747591329548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9.1464761281907414</v>
      </c>
      <c r="CL64" s="21">
        <f>EXP(-LN(2)/25)*CL63+(1-EXP(-LN(2)/25))/(LN(2)/25)*Calculateur!CG64*Calculateur!CI64*VLOOKUP('Données projet'!$B$12,Paramètres!$A$1:$I$89,3,0)*0.475*44/12</f>
        <v>14.521872052417471</v>
      </c>
      <c r="CM64" s="21">
        <f>EXP(-LN(2)/2)*CM63+(1-EXP(-LN(2)/2))/(LN(2)/2)*CG64*CJ64*VLOOKUP('Données projet'!$B$12,Paramètres!$A$1:$I$89,3,0)*0.475*44/12</f>
        <v>2.1833451583217109</v>
      </c>
      <c r="CN64" s="22">
        <f t="shared" si="12"/>
        <v>25.851693338929923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6.8933333333333326</v>
      </c>
      <c r="CT64" s="12">
        <f>IF('Données projet'!$A$140&gt;35,CT63+CS64-DB63,IF(A64&lt;'Données projet'!$A$140,$CQ$205^A64,IF(A64='Données projet'!$A$140,'Données projet'!$B$140,CT63+CS64-DB63)))</f>
        <v>135.64333333333323</v>
      </c>
      <c r="CU64" s="17">
        <f>CT64*VLOOKUP('Données projet'!$B$13,Paramètres!$A$1:$I$89,3,0)*VLOOKUP('Données projet'!$B$13,Paramètres!$A$1:$I$89,5,0)</f>
        <v>131.19423199999991</v>
      </c>
      <c r="CV64" s="13">
        <f t="shared" si="41"/>
        <v>34.272164248672141</v>
      </c>
      <c r="CW64" s="20">
        <f t="shared" si="13"/>
        <v>288.18730679977051</v>
      </c>
      <c r="CX64" s="59">
        <f t="shared" si="14"/>
        <v>549.99948824489979</v>
      </c>
      <c r="CY64" s="59">
        <f ca="1">AVERAGE(OFFSET($CX$3,0,0,'Données projet'!$E$13+1,1))-AVERAGE(OFFSET($H$3,0,0,'Données projet'!$E$13+1,1))</f>
        <v>557.48193674339791</v>
      </c>
      <c r="CZ64" s="59">
        <f t="shared" si="42"/>
        <v>271.51396593253048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25.966657663162049</v>
      </c>
      <c r="DH64" s="21">
        <f>EXP(-LN(2)/2)*DH63+(1-EXP(-LN(2)/2))/(LN(2)/2)*DB64*DE64*VLOOKUP('Données projet'!$B$13,Paramètres!$A$1:$I$89,3,0)*0.475*44/12</f>
        <v>9.4044704973892159</v>
      </c>
      <c r="DI64" s="22">
        <f t="shared" si="15"/>
        <v>35.371128160551265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6.8933333333333326</v>
      </c>
      <c r="DO64" s="12">
        <f>IF('Données projet'!$A$166&gt;35,DO63+DN64-DW63,IF(A64&lt;'Données projet'!$A$166,$DL$205^A64,IF(A64='Données projet'!$A$166,'Données projet'!$B$166,DO63+DN64-DW63)))</f>
        <v>135.64333333333323</v>
      </c>
      <c r="DP64" s="17">
        <f>DO64*VLOOKUP('Données projet'!$B$14,Paramètres!$A$1:$I$89,3,0)*VLOOKUP('Données projet'!$B$14,Paramètres!$A$1:$I$89,5,0)</f>
        <v>146.00648399999989</v>
      </c>
      <c r="DQ64" s="13">
        <f t="shared" si="43"/>
        <v>37.669624427808692</v>
      </c>
      <c r="DR64" s="20">
        <f t="shared" si="16"/>
        <v>319.90255551176659</v>
      </c>
      <c r="DS64" s="59">
        <f t="shared" si="17"/>
        <v>581.71473695689588</v>
      </c>
      <c r="DT64" s="59">
        <f ca="1">AVERAGE(OFFSET($DS$3,0,0,'Données projet'!$E$14+1,1))-AVERAGE(OFFSET($H$3,0,0,'Données projet'!$E$14+1,1))</f>
        <v>610.05768948788375</v>
      </c>
      <c r="DU64" s="59">
        <f t="shared" si="44"/>
        <v>295.23928902444845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28.898377076744858</v>
      </c>
      <c r="EC64" s="21">
        <f>EXP(-LN(2)/2)*EC63+(1-EXP(-LN(2)/2))/(LN(2)/2)*DW64*DZ64*VLOOKUP('Données projet'!$B$14,Paramètres!$A$1:$I$89,3,0)*0.475*44/12</f>
        <v>10.466265553546064</v>
      </c>
      <c r="ED64" s="22">
        <f t="shared" si="18"/>
        <v>39.364642630290923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10.107499999999998</v>
      </c>
      <c r="N65" s="13">
        <f>IF('Données projet'!$A$36&gt;35,N64+M65-V64,IF(A65&lt;'Données projet'!$A$36,$K$205^A65,IF(A65='Données projet'!$A$36,'Données projet'!$B$36,N64+M65-V64)))</f>
        <v>246.34000000000026</v>
      </c>
      <c r="O65" s="13">
        <f>N65*VLOOKUP('Données projet'!$B$9,Paramètres!$A$1:$I$89,3,0)*VLOOKUP('Données projet'!$B$9,Paramètres!$A$1:$I$89,5,0)</f>
        <v>222.88843200000022</v>
      </c>
      <c r="P65" s="13">
        <f t="shared" si="33"/>
        <v>54.74219476708182</v>
      </c>
      <c r="Q65" s="20">
        <f t="shared" si="53"/>
        <v>483.54000828600118</v>
      </c>
      <c r="R65" s="59">
        <f t="shared" si="0"/>
        <v>745.89901124565245</v>
      </c>
      <c r="S65" s="59">
        <f ca="1">AVERAGE(OFFSET($R$3,0,0,'Données projet'!$E$9+1,1))-AVERAGE(OFFSET($H$3,0,0,'Données projet'!$E$9+1,1))</f>
        <v>681.47578137804555</v>
      </c>
      <c r="T65" s="59">
        <f t="shared" si="34"/>
        <v>300.88511065995885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32.64546483664077</v>
      </c>
      <c r="AB65" s="21">
        <f>EXP(-LN(2)/2)*AB64+(1-EXP(-LN(2)/2))/(LN(2)/2)*V65*Y65*VLOOKUP('Données projet'!$B$9,Paramètres!$A$1:$I$89,3,0)*0.475*44/12</f>
        <v>2.147495281865488</v>
      </c>
      <c r="AC65" s="22">
        <f t="shared" si="3"/>
        <v>34.792960118506258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5.5555555555555554</v>
      </c>
      <c r="AI65" s="13">
        <f>IF('Données projet'!$A$62&gt;35,AI64+AH65-AQ64,IF(A65&lt;'Données projet'!$A$62,$AF$205^A65,IF(A65='Données projet'!$A$62,'Données projet'!$B$62,AI64+AH65-AQ64)))</f>
        <v>171.36752136752133</v>
      </c>
      <c r="AJ65" s="13">
        <f>AI65*VLOOKUP('Données projet'!$B$10,Paramètres!$A$1:$I$89,3,0)*VLOOKUP('Données projet'!$B$10,Paramètres!$A$1:$I$89,5,0)</f>
        <v>133.66666666666666</v>
      </c>
      <c r="AK65" s="13">
        <f t="shared" si="35"/>
        <v>34.842241918705284</v>
      </c>
      <c r="AL65" s="20">
        <f t="shared" si="4"/>
        <v>293.4863491195228</v>
      </c>
      <c r="AM65" s="59">
        <f t="shared" si="5"/>
        <v>555.84535207917406</v>
      </c>
      <c r="AN65" s="59">
        <f ca="1">AVERAGE(OFFSET($AM$3,0,0,'Données projet'!$E$10+1,1))-AVERAGE(OFFSET($H$3,0,0,'Données projet'!$E$10+1,1))</f>
        <v>217.53602321474159</v>
      </c>
      <c r="AO65" s="59">
        <f t="shared" si="36"/>
        <v>215.75909414893025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9.2743028687298956</v>
      </c>
      <c r="AV65" s="21">
        <f>EXP(-LN(2)/25)*AV64+(1-EXP(-LN(2)/25))/(LN(2)/25)*Calculateur!AQ65*Calculateur!AS65*VLOOKUP('Données projet'!$B$10,Paramètres!$A$1:$I$89,3,0)*0.475*44/12</f>
        <v>9.3799368101853542</v>
      </c>
      <c r="AW65" s="21">
        <f>EXP(-LN(2)/2)*AW64+(1-EXP(-LN(2)/2))/(LN(2)/2)*AQ65*AT65*VLOOKUP('Données projet'!$B$10,Paramètres!$A$1:$I$89,3,0)*0.475*44/12</f>
        <v>2.9592614253125955</v>
      </c>
      <c r="AX65" s="21">
        <f t="shared" si="6"/>
        <v>21.613501104227844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4.4000000000000004</v>
      </c>
      <c r="BD65" s="12">
        <f>IF('Données projet'!$A$88&gt;35,BD64+BC65-BL64,IF(A65&lt;'Données projet'!$A$88,$BA$205^A65,IF(A65='Données projet'!$A$88,'Données projet'!$B$88,BD64+BC65-BL64)))</f>
        <v>241.79999999999984</v>
      </c>
      <c r="BE65" s="13">
        <f>BD65*VLOOKUP('Données projet'!$B$11,Paramètres!$A$1:$I$89,3,0)*VLOOKUP('Données projet'!$B$11,Paramètres!$A$1:$I$89,5,0)</f>
        <v>162.1994399999999</v>
      </c>
      <c r="BF65" s="13">
        <f t="shared" si="37"/>
        <v>41.338210358918261</v>
      </c>
      <c r="BG65" s="20">
        <f t="shared" si="7"/>
        <v>354.49474104178239</v>
      </c>
      <c r="BH65" s="59">
        <f t="shared" si="8"/>
        <v>616.85374400143371</v>
      </c>
      <c r="BI65" s="59">
        <f ca="1">AVERAGE(OFFSET($BH$3,0,0,'Données projet'!$E$11+1,1))-AVERAGE(OFFSET($H$3,0,0,'Données projet'!$E$11+1,1))</f>
        <v>281.67293577289729</v>
      </c>
      <c r="BJ65" s="59">
        <f t="shared" si="38"/>
        <v>272.44904846480154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6.8854666131251694</v>
      </c>
      <c r="BQ65" s="21">
        <f>EXP(-LN(2)/25)*BQ64+(1-EXP(-LN(2)/25))/(LN(2)/25)*Calculateur!BL65*Calculateur!BN65*VLOOKUP('Données projet'!$B$11,Paramètres!$A$1:$I$89,3,0)*0.475*44/12</f>
        <v>10.845806071273184</v>
      </c>
      <c r="BR65" s="21">
        <f>EXP(-LN(2)/2)*BR64+(1-EXP(-LN(2)/2))/(LN(2)/2)*BL65*BO65*VLOOKUP('Données projet'!$B$11,Paramètres!$A$1:$I$89,3,0)*0.475*44/12</f>
        <v>1.1854625211815037</v>
      </c>
      <c r="BS65" s="22">
        <f t="shared" si="9"/>
        <v>18.916735205579858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4.4000000000000004</v>
      </c>
      <c r="BY65" s="12">
        <f>IF('Données projet'!$A$114&gt;35,BY64+BX65-CG64,IF(A65&lt;'Données projet'!$A$114,$BV$205^A65,IF(A65='Données projet'!$A$114,'Données projet'!$B$114,BY64+BX65-CG64)))</f>
        <v>241.79999999999984</v>
      </c>
      <c r="BZ65" s="13">
        <f>BY65*VLOOKUP('Données projet'!$B$12,Paramètres!$A$1:$I$89,3,0)*VLOOKUP('Données projet'!$B$12,Paramètres!$A$1:$I$89,5,0)</f>
        <v>211.23647999999989</v>
      </c>
      <c r="CA65" s="13">
        <f t="shared" si="39"/>
        <v>52.205695296687686</v>
      </c>
      <c r="CB65" s="20">
        <f t="shared" si="10"/>
        <v>458.82845530839751</v>
      </c>
      <c r="CC65" s="59">
        <f t="shared" si="11"/>
        <v>721.18745826804889</v>
      </c>
      <c r="CD65" s="59">
        <f ca="1">AVERAGE(OFFSET($CC$3,0,0,'Données projet'!$E$12+1,1))-AVERAGE(OFFSET($H$3,0,0,'Données projet'!$E$12+1,1))</f>
        <v>348.77506423101278</v>
      </c>
      <c r="CE65" s="59">
        <f t="shared" si="40"/>
        <v>336.13747591329548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8.9671193101164981</v>
      </c>
      <c r="CL65" s="21">
        <f>EXP(-LN(2)/25)*CL64+(1-EXP(-LN(2)/25))/(LN(2)/25)*Calculateur!CG65*Calculateur!CI65*VLOOKUP('Données projet'!$B$12,Paramètres!$A$1:$I$89,3,0)*0.475*44/12</f>
        <v>14.124770697472055</v>
      </c>
      <c r="CM65" s="21">
        <f>EXP(-LN(2)/2)*CM64+(1-EXP(-LN(2)/2))/(LN(2)/2)*CG65*CJ65*VLOOKUP('Données projet'!$B$12,Paramètres!$A$1:$I$89,3,0)*0.475*44/12</f>
        <v>1.5438581671200982</v>
      </c>
      <c r="CN65" s="22">
        <f t="shared" si="12"/>
        <v>24.635748174708652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6.8933333333333326</v>
      </c>
      <c r="CT65" s="12">
        <f>IF('Données projet'!$A$140&gt;35,CT64+CS65-DB64,IF(A65&lt;'Données projet'!$A$140,$CQ$205^A65,IF(A65='Données projet'!$A$140,'Données projet'!$B$140,CT64+CS65-DB64)))</f>
        <v>142.53666666666658</v>
      </c>
      <c r="CU65" s="17">
        <f>CT65*VLOOKUP('Données projet'!$B$13,Paramètres!$A$1:$I$89,3,0)*VLOOKUP('Données projet'!$B$13,Paramètres!$A$1:$I$89,5,0)</f>
        <v>137.8614639999999</v>
      </c>
      <c r="CV65" s="13">
        <f t="shared" si="41"/>
        <v>35.806658893228409</v>
      </c>
      <c r="CW65" s="20">
        <f t="shared" si="13"/>
        <v>302.47198070570596</v>
      </c>
      <c r="CX65" s="59">
        <f t="shared" si="14"/>
        <v>564.83098366535728</v>
      </c>
      <c r="CY65" s="59">
        <f ca="1">AVERAGE(OFFSET($CX$3,0,0,'Données projet'!$E$13+1,1))-AVERAGE(OFFSET($H$3,0,0,'Données projet'!$E$13+1,1))</f>
        <v>557.48193674339791</v>
      </c>
      <c r="CZ65" s="59">
        <f t="shared" si="42"/>
        <v>271.51396593253048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25.256598043835705</v>
      </c>
      <c r="DH65" s="21">
        <f>EXP(-LN(2)/2)*DH64+(1-EXP(-LN(2)/2))/(LN(2)/2)*DB65*DE65*VLOOKUP('Données projet'!$B$13,Paramètres!$A$1:$I$89,3,0)*0.475*44/12</f>
        <v>6.6499648621727383</v>
      </c>
      <c r="DI65" s="22">
        <f t="shared" si="15"/>
        <v>31.906562906008443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6.8933333333333326</v>
      </c>
      <c r="DO65" s="12">
        <f>IF('Données projet'!$A$166&gt;35,DO64+DN65-DW64,IF(A65&lt;'Données projet'!$A$166,$DL$205^A65,IF(A65='Données projet'!$A$166,'Données projet'!$B$166,DO64+DN65-DW64)))</f>
        <v>142.53666666666658</v>
      </c>
      <c r="DP65" s="17">
        <f>DO65*VLOOKUP('Données projet'!$B$14,Paramètres!$A$1:$I$89,3,0)*VLOOKUP('Données projet'!$B$14,Paramètres!$A$1:$I$89,5,0)</f>
        <v>153.42646799999991</v>
      </c>
      <c r="DQ65" s="13">
        <f t="shared" si="43"/>
        <v>39.356236236958097</v>
      </c>
      <c r="DR65" s="20">
        <f t="shared" si="16"/>
        <v>335.7632098793685</v>
      </c>
      <c r="DS65" s="59">
        <f t="shared" si="17"/>
        <v>598.12221283901977</v>
      </c>
      <c r="DT65" s="59">
        <f ca="1">AVERAGE(OFFSET($DS$3,0,0,'Données projet'!$E$14+1,1))-AVERAGE(OFFSET($H$3,0,0,'Données projet'!$E$14+1,1))</f>
        <v>610.05768948788375</v>
      </c>
      <c r="DU65" s="59">
        <f t="shared" si="44"/>
        <v>295.23928902444845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28.108149435881668</v>
      </c>
      <c r="EC65" s="21">
        <f>EXP(-LN(2)/2)*EC64+(1-EXP(-LN(2)/2))/(LN(2)/2)*DW65*DZ65*VLOOKUP('Données projet'!$B$14,Paramètres!$A$1:$I$89,3,0)*0.475*44/12</f>
        <v>7.4007673466115973</v>
      </c>
      <c r="ED65" s="22">
        <f t="shared" si="18"/>
        <v>35.508916782493266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10.107499999999998</v>
      </c>
      <c r="N66" s="13">
        <f>IF('Données projet'!$A$36&gt;35,N65+M66-V65,IF(A66&lt;'Données projet'!$A$36,$K$205^A66,IF(A66='Données projet'!$A$36,'Données projet'!$B$36,N65+M66-V65)))</f>
        <v>256.44750000000028</v>
      </c>
      <c r="O66" s="13">
        <f>N66*VLOOKUP('Données projet'!$B$9,Paramètres!$A$1:$I$89,3,0)*VLOOKUP('Données projet'!$B$9,Paramètres!$A$1:$I$89,5,0)</f>
        <v>232.03369800000024</v>
      </c>
      <c r="P66" s="13">
        <f t="shared" si="33"/>
        <v>56.722189034958802</v>
      </c>
      <c r="Q66" s="20">
        <f t="shared" si="53"/>
        <v>502.91650325255364</v>
      </c>
      <c r="R66" s="59">
        <f t="shared" si="0"/>
        <v>765.81284159595975</v>
      </c>
      <c r="S66" s="59">
        <f ca="1">AVERAGE(OFFSET($R$3,0,0,'Données projet'!$E$9+1,1))-AVERAGE(OFFSET($H$3,0,0,'Données projet'!$E$9+1,1))</f>
        <v>681.47578137804555</v>
      </c>
      <c r="T66" s="59">
        <f t="shared" si="34"/>
        <v>300.88511065995885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31.752772883932444</v>
      </c>
      <c r="AB66" s="21">
        <f>EXP(-LN(2)/2)*AB65+(1-EXP(-LN(2)/2))/(LN(2)/2)*V66*Y66*VLOOKUP('Données projet'!$B$9,Paramètres!$A$1:$I$89,3,0)*0.475*44/12</f>
        <v>1.5185084763732029</v>
      </c>
      <c r="AC66" s="22">
        <f t="shared" si="3"/>
        <v>33.27128136030565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5.5555555555555554</v>
      </c>
      <c r="AI66" s="13">
        <f>IF('Données projet'!$A$62&gt;35,AI65+AH66-AQ65,IF(A66&lt;'Données projet'!$A$62,$AF$205^A66,IF(A66='Données projet'!$A$62,'Données projet'!$B$62,AI65+AH66-AQ65)))</f>
        <v>176.92307692307688</v>
      </c>
      <c r="AJ66" s="13">
        <f>AI66*VLOOKUP('Données projet'!$B$10,Paramètres!$A$1:$I$89,3,0)*VLOOKUP('Données projet'!$B$10,Paramètres!$A$1:$I$89,5,0)</f>
        <v>137.99999999999997</v>
      </c>
      <c r="AK66" s="13">
        <f t="shared" si="35"/>
        <v>35.838450602130571</v>
      </c>
      <c r="AL66" s="20">
        <f t="shared" si="4"/>
        <v>302.76863479871071</v>
      </c>
      <c r="AM66" s="59">
        <f t="shared" si="5"/>
        <v>565.66497314211688</v>
      </c>
      <c r="AN66" s="59">
        <f ca="1">AVERAGE(OFFSET($AM$3,0,0,'Données projet'!$E$10+1,1))-AVERAGE(OFFSET($H$3,0,0,'Données projet'!$E$10+1,1))</f>
        <v>217.53602321474159</v>
      </c>
      <c r="AO66" s="59">
        <f t="shared" si="36"/>
        <v>215.75909414893025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9.0924394462402933</v>
      </c>
      <c r="AV66" s="21">
        <f>EXP(-LN(2)/25)*AV65+(1-EXP(-LN(2)/25))/(LN(2)/25)*Calculateur!AQ66*Calculateur!AS66*VLOOKUP('Données projet'!$B$10,Paramètres!$A$1:$I$89,3,0)*0.475*44/12</f>
        <v>9.1234419448413977</v>
      </c>
      <c r="AW66" s="21">
        <f>EXP(-LN(2)/2)*AW65+(1-EXP(-LN(2)/2))/(LN(2)/2)*AQ66*AT66*VLOOKUP('Données projet'!$B$10,Paramètres!$A$1:$I$89,3,0)*0.475*44/12</f>
        <v>2.0925138211423042</v>
      </c>
      <c r="AX66" s="21">
        <f t="shared" si="6"/>
        <v>20.308395212223996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4.4000000000000004</v>
      </c>
      <c r="BD66" s="12">
        <f>IF('Données projet'!$A$88&gt;35,BD65+BC66-BL65,IF(A66&lt;'Données projet'!$A$88,$BA$205^A66,IF(A66='Données projet'!$A$88,'Données projet'!$B$88,BD65+BC66-BL65)))</f>
        <v>246.19999999999985</v>
      </c>
      <c r="BE66" s="13">
        <f>BD66*VLOOKUP('Données projet'!$B$11,Paramètres!$A$1:$I$89,3,0)*VLOOKUP('Données projet'!$B$11,Paramètres!$A$1:$I$89,5,0)</f>
        <v>165.15095999999988</v>
      </c>
      <c r="BF66" s="13">
        <f t="shared" si="37"/>
        <v>42.002177611164356</v>
      </c>
      <c r="BG66" s="20">
        <f t="shared" si="7"/>
        <v>360.79171467277774</v>
      </c>
      <c r="BH66" s="59">
        <f t="shared" si="8"/>
        <v>623.68805301618386</v>
      </c>
      <c r="BI66" s="59">
        <f ca="1">AVERAGE(OFFSET($BH$3,0,0,'Données projet'!$E$11+1,1))-AVERAGE(OFFSET($H$3,0,0,'Données projet'!$E$11+1,1))</f>
        <v>281.67293577289729</v>
      </c>
      <c r="BJ66" s="59">
        <f t="shared" si="38"/>
        <v>272.44904846480154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6.750446812561731</v>
      </c>
      <c r="BQ66" s="21">
        <f>EXP(-LN(2)/25)*BQ65+(1-EXP(-LN(2)/25))/(LN(2)/25)*Calculateur!BL66*Calculateur!BN66*VLOOKUP('Données projet'!$B$11,Paramètres!$A$1:$I$89,3,0)*0.475*44/12</f>
        <v>10.549226933898066</v>
      </c>
      <c r="BR66" s="21">
        <f>EXP(-LN(2)/2)*BR65+(1-EXP(-LN(2)/2))/(LN(2)/2)*BL66*BO66*VLOOKUP('Données projet'!$B$11,Paramètres!$A$1:$I$89,3,0)*0.475*44/12</f>
        <v>0.83824858756994258</v>
      </c>
      <c r="BS66" s="22">
        <f t="shared" si="9"/>
        <v>18.137922334029739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4.4000000000000004</v>
      </c>
      <c r="BY66" s="12">
        <f>IF('Données projet'!$A$114&gt;35,BY65+BX66-CG65,IF(A66&lt;'Données projet'!$A$114,$BV$205^A66,IF(A66='Données projet'!$A$114,'Données projet'!$B$114,BY65+BX66-CG65)))</f>
        <v>246.19999999999985</v>
      </c>
      <c r="BZ66" s="13">
        <f>BY66*VLOOKUP('Données projet'!$B$12,Paramètres!$A$1:$I$89,3,0)*VLOOKUP('Données projet'!$B$12,Paramètres!$A$1:$I$89,5,0)</f>
        <v>215.08031999999989</v>
      </c>
      <c r="CA66" s="13">
        <f t="shared" si="39"/>
        <v>53.044214230061456</v>
      </c>
      <c r="CB66" s="20">
        <f t="shared" si="10"/>
        <v>466.98356378402349</v>
      </c>
      <c r="CC66" s="59">
        <f t="shared" si="11"/>
        <v>729.87990212742966</v>
      </c>
      <c r="CD66" s="59">
        <f ca="1">AVERAGE(OFFSET($CC$3,0,0,'Données projet'!$E$12+1,1))-AVERAGE(OFFSET($H$3,0,0,'Données projet'!$E$12+1,1))</f>
        <v>348.77506423101278</v>
      </c>
      <c r="CE66" s="59">
        <f t="shared" si="40"/>
        <v>336.13747591329548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8.7912795698478341</v>
      </c>
      <c r="CL66" s="21">
        <f>EXP(-LN(2)/25)*CL65+(1-EXP(-LN(2)/25))/(LN(2)/25)*Calculateur!CG66*Calculateur!CI66*VLOOKUP('Données projet'!$B$12,Paramètres!$A$1:$I$89,3,0)*0.475*44/12</f>
        <v>13.738528099960273</v>
      </c>
      <c r="CM66" s="21">
        <f>EXP(-LN(2)/2)*CM65+(1-EXP(-LN(2)/2))/(LN(2)/2)*CG66*CJ66*VLOOKUP('Données projet'!$B$12,Paramètres!$A$1:$I$89,3,0)*0.475*44/12</f>
        <v>1.0916725791608557</v>
      </c>
      <c r="CN66" s="22">
        <f t="shared" si="12"/>
        <v>23.621480248968965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6.8933333333333326</v>
      </c>
      <c r="CT66" s="12">
        <f>IF('Données projet'!$A$140&gt;35,CT65+CS66-DB65,IF(A66&lt;'Données projet'!$A$140,$CQ$205^A66,IF(A66='Données projet'!$A$140,'Données projet'!$B$140,CT65+CS66-DB65)))</f>
        <v>149.42999999999992</v>
      </c>
      <c r="CU66" s="17">
        <f>CT66*VLOOKUP('Données projet'!$B$13,Paramètres!$A$1:$I$89,3,0)*VLOOKUP('Données projet'!$B$13,Paramètres!$A$1:$I$89,5,0)</f>
        <v>144.52869599999994</v>
      </c>
      <c r="CV66" s="13">
        <f t="shared" si="41"/>
        <v>37.332536103072727</v>
      </c>
      <c r="CW66" s="20">
        <f t="shared" si="13"/>
        <v>316.74164591285154</v>
      </c>
      <c r="CX66" s="59">
        <f t="shared" si="14"/>
        <v>579.6379842562576</v>
      </c>
      <c r="CY66" s="59">
        <f ca="1">AVERAGE(OFFSET($CX$3,0,0,'Données projet'!$E$13+1,1))-AVERAGE(OFFSET($H$3,0,0,'Données projet'!$E$13+1,1))</f>
        <v>557.48193674339791</v>
      </c>
      <c r="CZ66" s="59">
        <f t="shared" si="42"/>
        <v>271.51396593253048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24.565955042140253</v>
      </c>
      <c r="DH66" s="21">
        <f>EXP(-LN(2)/2)*DH65+(1-EXP(-LN(2)/2))/(LN(2)/2)*DB66*DE66*VLOOKUP('Données projet'!$B$13,Paramètres!$A$1:$I$89,3,0)*0.475*44/12</f>
        <v>4.7022352486946088</v>
      </c>
      <c r="DI66" s="22">
        <f t="shared" si="15"/>
        <v>29.268190290834863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6.8933333333333326</v>
      </c>
      <c r="DO66" s="12">
        <f>IF('Données projet'!$A$166&gt;35,DO65+DN66-DW65,IF(A66&lt;'Données projet'!$A$166,$DL$205^A66,IF(A66='Données projet'!$A$166,'Données projet'!$B$166,DO65+DN66-DW65)))</f>
        <v>149.42999999999992</v>
      </c>
      <c r="DP66" s="17">
        <f>DO66*VLOOKUP('Données projet'!$B$14,Paramètres!$A$1:$I$89,3,0)*VLOOKUP('Données projet'!$B$14,Paramètres!$A$1:$I$89,5,0)</f>
        <v>160.84645199999991</v>
      </c>
      <c r="DQ66" s="13">
        <f t="shared" si="43"/>
        <v>41.033376349870977</v>
      </c>
      <c r="DR66" s="20">
        <f t="shared" si="16"/>
        <v>351.60736770935841</v>
      </c>
      <c r="DS66" s="59">
        <f t="shared" si="17"/>
        <v>614.50370605276453</v>
      </c>
      <c r="DT66" s="59">
        <f ca="1">AVERAGE(OFFSET($DS$3,0,0,'Données projet'!$E$14+1,1))-AVERAGE(OFFSET($H$3,0,0,'Données projet'!$E$14+1,1))</f>
        <v>610.05768948788375</v>
      </c>
      <c r="DU66" s="59">
        <f t="shared" si="44"/>
        <v>295.23928902444845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27.339530611414148</v>
      </c>
      <c r="EC66" s="21">
        <f>EXP(-LN(2)/2)*EC65+(1-EXP(-LN(2)/2))/(LN(2)/2)*DW66*DZ66*VLOOKUP('Données projet'!$B$14,Paramètres!$A$1:$I$89,3,0)*0.475*44/12</f>
        <v>5.2331327767730329</v>
      </c>
      <c r="ED66" s="22">
        <f t="shared" si="18"/>
        <v>32.572663388187181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10.107499999999998</v>
      </c>
      <c r="N67" s="13">
        <f>IF('Données projet'!$A$36&gt;35,N66+M67-V66,IF(A67&lt;'Données projet'!$A$36,$K$205^A67,IF(A67='Données projet'!$A$36,'Données projet'!$B$36,N66+M67-V66)))</f>
        <v>266.55500000000029</v>
      </c>
      <c r="O67" s="13">
        <f>N67*VLOOKUP('Données projet'!$B$9,Paramètres!$A$1:$I$89,3,0)*VLOOKUP('Données projet'!$B$9,Paramètres!$A$1:$I$89,5,0)</f>
        <v>241.17896400000026</v>
      </c>
      <c r="P67" s="13">
        <f t="shared" si="33"/>
        <v>58.693117941200413</v>
      </c>
      <c r="Q67" s="20">
        <f t="shared" ref="Q67:Q98" si="54">(O67+P67)*0.475*44/12</f>
        <v>522.27720938092455</v>
      </c>
      <c r="R67" s="59">
        <f t="shared" ref="R67:R130" si="55">Q67+(I67+J67)*44/12</f>
        <v>785.70156154047936</v>
      </c>
      <c r="S67" s="59">
        <f ca="1">AVERAGE(OFFSET($R$3,0,0,'Données projet'!$E$9+1,1))-AVERAGE(OFFSET($H$3,0,0,'Données projet'!$E$9+1,1))</f>
        <v>681.47578137804555</v>
      </c>
      <c r="T67" s="59">
        <f t="shared" si="34"/>
        <v>300.88511065995885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30.884491639615558</v>
      </c>
      <c r="AB67" s="21">
        <f>EXP(-LN(2)/2)*AB66+(1-EXP(-LN(2)/2))/(LN(2)/2)*V67*Y67*VLOOKUP('Données projet'!$B$9,Paramètres!$A$1:$I$89,3,0)*0.475*44/12</f>
        <v>1.073747640932744</v>
      </c>
      <c r="AC67" s="22">
        <f t="shared" si="3"/>
        <v>31.958239280548302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5.5555555555555554</v>
      </c>
      <c r="AI67" s="13">
        <f>IF('Données projet'!$A$62&gt;35,AI66+AH67-AQ66,IF(A67&lt;'Données projet'!$A$62,$AF$205^A67,IF(A67='Données projet'!$A$62,'Données projet'!$B$62,AI66+AH67-AQ66)))</f>
        <v>182.47863247863242</v>
      </c>
      <c r="AJ67" s="13">
        <f>AI67*VLOOKUP('Données projet'!$B$10,Paramètres!$A$1:$I$89,3,0)*VLOOKUP('Données projet'!$B$10,Paramètres!$A$1:$I$89,5,0)</f>
        <v>142.33333333333329</v>
      </c>
      <c r="AK67" s="13">
        <f t="shared" si="35"/>
        <v>36.831024085819266</v>
      </c>
      <c r="AL67" s="20">
        <f t="shared" si="4"/>
        <v>312.04458917169069</v>
      </c>
      <c r="AM67" s="59">
        <f t="shared" si="5"/>
        <v>575.46894133124545</v>
      </c>
      <c r="AN67" s="59">
        <f ca="1">AVERAGE(OFFSET($AM$3,0,0,'Données projet'!$E$10+1,1))-AVERAGE(OFFSET($H$3,0,0,'Données projet'!$E$10+1,1))</f>
        <v>217.53602321474159</v>
      </c>
      <c r="AO67" s="59">
        <f t="shared" si="36"/>
        <v>215.75909414893025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8.9141422545399767</v>
      </c>
      <c r="AV67" s="21">
        <f>EXP(-LN(2)/25)*AV66+(1-EXP(-LN(2)/25))/(LN(2)/25)*Calculateur!AQ67*Calculateur!AS67*VLOOKUP('Données projet'!$B$10,Paramètres!$A$1:$I$89,3,0)*0.475*44/12</f>
        <v>8.8739609450787498</v>
      </c>
      <c r="AW67" s="21">
        <f>EXP(-LN(2)/2)*AW66+(1-EXP(-LN(2)/2))/(LN(2)/2)*AQ67*AT67*VLOOKUP('Données projet'!$B$10,Paramètres!$A$1:$I$89,3,0)*0.475*44/12</f>
        <v>1.4796307126562978</v>
      </c>
      <c r="AX67" s="21">
        <f t="shared" si="6"/>
        <v>19.267733912275023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4.4000000000000004</v>
      </c>
      <c r="BD67" s="12">
        <f>IF('Données projet'!$A$88&gt;35,BD66+BC67-BL66,IF(A67&lt;'Données projet'!$A$88,$BA$205^A67,IF(A67='Données projet'!$A$88,'Données projet'!$B$88,BD66+BC67-BL66)))</f>
        <v>250.59999999999985</v>
      </c>
      <c r="BE67" s="13">
        <f>BD67*VLOOKUP('Données projet'!$B$11,Paramètres!$A$1:$I$89,3,0)*VLOOKUP('Données projet'!$B$11,Paramètres!$A$1:$I$89,5,0)</f>
        <v>168.1024799999999</v>
      </c>
      <c r="BF67" s="13">
        <f t="shared" si="37"/>
        <v>42.664764996929854</v>
      </c>
      <c r="BG67" s="20">
        <f t="shared" si="7"/>
        <v>367.08628503631934</v>
      </c>
      <c r="BH67" s="59">
        <f t="shared" si="8"/>
        <v>630.5106371958741</v>
      </c>
      <c r="BI67" s="59">
        <f ca="1">AVERAGE(OFFSET($BH$3,0,0,'Données projet'!$E$11+1,1))-AVERAGE(OFFSET($H$3,0,0,'Données projet'!$E$11+1,1))</f>
        <v>281.67293577289729</v>
      </c>
      <c r="BJ67" s="59">
        <f t="shared" si="38"/>
        <v>272.44904846480154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6.6180746679333948</v>
      </c>
      <c r="BQ67" s="21">
        <f>EXP(-LN(2)/25)*BQ66+(1-EXP(-LN(2)/25))/(LN(2)/25)*Calculateur!BL67*Calculateur!BN67*VLOOKUP('Données projet'!$B$11,Paramètres!$A$1:$I$89,3,0)*0.475*44/12</f>
        <v>10.260757768630889</v>
      </c>
      <c r="BR67" s="21">
        <f>EXP(-LN(2)/2)*BR66+(1-EXP(-LN(2)/2))/(LN(2)/2)*BL67*BO67*VLOOKUP('Données projet'!$B$11,Paramètres!$A$1:$I$89,3,0)*0.475*44/12</f>
        <v>0.59273126059075198</v>
      </c>
      <c r="BS67" s="22">
        <f t="shared" si="9"/>
        <v>17.471563697155037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4.4000000000000004</v>
      </c>
      <c r="BY67" s="12">
        <f>IF('Données projet'!$A$114&gt;35,BY66+BX67-CG66,IF(A67&lt;'Données projet'!$A$114,$BV$205^A67,IF(A67='Données projet'!$A$114,'Données projet'!$B$114,BY66+BX67-CG66)))</f>
        <v>250.59999999999985</v>
      </c>
      <c r="BZ67" s="13">
        <f>BY67*VLOOKUP('Données projet'!$B$12,Paramètres!$A$1:$I$89,3,0)*VLOOKUP('Données projet'!$B$12,Paramètres!$A$1:$I$89,5,0)</f>
        <v>218.92415999999989</v>
      </c>
      <c r="CA67" s="13">
        <f t="shared" si="39"/>
        <v>53.880990541091087</v>
      </c>
      <c r="CB67" s="20">
        <f t="shared" si="10"/>
        <v>475.13563719240005</v>
      </c>
      <c r="CC67" s="59">
        <f t="shared" si="11"/>
        <v>738.55998935195475</v>
      </c>
      <c r="CD67" s="59">
        <f ca="1">AVERAGE(OFFSET($CC$3,0,0,'Données projet'!$E$12+1,1))-AVERAGE(OFFSET($H$3,0,0,'Données projet'!$E$12+1,1))</f>
        <v>348.77506423101278</v>
      </c>
      <c r="CE67" s="59">
        <f t="shared" si="40"/>
        <v>336.13747591329548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8.6188879396341864</v>
      </c>
      <c r="CL67" s="21">
        <f>EXP(-LN(2)/25)*CL66+(1-EXP(-LN(2)/25))/(LN(2)/25)*Calculateur!CG67*Calculateur!CI67*VLOOKUP('Données projet'!$B$12,Paramètres!$A$1:$I$89,3,0)*0.475*44/12</f>
        <v>13.362847326589067</v>
      </c>
      <c r="CM67" s="21">
        <f>EXP(-LN(2)/2)*CM66+(1-EXP(-LN(2)/2))/(LN(2)/2)*CG67*CJ67*VLOOKUP('Données projet'!$B$12,Paramètres!$A$1:$I$89,3,0)*0.475*44/12</f>
        <v>0.77192908356004919</v>
      </c>
      <c r="CN67" s="22">
        <f t="shared" si="12"/>
        <v>22.753664349783303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6.8933333333333326</v>
      </c>
      <c r="CT67" s="12">
        <f>IF('Données projet'!$A$140&gt;35,CT66+CS67-DB66,IF(A67&lt;'Données projet'!$A$140,$CQ$205^A67,IF(A67='Données projet'!$A$140,'Données projet'!$B$140,CT66+CS67-DB66)))</f>
        <v>156.32333333333327</v>
      </c>
      <c r="CU67" s="17">
        <f>CT67*VLOOKUP('Données projet'!$B$13,Paramètres!$A$1:$I$89,3,0)*VLOOKUP('Données projet'!$B$13,Paramètres!$A$1:$I$89,5,0)</f>
        <v>151.19592799999995</v>
      </c>
      <c r="CV67" s="13">
        <f t="shared" si="41"/>
        <v>38.850238811998203</v>
      </c>
      <c r="CW67" s="20">
        <f t="shared" si="13"/>
        <v>330.99707386423012</v>
      </c>
      <c r="CX67" s="59">
        <f t="shared" si="14"/>
        <v>594.42142602378487</v>
      </c>
      <c r="CY67" s="59">
        <f ca="1">AVERAGE(OFFSET($CX$3,0,0,'Données projet'!$E$13+1,1))-AVERAGE(OFFSET($H$3,0,0,'Données projet'!$E$13+1,1))</f>
        <v>557.48193674339791</v>
      </c>
      <c r="CZ67" s="59">
        <f t="shared" si="42"/>
        <v>271.51396593253048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23.8941977096455</v>
      </c>
      <c r="DH67" s="21">
        <f>EXP(-LN(2)/2)*DH66+(1-EXP(-LN(2)/2))/(LN(2)/2)*DB67*DE67*VLOOKUP('Données projet'!$B$13,Paramètres!$A$1:$I$89,3,0)*0.475*44/12</f>
        <v>3.32498243108637</v>
      </c>
      <c r="DI67" s="22">
        <f t="shared" si="15"/>
        <v>27.219180140731869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6.8933333333333326</v>
      </c>
      <c r="DO67" s="12">
        <f>IF('Données projet'!$A$166&gt;35,DO66+DN67-DW66,IF(A67&lt;'Données projet'!$A$166,$DL$205^A67,IF(A67='Données projet'!$A$166,'Données projet'!$B$166,DO66+DN67-DW66)))</f>
        <v>156.32333333333327</v>
      </c>
      <c r="DP67" s="17">
        <f>DO67*VLOOKUP('Données projet'!$B$14,Paramètres!$A$1:$I$89,3,0)*VLOOKUP('Données projet'!$B$14,Paramètres!$A$1:$I$89,5,0)</f>
        <v>168.26643599999991</v>
      </c>
      <c r="DQ67" s="13">
        <f t="shared" si="43"/>
        <v>42.701531609149811</v>
      </c>
      <c r="DR67" s="20">
        <f t="shared" si="16"/>
        <v>367.43587691926911</v>
      </c>
      <c r="DS67" s="59">
        <f t="shared" si="17"/>
        <v>630.86022907882386</v>
      </c>
      <c r="DT67" s="59">
        <f ca="1">AVERAGE(OFFSET($DS$3,0,0,'Données projet'!$E$14+1,1))-AVERAGE(OFFSET($H$3,0,0,'Données projet'!$E$14+1,1))</f>
        <v>610.05768948788375</v>
      </c>
      <c r="DU67" s="59">
        <f t="shared" si="44"/>
        <v>295.23928902444845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26.591929709121597</v>
      </c>
      <c r="EC67" s="21">
        <f>EXP(-LN(2)/2)*EC66+(1-EXP(-LN(2)/2))/(LN(2)/2)*DW67*DZ67*VLOOKUP('Données projet'!$B$14,Paramètres!$A$1:$I$89,3,0)*0.475*44/12</f>
        <v>3.7003836733057991</v>
      </c>
      <c r="ED67" s="22">
        <f t="shared" si="18"/>
        <v>30.292313382427395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10.107499999999998</v>
      </c>
      <c r="N68" s="13">
        <f>IF('Données projet'!$A$36&gt;35,N67+M68-V67,IF(A68&lt;'Données projet'!$A$36,$K$205^A68,IF(A68='Données projet'!$A$36,'Données projet'!$B$36,N67+M68-V67)))</f>
        <v>276.66250000000031</v>
      </c>
      <c r="O68" s="13">
        <f>N68*VLOOKUP('Données projet'!$B$9,Paramètres!$A$1:$I$89,3,0)*VLOOKUP('Données projet'!$B$9,Paramètres!$A$1:$I$89,5,0)</f>
        <v>250.32423000000026</v>
      </c>
      <c r="P68" s="13">
        <f t="shared" si="33"/>
        <v>60.655364588948935</v>
      </c>
      <c r="Q68" s="20">
        <f t="shared" si="54"/>
        <v>541.62279390908645</v>
      </c>
      <c r="R68" s="59">
        <f t="shared" si="55"/>
        <v>805.5660000255416</v>
      </c>
      <c r="S68" s="59">
        <f ca="1">AVERAGE(OFFSET($R$3,0,0,'Données projet'!$E$9+1,1))-AVERAGE(OFFSET($H$3,0,0,'Données projet'!$E$9+1,1))</f>
        <v>681.47578137804555</v>
      </c>
      <c r="T68" s="59">
        <f t="shared" si="34"/>
        <v>300.88511065995885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30.039953591585441</v>
      </c>
      <c r="AB68" s="21">
        <f>EXP(-LN(2)/2)*AB67+(1-EXP(-LN(2)/2))/(LN(2)/2)*V68*Y68*VLOOKUP('Données projet'!$B$9,Paramètres!$A$1:$I$89,3,0)*0.475*44/12</f>
        <v>0.75925423818660143</v>
      </c>
      <c r="AC68" s="22">
        <f t="shared" ref="AC68:AC131" si="57">SUM(Z68:AB68)</f>
        <v>30.799207829772044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5.5555555555555554</v>
      </c>
      <c r="AI68" s="13">
        <f>IF('Données projet'!$A$62&gt;35,AI67+AH68-AQ67,IF(A68&lt;'Données projet'!$A$62,$AF$205^A68,IF(A68='Données projet'!$A$62,'Données projet'!$B$62,AI67+AH68-AQ67)))</f>
        <v>188.03418803418796</v>
      </c>
      <c r="AJ68" s="13">
        <f>AI68*VLOOKUP('Données projet'!$B$10,Paramètres!$A$1:$I$89,3,0)*VLOOKUP('Données projet'!$B$10,Paramètres!$A$1:$I$89,5,0)</f>
        <v>146.66666666666663</v>
      </c>
      <c r="AK68" s="13">
        <f t="shared" si="35"/>
        <v>37.82008574568669</v>
      </c>
      <c r="AL68" s="20">
        <f t="shared" ref="AL68:AL131" si="58">(AJ68+AK68)*0.475*44/12</f>
        <v>321.31442711818204</v>
      </c>
      <c r="AM68" s="59">
        <f t="shared" ref="AM68:AM131" si="59">AL68+(AD68+AE68)*44/12</f>
        <v>585.2576332346373</v>
      </c>
      <c r="AN68" s="59">
        <f ca="1">AVERAGE(OFFSET($AM$3,0,0,'Données projet'!$E$10+1,1))-AVERAGE(OFFSET($H$3,0,0,'Données projet'!$E$10+1,1))</f>
        <v>217.53602321474159</v>
      </c>
      <c r="AO68" s="59">
        <f t="shared" si="36"/>
        <v>215.75909414893025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8.7393413620183544</v>
      </c>
      <c r="AV68" s="21">
        <f>EXP(-LN(2)/25)*AV67+(1-EXP(-LN(2)/25))/(LN(2)/25)*Calculateur!AQ68*Calculateur!AS68*VLOOKUP('Données projet'!$B$10,Paramètres!$A$1:$I$89,3,0)*0.475*44/12</f>
        <v>8.6313020163742475</v>
      </c>
      <c r="AW68" s="21">
        <f>EXP(-LN(2)/2)*AW67+(1-EXP(-LN(2)/2))/(LN(2)/2)*AQ68*AT68*VLOOKUP('Données projet'!$B$10,Paramètres!$A$1:$I$89,3,0)*0.475*44/12</f>
        <v>1.0462569105711521</v>
      </c>
      <c r="AX68" s="21">
        <f t="shared" ref="AX68:AX131" si="60">SUM(AU68:AW68)</f>
        <v>18.416900288963753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255</v>
      </c>
      <c r="BB68" s="12">
        <f>VLOOKUP(A68,'Données projet'!$A$87:$I$107,9,0)</f>
        <v>4.4000000000000004</v>
      </c>
      <c r="BC68" s="12">
        <f t="array" ref="BC68">INDEX(BB:BB,MIN(IF(ISNUMBER(BB68:BB264),ROW(BB68:BB264),"")))</f>
        <v>4.4000000000000004</v>
      </c>
      <c r="BD68" s="12">
        <f>IF('Données projet'!$A$88&gt;35,BD67+BC68-BL67,IF(A68&lt;'Données projet'!$A$88,$BA$205^A68,IF(A68='Données projet'!$A$88,'Données projet'!$B$88,BD67+BC68-BL67)))</f>
        <v>254.99999999999986</v>
      </c>
      <c r="BE68" s="13">
        <f>BD68*VLOOKUP('Données projet'!$B$11,Paramètres!$A$1:$I$89,3,0)*VLOOKUP('Données projet'!$B$11,Paramètres!$A$1:$I$89,5,0)</f>
        <v>171.05399999999992</v>
      </c>
      <c r="BF68" s="13">
        <f t="shared" si="37"/>
        <v>43.325999538979005</v>
      </c>
      <c r="BG68" s="20">
        <f t="shared" ref="BG68:BG131" si="61">(BE68+BF68)*0.475*44/12</f>
        <v>373.37849919705491</v>
      </c>
      <c r="BH68" s="59">
        <f t="shared" ref="BH68:BH131" si="62">BG68+(AY68+AZ68)*44/12</f>
        <v>637.32170531351017</v>
      </c>
      <c r="BI68" s="59">
        <f ca="1">AVERAGE(OFFSET($BH$3,0,0,'Données projet'!$E$11+1,1))-AVERAGE(OFFSET($H$3,0,0,'Données projet'!$E$11+1,1))</f>
        <v>281.67293577289729</v>
      </c>
      <c r="BJ68" s="59">
        <f t="shared" si="38"/>
        <v>272.44904846480154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11</v>
      </c>
      <c r="BM68" s="16">
        <f>IF(ISNA(VLOOKUP(A68,'Données projet'!$A$87:$I$107,5,0)),0%,VLOOKUP(A68,'Données projet'!$A$87:$I$107,5,0)*VLOOKUP('Données projet'!$B$11,Paramètres!$A$1:$I$89,7,0))</f>
        <v>0.13250000000000001</v>
      </c>
      <c r="BN68" s="16">
        <f>IF(ISNA(VLOOKUP(A68,'Données projet'!$A$87:$I$107,6,0)),0%,VLOOKUP(A68,'Données projet'!$A$87:$I$107,6,0)*VLOOKUP('Données projet'!$B$11,Paramètres!$A$1:$I$89,7,0))</f>
        <v>0.13250000000000001</v>
      </c>
      <c r="BO68" s="16">
        <f>IF(ISNA(VLOOKUP(A68,'Données projet'!$A$87:$I$107,7,0)),0%,VLOOKUP(A68,'Données projet'!$A$87:$I$107,7,0))</f>
        <v>0.25</v>
      </c>
      <c r="BP68" s="21">
        <f>EXP(-LN(2)/35)*BP67+(1-EXP(-LN(2)/35))/(LN(2)/35)*BL68*BM68*VLOOKUP('Données projet'!$B$11,Paramètres!$A$1:$I$89,3,0)*0.475*44/12</f>
        <v>7.5691067011581339</v>
      </c>
      <c r="BQ68" s="21">
        <f>EXP(-LN(2)/25)*BQ67+(1-EXP(-LN(2)/25))/(LN(2)/25)*Calculateur!BL68*Calculateur!BN68*VLOOKUP('Données projet'!$B$11,Paramètres!$A$1:$I$89,3,0)*0.475*44/12</f>
        <v>11.056729694041953</v>
      </c>
      <c r="BR68" s="21">
        <f>EXP(-LN(2)/2)*BR67+(1-EXP(-LN(2)/2))/(LN(2)/2)*BL68*BO68*VLOOKUP('Données projet'!$B$11,Paramètres!$A$1:$I$89,3,0)*0.475*44/12</f>
        <v>2.1596483931575308</v>
      </c>
      <c r="BS68" s="22">
        <f t="shared" ref="BS68:BS131" si="63">SUM(BP68:BR68)</f>
        <v>20.785484788357621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255</v>
      </c>
      <c r="BW68" s="12">
        <f>VLOOKUP(A68,'Données projet'!$A$113:$I$133,9,0)</f>
        <v>4.4000000000000004</v>
      </c>
      <c r="BX68" s="12">
        <f t="array" ref="BX68">INDEX(BW:BW,MIN(IF(ISNUMBER(BW68:BW264),ROW(BW68:BW264),"")))</f>
        <v>4.4000000000000004</v>
      </c>
      <c r="BY68" s="12">
        <f>IF('Données projet'!$A$114&gt;35,BY67+BX68-CG67,IF(A68&lt;'Données projet'!$A$114,$BV$205^A68,IF(A68='Données projet'!$A$114,'Données projet'!$B$114,BY67+BX68-CG67)))</f>
        <v>254.99999999999986</v>
      </c>
      <c r="BZ68" s="13">
        <f>BY68*VLOOKUP('Données projet'!$B$12,Paramètres!$A$1:$I$89,3,0)*VLOOKUP('Données projet'!$B$12,Paramètres!$A$1:$I$89,5,0)</f>
        <v>222.76799999999989</v>
      </c>
      <c r="CA68" s="13">
        <f t="shared" si="39"/>
        <v>54.716058356609459</v>
      </c>
      <c r="CB68" s="20">
        <f t="shared" ref="CB68:CB131" si="64">(BZ68+CA68)*0.475*44/12</f>
        <v>483.28473497109462</v>
      </c>
      <c r="CC68" s="59">
        <f t="shared" ref="CC68:CC131" si="65">CB68+(BT68+BU68)*44/12</f>
        <v>747.22794108754988</v>
      </c>
      <c r="CD68" s="59">
        <f ca="1">AVERAGE(OFFSET($CC$3,0,0,'Données projet'!$E$12+1,1))-AVERAGE(OFFSET($H$3,0,0,'Données projet'!$E$12+1,1))</f>
        <v>348.77506423101278</v>
      </c>
      <c r="CE68" s="59">
        <f t="shared" si="40"/>
        <v>336.13747591329548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11</v>
      </c>
      <c r="CH68" s="16">
        <f>IF(ISNA(VLOOKUP(A68,'Données projet'!$A$113:$I$133,5,0)),0%,VLOOKUP(A68,'Données projet'!$A$113:$I$133,5,0)*VLOOKUP('Données projet'!$B$12,Paramètres!$A$1:$I$89,7,0))</f>
        <v>0.13250000000000001</v>
      </c>
      <c r="CI68" s="16">
        <f>IF(ISNA(VLOOKUP(A68,'Données projet'!$A$113:$I$133,6,0)),0%,VLOOKUP(A68,'Données projet'!$A$113:$I$133,6,0)*VLOOKUP('Données projet'!$B$12,Paramètres!$A$1:$I$89,7,0))</f>
        <v>0.13250000000000001</v>
      </c>
      <c r="CJ68" s="16">
        <f>IF(ISNA(VLOOKUP(A68,'Données projet'!$A$113:$I$133,7,0)),0%,VLOOKUP(A68,'Données projet'!$A$113:$I$133,7,0))</f>
        <v>0.25</v>
      </c>
      <c r="CK68" s="21">
        <f>EXP(-LN(2)/35)*CK67+(1-EXP(-LN(2)/35))/(LN(2)/35)*CG68*CH68*VLOOKUP('Données projet'!$B$12,Paramètres!$A$1:$I$89,3,0)*0.475*44/12</f>
        <v>9.8574412852291964</v>
      </c>
      <c r="CL68" s="21">
        <f>EXP(-LN(2)/25)*CL67+(1-EXP(-LN(2)/25))/(LN(2)/25)*Calculateur!CG68*Calculateur!CI68*VLOOKUP('Données projet'!$B$12,Paramètres!$A$1:$I$89,3,0)*0.475*44/12</f>
        <v>14.399461927124406</v>
      </c>
      <c r="CM68" s="21">
        <f>EXP(-LN(2)/2)*CM67+(1-EXP(-LN(2)/2))/(LN(2)/2)*CG68*CJ68*VLOOKUP('Données projet'!$B$12,Paramètres!$A$1:$I$89,3,0)*0.475*44/12</f>
        <v>2.8125653492284126</v>
      </c>
      <c r="CN68" s="22">
        <f t="shared" ref="CN68:CN131" si="66">SUM(CK68:CM68)</f>
        <v>27.069468561582013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6.8933333333333326</v>
      </c>
      <c r="CT68" s="12">
        <f>IF('Données projet'!$A$140&gt;35,CT67+CS68-DB67,IF(A68&lt;'Données projet'!$A$140,$CQ$205^A68,IF(A68='Données projet'!$A$140,'Données projet'!$B$140,CT67+CS68-DB67)))</f>
        <v>163.21666666666661</v>
      </c>
      <c r="CU68" s="17">
        <f>CT68*VLOOKUP('Données projet'!$B$13,Paramètres!$A$1:$I$89,3,0)*VLOOKUP('Données projet'!$B$13,Paramètres!$A$1:$I$89,5,0)</f>
        <v>157.86315999999997</v>
      </c>
      <c r="CV68" s="13">
        <f t="shared" si="41"/>
        <v>40.360168681268135</v>
      </c>
      <c r="CW68" s="20">
        <f t="shared" ref="CW68:CW131" si="67">(CU68+CV68)*0.475*44/12</f>
        <v>345.23896411987533</v>
      </c>
      <c r="CX68" s="59">
        <f t="shared" ref="CX68:CX131" si="68">CW68+(CO68+CP68)*44/12</f>
        <v>609.18217023633053</v>
      </c>
      <c r="CY68" s="59">
        <f ca="1">AVERAGE(OFFSET($CX$3,0,0,'Données projet'!$E$13+1,1))-AVERAGE(OFFSET($H$3,0,0,'Données projet'!$E$13+1,1))</f>
        <v>557.48193674339791</v>
      </c>
      <c r="CZ68" s="59">
        <f t="shared" si="42"/>
        <v>271.51396593253048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23.240809616733998</v>
      </c>
      <c r="DH68" s="21">
        <f>EXP(-LN(2)/2)*DH67+(1-EXP(-LN(2)/2))/(LN(2)/2)*DB68*DE68*VLOOKUP('Données projet'!$B$13,Paramètres!$A$1:$I$89,3,0)*0.475*44/12</f>
        <v>2.3511176243473049</v>
      </c>
      <c r="DI68" s="22">
        <f t="shared" ref="DI68:DI131" si="69">SUM(DF68:DH68)</f>
        <v>25.591927241081301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6.8933333333333326</v>
      </c>
      <c r="DO68" s="12">
        <f>IF('Données projet'!$A$166&gt;35,DO67+DN68-DW67,IF(A68&lt;'Données projet'!$A$166,$DL$205^A68,IF(A68='Données projet'!$A$166,'Données projet'!$B$166,DO67+DN68-DW67)))</f>
        <v>163.21666666666661</v>
      </c>
      <c r="DP68" s="17">
        <f>DO68*VLOOKUP('Données projet'!$B$14,Paramètres!$A$1:$I$89,3,0)*VLOOKUP('Données projet'!$B$14,Paramètres!$A$1:$I$89,5,0)</f>
        <v>175.68641999999994</v>
      </c>
      <c r="DQ68" s="13">
        <f t="shared" si="43"/>
        <v>44.361143493448331</v>
      </c>
      <c r="DR68" s="20">
        <f t="shared" ref="DR68:DR131" si="70">(DP68+DQ68)*0.475*44/12</f>
        <v>383.24950641775575</v>
      </c>
      <c r="DS68" s="59">
        <f t="shared" ref="DS68:DS131" si="71">DR68+(DJ68+DK68)*44/12</f>
        <v>647.19271253421095</v>
      </c>
      <c r="DT68" s="59">
        <f ca="1">AVERAGE(OFFSET($DS$3,0,0,'Données projet'!$E$14+1,1))-AVERAGE(OFFSET($H$3,0,0,'Données projet'!$E$14+1,1))</f>
        <v>610.05768948788375</v>
      </c>
      <c r="DU68" s="59">
        <f t="shared" si="44"/>
        <v>295.23928902444845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25.864771992816859</v>
      </c>
      <c r="EC68" s="21">
        <f>EXP(-LN(2)/2)*EC67+(1-EXP(-LN(2)/2))/(LN(2)/2)*DW68*DZ68*VLOOKUP('Données projet'!$B$14,Paramètres!$A$1:$I$89,3,0)*0.475*44/12</f>
        <v>2.6165663883865169</v>
      </c>
      <c r="ED68" s="22">
        <f t="shared" ref="ED68:ED131" si="72">SUM(EA68:EC68)</f>
        <v>28.481338381203376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286.77</v>
      </c>
      <c r="L69" s="12">
        <f>VLOOKUP(A69,'Données projet'!$A$35:$I$55,9,0)</f>
        <v>10.107499999999998</v>
      </c>
      <c r="M69" s="12">
        <f t="array" ref="M69">INDEX(L:L,MIN(IF(ISNUMBER(L69:L265),ROW(L69:L265),"")))</f>
        <v>10.107499999999998</v>
      </c>
      <c r="N69" s="13">
        <f>IF('Données projet'!$A$36&gt;35,N68+M69-V68,IF(A69&lt;'Données projet'!$A$36,$K$205^A69,IF(A69='Données projet'!$A$36,'Données projet'!$B$36,N68+M69-V68)))</f>
        <v>286.77000000000032</v>
      </c>
      <c r="O69" s="13">
        <f>N69*VLOOKUP('Données projet'!$B$9,Paramètres!$A$1:$I$89,3,0)*VLOOKUP('Données projet'!$B$9,Paramètres!$A$1:$I$89,5,0)</f>
        <v>259.46949600000028</v>
      </c>
      <c r="P69" s="13">
        <f t="shared" ref="P69:P132" si="87">EXP(-1.0587+0.8836*LN(O69)+0.284)</f>
        <v>62.609282502673501</v>
      </c>
      <c r="Q69" s="20">
        <f t="shared" si="54"/>
        <v>560.95387255882349</v>
      </c>
      <c r="R69" s="59">
        <f t="shared" si="55"/>
        <v>825.40693167601057</v>
      </c>
      <c r="S69" s="59">
        <f ca="1">AVERAGE(OFFSET($R$3,0,0,'Données projet'!$E$9+1,1))-AVERAGE(OFFSET($H$3,0,0,'Données projet'!$E$9+1,1))</f>
        <v>681.47578137804555</v>
      </c>
      <c r="T69" s="59">
        <f t="shared" ref="T69:T132" si="88">$T$3</f>
        <v>300.88511065995885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53.679999999999978</v>
      </c>
      <c r="W69" s="16">
        <f>IF(ISNA(VLOOKUP(A69,'Données projet'!$A$35:$I$55,5,0)),0%,VLOOKUP(A69,'Données projet'!$A$35:$I$55,5,0)*VLOOKUP('Données projet'!$B$9,Paramètres!$A$1:$I$89,7,0))</f>
        <v>0.15049999999999999</v>
      </c>
      <c r="X69" s="16">
        <f>IF(ISNA(VLOOKUP(A69,'Données projet'!$A$35:$I$55,6,0)),0%,VLOOKUP(A69,'Données projet'!$A$35:$I$55,6,0)*VLOOKUP('Données projet'!$B$9,Paramètres!$A$1:$I$89,7,0))</f>
        <v>8.6000000000000007E-2</v>
      </c>
      <c r="Y69" s="16">
        <f>IF(ISNA(VLOOKUP(A69,'Données projet'!$A$35:$I$55,7,0)),0%,VLOOKUP(A69,'Données projet'!$A$35:$I$55,7,0))</f>
        <v>0.1</v>
      </c>
      <c r="Z69" s="21">
        <f>EXP(-LN(2)/35)*Z68+(1-EXP(-LN(2)/35))/(LN(2)/35)*V69*W69*VLOOKUP('Données projet'!$B$9,Paramètres!$A$1:$I$89,3,0)*0.475*44/12</f>
        <v>8.0806948968281098</v>
      </c>
      <c r="AA69" s="21">
        <f>EXP(-LN(2)/25)*AA68+(1-EXP(-LN(2)/25))/(LN(2)/25)*Calculateur!V69*Calculateur!X69*VLOOKUP('Données projet'!$B$9,Paramètres!$A$1:$I$89,3,0)*0.475*44/12</f>
        <v>33.817868407767122</v>
      </c>
      <c r="AB69" s="21">
        <f>EXP(-LN(2)/2)*AB68+(1-EXP(-LN(2)/2))/(LN(2)/2)*V69*Y69*VLOOKUP('Données projet'!$B$9,Paramètres!$A$1:$I$89,3,0)*0.475*44/12</f>
        <v>5.1195523422004099</v>
      </c>
      <c r="AC69" s="22">
        <f t="shared" si="57"/>
        <v>47.018115646795636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5.5555555555555554</v>
      </c>
      <c r="AI69" s="13">
        <f>IF('Données projet'!$A$62&gt;35,AI68+AH69-AQ68,IF(A69&lt;'Données projet'!$A$62,$AF$205^A69,IF(A69='Données projet'!$A$62,'Données projet'!$B$62,AI68+AH69-AQ68)))</f>
        <v>193.58974358974351</v>
      </c>
      <c r="AJ69" s="13">
        <f>AI69*VLOOKUP('Données projet'!$B$10,Paramètres!$A$1:$I$89,3,0)*VLOOKUP('Données projet'!$B$10,Paramètres!$A$1:$I$89,5,0)</f>
        <v>150.99999999999994</v>
      </c>
      <c r="AK69" s="13">
        <f t="shared" ref="AK69:AK132" si="89">EXP(-1.0587+0.8836*LN(AJ69)+0.284)</f>
        <v>38.805751252807752</v>
      </c>
      <c r="AL69" s="20">
        <f t="shared" si="58"/>
        <v>330.57835009864004</v>
      </c>
      <c r="AM69" s="59">
        <f t="shared" si="59"/>
        <v>595.03140921582713</v>
      </c>
      <c r="AN69" s="59">
        <f ca="1">AVERAGE(OFFSET($AM$3,0,0,'Données projet'!$E$10+1,1))-AVERAGE(OFFSET($H$3,0,0,'Données projet'!$E$10+1,1))</f>
        <v>217.53602321474159</v>
      </c>
      <c r="AO69" s="59">
        <f t="shared" ref="AO69:AO132" si="90">$AO$3</f>
        <v>215.75909414893025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8.5679682083810658</v>
      </c>
      <c r="AV69" s="21">
        <f>EXP(-LN(2)/25)*AV68+(1-EXP(-LN(2)/25))/(LN(2)/25)*Calculateur!AQ69*Calculateur!AS69*VLOOKUP('Données projet'!$B$10,Paramètres!$A$1:$I$89,3,0)*0.475*44/12</f>
        <v>8.3952786088360476</v>
      </c>
      <c r="AW69" s="21">
        <f>EXP(-LN(2)/2)*AW68+(1-EXP(-LN(2)/2))/(LN(2)/2)*AQ69*AT69*VLOOKUP('Données projet'!$B$10,Paramètres!$A$1:$I$89,3,0)*0.475*44/12</f>
        <v>0.73981535632814888</v>
      </c>
      <c r="AX69" s="21">
        <f t="shared" si="60"/>
        <v>17.703062173545259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3.8</v>
      </c>
      <c r="BD69" s="12">
        <f>IF('Données projet'!$A$88&gt;35,BD68+BC69-BL68,IF(A69&lt;'Données projet'!$A$88,$BA$205^A69,IF(A69='Données projet'!$A$88,'Données projet'!$B$88,BD68+BC69-BL68)))</f>
        <v>247.79999999999984</v>
      </c>
      <c r="BE69" s="13">
        <f>BD69*VLOOKUP('Données projet'!$B$11,Paramètres!$A$1:$I$89,3,0)*VLOOKUP('Données projet'!$B$11,Paramètres!$A$1:$I$89,5,0)</f>
        <v>166.2242399999999</v>
      </c>
      <c r="BF69" s="13">
        <f t="shared" ref="BF69:BF132" si="91">EXP(-1.0587+0.8836*LN(BE69)+0.284)</f>
        <v>42.243276689676094</v>
      </c>
      <c r="BG69" s="20">
        <f t="shared" si="61"/>
        <v>363.08092490118565</v>
      </c>
      <c r="BH69" s="59">
        <f t="shared" si="62"/>
        <v>627.53398401837273</v>
      </c>
      <c r="BI69" s="59">
        <f ca="1">AVERAGE(OFFSET($BH$3,0,0,'Données projet'!$E$11+1,1))-AVERAGE(OFFSET($H$3,0,0,'Données projet'!$E$11+1,1))</f>
        <v>281.67293577289729</v>
      </c>
      <c r="BJ69" s="59">
        <f t="shared" ref="BJ69:BJ132" si="92">$BJ$3</f>
        <v>272.44904846480154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7.4206811354476496</v>
      </c>
      <c r="BQ69" s="21">
        <f>EXP(-LN(2)/25)*BQ68+(1-EXP(-LN(2)/25))/(LN(2)/25)*Calculateur!BL69*Calculateur!BN69*VLOOKUP('Données projet'!$B$11,Paramètres!$A$1:$I$89,3,0)*0.475*44/12</f>
        <v>10.754382839110232</v>
      </c>
      <c r="BR69" s="21">
        <f>EXP(-LN(2)/2)*BR68+(1-EXP(-LN(2)/2))/(LN(2)/2)*BL69*BO69*VLOOKUP('Données projet'!$B$11,Paramètres!$A$1:$I$89,3,0)*0.475*44/12</f>
        <v>1.5271020237803212</v>
      </c>
      <c r="BS69" s="22">
        <f t="shared" si="63"/>
        <v>19.702165998338202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3.8</v>
      </c>
      <c r="BY69" s="12">
        <f>IF('Données projet'!$A$114&gt;35,BY68+BX69-CG68,IF(A69&lt;'Données projet'!$A$114,$BV$205^A69,IF(A69='Données projet'!$A$114,'Données projet'!$B$114,BY68+BX69-CG68)))</f>
        <v>247.79999999999984</v>
      </c>
      <c r="BZ69" s="13">
        <f>BY69*VLOOKUP('Données projet'!$B$12,Paramètres!$A$1:$I$89,3,0)*VLOOKUP('Données projet'!$B$12,Paramètres!$A$1:$I$89,5,0)</f>
        <v>216.47807999999986</v>
      </c>
      <c r="CA69" s="13">
        <f t="shared" ref="CA69:CA132" si="93">EXP(-1.0587+0.8836*LN(BZ69)+0.284)</f>
        <v>53.348696328338377</v>
      </c>
      <c r="CB69" s="20">
        <f t="shared" si="64"/>
        <v>469.94830210518904</v>
      </c>
      <c r="CC69" s="59">
        <f t="shared" si="65"/>
        <v>734.40136122237618</v>
      </c>
      <c r="CD69" s="59">
        <f ca="1">AVERAGE(OFFSET($CC$3,0,0,'Données projet'!$E$12+1,1))-AVERAGE(OFFSET($H$3,0,0,'Données projet'!$E$12+1,1))</f>
        <v>348.77506423101278</v>
      </c>
      <c r="CE69" s="59">
        <f t="shared" ref="CE69:CE132" si="94">$CE$3</f>
        <v>336.13747591329548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9.6641428740713557</v>
      </c>
      <c r="CL69" s="21">
        <f>EXP(-LN(2)/25)*CL68+(1-EXP(-LN(2)/25))/(LN(2)/25)*Calculateur!CG69*Calculateur!CI69*VLOOKUP('Données projet'!$B$12,Paramètres!$A$1:$I$89,3,0)*0.475*44/12</f>
        <v>14.005707883492397</v>
      </c>
      <c r="CM69" s="21">
        <f>EXP(-LN(2)/2)*CM68+(1-EXP(-LN(2)/2))/(LN(2)/2)*CG69*CJ69*VLOOKUP('Données projet'!$B$12,Paramètres!$A$1:$I$89,3,0)*0.475*44/12</f>
        <v>1.9887840309697209</v>
      </c>
      <c r="CN69" s="22">
        <f t="shared" si="66"/>
        <v>25.658634788533472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6.8933333333333326</v>
      </c>
      <c r="CT69" s="12">
        <f>IF('Données projet'!$A$140&gt;35,CT68+CS69-DB68,IF(A69&lt;'Données projet'!$A$140,$CQ$205^A69,IF(A69='Données projet'!$A$140,'Données projet'!$B$140,CT68+CS69-DB68)))</f>
        <v>170.10999999999996</v>
      </c>
      <c r="CU69" s="17">
        <f>CT69*VLOOKUP('Données projet'!$B$13,Paramètres!$A$1:$I$89,3,0)*VLOOKUP('Données projet'!$B$13,Paramètres!$A$1:$I$89,5,0)</f>
        <v>164.53039199999995</v>
      </c>
      <c r="CV69" s="13">
        <f t="shared" ref="CV69:CV132" si="95">EXP(-1.0587+0.8836*LN(CU69)+0.284)</f>
        <v>41.862691525218828</v>
      </c>
      <c r="CW69" s="20">
        <f t="shared" si="67"/>
        <v>359.46795380642266</v>
      </c>
      <c r="CX69" s="59">
        <f t="shared" si="68"/>
        <v>623.92101292360974</v>
      </c>
      <c r="CY69" s="59">
        <f ca="1">AVERAGE(OFFSET($CX$3,0,0,'Données projet'!$E$13+1,1))-AVERAGE(OFFSET($H$3,0,0,'Données projet'!$E$13+1,1))</f>
        <v>557.48193674339791</v>
      </c>
      <c r="CZ69" s="59">
        <f t="shared" ref="CZ69:CZ132" si="96">$CZ$3</f>
        <v>271.51396593253048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22.605288455583345</v>
      </c>
      <c r="DH69" s="21">
        <f>EXP(-LN(2)/2)*DH68+(1-EXP(-LN(2)/2))/(LN(2)/2)*DB69*DE69*VLOOKUP('Données projet'!$B$13,Paramètres!$A$1:$I$89,3,0)*0.475*44/12</f>
        <v>1.6624912155431852</v>
      </c>
      <c r="DI69" s="22">
        <f t="shared" si="69"/>
        <v>24.267779671126529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6.8933333333333326</v>
      </c>
      <c r="DO69" s="12">
        <f>IF('Données projet'!$A$166&gt;35,DO68+DN69-DW68,IF(A69&lt;'Données projet'!$A$166,$DL$205^A69,IF(A69='Données projet'!$A$166,'Données projet'!$B$166,DO68+DN69-DW68)))</f>
        <v>170.10999999999996</v>
      </c>
      <c r="DP69" s="17">
        <f>DO69*VLOOKUP('Données projet'!$B$14,Paramètres!$A$1:$I$89,3,0)*VLOOKUP('Données projet'!$B$14,Paramètres!$A$1:$I$89,5,0)</f>
        <v>183.10640399999994</v>
      </c>
      <c r="DQ69" s="13">
        <f t="shared" ref="DQ69:DQ132" si="97">EXP(-1.0587+0.8836*LN(DP69)+0.284)</f>
        <v>46.012614080924322</v>
      </c>
      <c r="DR69" s="20">
        <f t="shared" si="70"/>
        <v>399.04895649094306</v>
      </c>
      <c r="DS69" s="59">
        <f t="shared" si="71"/>
        <v>663.50201560813014</v>
      </c>
      <c r="DT69" s="59">
        <f ca="1">AVERAGE(OFFSET($DS$3,0,0,'Données projet'!$E$14+1,1))-AVERAGE(OFFSET($H$3,0,0,'Données projet'!$E$14+1,1))</f>
        <v>610.05768948788375</v>
      </c>
      <c r="DU69" s="59">
        <f t="shared" ref="DU69:DU132" si="98">$DU$3</f>
        <v>295.23928902444845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25.157498442504039</v>
      </c>
      <c r="EC69" s="21">
        <f>EXP(-LN(2)/2)*EC68+(1-EXP(-LN(2)/2))/(LN(2)/2)*DW69*DZ69*VLOOKUP('Données projet'!$B$14,Paramètres!$A$1:$I$89,3,0)*0.475*44/12</f>
        <v>1.8501918366528998</v>
      </c>
      <c r="ED69" s="22">
        <f t="shared" si="72"/>
        <v>27.00769027915694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9.733749999999997</v>
      </c>
      <c r="N70" s="13">
        <f>IF('Données projet'!$A$36&gt;35,N69+M70-V69,IF(A70&lt;'Données projet'!$A$36,$K$205^A70,IF(A70='Données projet'!$A$36,'Données projet'!$B$36,N69+M70-V69)))</f>
        <v>242.82375000000033</v>
      </c>
      <c r="O70" s="13">
        <f>N70*VLOOKUP('Données projet'!$B$9,Paramètres!$A$1:$I$89,3,0)*VLOOKUP('Données projet'!$B$9,Paramètres!$A$1:$I$89,5,0)</f>
        <v>219.70692900000031</v>
      </c>
      <c r="P70" s="13">
        <f t="shared" si="87"/>
        <v>54.051183245794981</v>
      </c>
      <c r="Q70" s="20">
        <f t="shared" si="54"/>
        <v>476.79537882809342</v>
      </c>
      <c r="R70" s="59">
        <f t="shared" si="55"/>
        <v>741.74944613631033</v>
      </c>
      <c r="S70" s="59">
        <f ca="1">AVERAGE(OFFSET($R$3,0,0,'Données projet'!$E$9+1,1))-AVERAGE(OFFSET($H$3,0,0,'Données projet'!$E$9+1,1))</f>
        <v>681.47578137804555</v>
      </c>
      <c r="T70" s="59">
        <f t="shared" si="88"/>
        <v>300.88511065995885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7.9222373986385248</v>
      </c>
      <c r="AA70" s="21">
        <f>EXP(-LN(2)/25)*AA69+(1-EXP(-LN(2)/25))/(LN(2)/25)*Calculateur!V70*Calculateur!X70*VLOOKUP('Données projet'!$B$9,Paramètres!$A$1:$I$89,3,0)*0.475*44/12</f>
        <v>32.893117017752324</v>
      </c>
      <c r="AB70" s="21">
        <f>EXP(-LN(2)/2)*AB69+(1-EXP(-LN(2)/2))/(LN(2)/2)*V70*Y70*VLOOKUP('Données projet'!$B$9,Paramètres!$A$1:$I$89,3,0)*0.475*44/12</f>
        <v>3.6200701778093825</v>
      </c>
      <c r="AC70" s="22">
        <f t="shared" si="57"/>
        <v>44.435424594200228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5.5555555555555554</v>
      </c>
      <c r="AI70" s="13">
        <f>IF('Données projet'!$A$62&gt;35,AI69+AH70-AQ69,IF(A70&lt;'Données projet'!$A$62,$AF$205^A70,IF(A70='Données projet'!$A$62,'Données projet'!$B$62,AI69+AH70-AQ69)))</f>
        <v>199.14529914529905</v>
      </c>
      <c r="AJ70" s="13">
        <f>AI70*VLOOKUP('Données projet'!$B$10,Paramètres!$A$1:$I$89,3,0)*VLOOKUP('Données projet'!$B$10,Paramètres!$A$1:$I$89,5,0)</f>
        <v>155.33333333333326</v>
      </c>
      <c r="AK70" s="13">
        <f t="shared" si="89"/>
        <v>39.788129261718112</v>
      </c>
      <c r="AL70" s="20">
        <f t="shared" si="58"/>
        <v>339.83654735304776</v>
      </c>
      <c r="AM70" s="59">
        <f t="shared" si="59"/>
        <v>604.79061466126473</v>
      </c>
      <c r="AN70" s="59">
        <f ca="1">AVERAGE(OFFSET($AM$3,0,0,'Données projet'!$E$10+1,1))-AVERAGE(OFFSET($H$3,0,0,'Données projet'!$E$10+1,1))</f>
        <v>217.53602321474159</v>
      </c>
      <c r="AO70" s="59">
        <f t="shared" si="90"/>
        <v>215.75909414893025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8.3999555777593002</v>
      </c>
      <c r="AV70" s="21">
        <f>EXP(-LN(2)/25)*AV69+(1-EXP(-LN(2)/25))/(LN(2)/25)*Calculateur!AQ70*Calculateur!AS70*VLOOKUP('Données projet'!$B$10,Paramètres!$A$1:$I$89,3,0)*0.475*44/12</f>
        <v>8.1657092737889112</v>
      </c>
      <c r="AW70" s="21">
        <f>EXP(-LN(2)/2)*AW69+(1-EXP(-LN(2)/2))/(LN(2)/2)*AQ70*AT70*VLOOKUP('Données projet'!$B$10,Paramètres!$A$1:$I$89,3,0)*0.475*44/12</f>
        <v>0.52312845528557606</v>
      </c>
      <c r="AX70" s="21">
        <f t="shared" si="60"/>
        <v>17.088793306833789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3.8</v>
      </c>
      <c r="BD70" s="12">
        <f>IF('Données projet'!$A$88&gt;35,BD69+BC70-BL69,IF(A70&lt;'Données projet'!$A$88,$BA$205^A70,IF(A70='Données projet'!$A$88,'Données projet'!$B$88,BD69+BC70-BL69)))</f>
        <v>251.59999999999985</v>
      </c>
      <c r="BE70" s="13">
        <f>BD70*VLOOKUP('Données projet'!$B$11,Paramètres!$A$1:$I$89,3,0)*VLOOKUP('Données projet'!$B$11,Paramètres!$A$1:$I$89,5,0)</f>
        <v>168.77327999999989</v>
      </c>
      <c r="BF70" s="13">
        <f t="shared" si="91"/>
        <v>42.815163417148369</v>
      </c>
      <c r="BG70" s="20">
        <f t="shared" si="61"/>
        <v>368.51653895153322</v>
      </c>
      <c r="BH70" s="59">
        <f t="shared" si="62"/>
        <v>633.47060625975018</v>
      </c>
      <c r="BI70" s="59">
        <f ca="1">AVERAGE(OFFSET($BH$3,0,0,'Données projet'!$E$11+1,1))-AVERAGE(OFFSET($H$3,0,0,'Données projet'!$E$11+1,1))</f>
        <v>281.67293577289729</v>
      </c>
      <c r="BJ70" s="59">
        <f t="shared" si="92"/>
        <v>272.44904846480154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7.2751661045500917</v>
      </c>
      <c r="BQ70" s="21">
        <f>EXP(-LN(2)/25)*BQ69+(1-EXP(-LN(2)/25))/(LN(2)/25)*Calculateur!BL70*Calculateur!BN70*VLOOKUP('Données projet'!$B$11,Paramètres!$A$1:$I$89,3,0)*0.475*44/12</f>
        <v>10.460303674826349</v>
      </c>
      <c r="BR70" s="21">
        <f>EXP(-LN(2)/2)*BR69+(1-EXP(-LN(2)/2))/(LN(2)/2)*BL70*BO70*VLOOKUP('Données projet'!$B$11,Paramètres!$A$1:$I$89,3,0)*0.475*44/12</f>
        <v>1.0798241965787656</v>
      </c>
      <c r="BS70" s="22">
        <f t="shared" si="63"/>
        <v>18.815293975955207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3.8</v>
      </c>
      <c r="BY70" s="12">
        <f>IF('Données projet'!$A$114&gt;35,BY69+BX70-CG69,IF(A70&lt;'Données projet'!$A$114,$BV$205^A70,IF(A70='Données projet'!$A$114,'Données projet'!$B$114,BY69+BX70-CG69)))</f>
        <v>251.59999999999985</v>
      </c>
      <c r="BZ70" s="13">
        <f>BY70*VLOOKUP('Données projet'!$B$12,Paramètres!$A$1:$I$89,3,0)*VLOOKUP('Données projet'!$B$12,Paramètres!$A$1:$I$89,5,0)</f>
        <v>219.7977599999999</v>
      </c>
      <c r="CA70" s="13">
        <f t="shared" si="93"/>
        <v>54.070927503307338</v>
      </c>
      <c r="CB70" s="20">
        <f t="shared" si="64"/>
        <v>476.98796406826</v>
      </c>
      <c r="CC70" s="59">
        <f t="shared" si="65"/>
        <v>741.94203137647696</v>
      </c>
      <c r="CD70" s="59">
        <f ca="1">AVERAGE(OFFSET($CC$3,0,0,'Données projet'!$E$12+1,1))-AVERAGE(OFFSET($H$3,0,0,'Données projet'!$E$12+1,1))</f>
        <v>348.77506423101278</v>
      </c>
      <c r="CE70" s="59">
        <f t="shared" si="94"/>
        <v>336.13747591329548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9.4746349268559324</v>
      </c>
      <c r="CL70" s="21">
        <f>EXP(-LN(2)/25)*CL69+(1-EXP(-LN(2)/25))/(LN(2)/25)*Calculateur!CG70*Calculateur!CI70*VLOOKUP('Données projet'!$B$12,Paramètres!$A$1:$I$89,3,0)*0.475*44/12</f>
        <v>13.622721064890129</v>
      </c>
      <c r="CM70" s="21">
        <f>EXP(-LN(2)/2)*CM69+(1-EXP(-LN(2)/2))/(LN(2)/2)*CG70*CJ70*VLOOKUP('Données projet'!$B$12,Paramètres!$A$1:$I$89,3,0)*0.475*44/12</f>
        <v>1.4062826746142065</v>
      </c>
      <c r="CN70" s="22">
        <f t="shared" si="66"/>
        <v>24.503638666360271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6.8933333333333326</v>
      </c>
      <c r="CT70" s="12">
        <f>IF('Données projet'!$A$140&gt;35,CT69+CS70-DB69,IF(A70&lt;'Données projet'!$A$140,$CQ$205^A70,IF(A70='Données projet'!$A$140,'Données projet'!$B$140,CT69+CS70-DB69)))</f>
        <v>177.0033333333333</v>
      </c>
      <c r="CU70" s="17">
        <f>CT70*VLOOKUP('Données projet'!$B$13,Paramètres!$A$1:$I$89,3,0)*VLOOKUP('Données projet'!$B$13,Paramètres!$A$1:$I$89,5,0)</f>
        <v>171.19762399999996</v>
      </c>
      <c r="CV70" s="13">
        <f t="shared" si="95"/>
        <v>43.358141832658021</v>
      </c>
      <c r="CW70" s="20">
        <f t="shared" si="67"/>
        <v>373.68462549187933</v>
      </c>
      <c r="CX70" s="59">
        <f t="shared" si="68"/>
        <v>638.63869280009624</v>
      </c>
      <c r="CY70" s="59">
        <f ca="1">AVERAGE(OFFSET($CX$3,0,0,'Données projet'!$E$13+1,1))-AVERAGE(OFFSET($H$3,0,0,'Données projet'!$E$13+1,1))</f>
        <v>557.48193674339791</v>
      </c>
      <c r="CZ70" s="59">
        <f t="shared" si="96"/>
        <v>271.51396593253048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21.987145654004962</v>
      </c>
      <c r="DH70" s="21">
        <f>EXP(-LN(2)/2)*DH69+(1-EXP(-LN(2)/2))/(LN(2)/2)*DB70*DE70*VLOOKUP('Données projet'!$B$13,Paramètres!$A$1:$I$89,3,0)*0.475*44/12</f>
        <v>1.1755588121736527</v>
      </c>
      <c r="DI70" s="22">
        <f t="shared" si="69"/>
        <v>23.162704466178614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6.8933333333333326</v>
      </c>
      <c r="DO70" s="12">
        <f>IF('Données projet'!$A$166&gt;35,DO69+DN70-DW69,IF(A70&lt;'Données projet'!$A$166,$DL$205^A70,IF(A70='Données projet'!$A$166,'Données projet'!$B$166,DO69+DN70-DW69)))</f>
        <v>177.0033333333333</v>
      </c>
      <c r="DP70" s="17">
        <f>DO70*VLOOKUP('Données projet'!$B$14,Paramètres!$A$1:$I$89,3,0)*VLOOKUP('Données projet'!$B$14,Paramètres!$A$1:$I$89,5,0)</f>
        <v>190.52638799999997</v>
      </c>
      <c r="DQ70" s="13">
        <f t="shared" si="97"/>
        <v>47.656311018851675</v>
      </c>
      <c r="DR70" s="20">
        <f t="shared" si="70"/>
        <v>414.8348674578333</v>
      </c>
      <c r="DS70" s="59">
        <f t="shared" si="71"/>
        <v>679.78893476605026</v>
      </c>
      <c r="DT70" s="59">
        <f ca="1">AVERAGE(OFFSET($DS$3,0,0,'Données projet'!$E$14+1,1))-AVERAGE(OFFSET($H$3,0,0,'Données projet'!$E$14+1,1))</f>
        <v>610.05768948788375</v>
      </c>
      <c r="DU70" s="59">
        <f t="shared" si="98"/>
        <v>295.23928902444845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24.469565324618422</v>
      </c>
      <c r="EC70" s="21">
        <f>EXP(-LN(2)/2)*EC69+(1-EXP(-LN(2)/2))/(LN(2)/2)*DW70*DZ70*VLOOKUP('Données projet'!$B$14,Paramètres!$A$1:$I$89,3,0)*0.475*44/12</f>
        <v>1.3082831941932587</v>
      </c>
      <c r="ED70" s="22">
        <f t="shared" si="72"/>
        <v>25.77784851881168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9.733749999999997</v>
      </c>
      <c r="N71" s="13">
        <f>IF('Données projet'!$A$36&gt;35,N70+M71-V70,IF(A71&lt;'Données projet'!$A$36,$K$205^A71,IF(A71='Données projet'!$A$36,'Données projet'!$B$36,N70+M71-V70)))</f>
        <v>252.55750000000032</v>
      </c>
      <c r="O71" s="13">
        <f>N71*VLOOKUP('Données projet'!$B$9,Paramètres!$A$1:$I$89,3,0)*VLOOKUP('Données projet'!$B$9,Paramètres!$A$1:$I$89,5,0)</f>
        <v>228.51402600000029</v>
      </c>
      <c r="P71" s="13">
        <f t="shared" si="87"/>
        <v>55.96125810397254</v>
      </c>
      <c r="Q71" s="20">
        <f t="shared" si="54"/>
        <v>495.46111981441936</v>
      </c>
      <c r="R71" s="59">
        <f t="shared" si="55"/>
        <v>760.9075039416382</v>
      </c>
      <c r="S71" s="59">
        <f ca="1">AVERAGE(OFFSET($R$3,0,0,'Données projet'!$E$9+1,1))-AVERAGE(OFFSET($H$3,0,0,'Données projet'!$E$9+1,1))</f>
        <v>681.47578137804555</v>
      </c>
      <c r="T71" s="59">
        <f t="shared" si="88"/>
        <v>300.88511065995885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7.7668871553389076</v>
      </c>
      <c r="AA71" s="21">
        <f>EXP(-LN(2)/25)*AA70+(1-EXP(-LN(2)/25))/(LN(2)/25)*Calculateur!V71*Calculateur!X71*VLOOKUP('Données projet'!$B$9,Paramètres!$A$1:$I$89,3,0)*0.475*44/12</f>
        <v>31.993653003128042</v>
      </c>
      <c r="AB71" s="21">
        <f>EXP(-LN(2)/2)*AB70+(1-EXP(-LN(2)/2))/(LN(2)/2)*V71*Y71*VLOOKUP('Données projet'!$B$9,Paramètres!$A$1:$I$89,3,0)*0.475*44/12</f>
        <v>2.5597761711002054</v>
      </c>
      <c r="AC71" s="22">
        <f t="shared" si="57"/>
        <v>42.320316329567156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5.5555555555555554</v>
      </c>
      <c r="AI71" s="13">
        <f>IF('Données projet'!$A$62&gt;35,AI70+AH71-AQ70,IF(A71&lt;'Données projet'!$A$62,$AF$205^A71,IF(A71='Données projet'!$A$62,'Données projet'!$B$62,AI70+AH71-AQ70)))</f>
        <v>204.70085470085459</v>
      </c>
      <c r="AJ71" s="13">
        <f>AI71*VLOOKUP('Données projet'!$B$10,Paramètres!$A$1:$I$89,3,0)*VLOOKUP('Données projet'!$B$10,Paramètres!$A$1:$I$89,5,0)</f>
        <v>159.6666666666666</v>
      </c>
      <c r="AK71" s="13">
        <f t="shared" si="89"/>
        <v>40.767322019750679</v>
      </c>
      <c r="AL71" s="20">
        <f t="shared" si="58"/>
        <v>349.08919696217669</v>
      </c>
      <c r="AM71" s="59">
        <f t="shared" si="59"/>
        <v>614.53558108939546</v>
      </c>
      <c r="AN71" s="59">
        <f ca="1">AVERAGE(OFFSET($AM$3,0,0,'Données projet'!$E$10+1,1))-AVERAGE(OFFSET($H$3,0,0,'Données projet'!$E$10+1,1))</f>
        <v>217.53602321474159</v>
      </c>
      <c r="AO71" s="59">
        <f t="shared" si="90"/>
        <v>215.75909414893025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8.2352375723464419</v>
      </c>
      <c r="AV71" s="21">
        <f>EXP(-LN(2)/25)*AV70+(1-EXP(-LN(2)/25))/(LN(2)/25)*Calculateur!AQ71*Calculateur!AS71*VLOOKUP('Données projet'!$B$10,Paramètres!$A$1:$I$89,3,0)*0.475*44/12</f>
        <v>7.9424175242811659</v>
      </c>
      <c r="AW71" s="21">
        <f>EXP(-LN(2)/2)*AW70+(1-EXP(-LN(2)/2))/(LN(2)/2)*AQ71*AT71*VLOOKUP('Données projet'!$B$10,Paramètres!$A$1:$I$89,3,0)*0.475*44/12</f>
        <v>0.36990767816407444</v>
      </c>
      <c r="AX71" s="21">
        <f t="shared" si="60"/>
        <v>16.547562774791682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3.8</v>
      </c>
      <c r="BD71" s="12">
        <f>IF('Données projet'!$A$88&gt;35,BD70+BC71-BL70,IF(A71&lt;'Données projet'!$A$88,$BA$205^A71,IF(A71='Données projet'!$A$88,'Données projet'!$B$88,BD70+BC71-BL70)))</f>
        <v>255.39999999999986</v>
      </c>
      <c r="BE71" s="13">
        <f>BD71*VLOOKUP('Données projet'!$B$11,Paramètres!$A$1:$I$89,3,0)*VLOOKUP('Données projet'!$B$11,Paramètres!$A$1:$I$89,5,0)</f>
        <v>171.32231999999993</v>
      </c>
      <c r="BF71" s="13">
        <f t="shared" si="91"/>
        <v>43.386045594244571</v>
      </c>
      <c r="BG71" s="20">
        <f t="shared" si="61"/>
        <v>373.95040340997576</v>
      </c>
      <c r="BH71" s="59">
        <f t="shared" si="62"/>
        <v>639.39678753719454</v>
      </c>
      <c r="BI71" s="59">
        <f ca="1">AVERAGE(OFFSET($BH$3,0,0,'Données projet'!$E$11+1,1))-AVERAGE(OFFSET($H$3,0,0,'Données projet'!$E$11+1,1))</f>
        <v>281.67293577289729</v>
      </c>
      <c r="BJ71" s="59">
        <f t="shared" si="92"/>
        <v>272.44904846480154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7.1325045346530302</v>
      </c>
      <c r="BQ71" s="21">
        <f>EXP(-LN(2)/25)*BQ70+(1-EXP(-LN(2)/25))/(LN(2)/25)*Calculateur!BL71*Calculateur!BN71*VLOOKUP('Données projet'!$B$11,Paramètres!$A$1:$I$89,3,0)*0.475*44/12</f>
        <v>10.17426612075476</v>
      </c>
      <c r="BR71" s="21">
        <f>EXP(-LN(2)/2)*BR70+(1-EXP(-LN(2)/2))/(LN(2)/2)*BL71*BO71*VLOOKUP('Données projet'!$B$11,Paramètres!$A$1:$I$89,3,0)*0.475*44/12</f>
        <v>0.76355101189016072</v>
      </c>
      <c r="BS71" s="22">
        <f t="shared" si="63"/>
        <v>18.07032166729795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3.8</v>
      </c>
      <c r="BY71" s="12">
        <f>IF('Données projet'!$A$114&gt;35,BY70+BX71-CG70,IF(A71&lt;'Données projet'!$A$114,$BV$205^A71,IF(A71='Données projet'!$A$114,'Données projet'!$B$114,BY70+BX71-CG70)))</f>
        <v>255.39999999999986</v>
      </c>
      <c r="BZ71" s="13">
        <f>BY71*VLOOKUP('Données projet'!$B$12,Paramètres!$A$1:$I$89,3,0)*VLOOKUP('Données projet'!$B$12,Paramètres!$A$1:$I$89,5,0)</f>
        <v>223.11743999999993</v>
      </c>
      <c r="CA71" s="13">
        <f t="shared" si="93"/>
        <v>54.791890039639448</v>
      </c>
      <c r="CB71" s="20">
        <f t="shared" si="64"/>
        <v>484.02541648570531</v>
      </c>
      <c r="CC71" s="59">
        <f t="shared" si="65"/>
        <v>749.4718006129242</v>
      </c>
      <c r="CD71" s="59">
        <f ca="1">AVERAGE(OFFSET($CC$3,0,0,'Données projet'!$E$12+1,1))-AVERAGE(OFFSET($H$3,0,0,'Données projet'!$E$12+1,1))</f>
        <v>348.77506423101278</v>
      </c>
      <c r="CE71" s="59">
        <f t="shared" si="94"/>
        <v>336.13747591329548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9.2888431148969683</v>
      </c>
      <c r="CL71" s="21">
        <f>EXP(-LN(2)/25)*CL70+(1-EXP(-LN(2)/25))/(LN(2)/25)*Calculateur!CG71*Calculateur!CI71*VLOOKUP('Données projet'!$B$12,Paramètres!$A$1:$I$89,3,0)*0.475*44/12</f>
        <v>13.250207040982943</v>
      </c>
      <c r="CM71" s="21">
        <f>EXP(-LN(2)/2)*CM70+(1-EXP(-LN(2)/2))/(LN(2)/2)*CG71*CJ71*VLOOKUP('Données projet'!$B$12,Paramètres!$A$1:$I$89,3,0)*0.475*44/12</f>
        <v>0.99439201548486067</v>
      </c>
      <c r="CN71" s="22">
        <f t="shared" si="66"/>
        <v>23.533442171364772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6.8933333333333326</v>
      </c>
      <c r="CT71" s="12">
        <f>IF('Données projet'!$A$140&gt;35,CT70+CS71-DB70,IF(A71&lt;'Données projet'!$A$140,$CQ$205^A71,IF(A71='Données projet'!$A$140,'Données projet'!$B$140,CT70+CS71-DB70)))</f>
        <v>183.89666666666665</v>
      </c>
      <c r="CU71" s="17">
        <f>CT71*VLOOKUP('Données projet'!$B$13,Paramètres!$A$1:$I$89,3,0)*VLOOKUP('Données projet'!$B$13,Paramètres!$A$1:$I$89,5,0)</f>
        <v>177.86485599999997</v>
      </c>
      <c r="CV71" s="13">
        <f t="shared" si="95"/>
        <v>44.846826564109918</v>
      </c>
      <c r="CW71" s="20">
        <f t="shared" si="67"/>
        <v>387.88951379915807</v>
      </c>
      <c r="CX71" s="59">
        <f t="shared" si="68"/>
        <v>653.3358979263769</v>
      </c>
      <c r="CY71" s="59">
        <f ca="1">AVERAGE(OFFSET($CX$3,0,0,'Données projet'!$E$13+1,1))-AVERAGE(OFFSET($H$3,0,0,'Données projet'!$E$13+1,1))</f>
        <v>557.48193674339791</v>
      </c>
      <c r="CZ71" s="59">
        <f t="shared" si="96"/>
        <v>271.51396593253048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21.385905999842461</v>
      </c>
      <c r="DH71" s="21">
        <f>EXP(-LN(2)/2)*DH70+(1-EXP(-LN(2)/2))/(LN(2)/2)*DB71*DE71*VLOOKUP('Données projet'!$B$13,Paramètres!$A$1:$I$89,3,0)*0.475*44/12</f>
        <v>0.83124560777159273</v>
      </c>
      <c r="DI71" s="22">
        <f t="shared" si="69"/>
        <v>22.217151607614053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6.8933333333333326</v>
      </c>
      <c r="DO71" s="12">
        <f>IF('Données projet'!$A$166&gt;35,DO70+DN71-DW70,IF(A71&lt;'Données projet'!$A$166,$DL$205^A71,IF(A71='Données projet'!$A$166,'Données projet'!$B$166,DO70+DN71-DW70)))</f>
        <v>183.89666666666665</v>
      </c>
      <c r="DP71" s="17">
        <f>DO71*VLOOKUP('Données projet'!$B$14,Paramètres!$A$1:$I$89,3,0)*VLOOKUP('Données projet'!$B$14,Paramètres!$A$1:$I$89,5,0)</f>
        <v>197.94637199999997</v>
      </c>
      <c r="DQ71" s="13">
        <f t="shared" si="97"/>
        <v>49.292571697293617</v>
      </c>
      <c r="DR71" s="20">
        <f t="shared" si="70"/>
        <v>430.60782693945293</v>
      </c>
      <c r="DS71" s="59">
        <f t="shared" si="71"/>
        <v>696.05421106667177</v>
      </c>
      <c r="DT71" s="59">
        <f ca="1">AVERAGE(OFFSET($DS$3,0,0,'Données projet'!$E$14+1,1))-AVERAGE(OFFSET($H$3,0,0,'Données projet'!$E$14+1,1))</f>
        <v>610.05768948788375</v>
      </c>
      <c r="DU71" s="59">
        <f t="shared" si="98"/>
        <v>295.23928902444845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23.800443774018216</v>
      </c>
      <c r="EC71" s="21">
        <f>EXP(-LN(2)/2)*EC70+(1-EXP(-LN(2)/2))/(LN(2)/2)*DW71*DZ71*VLOOKUP('Données projet'!$B$14,Paramètres!$A$1:$I$89,3,0)*0.475*44/12</f>
        <v>0.92509591832645011</v>
      </c>
      <c r="ED71" s="22">
        <f t="shared" si="72"/>
        <v>24.725539692344665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9.733749999999997</v>
      </c>
      <c r="N72" s="13">
        <f>IF('Données projet'!$A$36&gt;35,N71+M72-V71,IF(A72&lt;'Données projet'!$A$36,$K$205^A72,IF(A72='Données projet'!$A$36,'Données projet'!$B$36,N71+M72-V71)))</f>
        <v>262.29125000000033</v>
      </c>
      <c r="O72" s="13">
        <f>N72*VLOOKUP('Données projet'!$B$9,Paramètres!$A$1:$I$89,3,0)*VLOOKUP('Données projet'!$B$9,Paramètres!$A$1:$I$89,5,0)</f>
        <v>237.32112300000028</v>
      </c>
      <c r="P72" s="13">
        <f t="shared" si="87"/>
        <v>57.862781053141006</v>
      </c>
      <c r="Q72" s="20">
        <f t="shared" si="54"/>
        <v>514.11196622588784</v>
      </c>
      <c r="R72" s="59">
        <f t="shared" si="55"/>
        <v>780.0421265759544</v>
      </c>
      <c r="S72" s="59">
        <f ca="1">AVERAGE(OFFSET($R$3,0,0,'Données projet'!$E$9+1,1))-AVERAGE(OFFSET($H$3,0,0,'Données projet'!$E$9+1,1))</f>
        <v>681.47578137804555</v>
      </c>
      <c r="T72" s="59">
        <f t="shared" si="88"/>
        <v>300.88511065995885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7.6145832355561032</v>
      </c>
      <c r="AA72" s="21">
        <f>EXP(-LN(2)/25)*AA71+(1-EXP(-LN(2)/25))/(LN(2)/25)*Calculateur!V72*Calculateur!X72*VLOOKUP('Données projet'!$B$9,Paramètres!$A$1:$I$89,3,0)*0.475*44/12</f>
        <v>31.118784879284416</v>
      </c>
      <c r="AB72" s="21">
        <f>EXP(-LN(2)/2)*AB71+(1-EXP(-LN(2)/2))/(LN(2)/2)*V72*Y72*VLOOKUP('Données projet'!$B$9,Paramètres!$A$1:$I$89,3,0)*0.475*44/12</f>
        <v>1.8100350889046914</v>
      </c>
      <c r="AC72" s="22">
        <f t="shared" si="57"/>
        <v>40.543403203745207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>
        <f>VLOOKUP(A72,'Données projet'!$A$61:$I$81,2,0)</f>
        <v>210.25641025641025</v>
      </c>
      <c r="AG72" s="12">
        <f>VLOOKUP(A72,'Données projet'!$A$61:$I$81,9,0)</f>
        <v>5.5555555555555554</v>
      </c>
      <c r="AH72" s="12">
        <f t="array" ref="AH72">INDEX(AG:AG,MIN(IF(ISNUMBER(AG72:AG268),ROW(AG72:AG268),"")))</f>
        <v>5.5555555555555554</v>
      </c>
      <c r="AI72" s="13">
        <f>IF('Données projet'!$A$62&gt;35,AI71+AH72-AQ71,IF(A72&lt;'Données projet'!$A$62,$AF$205^A72,IF(A72='Données projet'!$A$62,'Données projet'!$B$62,AI71+AH72-AQ71)))</f>
        <v>210.25641025641013</v>
      </c>
      <c r="AJ72" s="13">
        <f>AI72*VLOOKUP('Données projet'!$B$10,Paramètres!$A$1:$I$89,3,0)*VLOOKUP('Données projet'!$B$10,Paramètres!$A$1:$I$89,5,0)</f>
        <v>163.99999999999991</v>
      </c>
      <c r="AK72" s="13">
        <f t="shared" si="89"/>
        <v>41.743425908362248</v>
      </c>
      <c r="AL72" s="20">
        <f t="shared" si="58"/>
        <v>358.33646679039742</v>
      </c>
      <c r="AM72" s="59">
        <f t="shared" si="59"/>
        <v>624.26662714046392</v>
      </c>
      <c r="AN72" s="59">
        <f ca="1">AVERAGE(OFFSET($AM$3,0,0,'Données projet'!$E$10+1,1))-AVERAGE(OFFSET($H$3,0,0,'Données projet'!$E$10+1,1))</f>
        <v>217.53602321474159</v>
      </c>
      <c r="AO72" s="59">
        <f t="shared" si="90"/>
        <v>215.75909414893025</v>
      </c>
      <c r="AP72" s="15">
        <f>IF(ISNA(VLOOKUP(A72,'Données projet'!$A$61:$I$81,3,0)),0,VLOOKUP(A72,'Données projet'!$A$61:$I$81,3,0))</f>
        <v>9</v>
      </c>
      <c r="AQ72" s="15">
        <f>IF(ISNA(VLOOKUP(A72,'Données projet'!$A$61:$I$81,4,0)),0,VLOOKUP(A72,'Données projet'!$A$61:$I$81,4,0))</f>
        <v>210.25641025641025</v>
      </c>
      <c r="AR72" s="16">
        <f>IF(ISNA(VLOOKUP(A72,'Données projet'!$A$61:$I$81,5,0)),0%,VLOOKUP(A72,'Données projet'!$A$61:$I$81,5,0)*VLOOKUP('Données projet'!$B$10,Paramètres!$A$1:$I$89,7,0))</f>
        <v>0.1075</v>
      </c>
      <c r="AS72" s="16">
        <f>IF(ISNA(VLOOKUP(A72,'Données projet'!$A$61:$I$81,6,0)),0%,VLOOKUP(A72,'Données projet'!$A$61:$I$81,6,0)*VLOOKUP('Données projet'!$B$10,Paramètres!$A$1:$I$89,7,0))</f>
        <v>0.1075</v>
      </c>
      <c r="AT72" s="16">
        <f>IF(ISNA(VLOOKUP(A72,'Données projet'!$A$61:$I$81,7,0)),0%,VLOOKUP(A72,'Données projet'!$A$61:$I$81,7,0))</f>
        <v>0.25</v>
      </c>
      <c r="AU72" s="21">
        <f>EXP(-LN(2)/35)*AU71+(1-EXP(-LN(2)/35))/(LN(2)/35)*AQ72*AR72*VLOOKUP('Données projet'!$B$10,Paramètres!$A$1:$I$89,3,0)*0.475*44/12</f>
        <v>27.563192377717577</v>
      </c>
      <c r="AV72" s="21">
        <f>EXP(-LN(2)/25)*AV71+(1-EXP(-LN(2)/25))/(LN(2)/25)*Calculateur!AQ72*Calculateur!AS72*VLOOKUP('Données projet'!$B$10,Paramètres!$A$1:$I$89,3,0)*0.475*44/12</f>
        <v>27.137937128243308</v>
      </c>
      <c r="AW72" s="21">
        <f>EXP(-LN(2)/2)*AW71+(1-EXP(-LN(2)/2))/(LN(2)/2)*AQ72*AT72*VLOOKUP('Données projet'!$B$10,Paramètres!$A$1:$I$89,3,0)*0.475*44/12</f>
        <v>38.946167726463699</v>
      </c>
      <c r="AX72" s="21">
        <f t="shared" si="60"/>
        <v>93.647297232424592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3.8</v>
      </c>
      <c r="BD72" s="12">
        <f>IF('Données projet'!$A$88&gt;35,BD71+BC72-BL71,IF(A72&lt;'Données projet'!$A$88,$BA$205^A72,IF(A72='Données projet'!$A$88,'Données projet'!$B$88,BD71+BC72-BL71)))</f>
        <v>259.19999999999987</v>
      </c>
      <c r="BE72" s="13">
        <f>BD72*VLOOKUP('Données projet'!$B$11,Paramètres!$A$1:$I$89,3,0)*VLOOKUP('Données projet'!$B$11,Paramètres!$A$1:$I$89,5,0)</f>
        <v>173.87135999999992</v>
      </c>
      <c r="BF72" s="13">
        <f t="shared" si="91"/>
        <v>43.955939893839918</v>
      </c>
      <c r="BG72" s="20">
        <f t="shared" si="61"/>
        <v>379.38254731510438</v>
      </c>
      <c r="BH72" s="59">
        <f t="shared" si="62"/>
        <v>645.31270766517093</v>
      </c>
      <c r="BI72" s="59">
        <f ca="1">AVERAGE(OFFSET($BH$3,0,0,'Données projet'!$E$11+1,1))-AVERAGE(OFFSET($H$3,0,0,'Données projet'!$E$11+1,1))</f>
        <v>281.67293577289729</v>
      </c>
      <c r="BJ72" s="59">
        <f t="shared" si="92"/>
        <v>272.44904846480154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6.9926404711266841</v>
      </c>
      <c r="BQ72" s="21">
        <f>EXP(-LN(2)/25)*BQ71+(1-EXP(-LN(2)/25))/(LN(2)/25)*Calculateur!BL72*Calculateur!BN72*VLOOKUP('Données projet'!$B$11,Paramètres!$A$1:$I$89,3,0)*0.475*44/12</f>
        <v>9.8960502786413205</v>
      </c>
      <c r="BR72" s="21">
        <f>EXP(-LN(2)/2)*BR71+(1-EXP(-LN(2)/2))/(LN(2)/2)*BL72*BO72*VLOOKUP('Données projet'!$B$11,Paramètres!$A$1:$I$89,3,0)*0.475*44/12</f>
        <v>0.53991209828938291</v>
      </c>
      <c r="BS72" s="22">
        <f t="shared" si="63"/>
        <v>17.428602848057384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3.8</v>
      </c>
      <c r="BY72" s="12">
        <f>IF('Données projet'!$A$114&gt;35,BY71+BX72-CG71,IF(A72&lt;'Données projet'!$A$114,$BV$205^A72,IF(A72='Données projet'!$A$114,'Données projet'!$B$114,BY71+BX72-CG71)))</f>
        <v>259.19999999999987</v>
      </c>
      <c r="BZ72" s="13">
        <f>BY72*VLOOKUP('Données projet'!$B$12,Paramètres!$A$1:$I$89,3,0)*VLOOKUP('Données projet'!$B$12,Paramètres!$A$1:$I$89,5,0)</f>
        <v>226.43711999999991</v>
      </c>
      <c r="CA72" s="13">
        <f t="shared" si="93"/>
        <v>55.5116049933753</v>
      </c>
      <c r="CB72" s="20">
        <f t="shared" si="64"/>
        <v>491.06069603012844</v>
      </c>
      <c r="CC72" s="59">
        <f t="shared" si="65"/>
        <v>756.99085638019505</v>
      </c>
      <c r="CD72" s="59">
        <f ca="1">AVERAGE(OFFSET($CC$3,0,0,'Données projet'!$E$12+1,1))-AVERAGE(OFFSET($H$3,0,0,'Données projet'!$E$12+1,1))</f>
        <v>348.77506423101278</v>
      </c>
      <c r="CE72" s="59">
        <f t="shared" si="94"/>
        <v>336.13747591329548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9.1066945670487041</v>
      </c>
      <c r="CL72" s="21">
        <f>EXP(-LN(2)/25)*CL71+(1-EXP(-LN(2)/25))/(LN(2)/25)*Calculateur!CG72*Calculateur!CI72*VLOOKUP('Données projet'!$B$12,Paramètres!$A$1:$I$89,3,0)*0.475*44/12</f>
        <v>12.887879432649159</v>
      </c>
      <c r="CM72" s="21">
        <f>EXP(-LN(2)/2)*CM71+(1-EXP(-LN(2)/2))/(LN(2)/2)*CG72*CJ72*VLOOKUP('Données projet'!$B$12,Paramètres!$A$1:$I$89,3,0)*0.475*44/12</f>
        <v>0.70314133730710338</v>
      </c>
      <c r="CN72" s="22">
        <f t="shared" si="66"/>
        <v>22.697715337004965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>
        <f>VLOOKUP(A72,'Données projet'!$A$139:$I$159,2,0)</f>
        <v>190.79</v>
      </c>
      <c r="CR72" s="12">
        <f>VLOOKUP(A72,'Données projet'!$A$139:$I$159,9,0)</f>
        <v>6.8933333333333326</v>
      </c>
      <c r="CS72" s="12">
        <f t="array" ref="CS72">INDEX(CR:CR,MIN(IF(ISNUMBER(CR72:CR268),ROW(CR72:CR268),"")))</f>
        <v>6.8933333333333326</v>
      </c>
      <c r="CT72" s="12">
        <f>IF('Données projet'!$A$140&gt;35,CT71+CS72-DB71,IF(A72&lt;'Données projet'!$A$140,$CQ$205^A72,IF(A72='Données projet'!$A$140,'Données projet'!$B$140,CT71+CS72-DB71)))</f>
        <v>190.79</v>
      </c>
      <c r="CU72" s="17">
        <f>CT72*VLOOKUP('Données projet'!$B$13,Paramètres!$A$1:$I$89,3,0)*VLOOKUP('Données projet'!$B$13,Paramètres!$A$1:$I$89,5,0)</f>
        <v>184.53208800000002</v>
      </c>
      <c r="CV72" s="13">
        <f t="shared" si="95"/>
        <v>46.329028363696381</v>
      </c>
      <c r="CW72" s="20">
        <f t="shared" si="67"/>
        <v>402.08311100010451</v>
      </c>
      <c r="CX72" s="59">
        <f t="shared" si="68"/>
        <v>668.01327135017107</v>
      </c>
      <c r="CY72" s="59">
        <f ca="1">AVERAGE(OFFSET($CX$3,0,0,'Données projet'!$E$13+1,1))-AVERAGE(OFFSET($H$3,0,0,'Données projet'!$E$13+1,1))</f>
        <v>557.48193674339791</v>
      </c>
      <c r="CZ72" s="59">
        <f t="shared" si="96"/>
        <v>271.51396593253048</v>
      </c>
      <c r="DA72" s="15">
        <f>IF(ISNA(VLOOKUP(A72,'Données projet'!$A$139:$I$159,3,0)),0,VLOOKUP(A72,'Données projet'!$A$139:$I$159,3,0))</f>
        <v>2</v>
      </c>
      <c r="DB72" s="15">
        <f>IF(ISNA(VLOOKUP(A72,'Données projet'!$A$139:$I$159,4,0)),0,VLOOKUP(A72,'Données projet'!$A$139:$I$159,4,0))</f>
        <v>42.22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0.34400000000000003</v>
      </c>
      <c r="DE72" s="16">
        <f>IF(ISNA(VLOOKUP(A72,'Données projet'!$A$139:$I$159,7,0)),0%,VLOOKUP(A72,'Données projet'!$A$139:$I$159,7,0))</f>
        <v>0.2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36.268841873189452</v>
      </c>
      <c r="DH72" s="21">
        <f>EXP(-LN(2)/2)*DH71+(1-EXP(-LN(2)/2))/(LN(2)/2)*DB72*DE72*VLOOKUP('Données projet'!$B$13,Paramètres!$A$1:$I$89,3,0)*0.475*44/12</f>
        <v>8.2935984394594886</v>
      </c>
      <c r="DI72" s="22">
        <f t="shared" si="69"/>
        <v>44.562440312648938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>
        <f>VLOOKUP(A72,'Données projet'!$A$165:$I$185,2,0)</f>
        <v>190.79</v>
      </c>
      <c r="DM72" s="12">
        <f>VLOOKUP(A72,'Données projet'!$A$165:$I$185,9,0)</f>
        <v>6.8933333333333326</v>
      </c>
      <c r="DN72" s="12">
        <f t="array" ref="DN72">INDEX(DM:DM,MIN(IF(ISNUMBER(DM72:DM268),ROW(DM72:DM268),"")))</f>
        <v>6.8933333333333326</v>
      </c>
      <c r="DO72" s="12">
        <f>IF('Données projet'!$A$166&gt;35,DO71+DN72-DW71,IF(A72&lt;'Données projet'!$A$166,$DL$205^A72,IF(A72='Données projet'!$A$166,'Données projet'!$B$166,DO71+DN72-DW71)))</f>
        <v>190.79</v>
      </c>
      <c r="DP72" s="17">
        <f>DO72*VLOOKUP('Données projet'!$B$14,Paramètres!$A$1:$I$89,3,0)*VLOOKUP('Données projet'!$B$14,Paramètres!$A$1:$I$89,5,0)</f>
        <v>205.366356</v>
      </c>
      <c r="DQ72" s="13">
        <f t="shared" si="97"/>
        <v>50.921706779383044</v>
      </c>
      <c r="DR72" s="20">
        <f t="shared" si="70"/>
        <v>446.36837600742547</v>
      </c>
      <c r="DS72" s="59">
        <f t="shared" si="71"/>
        <v>712.29853635749203</v>
      </c>
      <c r="DT72" s="59">
        <f ca="1">AVERAGE(OFFSET($DS$3,0,0,'Données projet'!$E$14+1,1))-AVERAGE(OFFSET($H$3,0,0,'Données projet'!$E$14+1,1))</f>
        <v>610.05768948788375</v>
      </c>
      <c r="DU72" s="59">
        <f t="shared" si="98"/>
        <v>295.23928902444845</v>
      </c>
      <c r="DV72" s="15">
        <f>IF(ISNA(VLOOKUP(A72,'Données projet'!$A$165:$I$185,3,0)),0,VLOOKUP(A72,'Données projet'!$A$165:$I$185,3,0))</f>
        <v>2</v>
      </c>
      <c r="DW72" s="15">
        <f>IF(ISNA(VLOOKUP(A72,'Données projet'!$A$165:$I$185,4,0)),0,VLOOKUP(A72,'Données projet'!$A$165:$I$185,4,0))</f>
        <v>42.22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0.34400000000000003</v>
      </c>
      <c r="DZ72" s="16">
        <f>IF(ISNA(VLOOKUP(A72,'Données projet'!$A$165:$I$185,7,0)),0%,VLOOKUP(A72,'Données projet'!$A$165:$I$185,7,0))</f>
        <v>0.2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40.363711116936642</v>
      </c>
      <c r="EC72" s="21">
        <f>EXP(-LN(2)/2)*EC71+(1-EXP(-LN(2)/2))/(LN(2)/2)*DW72*DZ72*VLOOKUP('Données projet'!$B$14,Paramètres!$A$1:$I$89,3,0)*0.475*44/12</f>
        <v>9.2299724568178174</v>
      </c>
      <c r="ED72" s="22">
        <f t="shared" si="72"/>
        <v>49.593683573754461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9.733749999999997</v>
      </c>
      <c r="N73" s="13">
        <f>IF('Données projet'!$A$36&gt;35,N72+M73-V72,IF(A73&lt;'Données projet'!$A$36,$K$205^A73,IF(A73='Données projet'!$A$36,'Données projet'!$B$36,N72+M73-V72)))</f>
        <v>272.02500000000032</v>
      </c>
      <c r="O73" s="13">
        <f>N73*VLOOKUP('Données projet'!$B$9,Paramètres!$A$1:$I$89,3,0)*VLOOKUP('Données projet'!$B$9,Paramètres!$A$1:$I$89,5,0)</f>
        <v>246.12822000000025</v>
      </c>
      <c r="P73" s="13">
        <f t="shared" si="87"/>
        <v>59.756105801003123</v>
      </c>
      <c r="Q73" s="20">
        <f t="shared" si="54"/>
        <v>532.74853410341427</v>
      </c>
      <c r="R73" s="59">
        <f t="shared" si="55"/>
        <v>799.15407824042381</v>
      </c>
      <c r="S73" s="59">
        <f ca="1">AVERAGE(OFFSET($R$3,0,0,'Données projet'!$E$9+1,1))-AVERAGE(OFFSET($H$3,0,0,'Données projet'!$E$9+1,1))</f>
        <v>681.47578137804555</v>
      </c>
      <c r="T73" s="59">
        <f t="shared" si="88"/>
        <v>300.88511065995885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7.4652659027440214</v>
      </c>
      <c r="AA73" s="21">
        <f>EXP(-LN(2)/25)*AA72+(1-EXP(-LN(2)/25))/(LN(2)/25)*Calculateur!V73*Calculateur!X73*VLOOKUP('Données projet'!$B$9,Paramètres!$A$1:$I$89,3,0)*0.475*44/12</f>
        <v>30.267840070294611</v>
      </c>
      <c r="AB73" s="21">
        <f>EXP(-LN(2)/2)*AB72+(1-EXP(-LN(2)/2))/(LN(2)/2)*V73*Y73*VLOOKUP('Données projet'!$B$9,Paramètres!$A$1:$I$89,3,0)*0.475*44/12</f>
        <v>1.2798880855501029</v>
      </c>
      <c r="AC73" s="22">
        <f t="shared" si="57"/>
        <v>39.012994058588738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-1.1368683772161603E-13</v>
      </c>
      <c r="AJ73" s="13">
        <f>AI73*VLOOKUP('Données projet'!$B$10,Paramètres!$A$1:$I$89,3,0)*VLOOKUP('Données projet'!$B$10,Paramètres!$A$1:$I$89,5,0)</f>
        <v>-8.8675733422860506E-14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217.53602321474159</v>
      </c>
      <c r="AO73" s="59">
        <f t="shared" si="90"/>
        <v>215.75909414893025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27.022694987077848</v>
      </c>
      <c r="AV73" s="21">
        <f>EXP(-LN(2)/25)*AV72+(1-EXP(-LN(2)/25))/(LN(2)/25)*Calculateur!AQ73*Calculateur!AS73*VLOOKUP('Données projet'!$B$10,Paramètres!$A$1:$I$89,3,0)*0.475*44/12</f>
        <v>26.395848810349406</v>
      </c>
      <c r="AW73" s="21">
        <f>EXP(-LN(2)/2)*AW72+(1-EXP(-LN(2)/2))/(LN(2)/2)*AQ73*AT73*VLOOKUP('Données projet'!$B$10,Paramètres!$A$1:$I$89,3,0)*0.475*44/12</f>
        <v>27.539099300611149</v>
      </c>
      <c r="AX73" s="21">
        <f t="shared" si="60"/>
        <v>80.957643098038403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263</v>
      </c>
      <c r="BB73" s="12">
        <f>VLOOKUP(A73,'Données projet'!$A$87:$I$107,9,0)</f>
        <v>3.8</v>
      </c>
      <c r="BC73" s="12">
        <f t="array" ref="BC73">INDEX(BB:BB,MIN(IF(ISNUMBER(BB73:BB269),ROW(BB73:BB269),"")))</f>
        <v>3.8</v>
      </c>
      <c r="BD73" s="12">
        <f>IF('Données projet'!$A$88&gt;35,BD72+BC73-BL72,IF(A73&lt;'Données projet'!$A$88,$BA$205^A73,IF(A73='Données projet'!$A$88,'Données projet'!$B$88,BD72+BC73-BL72)))</f>
        <v>262.99999999999989</v>
      </c>
      <c r="BE73" s="13">
        <f>BD73*VLOOKUP('Données projet'!$B$11,Paramètres!$A$1:$I$89,3,0)*VLOOKUP('Données projet'!$B$11,Paramètres!$A$1:$I$89,5,0)</f>
        <v>176.42039999999992</v>
      </c>
      <c r="BF73" s="13">
        <f t="shared" si="91"/>
        <v>44.5248624718784</v>
      </c>
      <c r="BG73" s="20">
        <f t="shared" si="61"/>
        <v>384.81299880518804</v>
      </c>
      <c r="BH73" s="59">
        <f t="shared" si="62"/>
        <v>651.21854294219747</v>
      </c>
      <c r="BI73" s="59">
        <f ca="1">AVERAGE(OFFSET($BH$3,0,0,'Données projet'!$E$11+1,1))-AVERAGE(OFFSET($H$3,0,0,'Données projet'!$E$11+1,1))</f>
        <v>281.67293577289729</v>
      </c>
      <c r="BJ73" s="59">
        <f t="shared" si="92"/>
        <v>272.44904846480154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10</v>
      </c>
      <c r="BM73" s="16">
        <f>IF(ISNA(VLOOKUP(A73,'Données projet'!$A$87:$I$107,5,0)),0%,VLOOKUP(A73,'Données projet'!$A$87:$I$107,5,0)*VLOOKUP('Données projet'!$B$11,Paramètres!$A$1:$I$89,7,0))</f>
        <v>0.13250000000000001</v>
      </c>
      <c r="BN73" s="16">
        <f>IF(ISNA(VLOOKUP(A73,'Données projet'!$A$87:$I$107,6,0)),0%,VLOOKUP(A73,'Données projet'!$A$87:$I$107,6,0)*VLOOKUP('Données projet'!$B$11,Paramètres!$A$1:$I$89,7,0))</f>
        <v>0.13250000000000001</v>
      </c>
      <c r="BO73" s="16">
        <f>IF(ISNA(VLOOKUP(A73,'Données projet'!$A$87:$I$107,7,0)),0%,VLOOKUP(A73,'Données projet'!$A$87:$I$107,7,0))</f>
        <v>0.25</v>
      </c>
      <c r="BP73" s="21">
        <f>EXP(-LN(2)/35)*BP72+(1-EXP(-LN(2)/35))/(LN(2)/35)*BL73*BM73*VLOOKUP('Données projet'!$B$11,Paramètres!$A$1:$I$89,3,0)*0.475*44/12</f>
        <v>7.838072184610116</v>
      </c>
      <c r="BQ73" s="21">
        <f>EXP(-LN(2)/25)*BQ72+(1-EXP(-LN(2)/25))/(LN(2)/25)*Calculateur!BL73*Calculateur!BN73*VLOOKUP('Données projet'!$B$11,Paramètres!$A$1:$I$89,3,0)*0.475*44/12</f>
        <v>10.604126705346731</v>
      </c>
      <c r="BR73" s="21">
        <f>EXP(-LN(2)/2)*BR72+(1-EXP(-LN(2)/2))/(LN(2)/2)*BL73*BO73*VLOOKUP('Données projet'!$B$11,Paramètres!$A$1:$I$89,3,0)*0.475*44/12</f>
        <v>1.9640701417383166</v>
      </c>
      <c r="BS73" s="22">
        <f t="shared" si="63"/>
        <v>20.406269031695167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3.8</v>
      </c>
      <c r="BX73" s="12">
        <f t="array" ref="BX73">INDEX(BW:BW,MIN(IF(ISNUMBER(BW73:BW269),ROW(BW73:BW269),"")))</f>
        <v>3.8</v>
      </c>
      <c r="BY73" s="12">
        <f>IF('Données projet'!$A$114&gt;35,BY72+BX73-CG72,IF(A73&lt;'Données projet'!$A$114,$BV$205^A73,IF(A73='Données projet'!$A$114,'Données projet'!$B$114,BY72+BX73-CG72)))</f>
        <v>262.99999999999989</v>
      </c>
      <c r="BZ73" s="13">
        <f>BY73*VLOOKUP('Données projet'!$B$12,Paramètres!$A$1:$I$89,3,0)*VLOOKUP('Données projet'!$B$12,Paramètres!$A$1:$I$89,5,0)</f>
        <v>229.75679999999991</v>
      </c>
      <c r="CA73" s="13">
        <f t="shared" si="93"/>
        <v>56.23009276772752</v>
      </c>
      <c r="CB73" s="20">
        <f t="shared" si="64"/>
        <v>498.09383823712528</v>
      </c>
      <c r="CC73" s="59">
        <f t="shared" si="65"/>
        <v>764.49938237413471</v>
      </c>
      <c r="CD73" s="59">
        <f ca="1">AVERAGE(OFFSET($CC$3,0,0,'Données projet'!$E$12+1,1))-AVERAGE(OFFSET($H$3,0,0,'Données projet'!$E$12+1,1))</f>
        <v>348.77506423101278</v>
      </c>
      <c r="CE73" s="59">
        <f t="shared" si="94"/>
        <v>336.13747591329548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10</v>
      </c>
      <c r="CH73" s="16">
        <f>IF(ISNA(VLOOKUP(A73,'Données projet'!$A$113:$I$133,5,0)),0%,VLOOKUP(A73,'Données projet'!$A$113:$I$133,5,0)*VLOOKUP('Données projet'!$B$12,Paramètres!$A$1:$I$89,7,0))</f>
        <v>0.13250000000000001</v>
      </c>
      <c r="CI73" s="16">
        <f>IF(ISNA(VLOOKUP(A73,'Données projet'!$A$113:$I$133,6,0)),0%,VLOOKUP(A73,'Données projet'!$A$113:$I$133,6,0)*VLOOKUP('Données projet'!$B$12,Paramètres!$A$1:$I$89,7,0))</f>
        <v>0.13250000000000001</v>
      </c>
      <c r="CJ73" s="16">
        <f>IF(ISNA(VLOOKUP(A73,'Données projet'!$A$113:$I$133,7,0)),0%,VLOOKUP(A73,'Données projet'!$A$113:$I$133,7,0))</f>
        <v>0.25</v>
      </c>
      <c r="CK73" s="21">
        <f>EXP(-LN(2)/35)*CK72+(1-EXP(-LN(2)/35))/(LN(2)/35)*CG73*CH73*VLOOKUP('Données projet'!$B$12,Paramètres!$A$1:$I$89,3,0)*0.475*44/12</f>
        <v>10.20772191484108</v>
      </c>
      <c r="CL73" s="21">
        <f>EXP(-LN(2)/25)*CL72+(1-EXP(-LN(2)/25))/(LN(2)/25)*Calculateur!CG73*Calculateur!CI73*VLOOKUP('Données projet'!$B$12,Paramètres!$A$1:$I$89,3,0)*0.475*44/12</f>
        <v>13.810025476730626</v>
      </c>
      <c r="CM73" s="21">
        <f>EXP(-LN(2)/2)*CM72+(1-EXP(-LN(2)/2))/(LN(2)/2)*CG73*CJ73*VLOOKUP('Données projet'!$B$12,Paramètres!$A$1:$I$89,3,0)*0.475*44/12</f>
        <v>2.5578587892405982</v>
      </c>
      <c r="CN73" s="22">
        <f t="shared" si="66"/>
        <v>26.575606180812304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6.7437500000000021</v>
      </c>
      <c r="CT73" s="12">
        <f>IF('Données projet'!$A$140&gt;35,CT72+CS73-DB72,IF(A73&lt;'Données projet'!$A$140,$CQ$205^A73,IF(A73='Données projet'!$A$140,'Données projet'!$B$140,CT72+CS73-DB72)))</f>
        <v>155.31375</v>
      </c>
      <c r="CU73" s="17">
        <f>CT73*VLOOKUP('Données projet'!$B$13,Paramètres!$A$1:$I$89,3,0)*VLOOKUP('Données projet'!$B$13,Paramètres!$A$1:$I$89,5,0)</f>
        <v>150.219459</v>
      </c>
      <c r="CV73" s="13">
        <f t="shared" si="95"/>
        <v>38.628454221735403</v>
      </c>
      <c r="CW73" s="20">
        <f t="shared" si="67"/>
        <v>328.91011552785579</v>
      </c>
      <c r="CX73" s="59">
        <f t="shared" si="68"/>
        <v>595.31565966486528</v>
      </c>
      <c r="CY73" s="59">
        <f ca="1">AVERAGE(OFFSET($CX$3,0,0,'Données projet'!$E$13+1,1))-AVERAGE(OFFSET($H$3,0,0,'Données projet'!$E$13+1,1))</f>
        <v>557.48193674339791</v>
      </c>
      <c r="CZ73" s="59">
        <f t="shared" si="96"/>
        <v>271.51396593253048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35.277068484871585</v>
      </c>
      <c r="DH73" s="21">
        <f>EXP(-LN(2)/2)*DH72+(1-EXP(-LN(2)/2))/(LN(2)/2)*DB73*DE73*VLOOKUP('Données projet'!$B$13,Paramètres!$A$1:$I$89,3,0)*0.475*44/12</f>
        <v>5.8644596969799734</v>
      </c>
      <c r="DI73" s="22">
        <f t="shared" si="69"/>
        <v>41.141528181851555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6.7437500000000021</v>
      </c>
      <c r="DO73" s="12">
        <f>IF('Données projet'!$A$166&gt;35,DO72+DN73-DW72,IF(A73&lt;'Données projet'!$A$166,$DL$205^A73,IF(A73='Données projet'!$A$166,'Données projet'!$B$166,DO72+DN73-DW72)))</f>
        <v>155.31375</v>
      </c>
      <c r="DP73" s="17">
        <f>DO73*VLOOKUP('Données projet'!$B$14,Paramètres!$A$1:$I$89,3,0)*VLOOKUP('Données projet'!$B$14,Paramètres!$A$1:$I$89,5,0)</f>
        <v>167.17972049999997</v>
      </c>
      <c r="DQ73" s="13">
        <f t="shared" si="97"/>
        <v>42.457761120701626</v>
      </c>
      <c r="DR73" s="20">
        <f t="shared" si="70"/>
        <v>365.11861382272195</v>
      </c>
      <c r="DS73" s="59">
        <f t="shared" si="71"/>
        <v>631.52415795973138</v>
      </c>
      <c r="DT73" s="59">
        <f ca="1">AVERAGE(OFFSET($DS$3,0,0,'Données projet'!$E$14+1,1))-AVERAGE(OFFSET($H$3,0,0,'Données projet'!$E$14+1,1))</f>
        <v>610.05768948788375</v>
      </c>
      <c r="DU73" s="59">
        <f t="shared" si="98"/>
        <v>295.23928902444845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39.259963313808697</v>
      </c>
      <c r="EC73" s="21">
        <f>EXP(-LN(2)/2)*EC72+(1-EXP(-LN(2)/2))/(LN(2)/2)*DW73*DZ73*VLOOKUP('Données projet'!$B$14,Paramètres!$A$1:$I$89,3,0)*0.475*44/12</f>
        <v>6.5265761143809371</v>
      </c>
      <c r="ED73" s="22">
        <f t="shared" si="72"/>
        <v>45.786539428189634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9.733749999999997</v>
      </c>
      <c r="N74" s="13">
        <f>IF('Données projet'!$A$36&gt;35,N73+M74-V73,IF(A74&lt;'Données projet'!$A$36,$K$205^A74,IF(A74='Données projet'!$A$36,'Données projet'!$B$36,N73+M74-V73)))</f>
        <v>281.7587500000003</v>
      </c>
      <c r="O74" s="13">
        <f>N74*VLOOKUP('Données projet'!$B$9,Paramètres!$A$1:$I$89,3,0)*VLOOKUP('Données projet'!$B$9,Paramètres!$A$1:$I$89,5,0)</f>
        <v>254.93531700000028</v>
      </c>
      <c r="P74" s="13">
        <f t="shared" si="87"/>
        <v>61.641559307209917</v>
      </c>
      <c r="Q74" s="20">
        <f t="shared" si="54"/>
        <v>551.37139290172445</v>
      </c>
      <c r="R74" s="59">
        <f t="shared" si="55"/>
        <v>818.24407397977234</v>
      </c>
      <c r="S74" s="59">
        <f ca="1">AVERAGE(OFFSET($R$3,0,0,'Données projet'!$E$9+1,1))-AVERAGE(OFFSET($H$3,0,0,'Données projet'!$E$9+1,1))</f>
        <v>681.47578137804555</v>
      </c>
      <c r="T74" s="59">
        <f t="shared" si="88"/>
        <v>300.88511065995885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7.3188765917538046</v>
      </c>
      <c r="AA74" s="21">
        <f>EXP(-LN(2)/25)*AA73+(1-EXP(-LN(2)/25))/(LN(2)/25)*Calculateur!V74*Calculateur!X74*VLOOKUP('Données projet'!$B$9,Paramètres!$A$1:$I$89,3,0)*0.475*44/12</f>
        <v>29.440164391855873</v>
      </c>
      <c r="AB74" s="21">
        <f>EXP(-LN(2)/2)*AB73+(1-EXP(-LN(2)/2))/(LN(2)/2)*V74*Y74*VLOOKUP('Données projet'!$B$9,Paramètres!$A$1:$I$89,3,0)*0.475*44/12</f>
        <v>0.90501754445234595</v>
      </c>
      <c r="AC74" s="22">
        <f t="shared" si="57"/>
        <v>37.664058528062029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-1.1368683772161603E-13</v>
      </c>
      <c r="AJ74" s="13">
        <f>AI74*VLOOKUP('Données projet'!$B$10,Paramètres!$A$1:$I$89,3,0)*VLOOKUP('Données projet'!$B$10,Paramètres!$A$1:$I$89,5,0)</f>
        <v>-8.8675733422860506E-14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217.53602321474159</v>
      </c>
      <c r="AO74" s="59">
        <f t="shared" si="90"/>
        <v>215.75909414893025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26.49279642059771</v>
      </c>
      <c r="AV74" s="21">
        <f>EXP(-LN(2)/25)*AV73+(1-EXP(-LN(2)/25))/(LN(2)/25)*Calculateur!AQ74*Calculateur!AS74*VLOOKUP('Données projet'!$B$10,Paramètres!$A$1:$I$89,3,0)*0.475*44/12</f>
        <v>25.674052936533041</v>
      </c>
      <c r="AW74" s="21">
        <f>EXP(-LN(2)/2)*AW73+(1-EXP(-LN(2)/2))/(LN(2)/2)*AQ74*AT74*VLOOKUP('Données projet'!$B$10,Paramètres!$A$1:$I$89,3,0)*0.475*44/12</f>
        <v>19.473083863231853</v>
      </c>
      <c r="AX74" s="21">
        <f t="shared" si="60"/>
        <v>71.639933220362607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3.4</v>
      </c>
      <c r="BD74" s="12">
        <f>IF('Données projet'!$A$88&gt;35,BD73+BC74-BL73,IF(A74&lt;'Données projet'!$A$88,$BA$205^A74,IF(A74='Données projet'!$A$88,'Données projet'!$B$88,BD73+BC74-BL73)))</f>
        <v>256.39999999999986</v>
      </c>
      <c r="BE74" s="13">
        <f>BD74*VLOOKUP('Données projet'!$B$11,Paramètres!$A$1:$I$89,3,0)*VLOOKUP('Données projet'!$B$11,Paramètres!$A$1:$I$89,5,0)</f>
        <v>171.99311999999992</v>
      </c>
      <c r="BF74" s="13">
        <f t="shared" si="91"/>
        <v>43.536112887452212</v>
      </c>
      <c r="BG74" s="20">
        <f t="shared" si="61"/>
        <v>375.3800806123125</v>
      </c>
      <c r="BH74" s="59">
        <f t="shared" si="62"/>
        <v>642.25276169036044</v>
      </c>
      <c r="BI74" s="59">
        <f ca="1">AVERAGE(OFFSET($BH$3,0,0,'Données projet'!$E$11+1,1))-AVERAGE(OFFSET($H$3,0,0,'Données projet'!$E$11+1,1))</f>
        <v>281.67293577289729</v>
      </c>
      <c r="BJ74" s="59">
        <f t="shared" si="92"/>
        <v>272.44904846480154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7.684372369821884</v>
      </c>
      <c r="BQ74" s="21">
        <f>EXP(-LN(2)/25)*BQ73+(1-EXP(-LN(2)/25))/(LN(2)/25)*Calculateur!BL74*Calculateur!BN74*VLOOKUP('Données projet'!$B$11,Paramètres!$A$1:$I$89,3,0)*0.475*44/12</f>
        <v>10.314156302942237</v>
      </c>
      <c r="BR74" s="21">
        <f>EXP(-LN(2)/2)*BR73+(1-EXP(-LN(2)/2))/(LN(2)/2)*BL74*BO74*VLOOKUP('Données projet'!$B$11,Paramètres!$A$1:$I$89,3,0)*0.475*44/12</f>
        <v>1.3888073159491874</v>
      </c>
      <c r="BS74" s="22">
        <f t="shared" si="63"/>
        <v>19.387335988713307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3.4</v>
      </c>
      <c r="BY74" s="12">
        <f>IF('Données projet'!$A$114&gt;35,BY73+BX74-CG73,IF(A74&lt;'Données projet'!$A$114,$BV$205^A74,IF(A74='Données projet'!$A$114,'Données projet'!$B$114,BY73+BX74-CG73)))</f>
        <v>256.39999999999986</v>
      </c>
      <c r="BZ74" s="13">
        <f>BY74*VLOOKUP('Données projet'!$B$12,Paramètres!$A$1:$I$89,3,0)*VLOOKUP('Données projet'!$B$12,Paramètres!$A$1:$I$89,5,0)</f>
        <v>223.99103999999991</v>
      </c>
      <c r="CA74" s="13">
        <f t="shared" si="93"/>
        <v>54.981408824201552</v>
      </c>
      <c r="CB74" s="20">
        <f t="shared" si="64"/>
        <v>485.87701503548419</v>
      </c>
      <c r="CC74" s="59">
        <f t="shared" si="65"/>
        <v>752.74969611353208</v>
      </c>
      <c r="CD74" s="59">
        <f ca="1">AVERAGE(OFFSET($CC$3,0,0,'Données projet'!$E$12+1,1))-AVERAGE(OFFSET($H$3,0,0,'Données projet'!$E$12+1,1))</f>
        <v>348.77506423101278</v>
      </c>
      <c r="CE74" s="59">
        <f t="shared" si="94"/>
        <v>336.13747591329548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10.007554714186639</v>
      </c>
      <c r="CL74" s="21">
        <f>EXP(-LN(2)/25)*CL73+(1-EXP(-LN(2)/25))/(LN(2)/25)*Calculateur!CG74*Calculateur!CI74*VLOOKUP('Données projet'!$B$12,Paramètres!$A$1:$I$89,3,0)*0.475*44/12</f>
        <v>13.432389603831751</v>
      </c>
      <c r="CM74" s="21">
        <f>EXP(-LN(2)/2)*CM73+(1-EXP(-LN(2)/2))/(LN(2)/2)*CG74*CJ74*VLOOKUP('Données projet'!$B$12,Paramètres!$A$1:$I$89,3,0)*0.475*44/12</f>
        <v>1.8086792951896391</v>
      </c>
      <c r="CN74" s="22">
        <f t="shared" si="66"/>
        <v>25.248623613208029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6.7437500000000021</v>
      </c>
      <c r="CT74" s="12">
        <f>IF('Données projet'!$A$140&gt;35,CT73+CS74-DB73,IF(A74&lt;'Données projet'!$A$140,$CQ$205^A74,IF(A74='Données projet'!$A$140,'Données projet'!$B$140,CT73+CS74-DB73)))</f>
        <v>162.0575</v>
      </c>
      <c r="CU74" s="17">
        <f>CT74*VLOOKUP('Données projet'!$B$13,Paramètres!$A$1:$I$89,3,0)*VLOOKUP('Données projet'!$B$13,Paramètres!$A$1:$I$89,5,0)</f>
        <v>156.74201400000001</v>
      </c>
      <c r="CV74" s="13">
        <f t="shared" si="95"/>
        <v>40.106790036678284</v>
      </c>
      <c r="CW74" s="20">
        <f t="shared" si="67"/>
        <v>342.84500036388135</v>
      </c>
      <c r="CX74" s="59">
        <f t="shared" si="68"/>
        <v>609.71768144192924</v>
      </c>
      <c r="CY74" s="59">
        <f ca="1">AVERAGE(OFFSET($CX$3,0,0,'Données projet'!$E$13+1,1))-AVERAGE(OFFSET($H$3,0,0,'Données projet'!$E$13+1,1))</f>
        <v>557.48193674339791</v>
      </c>
      <c r="CZ74" s="59">
        <f t="shared" si="96"/>
        <v>271.51396593253048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34.312415192012367</v>
      </c>
      <c r="DH74" s="21">
        <f>EXP(-LN(2)/2)*DH73+(1-EXP(-LN(2)/2))/(LN(2)/2)*DB74*DE74*VLOOKUP('Données projet'!$B$13,Paramètres!$A$1:$I$89,3,0)*0.475*44/12</f>
        <v>4.1467992197297452</v>
      </c>
      <c r="DI74" s="22">
        <f t="shared" si="69"/>
        <v>38.45921441174211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6.7437500000000021</v>
      </c>
      <c r="DO74" s="12">
        <f>IF('Données projet'!$A$166&gt;35,DO73+DN74-DW73,IF(A74&lt;'Données projet'!$A$166,$DL$205^A74,IF(A74='Données projet'!$A$166,'Données projet'!$B$166,DO73+DN74-DW73)))</f>
        <v>162.0575</v>
      </c>
      <c r="DP74" s="17">
        <f>DO74*VLOOKUP('Données projet'!$B$14,Paramètres!$A$1:$I$89,3,0)*VLOOKUP('Données projet'!$B$14,Paramètres!$A$1:$I$89,5,0)</f>
        <v>174.438693</v>
      </c>
      <c r="DQ74" s="13">
        <f t="shared" si="97"/>
        <v>44.082646976261096</v>
      </c>
      <c r="DR74" s="20">
        <f t="shared" si="70"/>
        <v>380.59133379198806</v>
      </c>
      <c r="DS74" s="59">
        <f t="shared" si="71"/>
        <v>647.46401487003595</v>
      </c>
      <c r="DT74" s="59">
        <f ca="1">AVERAGE(OFFSET($DS$3,0,0,'Données projet'!$E$14+1,1))-AVERAGE(OFFSET($H$3,0,0,'Données projet'!$E$14+1,1))</f>
        <v>610.05768948788375</v>
      </c>
      <c r="DU74" s="59">
        <f t="shared" si="98"/>
        <v>295.23928902444845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38.186397552400855</v>
      </c>
      <c r="EC74" s="21">
        <f>EXP(-LN(2)/2)*EC73+(1-EXP(-LN(2)/2))/(LN(2)/2)*DW74*DZ74*VLOOKUP('Données projet'!$B$14,Paramètres!$A$1:$I$89,3,0)*0.475*44/12</f>
        <v>4.6149862284089096</v>
      </c>
      <c r="ED74" s="22">
        <f t="shared" si="72"/>
        <v>42.801383780809765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9.733749999999997</v>
      </c>
      <c r="N75" s="13">
        <f>IF('Données projet'!$A$36&gt;35,N74+M75-V74,IF(A75&lt;'Données projet'!$A$36,$K$205^A75,IF(A75='Données projet'!$A$36,'Données projet'!$B$36,N74+M75-V74)))</f>
        <v>291.49250000000029</v>
      </c>
      <c r="O75" s="13">
        <f>N75*VLOOKUP('Données projet'!$B$9,Paramètres!$A$1:$I$89,3,0)*VLOOKUP('Données projet'!$B$9,Paramètres!$A$1:$I$89,5,0)</f>
        <v>263.74241400000022</v>
      </c>
      <c r="P75" s="13">
        <f t="shared" si="87"/>
        <v>63.519444659628142</v>
      </c>
      <c r="Q75" s="20">
        <f t="shared" si="54"/>
        <v>569.98107049885277</v>
      </c>
      <c r="R75" s="59">
        <f t="shared" si="55"/>
        <v>837.31278473637394</v>
      </c>
      <c r="S75" s="59">
        <f ca="1">AVERAGE(OFFSET($R$3,0,0,'Données projet'!$E$9+1,1))-AVERAGE(OFFSET($H$3,0,0,'Données projet'!$E$9+1,1))</f>
        <v>681.47578137804555</v>
      </c>
      <c r="T75" s="59">
        <f t="shared" si="88"/>
        <v>300.88511065995885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7.175357885863443</v>
      </c>
      <c r="AA75" s="21">
        <f>EXP(-LN(2)/25)*AA74+(1-EXP(-LN(2)/25))/(LN(2)/25)*Calculateur!V75*Calculateur!X75*VLOOKUP('Données projet'!$B$9,Paramètres!$A$1:$I$89,3,0)*0.475*44/12</f>
        <v>28.635121548369614</v>
      </c>
      <c r="AB75" s="21">
        <f>EXP(-LN(2)/2)*AB74+(1-EXP(-LN(2)/2))/(LN(2)/2)*V75*Y75*VLOOKUP('Données projet'!$B$9,Paramètres!$A$1:$I$89,3,0)*0.475*44/12</f>
        <v>0.63994404277505157</v>
      </c>
      <c r="AC75" s="22">
        <f t="shared" si="57"/>
        <v>36.450423477008108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-1.1368683772161603E-13</v>
      </c>
      <c r="AJ75" s="13">
        <f>AI75*VLOOKUP('Données projet'!$B$10,Paramètres!$A$1:$I$89,3,0)*VLOOKUP('Données projet'!$B$10,Paramètres!$A$1:$I$89,5,0)</f>
        <v>-8.8675733422860506E-14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217.53602321474159</v>
      </c>
      <c r="AO75" s="59">
        <f t="shared" si="90"/>
        <v>215.75909414893025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25.973288841800034</v>
      </c>
      <c r="AV75" s="21">
        <f>EXP(-LN(2)/25)*AV74+(1-EXP(-LN(2)/25))/(LN(2)/25)*Calculateur!AQ75*Calculateur!AS75*VLOOKUP('Données projet'!$B$10,Paramètres!$A$1:$I$89,3,0)*0.475*44/12</f>
        <v>24.971994608843779</v>
      </c>
      <c r="AW75" s="21">
        <f>EXP(-LN(2)/2)*AW74+(1-EXP(-LN(2)/2))/(LN(2)/2)*AQ75*AT75*VLOOKUP('Données projet'!$B$10,Paramètres!$A$1:$I$89,3,0)*0.475*44/12</f>
        <v>13.769549650305576</v>
      </c>
      <c r="AX75" s="21">
        <f t="shared" si="60"/>
        <v>64.714833100949392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3.4</v>
      </c>
      <c r="BD75" s="12">
        <f>IF('Données projet'!$A$88&gt;35,BD74+BC75-BL74,IF(A75&lt;'Données projet'!$A$88,$BA$205^A75,IF(A75='Données projet'!$A$88,'Données projet'!$B$88,BD74+BC75-BL74)))</f>
        <v>259.79999999999984</v>
      </c>
      <c r="BE75" s="13">
        <f>BD75*VLOOKUP('Données projet'!$B$11,Paramètres!$A$1:$I$89,3,0)*VLOOKUP('Données projet'!$B$11,Paramètres!$A$1:$I$89,5,0)</f>
        <v>174.27383999999989</v>
      </c>
      <c r="BF75" s="13">
        <f t="shared" si="91"/>
        <v>44.045833968961681</v>
      </c>
      <c r="BG75" s="20">
        <f t="shared" si="61"/>
        <v>380.24009882927476</v>
      </c>
      <c r="BH75" s="59">
        <f t="shared" si="62"/>
        <v>647.57181306679581</v>
      </c>
      <c r="BI75" s="59">
        <f ca="1">AVERAGE(OFFSET($BH$3,0,0,'Données projet'!$E$11+1,1))-AVERAGE(OFFSET($H$3,0,0,'Données projet'!$E$11+1,1))</f>
        <v>281.67293577289729</v>
      </c>
      <c r="BJ75" s="59">
        <f t="shared" si="92"/>
        <v>272.44904846480154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7.5336865146540193</v>
      </c>
      <c r="BQ75" s="21">
        <f>EXP(-LN(2)/25)*BQ74+(1-EXP(-LN(2)/25))/(LN(2)/25)*Calculateur!BL75*Calculateur!BN75*VLOOKUP('Données projet'!$B$11,Paramètres!$A$1:$I$89,3,0)*0.475*44/12</f>
        <v>10.032115156440375</v>
      </c>
      <c r="BR75" s="21">
        <f>EXP(-LN(2)/2)*BR74+(1-EXP(-LN(2)/2))/(LN(2)/2)*BL75*BO75*VLOOKUP('Données projet'!$B$11,Paramètres!$A$1:$I$89,3,0)*0.475*44/12</f>
        <v>0.98203507086915853</v>
      </c>
      <c r="BS75" s="22">
        <f t="shared" si="63"/>
        <v>18.547836741963554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3.4</v>
      </c>
      <c r="BY75" s="12">
        <f>IF('Données projet'!$A$114&gt;35,BY74+BX75-CG74,IF(A75&lt;'Données projet'!$A$114,$BV$205^A75,IF(A75='Données projet'!$A$114,'Données projet'!$B$114,BY74+BX75-CG74)))</f>
        <v>259.79999999999984</v>
      </c>
      <c r="BZ75" s="13">
        <f>BY75*VLOOKUP('Données projet'!$B$12,Paramètres!$A$1:$I$89,3,0)*VLOOKUP('Données projet'!$B$12,Paramètres!$A$1:$I$89,5,0)</f>
        <v>226.96127999999987</v>
      </c>
      <c r="CA75" s="13">
        <f t="shared" si="93"/>
        <v>55.625131501998617</v>
      </c>
      <c r="CB75" s="20">
        <f t="shared" si="64"/>
        <v>492.17133336598067</v>
      </c>
      <c r="CC75" s="59">
        <f t="shared" si="65"/>
        <v>759.50304760350173</v>
      </c>
      <c r="CD75" s="59">
        <f ca="1">AVERAGE(OFFSET($CC$3,0,0,'Données projet'!$E$12+1,1))-AVERAGE(OFFSET($H$3,0,0,'Données projet'!$E$12+1,1))</f>
        <v>348.77506423101278</v>
      </c>
      <c r="CE75" s="59">
        <f t="shared" si="94"/>
        <v>336.13747591329548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9.8113126702470943</v>
      </c>
      <c r="CL75" s="21">
        <f>EXP(-LN(2)/25)*CL74+(1-EXP(-LN(2)/25))/(LN(2)/25)*Calculateur!CG75*Calculateur!CI75*VLOOKUP('Données projet'!$B$12,Paramètres!$A$1:$I$89,3,0)*0.475*44/12</f>
        <v>13.065080203736303</v>
      </c>
      <c r="CM75" s="21">
        <f>EXP(-LN(2)/2)*CM74+(1-EXP(-LN(2)/2))/(LN(2)/2)*CG75*CJ75*VLOOKUP('Données projet'!$B$12,Paramètres!$A$1:$I$89,3,0)*0.475*44/12</f>
        <v>1.2789293946202993</v>
      </c>
      <c r="CN75" s="22">
        <f t="shared" si="66"/>
        <v>24.155322268603697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6.7437500000000021</v>
      </c>
      <c r="CT75" s="12">
        <f>IF('Données projet'!$A$140&gt;35,CT74+CS75-DB74,IF(A75&lt;'Données projet'!$A$140,$CQ$205^A75,IF(A75='Données projet'!$A$140,'Données projet'!$B$140,CT74+CS75-DB74)))</f>
        <v>168.80125000000001</v>
      </c>
      <c r="CU75" s="17">
        <f>CT75*VLOOKUP('Données projet'!$B$13,Paramètres!$A$1:$I$89,3,0)*VLOOKUP('Données projet'!$B$13,Paramètres!$A$1:$I$89,5,0)</f>
        <v>163.26456900000002</v>
      </c>
      <c r="CV75" s="13">
        <f t="shared" si="95"/>
        <v>41.577980240014099</v>
      </c>
      <c r="CW75" s="20">
        <f t="shared" si="67"/>
        <v>356.76743992635789</v>
      </c>
      <c r="CX75" s="59">
        <f t="shared" si="68"/>
        <v>624.09915416387901</v>
      </c>
      <c r="CY75" s="59">
        <f ca="1">AVERAGE(OFFSET($CX$3,0,0,'Données projet'!$E$13+1,1))-AVERAGE(OFFSET($H$3,0,0,'Données projet'!$E$13+1,1))</f>
        <v>557.48193674339791</v>
      </c>
      <c r="CZ75" s="59">
        <f t="shared" si="96"/>
        <v>271.51396593253048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33.374140394175292</v>
      </c>
      <c r="DH75" s="21">
        <f>EXP(-LN(2)/2)*DH74+(1-EXP(-LN(2)/2))/(LN(2)/2)*DB75*DE75*VLOOKUP('Données projet'!$B$13,Paramètres!$A$1:$I$89,3,0)*0.475*44/12</f>
        <v>2.9322298484899871</v>
      </c>
      <c r="DI75" s="22">
        <f t="shared" si="69"/>
        <v>36.306370242665281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6.7437500000000021</v>
      </c>
      <c r="DO75" s="12">
        <f>IF('Données projet'!$A$166&gt;35,DO74+DN75-DW74,IF(A75&lt;'Données projet'!$A$166,$DL$205^A75,IF(A75='Données projet'!$A$166,'Données projet'!$B$166,DO74+DN75-DW74)))</f>
        <v>168.80125000000001</v>
      </c>
      <c r="DP75" s="17">
        <f>DO75*VLOOKUP('Données projet'!$B$14,Paramètres!$A$1:$I$89,3,0)*VLOOKUP('Données projet'!$B$14,Paramètres!$A$1:$I$89,5,0)</f>
        <v>181.69766550000003</v>
      </c>
      <c r="DQ75" s="13">
        <f t="shared" si="97"/>
        <v>45.699678863113078</v>
      </c>
      <c r="DR75" s="20">
        <f t="shared" si="70"/>
        <v>396.05037476575535</v>
      </c>
      <c r="DS75" s="59">
        <f t="shared" si="71"/>
        <v>663.38208900327641</v>
      </c>
      <c r="DT75" s="59">
        <f ca="1">AVERAGE(OFFSET($DS$3,0,0,'Données projet'!$E$14+1,1))-AVERAGE(OFFSET($H$3,0,0,'Données projet'!$E$14+1,1))</f>
        <v>610.05768948788375</v>
      </c>
      <c r="DU75" s="59">
        <f t="shared" si="98"/>
        <v>295.23928902444845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37.142188503195079</v>
      </c>
      <c r="EC75" s="21">
        <f>EXP(-LN(2)/2)*EC74+(1-EXP(-LN(2)/2))/(LN(2)/2)*DW75*DZ75*VLOOKUP('Données projet'!$B$14,Paramètres!$A$1:$I$89,3,0)*0.475*44/12</f>
        <v>3.2632880571904694</v>
      </c>
      <c r="ED75" s="22">
        <f t="shared" si="72"/>
        <v>40.405476560385551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9.733749999999997</v>
      </c>
      <c r="N76" s="13">
        <f>IF('Données projet'!$A$36&gt;35,N75+M76-V75,IF(A76&lt;'Données projet'!$A$36,$K$205^A76,IF(A76='Données projet'!$A$36,'Données projet'!$B$36,N75+M76-V75)))</f>
        <v>301.22625000000028</v>
      </c>
      <c r="O76" s="13">
        <f>N76*VLOOKUP('Données projet'!$B$9,Paramètres!$A$1:$I$89,3,0)*VLOOKUP('Données projet'!$B$9,Paramètres!$A$1:$I$89,5,0)</f>
        <v>272.54951100000028</v>
      </c>
      <c r="P76" s="13">
        <f t="shared" si="87"/>
        <v>65.390043555628168</v>
      </c>
      <c r="Q76" s="20">
        <f t="shared" si="54"/>
        <v>588.57805751771946</v>
      </c>
      <c r="R76" s="59">
        <f t="shared" si="55"/>
        <v>856.3608417156413</v>
      </c>
      <c r="S76" s="59">
        <f ca="1">AVERAGE(OFFSET($R$3,0,0,'Données projet'!$E$9+1,1))-AVERAGE(OFFSET($H$3,0,0,'Données projet'!$E$9+1,1))</f>
        <v>681.47578137804555</v>
      </c>
      <c r="T76" s="59">
        <f t="shared" si="88"/>
        <v>300.88511065995885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7.0346534942578245</v>
      </c>
      <c r="AA76" s="21">
        <f>EXP(-LN(2)/25)*AA75+(1-EXP(-LN(2)/25))/(LN(2)/25)*Calculateur!V76*Calculateur!X76*VLOOKUP('Données projet'!$B$9,Paramètres!$A$1:$I$89,3,0)*0.475*44/12</f>
        <v>27.852092643773851</v>
      </c>
      <c r="AB76" s="21">
        <f>EXP(-LN(2)/2)*AB75+(1-EXP(-LN(2)/2))/(LN(2)/2)*V76*Y76*VLOOKUP('Données projet'!$B$9,Paramètres!$A$1:$I$89,3,0)*0.475*44/12</f>
        <v>0.45250877222617303</v>
      </c>
      <c r="AC76" s="22">
        <f t="shared" si="57"/>
        <v>35.33925491025785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-1.1368683772161603E-13</v>
      </c>
      <c r="AJ76" s="13">
        <f>AI76*VLOOKUP('Données projet'!$B$10,Paramètres!$A$1:$I$89,3,0)*VLOOKUP('Données projet'!$B$10,Paramètres!$A$1:$I$89,5,0)</f>
        <v>-8.8675733422860506E-14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217.53602321474159</v>
      </c>
      <c r="AO76" s="59">
        <f t="shared" si="90"/>
        <v>215.75909414893025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25.463968489754247</v>
      </c>
      <c r="AV76" s="21">
        <f>EXP(-LN(2)/25)*AV75+(1-EXP(-LN(2)/25))/(LN(2)/25)*Calculateur!AQ76*Calculateur!AS76*VLOOKUP('Données projet'!$B$10,Paramètres!$A$1:$I$89,3,0)*0.475*44/12</f>
        <v>24.289134103044823</v>
      </c>
      <c r="AW76" s="21">
        <f>EXP(-LN(2)/2)*AW75+(1-EXP(-LN(2)/2))/(LN(2)/2)*AQ76*AT76*VLOOKUP('Données projet'!$B$10,Paramètres!$A$1:$I$89,3,0)*0.475*44/12</f>
        <v>9.7365419316159283</v>
      </c>
      <c r="AX76" s="21">
        <f t="shared" si="60"/>
        <v>59.489644524414999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3.4</v>
      </c>
      <c r="BD76" s="12">
        <f>IF('Données projet'!$A$88&gt;35,BD75+BC76-BL75,IF(A76&lt;'Données projet'!$A$88,$BA$205^A76,IF(A76='Données projet'!$A$88,'Données projet'!$B$88,BD75+BC76-BL75)))</f>
        <v>263.19999999999982</v>
      </c>
      <c r="BE76" s="13">
        <f>BD76*VLOOKUP('Données projet'!$B$11,Paramètres!$A$1:$I$89,3,0)*VLOOKUP('Données projet'!$B$11,Paramètres!$A$1:$I$89,5,0)</f>
        <v>176.55455999999987</v>
      </c>
      <c r="BF76" s="13">
        <f t="shared" si="91"/>
        <v>44.554779146969786</v>
      </c>
      <c r="BG76" s="20">
        <f t="shared" si="61"/>
        <v>385.09876568097212</v>
      </c>
      <c r="BH76" s="59">
        <f t="shared" si="62"/>
        <v>652.88154987889391</v>
      </c>
      <c r="BI76" s="59">
        <f ca="1">AVERAGE(OFFSET($BH$3,0,0,'Données projet'!$E$11+1,1))-AVERAGE(OFFSET($H$3,0,0,'Données projet'!$E$11+1,1))</f>
        <v>281.67293577289729</v>
      </c>
      <c r="BJ76" s="59">
        <f t="shared" si="92"/>
        <v>272.44904846480154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7.3859555171966997</v>
      </c>
      <c r="BQ76" s="21">
        <f>EXP(-LN(2)/25)*BQ75+(1-EXP(-LN(2)/25))/(LN(2)/25)*Calculateur!BL76*Calculateur!BN76*VLOOKUP('Données projet'!$B$11,Paramètres!$A$1:$I$89,3,0)*0.475*44/12</f>
        <v>9.7577864399215049</v>
      </c>
      <c r="BR76" s="21">
        <f>EXP(-LN(2)/2)*BR75+(1-EXP(-LN(2)/2))/(LN(2)/2)*BL76*BO76*VLOOKUP('Données projet'!$B$11,Paramètres!$A$1:$I$89,3,0)*0.475*44/12</f>
        <v>0.6944036579745938</v>
      </c>
      <c r="BS76" s="22">
        <f t="shared" si="63"/>
        <v>17.838145615092799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3.4</v>
      </c>
      <c r="BY76" s="12">
        <f>IF('Données projet'!$A$114&gt;35,BY75+BX76-CG75,IF(A76&lt;'Données projet'!$A$114,$BV$205^A76,IF(A76='Données projet'!$A$114,'Données projet'!$B$114,BY75+BX76-CG75)))</f>
        <v>263.19999999999982</v>
      </c>
      <c r="BZ76" s="13">
        <f>BY76*VLOOKUP('Données projet'!$B$12,Paramètres!$A$1:$I$89,3,0)*VLOOKUP('Données projet'!$B$12,Paramètres!$A$1:$I$89,5,0)</f>
        <v>229.93151999999986</v>
      </c>
      <c r="CA76" s="13">
        <f t="shared" si="93"/>
        <v>56.26787429746841</v>
      </c>
      <c r="CB76" s="20">
        <f t="shared" si="64"/>
        <v>498.4639450680906</v>
      </c>
      <c r="CC76" s="59">
        <f t="shared" si="65"/>
        <v>766.24672926601238</v>
      </c>
      <c r="CD76" s="59">
        <f ca="1">AVERAGE(OFFSET($CC$3,0,0,'Données projet'!$E$12+1,1))-AVERAGE(OFFSET($H$3,0,0,'Données projet'!$E$12+1,1))</f>
        <v>348.77506423101278</v>
      </c>
      <c r="CE76" s="59">
        <f t="shared" si="94"/>
        <v>336.13747591329548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9.6189188130933765</v>
      </c>
      <c r="CL76" s="21">
        <f>EXP(-LN(2)/25)*CL75+(1-EXP(-LN(2)/25))/(LN(2)/25)*Calculateur!CG76*Calculateur!CI76*VLOOKUP('Données projet'!$B$12,Paramètres!$A$1:$I$89,3,0)*0.475*44/12</f>
        <v>12.707814898502425</v>
      </c>
      <c r="CM76" s="21">
        <f>EXP(-LN(2)/2)*CM75+(1-EXP(-LN(2)/2))/(LN(2)/2)*CG76*CJ76*VLOOKUP('Données projet'!$B$12,Paramètres!$A$1:$I$89,3,0)*0.475*44/12</f>
        <v>0.90433964759481977</v>
      </c>
      <c r="CN76" s="22">
        <f t="shared" si="66"/>
        <v>23.231073359190621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6.7437500000000021</v>
      </c>
      <c r="CT76" s="12">
        <f>IF('Données projet'!$A$140&gt;35,CT75+CS76-DB75,IF(A76&lt;'Données projet'!$A$140,$CQ$205^A76,IF(A76='Données projet'!$A$140,'Données projet'!$B$140,CT75+CS76-DB75)))</f>
        <v>175.54500000000002</v>
      </c>
      <c r="CU76" s="17">
        <f>CT76*VLOOKUP('Données projet'!$B$13,Paramètres!$A$1:$I$89,3,0)*VLOOKUP('Données projet'!$B$13,Paramètres!$A$1:$I$89,5,0)</f>
        <v>169.78712400000001</v>
      </c>
      <c r="CV76" s="13">
        <f t="shared" si="95"/>
        <v>43.042342966500492</v>
      </c>
      <c r="CW76" s="20">
        <f t="shared" si="67"/>
        <v>370.67798829998833</v>
      </c>
      <c r="CX76" s="59">
        <f t="shared" si="68"/>
        <v>638.46077249791006</v>
      </c>
      <c r="CY76" s="59">
        <f ca="1">AVERAGE(OFFSET($CX$3,0,0,'Données projet'!$E$13+1,1))-AVERAGE(OFFSET($H$3,0,0,'Données projet'!$E$13+1,1))</f>
        <v>557.48193674339791</v>
      </c>
      <c r="CZ76" s="59">
        <f t="shared" si="96"/>
        <v>271.51396593253048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32.461522770026804</v>
      </c>
      <c r="DH76" s="21">
        <f>EXP(-LN(2)/2)*DH75+(1-EXP(-LN(2)/2))/(LN(2)/2)*DB76*DE76*VLOOKUP('Données projet'!$B$13,Paramètres!$A$1:$I$89,3,0)*0.475*44/12</f>
        <v>2.073399609864873</v>
      </c>
      <c r="DI76" s="22">
        <f t="shared" si="69"/>
        <v>34.534922379891675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6.7437500000000021</v>
      </c>
      <c r="DO76" s="12">
        <f>IF('Données projet'!$A$166&gt;35,DO75+DN76-DW75,IF(A76&lt;'Données projet'!$A$166,$DL$205^A76,IF(A76='Données projet'!$A$166,'Données projet'!$B$166,DO75+DN76-DW75)))</f>
        <v>175.54500000000002</v>
      </c>
      <c r="DP76" s="17">
        <f>DO76*VLOOKUP('Données projet'!$B$14,Paramètres!$A$1:$I$89,3,0)*VLOOKUP('Données projet'!$B$14,Paramètres!$A$1:$I$89,5,0)</f>
        <v>188.95663800000003</v>
      </c>
      <c r="DQ76" s="13">
        <f t="shared" si="97"/>
        <v>47.309206453275664</v>
      </c>
      <c r="DR76" s="20">
        <f t="shared" si="70"/>
        <v>411.4963457561218</v>
      </c>
      <c r="DS76" s="59">
        <f t="shared" si="71"/>
        <v>679.27912995404358</v>
      </c>
      <c r="DT76" s="59">
        <f ca="1">AVERAGE(OFFSET($DS$3,0,0,'Données projet'!$E$14+1,1))-AVERAGE(OFFSET($H$3,0,0,'Données projet'!$E$14+1,1))</f>
        <v>610.05768948788375</v>
      </c>
      <c r="DU76" s="59">
        <f t="shared" si="98"/>
        <v>295.23928902444845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36.126533405352404</v>
      </c>
      <c r="EC76" s="21">
        <f>EXP(-LN(2)/2)*EC75+(1-EXP(-LN(2)/2))/(LN(2)/2)*DW76*DZ76*VLOOKUP('Données projet'!$B$14,Paramètres!$A$1:$I$89,3,0)*0.475*44/12</f>
        <v>2.3074931142044552</v>
      </c>
      <c r="ED76" s="22">
        <f t="shared" si="72"/>
        <v>38.434026519556859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310.95999999999998</v>
      </c>
      <c r="L77" s="12">
        <f>VLOOKUP(A77,'Données projet'!$A$35:$I$55,9,0)</f>
        <v>9.733749999999997</v>
      </c>
      <c r="M77" s="12">
        <f t="array" ref="M77">INDEX(L:L,MIN(IF(ISNUMBER(L77:L273),ROW(L77:L273),"")))</f>
        <v>9.733749999999997</v>
      </c>
      <c r="N77" s="13">
        <f>IF('Données projet'!$A$36&gt;35,N76+M77-V76,IF(A77&lt;'Données projet'!$A$36,$K$205^A77,IF(A77='Données projet'!$A$36,'Données projet'!$B$36,N76+M77-V76)))</f>
        <v>310.96000000000026</v>
      </c>
      <c r="O77" s="13">
        <f>N77*VLOOKUP('Données projet'!$B$9,Paramètres!$A$1:$I$89,3,0)*VLOOKUP('Données projet'!$B$9,Paramètres!$A$1:$I$89,5,0)</f>
        <v>281.35660800000022</v>
      </c>
      <c r="P77" s="13">
        <f t="shared" si="87"/>
        <v>67.253618453644265</v>
      </c>
      <c r="Q77" s="20">
        <f t="shared" si="54"/>
        <v>607.16281107343082</v>
      </c>
      <c r="R77" s="59">
        <f t="shared" si="55"/>
        <v>875.38884017638168</v>
      </c>
      <c r="S77" s="59">
        <f ca="1">AVERAGE(OFFSET($R$3,0,0,'Données projet'!$E$9+1,1))-AVERAGE(OFFSET($H$3,0,0,'Données projet'!$E$9+1,1))</f>
        <v>681.47578137804555</v>
      </c>
      <c r="T77" s="59">
        <f t="shared" si="88"/>
        <v>300.88511065995885</v>
      </c>
      <c r="U77" s="15">
        <f>IF(ISNA(VLOOKUP(A77,'Données projet'!$A$35:$I$55,3,0)),0,VLOOKUP(A77,'Données projet'!$A$35:$I$55,3,0))</f>
        <v>5</v>
      </c>
      <c r="V77" s="15">
        <f>IF(ISNA(VLOOKUP(A77,'Données projet'!$A$35:$I$55,4,0)),0,VLOOKUP(A77,'Données projet'!$A$35:$I$55,4,0))</f>
        <v>51.339999999999975</v>
      </c>
      <c r="W77" s="16">
        <f>IF(ISNA(VLOOKUP(A77,'Données projet'!$A$35:$I$55,5,0)),0%,VLOOKUP(A77,'Données projet'!$A$35:$I$55,5,0)*VLOOKUP('Données projet'!$B$9,Paramètres!$A$1:$I$89,7,0))</f>
        <v>0.15049999999999999</v>
      </c>
      <c r="X77" s="16">
        <f>IF(ISNA(VLOOKUP(A77,'Données projet'!$A$35:$I$55,6,0)),0%,VLOOKUP(A77,'Données projet'!$A$35:$I$55,6,0)*VLOOKUP('Données projet'!$B$9,Paramètres!$A$1:$I$89,7,0))</f>
        <v>8.6000000000000007E-2</v>
      </c>
      <c r="Y77" s="16">
        <f>IF(ISNA(VLOOKUP(A77,'Données projet'!$A$35:$I$55,7,0)),0%,VLOOKUP(A77,'Données projet'!$A$35:$I$55,7,0))</f>
        <v>0.1</v>
      </c>
      <c r="Z77" s="21">
        <f>EXP(-LN(2)/35)*Z76+(1-EXP(-LN(2)/35))/(LN(2)/35)*V77*W77*VLOOKUP('Données projet'!$B$9,Paramètres!$A$1:$I$89,3,0)*0.475*44/12</f>
        <v>14.625152268757301</v>
      </c>
      <c r="AA77" s="21">
        <f>EXP(-LN(2)/25)*AA76+(1-EXP(-LN(2)/25))/(LN(2)/25)*Calculateur!V77*Calculateur!X77*VLOOKUP('Données projet'!$B$9,Paramètres!$A$1:$I$89,3,0)*0.475*44/12</f>
        <v>31.489340968528012</v>
      </c>
      <c r="AB77" s="21">
        <f>EXP(-LN(2)/2)*AB76+(1-EXP(-LN(2)/2))/(LN(2)/2)*V77*Y77*VLOOKUP('Données projet'!$B$9,Paramètres!$A$1:$I$89,3,0)*0.475*44/12</f>
        <v>4.7028840054751821</v>
      </c>
      <c r="AC77" s="22">
        <f t="shared" si="57"/>
        <v>50.8173772427605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-1.1368683772161603E-13</v>
      </c>
      <c r="AJ77" s="13">
        <f>AI77*VLOOKUP('Données projet'!$B$10,Paramètres!$A$1:$I$89,3,0)*VLOOKUP('Données projet'!$B$10,Paramètres!$A$1:$I$89,5,0)</f>
        <v>-8.8675733422860506E-14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217.53602321474159</v>
      </c>
      <c r="AO77" s="59">
        <f t="shared" si="90"/>
        <v>215.75909414893025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24.964635599157337</v>
      </c>
      <c r="AV77" s="21">
        <f>EXP(-LN(2)/25)*AV76+(1-EXP(-LN(2)/25))/(LN(2)/25)*Calculateur!AQ77*Calculateur!AS77*VLOOKUP('Données projet'!$B$10,Paramètres!$A$1:$I$89,3,0)*0.475*44/12</f>
        <v>23.624946453687013</v>
      </c>
      <c r="AW77" s="21">
        <f>EXP(-LN(2)/2)*AW76+(1-EXP(-LN(2)/2))/(LN(2)/2)*AQ77*AT77*VLOOKUP('Données projet'!$B$10,Paramètres!$A$1:$I$89,3,0)*0.475*44/12</f>
        <v>6.8847748251527898</v>
      </c>
      <c r="AX77" s="21">
        <f t="shared" si="60"/>
        <v>55.474356877997138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3.4</v>
      </c>
      <c r="BD77" s="12">
        <f>IF('Données projet'!$A$88&gt;35,BD76+BC77-BL76,IF(A77&lt;'Données projet'!$A$88,$BA$205^A77,IF(A77='Données projet'!$A$88,'Données projet'!$B$88,BD76+BC77-BL76)))</f>
        <v>266.5999999999998</v>
      </c>
      <c r="BE77" s="13">
        <f>BD77*VLOOKUP('Données projet'!$B$11,Paramètres!$A$1:$I$89,3,0)*VLOOKUP('Données projet'!$B$11,Paramètres!$A$1:$I$89,5,0)</f>
        <v>178.83527999999987</v>
      </c>
      <c r="BF77" s="13">
        <f t="shared" si="91"/>
        <v>45.062959603448384</v>
      </c>
      <c r="BG77" s="20">
        <f t="shared" si="61"/>
        <v>389.95610064267231</v>
      </c>
      <c r="BH77" s="59">
        <f t="shared" si="62"/>
        <v>658.18212974562312</v>
      </c>
      <c r="BI77" s="59">
        <f ca="1">AVERAGE(OFFSET($BH$3,0,0,'Données projet'!$E$11+1,1))-AVERAGE(OFFSET($H$3,0,0,'Données projet'!$E$11+1,1))</f>
        <v>281.67293577289729</v>
      </c>
      <c r="BJ77" s="59">
        <f t="shared" si="92"/>
        <v>272.44904846480154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7.2411214344925074</v>
      </c>
      <c r="BQ77" s="21">
        <f>EXP(-LN(2)/25)*BQ76+(1-EXP(-LN(2)/25))/(LN(2)/25)*Calculateur!BL77*Calculateur!BN77*VLOOKUP('Données projet'!$B$11,Paramètres!$A$1:$I$89,3,0)*0.475*44/12</f>
        <v>9.4909592565821637</v>
      </c>
      <c r="BR77" s="21">
        <f>EXP(-LN(2)/2)*BR76+(1-EXP(-LN(2)/2))/(LN(2)/2)*BL77*BO77*VLOOKUP('Données projet'!$B$11,Paramètres!$A$1:$I$89,3,0)*0.475*44/12</f>
        <v>0.49101753543457932</v>
      </c>
      <c r="BS77" s="22">
        <f t="shared" si="63"/>
        <v>17.223098226509251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3.4</v>
      </c>
      <c r="BY77" s="12">
        <f>IF('Données projet'!$A$114&gt;35,BY76+BX77-CG76,IF(A77&lt;'Données projet'!$A$114,$BV$205^A77,IF(A77='Données projet'!$A$114,'Données projet'!$B$114,BY76+BX77-CG76)))</f>
        <v>266.5999999999998</v>
      </c>
      <c r="BZ77" s="13">
        <f>BY77*VLOOKUP('Données projet'!$B$12,Paramètres!$A$1:$I$89,3,0)*VLOOKUP('Données projet'!$B$12,Paramètres!$A$1:$I$89,5,0)</f>
        <v>232.90175999999985</v>
      </c>
      <c r="CA77" s="13">
        <f t="shared" si="93"/>
        <v>56.909651332233778</v>
      </c>
      <c r="CB77" s="20">
        <f t="shared" si="64"/>
        <v>504.75487473697353</v>
      </c>
      <c r="CC77" s="59">
        <f t="shared" si="65"/>
        <v>772.98090383992439</v>
      </c>
      <c r="CD77" s="59">
        <f ca="1">AVERAGE(OFFSET($CC$3,0,0,'Données projet'!$E$12+1,1))-AVERAGE(OFFSET($H$3,0,0,'Données projet'!$E$12+1,1))</f>
        <v>348.77506423101278</v>
      </c>
      <c r="CE77" s="59">
        <f t="shared" si="94"/>
        <v>336.13747591329548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9.4302976821297779</v>
      </c>
      <c r="CL77" s="21">
        <f>EXP(-LN(2)/25)*CL76+(1-EXP(-LN(2)/25))/(LN(2)/25)*Calculateur!CG77*Calculateur!CI77*VLOOKUP('Données projet'!$B$12,Paramètres!$A$1:$I$89,3,0)*0.475*44/12</f>
        <v>12.360319031827935</v>
      </c>
      <c r="CM77" s="21">
        <f>EXP(-LN(2)/2)*CM76+(1-EXP(-LN(2)/2))/(LN(2)/2)*CG77*CJ77*VLOOKUP('Données projet'!$B$12,Paramètres!$A$1:$I$89,3,0)*0.475*44/12</f>
        <v>0.63946469731014977</v>
      </c>
      <c r="CN77" s="22">
        <f t="shared" si="66"/>
        <v>22.43008141126786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6.7437500000000021</v>
      </c>
      <c r="CT77" s="12">
        <f>IF('Données projet'!$A$140&gt;35,CT76+CS77-DB76,IF(A77&lt;'Données projet'!$A$140,$CQ$205^A77,IF(A77='Données projet'!$A$140,'Données projet'!$B$140,CT76+CS77-DB76)))</f>
        <v>182.28875000000002</v>
      </c>
      <c r="CU77" s="17">
        <f>CT77*VLOOKUP('Données projet'!$B$13,Paramètres!$A$1:$I$89,3,0)*VLOOKUP('Données projet'!$B$13,Paramètres!$A$1:$I$89,5,0)</f>
        <v>176.30967900000002</v>
      </c>
      <c r="CV77" s="13">
        <f t="shared" si="95"/>
        <v>44.500170523659108</v>
      </c>
      <c r="CW77" s="20">
        <f t="shared" si="67"/>
        <v>384.57715458703962</v>
      </c>
      <c r="CX77" s="59">
        <f t="shared" si="68"/>
        <v>652.80318368999042</v>
      </c>
      <c r="CY77" s="59">
        <f ca="1">AVERAGE(OFFSET($CX$3,0,0,'Données projet'!$E$13+1,1))-AVERAGE(OFFSET($H$3,0,0,'Données projet'!$E$13+1,1))</f>
        <v>557.48193674339791</v>
      </c>
      <c r="CZ77" s="59">
        <f t="shared" si="96"/>
        <v>271.51396593253048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31.573860722803129</v>
      </c>
      <c r="DH77" s="21">
        <f>EXP(-LN(2)/2)*DH76+(1-EXP(-LN(2)/2))/(LN(2)/2)*DB77*DE77*VLOOKUP('Données projet'!$B$13,Paramètres!$A$1:$I$89,3,0)*0.475*44/12</f>
        <v>1.4661149242449938</v>
      </c>
      <c r="DI77" s="22">
        <f t="shared" si="69"/>
        <v>33.039975647048124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6.7437500000000021</v>
      </c>
      <c r="DO77" s="12">
        <f>IF('Données projet'!$A$166&gt;35,DO76+DN77-DW76,IF(A77&lt;'Données projet'!$A$166,$DL$205^A77,IF(A77='Données projet'!$A$166,'Données projet'!$B$166,DO76+DN77-DW76)))</f>
        <v>182.28875000000002</v>
      </c>
      <c r="DP77" s="17">
        <f>DO77*VLOOKUP('Données projet'!$B$14,Paramètres!$A$1:$I$89,3,0)*VLOOKUP('Données projet'!$B$14,Paramètres!$A$1:$I$89,5,0)</f>
        <v>196.21561050000003</v>
      </c>
      <c r="DQ77" s="13">
        <f t="shared" si="97"/>
        <v>48.911551031231596</v>
      </c>
      <c r="DR77" s="20">
        <f t="shared" si="70"/>
        <v>426.92980633356177</v>
      </c>
      <c r="DS77" s="59">
        <f t="shared" si="71"/>
        <v>695.15583543651269</v>
      </c>
      <c r="DT77" s="59">
        <f ca="1">AVERAGE(OFFSET($DS$3,0,0,'Données projet'!$E$14+1,1))-AVERAGE(OFFSET($H$3,0,0,'Données projet'!$E$14+1,1))</f>
        <v>610.05768948788375</v>
      </c>
      <c r="DU77" s="59">
        <f t="shared" si="98"/>
        <v>295.23928902444845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35.138651449571221</v>
      </c>
      <c r="EC77" s="21">
        <f>EXP(-LN(2)/2)*EC76+(1-EXP(-LN(2)/2))/(LN(2)/2)*DW77*DZ77*VLOOKUP('Données projet'!$B$14,Paramètres!$A$1:$I$89,3,0)*0.475*44/12</f>
        <v>1.6316440285952349</v>
      </c>
      <c r="ED77" s="22">
        <f t="shared" si="72"/>
        <v>36.770295478166453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9.546999999999997</v>
      </c>
      <c r="N78" s="13">
        <f>IF('Données projet'!$A$36&gt;35,N77+M78-V77,IF(A78&lt;'Données projet'!$A$36,$K$205^A78,IF(A78='Données projet'!$A$36,'Données projet'!$B$36,N77+M78-V77)))</f>
        <v>269.16700000000031</v>
      </c>
      <c r="O78" s="13">
        <f>N78*VLOOKUP('Données projet'!$B$9,Paramètres!$A$1:$I$89,3,0)*VLOOKUP('Données projet'!$B$9,Paramètres!$A$1:$I$89,5,0)</f>
        <v>243.54230160000029</v>
      </c>
      <c r="P78" s="13">
        <f t="shared" si="87"/>
        <v>59.201022808040776</v>
      </c>
      <c r="Q78" s="20">
        <f t="shared" si="54"/>
        <v>527.27795667733812</v>
      </c>
      <c r="R78" s="59">
        <f t="shared" si="55"/>
        <v>795.93954137716287</v>
      </c>
      <c r="S78" s="59">
        <f ca="1">AVERAGE(OFFSET($R$3,0,0,'Données projet'!$E$9+1,1))-AVERAGE(OFFSET($H$3,0,0,'Données projet'!$E$9+1,1))</f>
        <v>681.47578137804555</v>
      </c>
      <c r="T78" s="59">
        <f t="shared" si="88"/>
        <v>300.88511065995885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14.338361953229031</v>
      </c>
      <c r="AA78" s="21">
        <f>EXP(-LN(2)/25)*AA77+(1-EXP(-LN(2)/25))/(LN(2)/25)*Calculateur!V78*Calculateur!X78*VLOOKUP('Données projet'!$B$9,Paramètres!$A$1:$I$89,3,0)*0.475*44/12</f>
        <v>30.628263283791142</v>
      </c>
      <c r="AB78" s="21">
        <f>EXP(-LN(2)/2)*AB77+(1-EXP(-LN(2)/2))/(LN(2)/2)*V78*Y78*VLOOKUP('Données projet'!$B$9,Paramètres!$A$1:$I$89,3,0)*0.475*44/12</f>
        <v>3.3254411714052541</v>
      </c>
      <c r="AC78" s="22">
        <f t="shared" si="57"/>
        <v>48.292066408425427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-1.1368683772161603E-13</v>
      </c>
      <c r="AJ78" s="13">
        <f>AI78*VLOOKUP('Données projet'!$B$10,Paramètres!$A$1:$I$89,3,0)*VLOOKUP('Données projet'!$B$10,Paramètres!$A$1:$I$89,5,0)</f>
        <v>-8.8675733422860506E-14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217.53602321474159</v>
      </c>
      <c r="AO78" s="59">
        <f t="shared" si="90"/>
        <v>215.75909414893025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24.475094321982041</v>
      </c>
      <c r="AV78" s="21">
        <f>EXP(-LN(2)/25)*AV77+(1-EXP(-LN(2)/25))/(LN(2)/25)*Calculateur!AQ78*Calculateur!AS78*VLOOKUP('Données projet'!$B$10,Paramètres!$A$1:$I$89,3,0)*0.475*44/12</f>
        <v>22.978921050529003</v>
      </c>
      <c r="AW78" s="21">
        <f>EXP(-LN(2)/2)*AW77+(1-EXP(-LN(2)/2))/(LN(2)/2)*AQ78*AT78*VLOOKUP('Données projet'!$B$10,Paramètres!$A$1:$I$89,3,0)*0.475*44/12</f>
        <v>4.868270965807965</v>
      </c>
      <c r="AX78" s="21">
        <f t="shared" si="60"/>
        <v>52.32228633831901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270</v>
      </c>
      <c r="BB78" s="12">
        <f>VLOOKUP(A78,'Données projet'!$A$87:$I$107,9,0)</f>
        <v>3.4</v>
      </c>
      <c r="BC78" s="12">
        <f t="array" ref="BC78">INDEX(BB:BB,MIN(IF(ISNUMBER(BB78:BB274),ROW(BB78:BB274),"")))</f>
        <v>3.4</v>
      </c>
      <c r="BD78" s="12">
        <f>IF('Données projet'!$A$88&gt;35,BD77+BC78-BL77,IF(A78&lt;'Données projet'!$A$88,$BA$205^A78,IF(A78='Données projet'!$A$88,'Données projet'!$B$88,BD77+BC78-BL77)))</f>
        <v>269.99999999999977</v>
      </c>
      <c r="BE78" s="13">
        <f>BD78*VLOOKUP('Données projet'!$B$11,Paramètres!$A$1:$I$89,3,0)*VLOOKUP('Données projet'!$B$11,Paramètres!$A$1:$I$89,5,0)</f>
        <v>181.11599999999984</v>
      </c>
      <c r="BF78" s="13">
        <f t="shared" si="91"/>
        <v>45.570386218758173</v>
      </c>
      <c r="BG78" s="20">
        <f t="shared" si="61"/>
        <v>394.81212266433687</v>
      </c>
      <c r="BH78" s="59">
        <f t="shared" si="62"/>
        <v>663.47370736416167</v>
      </c>
      <c r="BI78" s="59">
        <f ca="1">AVERAGE(OFFSET($BH$3,0,0,'Données projet'!$E$11+1,1))-AVERAGE(OFFSET($H$3,0,0,'Données projet'!$E$11+1,1))</f>
        <v>281.67293577289729</v>
      </c>
      <c r="BJ78" s="59">
        <f t="shared" si="92"/>
        <v>272.44904846480154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9</v>
      </c>
      <c r="BM78" s="16">
        <f>IF(ISNA(VLOOKUP(A78,'Données projet'!$A$87:$I$107,5,0)),0%,VLOOKUP(A78,'Données projet'!$A$87:$I$107,5,0)*VLOOKUP('Données projet'!$B$11,Paramètres!$A$1:$I$89,7,0))</f>
        <v>0.13250000000000001</v>
      </c>
      <c r="BN78" s="16">
        <f>IF(ISNA(VLOOKUP(A78,'Données projet'!$A$87:$I$107,6,0)),0%,VLOOKUP(A78,'Données projet'!$A$87:$I$107,6,0)*VLOOKUP('Données projet'!$B$11,Paramètres!$A$1:$I$89,7,0))</f>
        <v>0.13250000000000001</v>
      </c>
      <c r="BO78" s="16">
        <f>IF(ISNA(VLOOKUP(A78,'Données projet'!$A$87:$I$107,7,0)),0%,VLOOKUP(A78,'Données projet'!$A$87:$I$107,7,0))</f>
        <v>0.25</v>
      </c>
      <c r="BP78" s="21">
        <f>EXP(-LN(2)/35)*BP77+(1-EXP(-LN(2)/35))/(LN(2)/35)*BL78*BM78*VLOOKUP('Données projet'!$B$11,Paramètres!$A$1:$I$89,3,0)*0.475*44/12</f>
        <v>7.9834252750394894</v>
      </c>
      <c r="BQ78" s="21">
        <f>EXP(-LN(2)/25)*BQ77+(1-EXP(-LN(2)/25))/(LN(2)/25)*Calculateur!BL78*Calculateur!BN78*VLOOKUP('Données projet'!$B$11,Paramètres!$A$1:$I$89,3,0)*0.475*44/12</f>
        <v>10.112244474390041</v>
      </c>
      <c r="BR78" s="21">
        <f>EXP(-LN(2)/2)*BR77+(1-EXP(-LN(2)/2))/(LN(2)/2)*BL78*BO78*VLOOKUP('Données projet'!$B$11,Paramètres!$A$1:$I$89,3,0)*0.475*44/12</f>
        <v>1.7712670012012093</v>
      </c>
      <c r="BS78" s="22">
        <f t="shared" si="63"/>
        <v>19.866936750630739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270</v>
      </c>
      <c r="BW78" s="12">
        <f>VLOOKUP(A78,'Données projet'!$A$113:$I$133,9,0)</f>
        <v>3.4</v>
      </c>
      <c r="BX78" s="12">
        <f t="array" ref="BX78">INDEX(BW:BW,MIN(IF(ISNUMBER(BW78:BW274),ROW(BW78:BW274),"")))</f>
        <v>3.4</v>
      </c>
      <c r="BY78" s="12">
        <f>IF('Données projet'!$A$114&gt;35,BY77+BX78-CG77,IF(A78&lt;'Données projet'!$A$114,$BV$205^A78,IF(A78='Données projet'!$A$114,'Données projet'!$B$114,BY77+BX78-CG77)))</f>
        <v>269.99999999999977</v>
      </c>
      <c r="BZ78" s="13">
        <f>BY78*VLOOKUP('Données projet'!$B$12,Paramètres!$A$1:$I$89,3,0)*VLOOKUP('Données projet'!$B$12,Paramètres!$A$1:$I$89,5,0)</f>
        <v>235.87199999999982</v>
      </c>
      <c r="CA78" s="13">
        <f t="shared" si="93"/>
        <v>57.55047634701522</v>
      </c>
      <c r="CB78" s="20">
        <f t="shared" si="64"/>
        <v>511.04414630438458</v>
      </c>
      <c r="CC78" s="59">
        <f t="shared" si="65"/>
        <v>779.70573100420938</v>
      </c>
      <c r="CD78" s="59">
        <f ca="1">AVERAGE(OFFSET($CC$3,0,0,'Données projet'!$E$12+1,1))-AVERAGE(OFFSET($H$3,0,0,'Données projet'!$E$12+1,1))</f>
        <v>348.77506423101278</v>
      </c>
      <c r="CE78" s="59">
        <f t="shared" si="94"/>
        <v>336.13747591329548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9</v>
      </c>
      <c r="CH78" s="16">
        <f>IF(ISNA(VLOOKUP(A78,'Données projet'!$A$113:$I$133,5,0)),0%,VLOOKUP(A78,'Données projet'!$A$113:$I$133,5,0)*VLOOKUP('Données projet'!$B$12,Paramètres!$A$1:$I$89,7,0))</f>
        <v>0.13250000000000001</v>
      </c>
      <c r="CI78" s="16">
        <f>IF(ISNA(VLOOKUP(A78,'Données projet'!$A$113:$I$133,6,0)),0%,VLOOKUP(A78,'Données projet'!$A$113:$I$133,6,0)*VLOOKUP('Données projet'!$B$12,Paramètres!$A$1:$I$89,7,0))</f>
        <v>0.13250000000000001</v>
      </c>
      <c r="CJ78" s="16">
        <f>IF(ISNA(VLOOKUP(A78,'Données projet'!$A$113:$I$133,7,0)),0%,VLOOKUP(A78,'Données projet'!$A$113:$I$133,7,0))</f>
        <v>0.25</v>
      </c>
      <c r="CK78" s="21">
        <f>EXP(-LN(2)/35)*CK77+(1-EXP(-LN(2)/35))/(LN(2)/35)*CG78*CH78*VLOOKUP('Données projet'!$B$12,Paramètres!$A$1:$I$89,3,0)*0.475*44/12</f>
        <v>10.397018962842127</v>
      </c>
      <c r="CL78" s="21">
        <f>EXP(-LN(2)/25)*CL77+(1-EXP(-LN(2)/25))/(LN(2)/25)*Calculateur!CG78*Calculateur!CI78*VLOOKUP('Données projet'!$B$12,Paramètres!$A$1:$I$89,3,0)*0.475*44/12</f>
        <v>13.169434664321916</v>
      </c>
      <c r="CM78" s="21">
        <f>EXP(-LN(2)/2)*CM77+(1-EXP(-LN(2)/2))/(LN(2)/2)*CG78*CJ78*VLOOKUP('Données projet'!$B$12,Paramètres!$A$1:$I$89,3,0)*0.475*44/12</f>
        <v>2.3067663271457612</v>
      </c>
      <c r="CN78" s="22">
        <f t="shared" si="66"/>
        <v>25.873219954309807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6.7437500000000021</v>
      </c>
      <c r="CT78" s="12">
        <f>IF('Données projet'!$A$140&gt;35,CT77+CS78-DB77,IF(A78&lt;'Données projet'!$A$140,$CQ$205^A78,IF(A78='Données projet'!$A$140,'Données projet'!$B$140,CT77+CS78-DB77)))</f>
        <v>189.03250000000003</v>
      </c>
      <c r="CU78" s="17">
        <f>CT78*VLOOKUP('Données projet'!$B$13,Paramètres!$A$1:$I$89,3,0)*VLOOKUP('Données projet'!$B$13,Paramètres!$A$1:$I$89,5,0)</f>
        <v>182.83223400000003</v>
      </c>
      <c r="CV78" s="13">
        <f t="shared" si="95"/>
        <v>45.951732365807445</v>
      </c>
      <c r="CW78" s="20">
        <f t="shared" si="67"/>
        <v>398.46540808711467</v>
      </c>
      <c r="CX78" s="59">
        <f t="shared" si="68"/>
        <v>667.12699278693947</v>
      </c>
      <c r="CY78" s="59">
        <f ca="1">AVERAGE(OFFSET($CX$3,0,0,'Données projet'!$E$13+1,1))-AVERAGE(OFFSET($H$3,0,0,'Données projet'!$E$13+1,1))</f>
        <v>557.48193674339791</v>
      </c>
      <c r="CZ78" s="59">
        <f t="shared" si="96"/>
        <v>271.51396593253048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30.710471840940905</v>
      </c>
      <c r="DH78" s="21">
        <f>EXP(-LN(2)/2)*DH77+(1-EXP(-LN(2)/2))/(LN(2)/2)*DB78*DE78*VLOOKUP('Données projet'!$B$13,Paramètres!$A$1:$I$89,3,0)*0.475*44/12</f>
        <v>1.0366998049324365</v>
      </c>
      <c r="DI78" s="22">
        <f t="shared" si="69"/>
        <v>31.74717164587334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6.7437500000000021</v>
      </c>
      <c r="DO78" s="12">
        <f>IF('Données projet'!$A$166&gt;35,DO77+DN78-DW77,IF(A78&lt;'Données projet'!$A$166,$DL$205^A78,IF(A78='Données projet'!$A$166,'Données projet'!$B$166,DO77+DN78-DW77)))</f>
        <v>189.03250000000003</v>
      </c>
      <c r="DP78" s="17">
        <f>DO78*VLOOKUP('Données projet'!$B$14,Paramètres!$A$1:$I$89,3,0)*VLOOKUP('Données projet'!$B$14,Paramètres!$A$1:$I$89,5,0)</f>
        <v>203.474583</v>
      </c>
      <c r="DQ78" s="13">
        <f t="shared" si="97"/>
        <v>50.507008762780814</v>
      </c>
      <c r="DR78" s="20">
        <f t="shared" si="70"/>
        <v>442.35127232017652</v>
      </c>
      <c r="DS78" s="59">
        <f t="shared" si="71"/>
        <v>711.01285702000132</v>
      </c>
      <c r="DT78" s="59">
        <f ca="1">AVERAGE(OFFSET($DS$3,0,0,'Données projet'!$E$14+1,1))-AVERAGE(OFFSET($H$3,0,0,'Données projet'!$E$14+1,1))</f>
        <v>610.05768948788375</v>
      </c>
      <c r="DU78" s="59">
        <f t="shared" si="98"/>
        <v>295.23928902444845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34.177783177821325</v>
      </c>
      <c r="EC78" s="21">
        <f>EXP(-LN(2)/2)*EC77+(1-EXP(-LN(2)/2))/(LN(2)/2)*DW78*DZ78*VLOOKUP('Données projet'!$B$14,Paramètres!$A$1:$I$89,3,0)*0.475*44/12</f>
        <v>1.1537465571022278</v>
      </c>
      <c r="ED78" s="22">
        <f t="shared" si="72"/>
        <v>35.331529734923556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9.546999999999997</v>
      </c>
      <c r="N79" s="13">
        <f>IF('Données projet'!$A$36&gt;35,N78+M79-V78,IF(A79&lt;'Données projet'!$A$36,$K$205^A79,IF(A79='Données projet'!$A$36,'Données projet'!$B$36,N78+M79-V78)))</f>
        <v>278.71400000000028</v>
      </c>
      <c r="O79" s="13">
        <f>N79*VLOOKUP('Données projet'!$B$9,Paramètres!$A$1:$I$89,3,0)*VLOOKUP('Données projet'!$B$9,Paramètres!$A$1:$I$89,5,0)</f>
        <v>252.18042720000025</v>
      </c>
      <c r="P79" s="13">
        <f t="shared" si="87"/>
        <v>61.052610283141384</v>
      </c>
      <c r="Q79" s="20">
        <f t="shared" si="54"/>
        <v>545.54754028313835</v>
      </c>
      <c r="R79" s="59">
        <f t="shared" si="55"/>
        <v>814.63712466398783</v>
      </c>
      <c r="S79" s="59">
        <f ca="1">AVERAGE(OFFSET($R$3,0,0,'Données projet'!$E$9+1,1))-AVERAGE(OFFSET($H$3,0,0,'Données projet'!$E$9+1,1))</f>
        <v>681.47578137804555</v>
      </c>
      <c r="T79" s="59">
        <f t="shared" si="88"/>
        <v>300.88511065995885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14.057195420863451</v>
      </c>
      <c r="AA79" s="21">
        <f>EXP(-LN(2)/25)*AA78+(1-EXP(-LN(2)/25))/(LN(2)/25)*Calculateur!V79*Calculateur!X79*VLOOKUP('Données projet'!$B$9,Paramètres!$A$1:$I$89,3,0)*0.475*44/12</f>
        <v>29.790731813625509</v>
      </c>
      <c r="AB79" s="21">
        <f>EXP(-LN(2)/2)*AB78+(1-EXP(-LN(2)/2))/(LN(2)/2)*V79*Y79*VLOOKUP('Données projet'!$B$9,Paramètres!$A$1:$I$89,3,0)*0.475*44/12</f>
        <v>2.3514420027375915</v>
      </c>
      <c r="AC79" s="22">
        <f t="shared" si="57"/>
        <v>46.199369237226556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-1.1368683772161603E-13</v>
      </c>
      <c r="AJ79" s="13">
        <f>AI79*VLOOKUP('Données projet'!$B$10,Paramètres!$A$1:$I$89,3,0)*VLOOKUP('Données projet'!$B$10,Paramètres!$A$1:$I$89,5,0)</f>
        <v>-8.8675733422860506E-14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217.53602321474159</v>
      </c>
      <c r="AO79" s="59">
        <f t="shared" si="90"/>
        <v>215.75909414893025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23.99515265066146</v>
      </c>
      <c r="AV79" s="21">
        <f>EXP(-LN(2)/25)*AV78+(1-EXP(-LN(2)/25))/(LN(2)/25)*Calculateur!AQ79*Calculateur!AS79*VLOOKUP('Données projet'!$B$10,Paramètres!$A$1:$I$89,3,0)*0.475*44/12</f>
        <v>22.350561245993347</v>
      </c>
      <c r="AW79" s="21">
        <f>EXP(-LN(2)/2)*AW78+(1-EXP(-LN(2)/2))/(LN(2)/2)*AQ79*AT79*VLOOKUP('Données projet'!$B$10,Paramètres!$A$1:$I$89,3,0)*0.475*44/12</f>
        <v>3.4423874125763954</v>
      </c>
      <c r="AX79" s="21">
        <f t="shared" si="60"/>
        <v>49.788101309231202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2.8</v>
      </c>
      <c r="BD79" s="12">
        <f>IF('Données projet'!$A$88&gt;35,BD78+BC79-BL78,IF(A79&lt;'Données projet'!$A$88,$BA$205^A79,IF(A79='Données projet'!$A$88,'Données projet'!$B$88,BD78+BC79-BL78)))</f>
        <v>263.79999999999978</v>
      </c>
      <c r="BE79" s="13">
        <f>BD79*VLOOKUP('Données projet'!$B$11,Paramètres!$A$1:$I$89,3,0)*VLOOKUP('Données projet'!$B$11,Paramètres!$A$1:$I$89,5,0)</f>
        <v>176.95703999999986</v>
      </c>
      <c r="BF79" s="13">
        <f t="shared" si="91"/>
        <v>44.64451330516016</v>
      </c>
      <c r="BG79" s="20">
        <f t="shared" si="61"/>
        <v>385.95603867315367</v>
      </c>
      <c r="BH79" s="59">
        <f t="shared" si="62"/>
        <v>655.04562305400304</v>
      </c>
      <c r="BI79" s="59">
        <f ca="1">AVERAGE(OFFSET($BH$3,0,0,'Données projet'!$E$11+1,1))-AVERAGE(OFFSET($H$3,0,0,'Données projet'!$E$11+1,1))</f>
        <v>281.67293577289729</v>
      </c>
      <c r="BJ79" s="59">
        <f t="shared" si="92"/>
        <v>272.44904846480154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7.8268751748045684</v>
      </c>
      <c r="BQ79" s="21">
        <f>EXP(-LN(2)/25)*BQ78+(1-EXP(-LN(2)/25))/(LN(2)/25)*Calculateur!BL79*Calculateur!BN79*VLOOKUP('Données projet'!$B$11,Paramètres!$A$1:$I$89,3,0)*0.475*44/12</f>
        <v>9.8357246174580197</v>
      </c>
      <c r="BR79" s="21">
        <f>EXP(-LN(2)/2)*BR78+(1-EXP(-LN(2)/2))/(LN(2)/2)*BL79*BO79*VLOOKUP('Données projet'!$B$11,Paramètres!$A$1:$I$89,3,0)*0.475*44/12</f>
        <v>1.2524749078413357</v>
      </c>
      <c r="BS79" s="22">
        <f t="shared" si="63"/>
        <v>18.915074700103926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2.8</v>
      </c>
      <c r="BY79" s="12">
        <f>IF('Données projet'!$A$114&gt;35,BY78+BX79-CG78,IF(A79&lt;'Données projet'!$A$114,$BV$205^A79,IF(A79='Données projet'!$A$114,'Données projet'!$B$114,BY78+BX79-CG78)))</f>
        <v>263.79999999999978</v>
      </c>
      <c r="BZ79" s="13">
        <f>BY79*VLOOKUP('Données projet'!$B$12,Paramètres!$A$1:$I$89,3,0)*VLOOKUP('Données projet'!$B$12,Paramètres!$A$1:$I$89,5,0)</f>
        <v>230.45567999999983</v>
      </c>
      <c r="CA79" s="13">
        <f t="shared" si="93"/>
        <v>56.381198848277869</v>
      </c>
      <c r="CB79" s="20">
        <f t="shared" si="64"/>
        <v>499.57423066075035</v>
      </c>
      <c r="CC79" s="59">
        <f t="shared" si="65"/>
        <v>768.66381504159972</v>
      </c>
      <c r="CD79" s="59">
        <f ca="1">AVERAGE(OFFSET($CC$3,0,0,'Données projet'!$E$12+1,1))-AVERAGE(OFFSET($H$3,0,0,'Données projet'!$E$12+1,1))</f>
        <v>348.77506423101278</v>
      </c>
      <c r="CE79" s="59">
        <f t="shared" si="94"/>
        <v>336.13747591329548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10.193139762536184</v>
      </c>
      <c r="CL79" s="21">
        <f>EXP(-LN(2)/25)*CL78+(1-EXP(-LN(2)/25))/(LN(2)/25)*Calculateur!CG79*Calculateur!CI79*VLOOKUP('Données projet'!$B$12,Paramètres!$A$1:$I$89,3,0)*0.475*44/12</f>
        <v>12.809315780875563</v>
      </c>
      <c r="CM79" s="21">
        <f>EXP(-LN(2)/2)*CM78+(1-EXP(-LN(2)/2))/(LN(2)/2)*CG79*CJ79*VLOOKUP('Données projet'!$B$12,Paramètres!$A$1:$I$89,3,0)*0.475*44/12</f>
        <v>1.6311301125375539</v>
      </c>
      <c r="CN79" s="22">
        <f t="shared" si="66"/>
        <v>24.633585655949304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6.7437500000000021</v>
      </c>
      <c r="CT79" s="12">
        <f>IF('Données projet'!$A$140&gt;35,CT78+CS79-DB78,IF(A79&lt;'Données projet'!$A$140,$CQ$205^A79,IF(A79='Données projet'!$A$140,'Données projet'!$B$140,CT78+CS79-DB78)))</f>
        <v>195.77625000000003</v>
      </c>
      <c r="CU79" s="17">
        <f>CT79*VLOOKUP('Données projet'!$B$13,Paramètres!$A$1:$I$89,3,0)*VLOOKUP('Données projet'!$B$13,Paramètres!$A$1:$I$89,5,0)</f>
        <v>189.35478900000004</v>
      </c>
      <c r="CV79" s="13">
        <f t="shared" si="95"/>
        <v>47.39727763176937</v>
      </c>
      <c r="CW79" s="20">
        <f t="shared" si="67"/>
        <v>412.3431827169984</v>
      </c>
      <c r="CX79" s="59">
        <f t="shared" si="68"/>
        <v>681.43276709784777</v>
      </c>
      <c r="CY79" s="59">
        <f ca="1">AVERAGE(OFFSET($CX$3,0,0,'Données projet'!$E$13+1,1))-AVERAGE(OFFSET($H$3,0,0,'Données projet'!$E$13+1,1))</f>
        <v>557.48193674339791</v>
      </c>
      <c r="CZ79" s="59">
        <f t="shared" si="96"/>
        <v>271.51396593253048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29.870692373456851</v>
      </c>
      <c r="DH79" s="21">
        <f>EXP(-LN(2)/2)*DH78+(1-EXP(-LN(2)/2))/(LN(2)/2)*DB79*DE79*VLOOKUP('Données projet'!$B$13,Paramètres!$A$1:$I$89,3,0)*0.475*44/12</f>
        <v>0.73305746212249689</v>
      </c>
      <c r="DI79" s="22">
        <f t="shared" si="69"/>
        <v>30.603749835579347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6.7437500000000021</v>
      </c>
      <c r="DO79" s="12">
        <f>IF('Données projet'!$A$166&gt;35,DO78+DN79-DW78,IF(A79&lt;'Données projet'!$A$166,$DL$205^A79,IF(A79='Données projet'!$A$166,'Données projet'!$B$166,DO78+DN79-DW78)))</f>
        <v>195.77625000000003</v>
      </c>
      <c r="DP79" s="17">
        <f>DO79*VLOOKUP('Données projet'!$B$14,Paramètres!$A$1:$I$89,3,0)*VLOOKUP('Données projet'!$B$14,Paramètres!$A$1:$I$89,5,0)</f>
        <v>210.73355550000005</v>
      </c>
      <c r="DQ79" s="13">
        <f t="shared" si="97"/>
        <v>52.095853484318674</v>
      </c>
      <c r="DR79" s="20">
        <f t="shared" si="70"/>
        <v>457.76122064768839</v>
      </c>
      <c r="DS79" s="59">
        <f t="shared" si="71"/>
        <v>726.85080502853782</v>
      </c>
      <c r="DT79" s="59">
        <f ca="1">AVERAGE(OFFSET($DS$3,0,0,'Données projet'!$E$14+1,1))-AVERAGE(OFFSET($H$3,0,0,'Données projet'!$E$14+1,1))</f>
        <v>610.05768948788375</v>
      </c>
      <c r="DU79" s="59">
        <f t="shared" si="98"/>
        <v>295.23928902444845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33.2431898994923</v>
      </c>
      <c r="EC79" s="21">
        <f>EXP(-LN(2)/2)*EC78+(1-EXP(-LN(2)/2))/(LN(2)/2)*DW79*DZ79*VLOOKUP('Données projet'!$B$14,Paramètres!$A$1:$I$89,3,0)*0.475*44/12</f>
        <v>0.81582201429761769</v>
      </c>
      <c r="ED79" s="22">
        <f t="shared" si="72"/>
        <v>34.059011913789917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9.546999999999997</v>
      </c>
      <c r="N80" s="13">
        <f>IF('Données projet'!$A$36&gt;35,N79+M80-V79,IF(A80&lt;'Données projet'!$A$36,$K$205^A80,IF(A80='Données projet'!$A$36,'Données projet'!$B$36,N79+M80-V79)))</f>
        <v>288.26100000000031</v>
      </c>
      <c r="O80" s="13">
        <f>N80*VLOOKUP('Données projet'!$B$9,Paramètres!$A$1:$I$89,3,0)*VLOOKUP('Données projet'!$B$9,Paramètres!$A$1:$I$89,5,0)</f>
        <v>260.8185528000003</v>
      </c>
      <c r="P80" s="13">
        <f t="shared" si="87"/>
        <v>62.896828401660521</v>
      </c>
      <c r="Q80" s="20">
        <f t="shared" si="54"/>
        <v>563.80428892622592</v>
      </c>
      <c r="R80" s="59">
        <f t="shared" si="55"/>
        <v>833.31444815049827</v>
      </c>
      <c r="S80" s="59">
        <f ca="1">AVERAGE(OFFSET($R$3,0,0,'Données projet'!$E$9+1,1))-AVERAGE(OFFSET($H$3,0,0,'Données projet'!$E$9+1,1))</f>
        <v>681.47578137804555</v>
      </c>
      <c r="T80" s="59">
        <f t="shared" si="88"/>
        <v>300.88511065995885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13.781542392702908</v>
      </c>
      <c r="AA80" s="21">
        <f>EXP(-LN(2)/25)*AA79+(1-EXP(-LN(2)/25))/(LN(2)/25)*Calculateur!V80*Calculateur!X80*VLOOKUP('Données projet'!$B$9,Paramètres!$A$1:$I$89,3,0)*0.475*44/12</f>
        <v>28.976102685555421</v>
      </c>
      <c r="AB80" s="21">
        <f>EXP(-LN(2)/2)*AB79+(1-EXP(-LN(2)/2))/(LN(2)/2)*V80*Y80*VLOOKUP('Données projet'!$B$9,Paramètres!$A$1:$I$89,3,0)*0.475*44/12</f>
        <v>1.6627205857026273</v>
      </c>
      <c r="AC80" s="22">
        <f t="shared" si="57"/>
        <v>44.420365663960958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-1.1368683772161603E-13</v>
      </c>
      <c r="AJ80" s="13">
        <f>AI80*VLOOKUP('Données projet'!$B$10,Paramètres!$A$1:$I$89,3,0)*VLOOKUP('Données projet'!$B$10,Paramètres!$A$1:$I$89,5,0)</f>
        <v>-8.8675733422860506E-14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217.53602321474159</v>
      </c>
      <c r="AO80" s="59">
        <f t="shared" si="90"/>
        <v>215.75909414893025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23.52462234277996</v>
      </c>
      <c r="AV80" s="21">
        <f>EXP(-LN(2)/25)*AV79+(1-EXP(-LN(2)/25))/(LN(2)/25)*Calculateur!AQ80*Calculateur!AS80*VLOOKUP('Données projet'!$B$10,Paramètres!$A$1:$I$89,3,0)*0.475*44/12</f>
        <v>21.739383973356727</v>
      </c>
      <c r="AW80" s="21">
        <f>EXP(-LN(2)/2)*AW79+(1-EXP(-LN(2)/2))/(LN(2)/2)*AQ80*AT80*VLOOKUP('Données projet'!$B$10,Paramètres!$A$1:$I$89,3,0)*0.475*44/12</f>
        <v>2.434135482903983</v>
      </c>
      <c r="AX80" s="21">
        <f t="shared" si="60"/>
        <v>47.69814179904067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2.8</v>
      </c>
      <c r="BD80" s="12">
        <f>IF('Données projet'!$A$88&gt;35,BD79+BC80-BL79,IF(A80&lt;'Données projet'!$A$88,$BA$205^A80,IF(A80='Données projet'!$A$88,'Données projet'!$B$88,BD79+BC80-BL79)))</f>
        <v>266.5999999999998</v>
      </c>
      <c r="BE80" s="13">
        <f>BD80*VLOOKUP('Données projet'!$B$11,Paramètres!$A$1:$I$89,3,0)*VLOOKUP('Données projet'!$B$11,Paramètres!$A$1:$I$89,5,0)</f>
        <v>178.83527999999987</v>
      </c>
      <c r="BF80" s="13">
        <f t="shared" si="91"/>
        <v>45.062959603448384</v>
      </c>
      <c r="BG80" s="20">
        <f t="shared" si="61"/>
        <v>389.95610064267231</v>
      </c>
      <c r="BH80" s="59">
        <f t="shared" si="62"/>
        <v>659.4662598669446</v>
      </c>
      <c r="BI80" s="59">
        <f ca="1">AVERAGE(OFFSET($BH$3,0,0,'Données projet'!$E$11+1,1))-AVERAGE(OFFSET($H$3,0,0,'Données projet'!$E$11+1,1))</f>
        <v>281.67293577289729</v>
      </c>
      <c r="BJ80" s="59">
        <f t="shared" si="92"/>
        <v>272.44904846480154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7.6733949265491219</v>
      </c>
      <c r="BQ80" s="21">
        <f>EXP(-LN(2)/25)*BQ79+(1-EXP(-LN(2)/25))/(LN(2)/25)*Calculateur!BL80*Calculateur!BN80*VLOOKUP('Données projet'!$B$11,Paramètres!$A$1:$I$89,3,0)*0.475*44/12</f>
        <v>9.5667662105553521</v>
      </c>
      <c r="BR80" s="21">
        <f>EXP(-LN(2)/2)*BR79+(1-EXP(-LN(2)/2))/(LN(2)/2)*BL80*BO80*VLOOKUP('Données projet'!$B$11,Paramètres!$A$1:$I$89,3,0)*0.475*44/12</f>
        <v>0.88563350060060475</v>
      </c>
      <c r="BS80" s="22">
        <f t="shared" si="63"/>
        <v>18.125794637705077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2.8</v>
      </c>
      <c r="BY80" s="12">
        <f>IF('Données projet'!$A$114&gt;35,BY79+BX80-CG79,IF(A80&lt;'Données projet'!$A$114,$BV$205^A80,IF(A80='Données projet'!$A$114,'Données projet'!$B$114,BY79+BX80-CG79)))</f>
        <v>266.5999999999998</v>
      </c>
      <c r="BZ80" s="13">
        <f>BY80*VLOOKUP('Données projet'!$B$12,Paramètres!$A$1:$I$89,3,0)*VLOOKUP('Données projet'!$B$12,Paramètres!$A$1:$I$89,5,0)</f>
        <v>232.90175999999985</v>
      </c>
      <c r="CA80" s="13">
        <f t="shared" si="93"/>
        <v>56.909651332233778</v>
      </c>
      <c r="CB80" s="20">
        <f t="shared" si="64"/>
        <v>504.75487473697353</v>
      </c>
      <c r="CC80" s="59">
        <f t="shared" si="65"/>
        <v>774.26503396124576</v>
      </c>
      <c r="CD80" s="59">
        <f ca="1">AVERAGE(OFFSET($CC$3,0,0,'Données projet'!$E$12+1,1))-AVERAGE(OFFSET($H$3,0,0,'Données projet'!$E$12+1,1))</f>
        <v>348.77506423101278</v>
      </c>
      <c r="CE80" s="59">
        <f t="shared" si="94"/>
        <v>336.13747591329548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9.9932585089942076</v>
      </c>
      <c r="CL80" s="21">
        <f>EXP(-LN(2)/25)*CL79+(1-EXP(-LN(2)/25))/(LN(2)/25)*Calculateur!CG80*Calculateur!CI80*VLOOKUP('Données projet'!$B$12,Paramètres!$A$1:$I$89,3,0)*0.475*44/12</f>
        <v>12.459044367234879</v>
      </c>
      <c r="CM80" s="21">
        <f>EXP(-LN(2)/2)*CM79+(1-EXP(-LN(2)/2))/(LN(2)/2)*CG80*CJ80*VLOOKUP('Données projet'!$B$12,Paramètres!$A$1:$I$89,3,0)*0.475*44/12</f>
        <v>1.1533831635728808</v>
      </c>
      <c r="CN80" s="22">
        <f t="shared" si="66"/>
        <v>23.605686039801967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>
        <f>VLOOKUP(A80,'Données projet'!$A$139:$I$159,2,0)</f>
        <v>202.52</v>
      </c>
      <c r="CR80" s="12">
        <f>VLOOKUP(A80,'Données projet'!$A$139:$I$159,9,0)</f>
        <v>6.7437500000000021</v>
      </c>
      <c r="CS80" s="12">
        <f t="array" ref="CS80">INDEX(CR:CR,MIN(IF(ISNUMBER(CR80:CR276),ROW(CR80:CR276),"")))</f>
        <v>6.7437500000000021</v>
      </c>
      <c r="CT80" s="12">
        <f>IF('Données projet'!$A$140&gt;35,CT79+CS80-DB79,IF(A80&lt;'Données projet'!$A$140,$CQ$205^A80,IF(A80='Données projet'!$A$140,'Données projet'!$B$140,CT79+CS80-DB79)))</f>
        <v>202.52000000000004</v>
      </c>
      <c r="CU80" s="17">
        <f>CT80*VLOOKUP('Données projet'!$B$13,Paramètres!$A$1:$I$89,3,0)*VLOOKUP('Données projet'!$B$13,Paramètres!$A$1:$I$89,5,0)</f>
        <v>195.87734400000005</v>
      </c>
      <c r="CV80" s="13">
        <f t="shared" si="95"/>
        <v>48.8370373231038</v>
      </c>
      <c r="CW80" s="20">
        <f t="shared" si="67"/>
        <v>426.21088080440586</v>
      </c>
      <c r="CX80" s="59">
        <f t="shared" si="68"/>
        <v>695.72104002867809</v>
      </c>
      <c r="CY80" s="59">
        <f ca="1">AVERAGE(OFFSET($CX$3,0,0,'Données projet'!$E$13+1,1))-AVERAGE(OFFSET($H$3,0,0,'Données projet'!$E$13+1,1))</f>
        <v>557.48193674339791</v>
      </c>
      <c r="CZ80" s="59">
        <f t="shared" si="96"/>
        <v>271.51396593253048</v>
      </c>
      <c r="DA80" s="15">
        <f>IF(ISNA(VLOOKUP(A80,'Données projet'!$A$139:$I$159,3,0)),0,VLOOKUP(A80,'Données projet'!$A$139:$I$159,3,0))</f>
        <v>3</v>
      </c>
      <c r="DB80" s="15">
        <f>IF(ISNA(VLOOKUP(A80,'Données projet'!$A$139:$I$159,4,0)),0,VLOOKUP(A80,'Données projet'!$A$139:$I$159,4,0))</f>
        <v>33.950000000000017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0.34400000000000003</v>
      </c>
      <c r="DE80" s="16">
        <f>IF(ISNA(VLOOKUP(A80,'Données projet'!$A$139:$I$159,7,0)),0%,VLOOKUP(A80,'Données projet'!$A$139:$I$159,7,0))</f>
        <v>0.2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41.491811101169567</v>
      </c>
      <c r="DH80" s="21">
        <f>EXP(-LN(2)/2)*DH79+(1-EXP(-LN(2)/2))/(LN(2)/2)*DB80*DE80*VLOOKUP('Données projet'!$B$13,Paramètres!$A$1:$I$89,3,0)*0.475*44/12</f>
        <v>6.7147628864312123</v>
      </c>
      <c r="DI80" s="22">
        <f t="shared" si="69"/>
        <v>48.206573987600777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>
        <f>VLOOKUP(A80,'Données projet'!$A$165:$I$185,2,0)</f>
        <v>202.52</v>
      </c>
      <c r="DM80" s="12">
        <f>VLOOKUP(A80,'Données projet'!$A$165:$I$185,9,0)</f>
        <v>6.7437500000000021</v>
      </c>
      <c r="DN80" s="12">
        <f t="array" ref="DN80">INDEX(DM:DM,MIN(IF(ISNUMBER(DM80:DM276),ROW(DM80:DM276),"")))</f>
        <v>6.7437500000000021</v>
      </c>
      <c r="DO80" s="12">
        <f>IF('Données projet'!$A$166&gt;35,DO79+DN80-DW79,IF(A80&lt;'Données projet'!$A$166,$DL$205^A80,IF(A80='Données projet'!$A$166,'Données projet'!$B$166,DO79+DN80-DW79)))</f>
        <v>202.52000000000004</v>
      </c>
      <c r="DP80" s="17">
        <f>DO80*VLOOKUP('Données projet'!$B$14,Paramètres!$A$1:$I$89,3,0)*VLOOKUP('Données projet'!$B$14,Paramètres!$A$1:$I$89,5,0)</f>
        <v>217.99252800000005</v>
      </c>
      <c r="DQ80" s="13">
        <f t="shared" si="97"/>
        <v>53.678339096996851</v>
      </c>
      <c r="DR80" s="20">
        <f t="shared" si="70"/>
        <v>473.16009352726968</v>
      </c>
      <c r="DS80" s="59">
        <f t="shared" si="71"/>
        <v>742.67025275154197</v>
      </c>
      <c r="DT80" s="59">
        <f ca="1">AVERAGE(OFFSET($DS$3,0,0,'Données projet'!$E$14+1,1))-AVERAGE(OFFSET($H$3,0,0,'Données projet'!$E$14+1,1))</f>
        <v>610.05768948788375</v>
      </c>
      <c r="DU80" s="59">
        <f t="shared" si="98"/>
        <v>295.23928902444845</v>
      </c>
      <c r="DV80" s="15">
        <f>IF(ISNA(VLOOKUP(A80,'Données projet'!$A$165:$I$185,3,0)),0,VLOOKUP(A80,'Données projet'!$A$165:$I$185,3,0))</f>
        <v>3</v>
      </c>
      <c r="DW80" s="15">
        <f>IF(ISNA(VLOOKUP(A80,'Données projet'!$A$165:$I$185,4,0)),0,VLOOKUP(A80,'Données projet'!$A$165:$I$185,4,0))</f>
        <v>33.950000000000017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0.34400000000000003</v>
      </c>
      <c r="DZ80" s="16">
        <f>IF(ISNA(VLOOKUP(A80,'Données projet'!$A$165:$I$185,7,0)),0%,VLOOKUP(A80,'Données projet'!$A$165:$I$185,7,0))</f>
        <v>0.2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46.17637041904355</v>
      </c>
      <c r="EC80" s="21">
        <f>EXP(-LN(2)/2)*EC79+(1-EXP(-LN(2)/2))/(LN(2)/2)*DW80*DZ80*VLOOKUP('Données projet'!$B$14,Paramètres!$A$1:$I$89,3,0)*0.475*44/12</f>
        <v>7.4728812768347366</v>
      </c>
      <c r="ED80" s="22">
        <f t="shared" si="72"/>
        <v>53.649251695878284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9.546999999999997</v>
      </c>
      <c r="N81" s="13">
        <f>IF('Données projet'!$A$36&gt;35,N80+M81-V80,IF(A81&lt;'Données projet'!$A$36,$K$205^A81,IF(A81='Données projet'!$A$36,'Données projet'!$B$36,N80+M81-V80)))</f>
        <v>297.80800000000033</v>
      </c>
      <c r="O81" s="13">
        <f>N81*VLOOKUP('Données projet'!$B$9,Paramètres!$A$1:$I$89,3,0)*VLOOKUP('Données projet'!$B$9,Paramètres!$A$1:$I$89,5,0)</f>
        <v>269.45667840000027</v>
      </c>
      <c r="P81" s="13">
        <f t="shared" si="87"/>
        <v>64.733949217436958</v>
      </c>
      <c r="Q81" s="20">
        <f t="shared" si="54"/>
        <v>582.04867643370324</v>
      </c>
      <c r="R81" s="59">
        <f t="shared" si="55"/>
        <v>851.97211446812946</v>
      </c>
      <c r="S81" s="59">
        <f ca="1">AVERAGE(OFFSET($R$3,0,0,'Données projet'!$E$9+1,1))-AVERAGE(OFFSET($H$3,0,0,'Données projet'!$E$9+1,1))</f>
        <v>681.47578137804555</v>
      </c>
      <c r="T81" s="59">
        <f t="shared" si="88"/>
        <v>300.88511065995885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13.51129475229285</v>
      </c>
      <c r="AA81" s="21">
        <f>EXP(-LN(2)/25)*AA80+(1-EXP(-LN(2)/25))/(LN(2)/25)*Calculateur!V81*Calculateur!X81*VLOOKUP('Données projet'!$B$9,Paramètres!$A$1:$I$89,3,0)*0.475*44/12</f>
        <v>28.183749633831894</v>
      </c>
      <c r="AB81" s="21">
        <f>EXP(-LN(2)/2)*AB80+(1-EXP(-LN(2)/2))/(LN(2)/2)*V81*Y81*VLOOKUP('Données projet'!$B$9,Paramètres!$A$1:$I$89,3,0)*0.475*44/12</f>
        <v>1.175721001368796</v>
      </c>
      <c r="AC81" s="22">
        <f t="shared" si="57"/>
        <v>42.870765387493535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-1.1368683772161603E-13</v>
      </c>
      <c r="AJ81" s="13">
        <f>AI81*VLOOKUP('Données projet'!$B$10,Paramètres!$A$1:$I$89,3,0)*VLOOKUP('Données projet'!$B$10,Paramètres!$A$1:$I$89,5,0)</f>
        <v>-8.8675733422860506E-14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217.53602321474159</v>
      </c>
      <c r="AO81" s="59">
        <f t="shared" si="90"/>
        <v>215.75909414893025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23.063318847240868</v>
      </c>
      <c r="AV81" s="21">
        <f>EXP(-LN(2)/25)*AV80+(1-EXP(-LN(2)/25))/(LN(2)/25)*Calculateur!AQ81*Calculateur!AS81*VLOOKUP('Données projet'!$B$10,Paramètres!$A$1:$I$89,3,0)*0.475*44/12</f>
        <v>21.14491937538077</v>
      </c>
      <c r="AW81" s="21">
        <f>EXP(-LN(2)/2)*AW80+(1-EXP(-LN(2)/2))/(LN(2)/2)*AQ81*AT81*VLOOKUP('Données projet'!$B$10,Paramètres!$A$1:$I$89,3,0)*0.475*44/12</f>
        <v>1.7211937062881979</v>
      </c>
      <c r="AX81" s="21">
        <f t="shared" si="60"/>
        <v>45.929431928909835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2.8</v>
      </c>
      <c r="BD81" s="12">
        <f>IF('Données projet'!$A$88&gt;35,BD80+BC81-BL80,IF(A81&lt;'Données projet'!$A$88,$BA$205^A81,IF(A81='Données projet'!$A$88,'Données projet'!$B$88,BD80+BC81-BL80)))</f>
        <v>269.39999999999981</v>
      </c>
      <c r="BE81" s="13">
        <f>BD81*VLOOKUP('Données projet'!$B$11,Paramètres!$A$1:$I$89,3,0)*VLOOKUP('Données projet'!$B$11,Paramètres!$A$1:$I$89,5,0)</f>
        <v>180.71351999999987</v>
      </c>
      <c r="BF81" s="13">
        <f t="shared" si="91"/>
        <v>45.480894651403275</v>
      </c>
      <c r="BG81" s="20">
        <f t="shared" si="61"/>
        <v>393.95527218452713</v>
      </c>
      <c r="BH81" s="59">
        <f t="shared" si="62"/>
        <v>663.8787102189533</v>
      </c>
      <c r="BI81" s="59">
        <f ca="1">AVERAGE(OFFSET($BH$3,0,0,'Données projet'!$E$11+1,1))-AVERAGE(OFFSET($H$3,0,0,'Données projet'!$E$11+1,1))</f>
        <v>281.67293577289729</v>
      </c>
      <c r="BJ81" s="59">
        <f t="shared" si="92"/>
        <v>272.44904846480154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7.5229243323482571</v>
      </c>
      <c r="BQ81" s="21">
        <f>EXP(-LN(2)/25)*BQ80+(1-EXP(-LN(2)/25))/(LN(2)/25)*Calculateur!BL81*Calculateur!BN81*VLOOKUP('Données projet'!$B$11,Paramètres!$A$1:$I$89,3,0)*0.475*44/12</f>
        <v>9.3051624854333461</v>
      </c>
      <c r="BR81" s="21">
        <f>EXP(-LN(2)/2)*BR80+(1-EXP(-LN(2)/2))/(LN(2)/2)*BL81*BO81*VLOOKUP('Données projet'!$B$11,Paramètres!$A$1:$I$89,3,0)*0.475*44/12</f>
        <v>0.62623745392066799</v>
      </c>
      <c r="BS81" s="22">
        <f t="shared" si="63"/>
        <v>17.454324271702273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2.8</v>
      </c>
      <c r="BY81" s="12">
        <f>IF('Données projet'!$A$114&gt;35,BY80+BX81-CG80,IF(A81&lt;'Données projet'!$A$114,$BV$205^A81,IF(A81='Données projet'!$A$114,'Données projet'!$B$114,BY80+BX81-CG80)))</f>
        <v>269.39999999999981</v>
      </c>
      <c r="BZ81" s="13">
        <f>BY81*VLOOKUP('Données projet'!$B$12,Paramètres!$A$1:$I$89,3,0)*VLOOKUP('Données projet'!$B$12,Paramètres!$A$1:$I$89,5,0)</f>
        <v>235.34783999999988</v>
      </c>
      <c r="CA81" s="13">
        <f t="shared" si="93"/>
        <v>57.437458162232033</v>
      </c>
      <c r="CB81" s="20">
        <f t="shared" si="64"/>
        <v>509.93439429922063</v>
      </c>
      <c r="CC81" s="59">
        <f t="shared" si="65"/>
        <v>779.85783233364691</v>
      </c>
      <c r="CD81" s="59">
        <f ca="1">AVERAGE(OFFSET($CC$3,0,0,'Données projet'!$E$12+1,1))-AVERAGE(OFFSET($H$3,0,0,'Données projet'!$E$12+1,1))</f>
        <v>348.77506423101278</v>
      </c>
      <c r="CE81" s="59">
        <f t="shared" si="94"/>
        <v>336.13747591329548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9.7972968049186626</v>
      </c>
      <c r="CL81" s="21">
        <f>EXP(-LN(2)/25)*CL80+(1-EXP(-LN(2)/25))/(LN(2)/25)*Calculateur!CG81*Calculateur!CI81*VLOOKUP('Données projet'!$B$12,Paramètres!$A$1:$I$89,3,0)*0.475*44/12</f>
        <v>12.118351143820174</v>
      </c>
      <c r="CM81" s="21">
        <f>EXP(-LN(2)/2)*CM80+(1-EXP(-LN(2)/2))/(LN(2)/2)*CG81*CJ81*VLOOKUP('Données projet'!$B$12,Paramètres!$A$1:$I$89,3,0)*0.475*44/12</f>
        <v>0.81556505626877707</v>
      </c>
      <c r="CN81" s="22">
        <f t="shared" si="66"/>
        <v>22.731213005007614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6.7444444444444462</v>
      </c>
      <c r="CT81" s="12">
        <f>IF('Données projet'!$A$140&gt;35,CT80+CS81-DB80,IF(A81&lt;'Données projet'!$A$140,$CQ$205^A81,IF(A81='Données projet'!$A$140,'Données projet'!$B$140,CT80+CS81-DB80)))</f>
        <v>175.31444444444446</v>
      </c>
      <c r="CU81" s="17">
        <f>CT81*VLOOKUP('Données projet'!$B$13,Paramètres!$A$1:$I$89,3,0)*VLOOKUP('Données projet'!$B$13,Paramètres!$A$1:$I$89,5,0)</f>
        <v>169.5641306666667</v>
      </c>
      <c r="CV81" s="13">
        <f t="shared" si="95"/>
        <v>42.992388773200261</v>
      </c>
      <c r="CW81" s="20">
        <f t="shared" si="67"/>
        <v>370.20260469110161</v>
      </c>
      <c r="CX81" s="59">
        <f t="shared" si="68"/>
        <v>640.1260427255279</v>
      </c>
      <c r="CY81" s="59">
        <f ca="1">AVERAGE(OFFSET($CX$3,0,0,'Données projet'!$E$13+1,1))-AVERAGE(OFFSET($H$3,0,0,'Données projet'!$E$13+1,1))</f>
        <v>557.48193674339791</v>
      </c>
      <c r="CZ81" s="59">
        <f t="shared" si="96"/>
        <v>271.51396593253048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40.357215344648573</v>
      </c>
      <c r="DH81" s="21">
        <f>EXP(-LN(2)/2)*DH80+(1-EXP(-LN(2)/2))/(LN(2)/2)*DB81*DE81*VLOOKUP('Données projet'!$B$13,Paramètres!$A$1:$I$89,3,0)*0.475*44/12</f>
        <v>4.7480543710552663</v>
      </c>
      <c r="DI81" s="22">
        <f t="shared" si="69"/>
        <v>45.105269715703841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6.7444444444444462</v>
      </c>
      <c r="DO81" s="12">
        <f>IF('Données projet'!$A$166&gt;35,DO80+DN81-DW80,IF(A81&lt;'Données projet'!$A$166,$DL$205^A81,IF(A81='Données projet'!$A$166,'Données projet'!$B$166,DO80+DN81-DW80)))</f>
        <v>175.31444444444446</v>
      </c>
      <c r="DP81" s="17">
        <f>DO81*VLOOKUP('Données projet'!$B$14,Paramètres!$A$1:$I$89,3,0)*VLOOKUP('Données projet'!$B$14,Paramètres!$A$1:$I$89,5,0)</f>
        <v>188.70846800000001</v>
      </c>
      <c r="DQ81" s="13">
        <f t="shared" si="97"/>
        <v>47.254300212556309</v>
      </c>
      <c r="DR81" s="20">
        <f t="shared" si="70"/>
        <v>410.96848797020226</v>
      </c>
      <c r="DS81" s="59">
        <f t="shared" si="71"/>
        <v>680.89192600462843</v>
      </c>
      <c r="DT81" s="59">
        <f ca="1">AVERAGE(OFFSET($DS$3,0,0,'Données projet'!$E$14+1,1))-AVERAGE(OFFSET($H$3,0,0,'Données projet'!$E$14+1,1))</f>
        <v>610.05768948788375</v>
      </c>
      <c r="DU81" s="59">
        <f t="shared" si="98"/>
        <v>295.23928902444845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44.913675141625021</v>
      </c>
      <c r="EC81" s="21">
        <f>EXP(-LN(2)/2)*EC80+(1-EXP(-LN(2)/2))/(LN(2)/2)*DW81*DZ81*VLOOKUP('Données projet'!$B$14,Paramètres!$A$1:$I$89,3,0)*0.475*44/12</f>
        <v>5.2841250258518286</v>
      </c>
      <c r="ED81" s="22">
        <f t="shared" si="72"/>
        <v>50.197800167476849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9.546999999999997</v>
      </c>
      <c r="N82" s="13">
        <f>IF('Données projet'!$A$36&gt;35,N81+M82-V81,IF(A82&lt;'Données projet'!$A$36,$K$205^A82,IF(A82='Données projet'!$A$36,'Données projet'!$B$36,N81+M82-V81)))</f>
        <v>307.35500000000036</v>
      </c>
      <c r="O82" s="13">
        <f>N82*VLOOKUP('Données projet'!$B$9,Paramètres!$A$1:$I$89,3,0)*VLOOKUP('Données projet'!$B$9,Paramètres!$A$1:$I$89,5,0)</f>
        <v>278.09480400000029</v>
      </c>
      <c r="P82" s="13">
        <f t="shared" si="87"/>
        <v>66.564226351179173</v>
      </c>
      <c r="Q82" s="20">
        <f t="shared" si="54"/>
        <v>600.28114452830425</v>
      </c>
      <c r="R82" s="59">
        <f t="shared" si="55"/>
        <v>870.61069190948115</v>
      </c>
      <c r="S82" s="59">
        <f ca="1">AVERAGE(OFFSET($R$3,0,0,'Données projet'!$E$9+1,1))-AVERAGE(OFFSET($H$3,0,0,'Données projet'!$E$9+1,1))</f>
        <v>681.47578137804555</v>
      </c>
      <c r="T82" s="59">
        <f t="shared" si="88"/>
        <v>300.88511065995885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13.246346503276447</v>
      </c>
      <c r="AA82" s="21">
        <f>EXP(-LN(2)/25)*AA81+(1-EXP(-LN(2)/25))/(LN(2)/25)*Calculateur!V82*Calculateur!X82*VLOOKUP('Données projet'!$B$9,Paramètres!$A$1:$I$89,3,0)*0.475*44/12</f>
        <v>27.413063517975782</v>
      </c>
      <c r="AB82" s="21">
        <f>EXP(-LN(2)/2)*AB81+(1-EXP(-LN(2)/2))/(LN(2)/2)*V82*Y82*VLOOKUP('Données projet'!$B$9,Paramètres!$A$1:$I$89,3,0)*0.475*44/12</f>
        <v>0.83136029285131385</v>
      </c>
      <c r="AC82" s="22">
        <f t="shared" si="57"/>
        <v>41.490770314103543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-8.8675733422860506E-14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217.53602321474159</v>
      </c>
      <c r="AO82" s="59">
        <f t="shared" si="90"/>
        <v>215.75909414893025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22.611061231881948</v>
      </c>
      <c r="AV82" s="21">
        <f>EXP(-LN(2)/25)*AV81+(1-EXP(-LN(2)/25))/(LN(2)/25)*Calculateur!AQ82*Calculateur!AS82*VLOOKUP('Données projet'!$B$10,Paramètres!$A$1:$I$89,3,0)*0.475*44/12</f>
        <v>20.566710443098</v>
      </c>
      <c r="AW82" s="21">
        <f>EXP(-LN(2)/2)*AW81+(1-EXP(-LN(2)/2))/(LN(2)/2)*AQ82*AT82*VLOOKUP('Données projet'!$B$10,Paramètres!$A$1:$I$89,3,0)*0.475*44/12</f>
        <v>1.2170677414519915</v>
      </c>
      <c r="AX82" s="21">
        <f t="shared" si="60"/>
        <v>44.394839416431942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2.8</v>
      </c>
      <c r="BD82" s="12">
        <f>IF('Données projet'!$A$88&gt;35,BD81+BC82-BL81,IF(A82&lt;'Données projet'!$A$88,$BA$205^A82,IF(A82='Données projet'!$A$88,'Données projet'!$B$88,BD81+BC82-BL81)))</f>
        <v>272.19999999999982</v>
      </c>
      <c r="BE82" s="13">
        <f>BD82*VLOOKUP('Données projet'!$B$11,Paramètres!$A$1:$I$89,3,0)*VLOOKUP('Données projet'!$B$11,Paramètres!$A$1:$I$89,5,0)</f>
        <v>182.59175999999988</v>
      </c>
      <c r="BF82" s="13">
        <f t="shared" si="91"/>
        <v>45.898324377826299</v>
      </c>
      <c r="BG82" s="20">
        <f t="shared" si="61"/>
        <v>397.95356362471392</v>
      </c>
      <c r="BH82" s="59">
        <f t="shared" si="62"/>
        <v>668.28311100589087</v>
      </c>
      <c r="BI82" s="59">
        <f ca="1">AVERAGE(OFFSET($BH$3,0,0,'Données projet'!$E$11+1,1))-AVERAGE(OFFSET($H$3,0,0,'Données projet'!$E$11+1,1))</f>
        <v>281.67293577289729</v>
      </c>
      <c r="BJ82" s="59">
        <f t="shared" si="92"/>
        <v>272.44904846480154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7.3754043747216711</v>
      </c>
      <c r="BQ82" s="21">
        <f>EXP(-LN(2)/25)*BQ81+(1-EXP(-LN(2)/25))/(LN(2)/25)*Calculateur!BL82*Calculateur!BN82*VLOOKUP('Données projet'!$B$11,Paramètres!$A$1:$I$89,3,0)*0.475*44/12</f>
        <v>9.0507123279319437</v>
      </c>
      <c r="BR82" s="21">
        <f>EXP(-LN(2)/2)*BR81+(1-EXP(-LN(2)/2))/(LN(2)/2)*BL82*BO82*VLOOKUP('Données projet'!$B$11,Paramètres!$A$1:$I$89,3,0)*0.475*44/12</f>
        <v>0.44281675030030243</v>
      </c>
      <c r="BS82" s="22">
        <f t="shared" si="63"/>
        <v>16.868933452953918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2.8</v>
      </c>
      <c r="BY82" s="12">
        <f>IF('Données projet'!$A$114&gt;35,BY81+BX82-CG81,IF(A82&lt;'Données projet'!$A$114,$BV$205^A82,IF(A82='Données projet'!$A$114,'Données projet'!$B$114,BY81+BX82-CG81)))</f>
        <v>272.19999999999982</v>
      </c>
      <c r="BZ82" s="13">
        <f>BY82*VLOOKUP('Données projet'!$B$12,Paramètres!$A$1:$I$89,3,0)*VLOOKUP('Données projet'!$B$12,Paramètres!$A$1:$I$89,5,0)</f>
        <v>237.79391999999984</v>
      </c>
      <c r="CA82" s="13">
        <f t="shared" si="93"/>
        <v>57.96462682570845</v>
      </c>
      <c r="CB82" s="20">
        <f t="shared" si="64"/>
        <v>515.11280238810866</v>
      </c>
      <c r="CC82" s="59">
        <f t="shared" si="65"/>
        <v>785.44234976928556</v>
      </c>
      <c r="CD82" s="59">
        <f ca="1">AVERAGE(OFFSET($CC$3,0,0,'Données projet'!$E$12+1,1))-AVERAGE(OFFSET($H$3,0,0,'Données projet'!$E$12+1,1))</f>
        <v>348.77506423101278</v>
      </c>
      <c r="CE82" s="59">
        <f t="shared" si="94"/>
        <v>336.13747591329548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9.6051777903352011</v>
      </c>
      <c r="CL82" s="21">
        <f>EXP(-LN(2)/25)*CL81+(1-EXP(-LN(2)/25))/(LN(2)/25)*Calculateur!CG82*Calculateur!CI82*VLOOKUP('Données projet'!$B$12,Paramètres!$A$1:$I$89,3,0)*0.475*44/12</f>
        <v>11.786974194516022</v>
      </c>
      <c r="CM82" s="21">
        <f>EXP(-LN(2)/2)*CM81+(1-EXP(-LN(2)/2))/(LN(2)/2)*CG82*CJ82*VLOOKUP('Données projet'!$B$12,Paramètres!$A$1:$I$89,3,0)*0.475*44/12</f>
        <v>0.57669158178644053</v>
      </c>
      <c r="CN82" s="22">
        <f t="shared" si="66"/>
        <v>21.968843566637666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6.7444444444444462</v>
      </c>
      <c r="CT82" s="12">
        <f>IF('Données projet'!$A$140&gt;35,CT81+CS82-DB81,IF(A82&lt;'Données projet'!$A$140,$CQ$205^A82,IF(A82='Données projet'!$A$140,'Données projet'!$B$140,CT81+CS82-DB81)))</f>
        <v>182.0588888888889</v>
      </c>
      <c r="CU82" s="17">
        <f>CT82*VLOOKUP('Données projet'!$B$13,Paramètres!$A$1:$I$89,3,0)*VLOOKUP('Données projet'!$B$13,Paramètres!$A$1:$I$89,5,0)</f>
        <v>176.08735733333333</v>
      </c>
      <c r="CV82" s="13">
        <f t="shared" si="95"/>
        <v>44.450585000092076</v>
      </c>
      <c r="CW82" s="20">
        <f t="shared" si="67"/>
        <v>384.10358289738252</v>
      </c>
      <c r="CX82" s="59">
        <f t="shared" si="68"/>
        <v>654.43313027855947</v>
      </c>
      <c r="CY82" s="59">
        <f ca="1">AVERAGE(OFFSET($CX$3,0,0,'Données projet'!$E$13+1,1))-AVERAGE(OFFSET($H$3,0,0,'Données projet'!$E$13+1,1))</f>
        <v>557.48193674339791</v>
      </c>
      <c r="CZ82" s="59">
        <f t="shared" si="96"/>
        <v>271.51396593253048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39.25364516875544</v>
      </c>
      <c r="DH82" s="21">
        <f>EXP(-LN(2)/2)*DH81+(1-EXP(-LN(2)/2))/(LN(2)/2)*DB82*DE82*VLOOKUP('Données projet'!$B$13,Paramètres!$A$1:$I$89,3,0)*0.475*44/12</f>
        <v>3.3573814432156071</v>
      </c>
      <c r="DI82" s="22">
        <f t="shared" si="69"/>
        <v>42.611026611971049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6.7444444444444462</v>
      </c>
      <c r="DO82" s="12">
        <f>IF('Données projet'!$A$166&gt;35,DO81+DN82-DW81,IF(A82&lt;'Données projet'!$A$166,$DL$205^A82,IF(A82='Données projet'!$A$166,'Données projet'!$B$166,DO81+DN82-DW81)))</f>
        <v>182.0588888888889</v>
      </c>
      <c r="DP82" s="17">
        <f>DO82*VLOOKUP('Données projet'!$B$14,Paramètres!$A$1:$I$89,3,0)*VLOOKUP('Données projet'!$B$14,Paramètres!$A$1:$I$89,5,0)</f>
        <v>195.968188</v>
      </c>
      <c r="DQ82" s="13">
        <f t="shared" si="97"/>
        <v>48.857050007127249</v>
      </c>
      <c r="DR82" s="20">
        <f t="shared" si="70"/>
        <v>426.40395619574662</v>
      </c>
      <c r="DS82" s="59">
        <f t="shared" si="71"/>
        <v>696.73350357692357</v>
      </c>
      <c r="DT82" s="59">
        <f ca="1">AVERAGE(OFFSET($DS$3,0,0,'Données projet'!$E$14+1,1))-AVERAGE(OFFSET($H$3,0,0,'Données projet'!$E$14+1,1))</f>
        <v>610.05768948788375</v>
      </c>
      <c r="DU82" s="59">
        <f t="shared" si="98"/>
        <v>295.23928902444845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43.685508332969761</v>
      </c>
      <c r="EC82" s="21">
        <f>EXP(-LN(2)/2)*EC81+(1-EXP(-LN(2)/2))/(LN(2)/2)*DW82*DZ82*VLOOKUP('Données projet'!$B$14,Paramètres!$A$1:$I$89,3,0)*0.475*44/12</f>
        <v>3.7364406384173692</v>
      </c>
      <c r="ED82" s="22">
        <f t="shared" si="72"/>
        <v>47.421948971387131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9.546999999999997</v>
      </c>
      <c r="N83" s="13">
        <f>IF('Données projet'!$A$36&gt;35,N82+M83-V82,IF(A83&lt;'Données projet'!$A$36,$K$205^A83,IF(A83='Données projet'!$A$36,'Données projet'!$B$36,N82+M83-V82)))</f>
        <v>316.90200000000038</v>
      </c>
      <c r="O83" s="13">
        <f>N83*VLOOKUP('Données projet'!$B$9,Paramètres!$A$1:$I$89,3,0)*VLOOKUP('Données projet'!$B$9,Paramètres!$A$1:$I$89,5,0)</f>
        <v>286.73292960000038</v>
      </c>
      <c r="P83" s="13">
        <f t="shared" si="87"/>
        <v>68.387896772756079</v>
      </c>
      <c r="Q83" s="20">
        <f t="shared" si="54"/>
        <v>618.50210593255088</v>
      </c>
      <c r="R83" s="59">
        <f t="shared" si="55"/>
        <v>889.23071757123694</v>
      </c>
      <c r="S83" s="59">
        <f ca="1">AVERAGE(OFFSET($R$3,0,0,'Données projet'!$E$9+1,1))-AVERAGE(OFFSET($H$3,0,0,'Données projet'!$E$9+1,1))</f>
        <v>681.47578137804555</v>
      </c>
      <c r="T83" s="59">
        <f t="shared" si="88"/>
        <v>300.88511065995885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12.986593727820781</v>
      </c>
      <c r="AA83" s="21">
        <f>EXP(-LN(2)/25)*AA82+(1-EXP(-LN(2)/25))/(LN(2)/25)*Calculateur!V83*Calculateur!X83*VLOOKUP('Données projet'!$B$9,Paramètres!$A$1:$I$89,3,0)*0.475*44/12</f>
        <v>26.663451854486379</v>
      </c>
      <c r="AB83" s="21">
        <f>EXP(-LN(2)/2)*AB82+(1-EXP(-LN(2)/2))/(LN(2)/2)*V83*Y83*VLOOKUP('Données projet'!$B$9,Paramètres!$A$1:$I$89,3,0)*0.475*44/12</f>
        <v>0.5878605006843981</v>
      </c>
      <c r="AC83" s="22">
        <f t="shared" si="57"/>
        <v>40.237906082991557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-8.8675733422860506E-14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217.53602321474159</v>
      </c>
      <c r="AO83" s="59">
        <f t="shared" si="90"/>
        <v>215.75909414893025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22.167672112510306</v>
      </c>
      <c r="AV83" s="21">
        <f>EXP(-LN(2)/25)*AV82+(1-EXP(-LN(2)/25))/(LN(2)/25)*Calculateur!AQ83*Calculateur!AS83*VLOOKUP('Données projet'!$B$10,Paramètres!$A$1:$I$89,3,0)*0.475*44/12</f>
        <v>20.00431266447519</v>
      </c>
      <c r="AW83" s="21">
        <f>EXP(-LN(2)/2)*AW82+(1-EXP(-LN(2)/2))/(LN(2)/2)*AQ83*AT83*VLOOKUP('Données projet'!$B$10,Paramètres!$A$1:$I$89,3,0)*0.475*44/12</f>
        <v>0.86059685314409895</v>
      </c>
      <c r="AX83" s="21">
        <f t="shared" si="60"/>
        <v>43.032581630129599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275</v>
      </c>
      <c r="BB83" s="12">
        <f>VLOOKUP(A83,'Données projet'!$A$87:$I$107,9,0)</f>
        <v>2.8</v>
      </c>
      <c r="BC83" s="12">
        <f t="array" ref="BC83">INDEX(BB:BB,MIN(IF(ISNUMBER(BB83:BB279),ROW(BB83:BB279),"")))</f>
        <v>2.8</v>
      </c>
      <c r="BD83" s="12">
        <f>IF('Données projet'!$A$88&gt;35,BD82+BC83-BL82,IF(A83&lt;'Données projet'!$A$88,$BA$205^A83,IF(A83='Données projet'!$A$88,'Données projet'!$B$88,BD82+BC83-BL82)))</f>
        <v>274.99999999999983</v>
      </c>
      <c r="BE83" s="13">
        <f>BD83*VLOOKUP('Données projet'!$B$11,Paramètres!$A$1:$I$89,3,0)*VLOOKUP('Données projet'!$B$11,Paramètres!$A$1:$I$89,5,0)</f>
        <v>184.46999999999989</v>
      </c>
      <c r="BF83" s="13">
        <f t="shared" si="91"/>
        <v>46.315254582516552</v>
      </c>
      <c r="BG83" s="20">
        <f t="shared" si="61"/>
        <v>401.95098506454946</v>
      </c>
      <c r="BH83" s="59">
        <f t="shared" si="62"/>
        <v>672.67959670323557</v>
      </c>
      <c r="BI83" s="59">
        <f ca="1">AVERAGE(OFFSET($BH$3,0,0,'Données projet'!$E$11+1,1))-AVERAGE(OFFSET($H$3,0,0,'Données projet'!$E$11+1,1))</f>
        <v>281.67293577289729</v>
      </c>
      <c r="BJ83" s="59">
        <f t="shared" si="92"/>
        <v>272.44904846480154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275</v>
      </c>
      <c r="BM83" s="16">
        <f>IF(ISNA(VLOOKUP(A83,'Données projet'!$A$87:$I$107,5,0)),0%,VLOOKUP(A83,'Données projet'!$A$87:$I$107,5,0)*VLOOKUP('Données projet'!$B$11,Paramètres!$A$1:$I$89,7,0))</f>
        <v>0.13250000000000001</v>
      </c>
      <c r="BN83" s="16">
        <f>IF(ISNA(VLOOKUP(A83,'Données projet'!$A$87:$I$107,6,0)),0%,VLOOKUP(A83,'Données projet'!$A$87:$I$107,6,0)*VLOOKUP('Données projet'!$B$11,Paramètres!$A$1:$I$89,7,0))</f>
        <v>0.13250000000000001</v>
      </c>
      <c r="BO83" s="16">
        <f>IF(ISNA(VLOOKUP(A83,'Données projet'!$A$87:$I$107,7,0)),0%,VLOOKUP(A83,'Données projet'!$A$87:$I$107,7,0))</f>
        <v>0.25</v>
      </c>
      <c r="BP83" s="21">
        <f>EXP(-LN(2)/35)*BP82+(1-EXP(-LN(2)/35))/(LN(2)/35)*BL83*BM83*VLOOKUP('Données projet'!$B$11,Paramètres!$A$1:$I$89,3,0)*0.475*44/12</f>
        <v>34.250988214384591</v>
      </c>
      <c r="BQ83" s="21">
        <f>EXP(-LN(2)/25)*BQ82+(1-EXP(-LN(2)/25))/(LN(2)/25)*Calculateur!BL83*Calculateur!BN83*VLOOKUP('Données projet'!$B$11,Paramètres!$A$1:$I$89,3,0)*0.475*44/12</f>
        <v>35.717042277970279</v>
      </c>
      <c r="BR83" s="21">
        <f>EXP(-LN(2)/2)*BR82+(1-EXP(-LN(2)/2))/(LN(2)/2)*BL83*BO83*VLOOKUP('Données projet'!$B$11,Paramètres!$A$1:$I$89,3,0)*0.475*44/12</f>
        <v>43.826221211274316</v>
      </c>
      <c r="BS83" s="22">
        <f t="shared" si="63"/>
        <v>113.79425170362919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275</v>
      </c>
      <c r="BW83" s="12">
        <f>VLOOKUP(A83,'Données projet'!$A$113:$I$133,9,0)</f>
        <v>2.8</v>
      </c>
      <c r="BX83" s="12">
        <f t="array" ref="BX83">INDEX(BW:BW,MIN(IF(ISNUMBER(BW83:BW279),ROW(BW83:BW279),"")))</f>
        <v>2.8</v>
      </c>
      <c r="BY83" s="12">
        <f>IF('Données projet'!$A$114&gt;35,BY82+BX83-CG82,IF(A83&lt;'Données projet'!$A$114,$BV$205^A83,IF(A83='Données projet'!$A$114,'Données projet'!$B$114,BY82+BX83-CG82)))</f>
        <v>274.99999999999983</v>
      </c>
      <c r="BZ83" s="13">
        <f>BY83*VLOOKUP('Données projet'!$B$12,Paramètres!$A$1:$I$89,3,0)*VLOOKUP('Données projet'!$B$12,Paramètres!$A$1:$I$89,5,0)</f>
        <v>240.23999999999987</v>
      </c>
      <c r="CA83" s="13">
        <f t="shared" si="93"/>
        <v>58.491164647183084</v>
      </c>
      <c r="CB83" s="20">
        <f t="shared" si="64"/>
        <v>520.29011176051029</v>
      </c>
      <c r="CC83" s="59">
        <f t="shared" si="65"/>
        <v>791.01872339919646</v>
      </c>
      <c r="CD83" s="59">
        <f ca="1">AVERAGE(OFFSET($CC$3,0,0,'Données projet'!$E$12+1,1))-AVERAGE(OFFSET($H$3,0,0,'Données projet'!$E$12+1,1))</f>
        <v>348.77506423101278</v>
      </c>
      <c r="CE83" s="59">
        <f t="shared" si="94"/>
        <v>336.13747591329548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275</v>
      </c>
      <c r="CH83" s="16">
        <f>IF(ISNA(VLOOKUP(A83,'Données projet'!$A$113:$I$133,5,0)),0%,VLOOKUP(A83,'Données projet'!$A$113:$I$133,5,0)*VLOOKUP('Données projet'!$B$12,Paramètres!$A$1:$I$89,7,0))</f>
        <v>0.13250000000000001</v>
      </c>
      <c r="CI83" s="16">
        <f>IF(ISNA(VLOOKUP(A83,'Données projet'!$A$113:$I$133,6,0)),0%,VLOOKUP(A83,'Données projet'!$A$113:$I$133,6,0)*VLOOKUP('Données projet'!$B$12,Paramètres!$A$1:$I$89,7,0))</f>
        <v>0.13250000000000001</v>
      </c>
      <c r="CJ83" s="16">
        <f>IF(ISNA(VLOOKUP(A83,'Données projet'!$A$113:$I$133,7,0)),0%,VLOOKUP(A83,'Données projet'!$A$113:$I$133,7,0))</f>
        <v>0.25</v>
      </c>
      <c r="CK83" s="21">
        <f>EXP(-LN(2)/35)*CK82+(1-EXP(-LN(2)/35))/(LN(2)/35)*CG83*CH83*VLOOKUP('Données projet'!$B$12,Paramètres!$A$1:$I$89,3,0)*0.475*44/12</f>
        <v>44.605938139663664</v>
      </c>
      <c r="CL83" s="21">
        <f>EXP(-LN(2)/25)*CL82+(1-EXP(-LN(2)/25))/(LN(2)/25)*Calculateur!CG83*Calculateur!CI83*VLOOKUP('Données projet'!$B$12,Paramètres!$A$1:$I$89,3,0)*0.475*44/12</f>
        <v>46.515217850379898</v>
      </c>
      <c r="CM83" s="21">
        <f>EXP(-LN(2)/2)*CM82+(1-EXP(-LN(2)/2))/(LN(2)/2)*CG83*CJ83*VLOOKUP('Données projet'!$B$12,Paramètres!$A$1:$I$89,3,0)*0.475*44/12</f>
        <v>57.076009019334002</v>
      </c>
      <c r="CN83" s="22">
        <f t="shared" si="66"/>
        <v>148.19716500937756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6.7444444444444462</v>
      </c>
      <c r="CT83" s="12">
        <f>IF('Données projet'!$A$140&gt;35,CT82+CS83-DB82,IF(A83&lt;'Données projet'!$A$140,$CQ$205^A83,IF(A83='Données projet'!$A$140,'Données projet'!$B$140,CT82+CS83-DB82)))</f>
        <v>188.80333333333334</v>
      </c>
      <c r="CU83" s="17">
        <f>CT83*VLOOKUP('Données projet'!$B$13,Paramètres!$A$1:$I$89,3,0)*VLOOKUP('Données projet'!$B$13,Paramètres!$A$1:$I$89,5,0)</f>
        <v>182.61058400000002</v>
      </c>
      <c r="CV83" s="13">
        <f t="shared" si="95"/>
        <v>45.9025053826808</v>
      </c>
      <c r="CW83" s="20">
        <f t="shared" si="67"/>
        <v>397.99363067483574</v>
      </c>
      <c r="CX83" s="59">
        <f t="shared" si="68"/>
        <v>668.72224231352186</v>
      </c>
      <c r="CY83" s="59">
        <f ca="1">AVERAGE(OFFSET($CX$3,0,0,'Données projet'!$E$13+1,1))-AVERAGE(OFFSET($H$3,0,0,'Données projet'!$E$13+1,1))</f>
        <v>557.48193674339791</v>
      </c>
      <c r="CZ83" s="59">
        <f t="shared" si="96"/>
        <v>271.51396593253048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38.180252177356337</v>
      </c>
      <c r="DH83" s="21">
        <f>EXP(-LN(2)/2)*DH82+(1-EXP(-LN(2)/2))/(LN(2)/2)*DB83*DE83*VLOOKUP('Données projet'!$B$13,Paramètres!$A$1:$I$89,3,0)*0.475*44/12</f>
        <v>2.3740271855276336</v>
      </c>
      <c r="DI83" s="22">
        <f t="shared" si="69"/>
        <v>40.554279362883968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6.7444444444444462</v>
      </c>
      <c r="DO83" s="12">
        <f>IF('Données projet'!$A$166&gt;35,DO82+DN83-DW82,IF(A83&lt;'Données projet'!$A$166,$DL$205^A83,IF(A83='Données projet'!$A$166,'Données projet'!$B$166,DO82+DN83-DW82)))</f>
        <v>188.80333333333334</v>
      </c>
      <c r="DP83" s="17">
        <f>DO83*VLOOKUP('Données projet'!$B$14,Paramètres!$A$1:$I$89,3,0)*VLOOKUP('Données projet'!$B$14,Paramètres!$A$1:$I$89,5,0)</f>
        <v>203.22790799999999</v>
      </c>
      <c r="DQ83" s="13">
        <f t="shared" si="97"/>
        <v>50.452901821863946</v>
      </c>
      <c r="DR83" s="20">
        <f t="shared" si="70"/>
        <v>441.8274104397463</v>
      </c>
      <c r="DS83" s="59">
        <f t="shared" si="71"/>
        <v>712.55602207843242</v>
      </c>
      <c r="DT83" s="59">
        <f ca="1">AVERAGE(OFFSET($DS$3,0,0,'Données projet'!$E$14+1,1))-AVERAGE(OFFSET($H$3,0,0,'Données projet'!$E$14+1,1))</f>
        <v>610.05768948788375</v>
      </c>
      <c r="DU83" s="59">
        <f t="shared" si="98"/>
        <v>295.23928902444845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42.490925810283663</v>
      </c>
      <c r="EC83" s="21">
        <f>EXP(-LN(2)/2)*EC82+(1-EXP(-LN(2)/2))/(LN(2)/2)*DW83*DZ83*VLOOKUP('Données projet'!$B$14,Paramètres!$A$1:$I$89,3,0)*0.475*44/12</f>
        <v>2.6420625129259148</v>
      </c>
      <c r="ED83" s="22">
        <f t="shared" si="72"/>
        <v>45.132988323209581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9.546999999999997</v>
      </c>
      <c r="N84" s="13">
        <f>IF('Données projet'!$A$36&gt;35,N83+M84-V83,IF(A84&lt;'Données projet'!$A$36,$K$205^A84,IF(A84='Données projet'!$A$36,'Données projet'!$B$36,N83+M84-V83)))</f>
        <v>326.44900000000041</v>
      </c>
      <c r="O84" s="13">
        <f>N84*VLOOKUP('Données projet'!$B$9,Paramètres!$A$1:$I$89,3,0)*VLOOKUP('Données projet'!$B$9,Paramètres!$A$1:$I$89,5,0)</f>
        <v>295.37105520000034</v>
      </c>
      <c r="P84" s="13">
        <f t="shared" si="87"/>
        <v>70.205182362680091</v>
      </c>
      <c r="Q84" s="20">
        <f t="shared" si="54"/>
        <v>636.71194708833502</v>
      </c>
      <c r="R84" s="59">
        <f t="shared" si="55"/>
        <v>907.8327001118364</v>
      </c>
      <c r="S84" s="59">
        <f ca="1">AVERAGE(OFFSET($R$3,0,0,'Données projet'!$E$9+1,1))-AVERAGE(OFFSET($H$3,0,0,'Données projet'!$E$9+1,1))</f>
        <v>681.47578137804555</v>
      </c>
      <c r="T84" s="59">
        <f t="shared" si="88"/>
        <v>300.88511065995885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12.731934545858252</v>
      </c>
      <c r="AA84" s="21">
        <f>EXP(-LN(2)/25)*AA83+(1-EXP(-LN(2)/25))/(LN(2)/25)*Calculateur!V84*Calculateur!X84*VLOOKUP('Données projet'!$B$9,Paramètres!$A$1:$I$89,3,0)*0.475*44/12</f>
        <v>25.934338361355454</v>
      </c>
      <c r="AB84" s="21">
        <f>EXP(-LN(2)/2)*AB83+(1-EXP(-LN(2)/2))/(LN(2)/2)*V84*Y84*VLOOKUP('Données projet'!$B$9,Paramètres!$A$1:$I$89,3,0)*0.475*44/12</f>
        <v>0.41568014642565698</v>
      </c>
      <c r="AC84" s="22">
        <f t="shared" si="57"/>
        <v>39.081953053639367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-8.8675733422860506E-14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217.53602321474159</v>
      </c>
      <c r="AO84" s="59">
        <f t="shared" si="90"/>
        <v>215.75909414893025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21.732977583328886</v>
      </c>
      <c r="AV84" s="21">
        <f>EXP(-LN(2)/25)*AV83+(1-EXP(-LN(2)/25))/(LN(2)/25)*Calculateur!AQ84*Calculateur!AS84*VLOOKUP('Données projet'!$B$10,Paramètres!$A$1:$I$89,3,0)*0.475*44/12</f>
        <v>19.457293682684032</v>
      </c>
      <c r="AW84" s="21">
        <f>EXP(-LN(2)/2)*AW83+(1-EXP(-LN(2)/2))/(LN(2)/2)*AQ84*AT84*VLOOKUP('Données projet'!$B$10,Paramètres!$A$1:$I$89,3,0)*0.475*44/12</f>
        <v>0.60853387072599574</v>
      </c>
      <c r="AX84" s="21">
        <f t="shared" si="60"/>
        <v>41.798805136738906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-1.7053025658242404E-13</v>
      </c>
      <c r="BE84" s="13">
        <f>BD84*VLOOKUP('Données projet'!$B$11,Paramètres!$A$1:$I$89,3,0)*VLOOKUP('Données projet'!$B$11,Paramètres!$A$1:$I$89,5,0)</f>
        <v>-1.1439169611549005E-13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281.67293577289729</v>
      </c>
      <c r="BJ84" s="59">
        <f t="shared" si="92"/>
        <v>272.44904846480154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33.579347226540499</v>
      </c>
      <c r="BQ84" s="21">
        <f>EXP(-LN(2)/25)*BQ83+(1-EXP(-LN(2)/25))/(LN(2)/25)*Calculateur!BL84*Calculateur!BN84*VLOOKUP('Données projet'!$B$11,Paramètres!$A$1:$I$89,3,0)*0.475*44/12</f>
        <v>34.740357878601557</v>
      </c>
      <c r="BR84" s="21">
        <f>EXP(-LN(2)/2)*BR83+(1-EXP(-LN(2)/2))/(LN(2)/2)*BL84*BO84*VLOOKUP('Données projet'!$B$11,Paramètres!$A$1:$I$89,3,0)*0.475*44/12</f>
        <v>30.989818212273779</v>
      </c>
      <c r="BS84" s="22">
        <f t="shared" si="63"/>
        <v>99.309523317415824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-1.7053025658242404E-13</v>
      </c>
      <c r="BZ84" s="13">
        <f>BY84*VLOOKUP('Données projet'!$B$12,Paramètres!$A$1:$I$89,3,0)*VLOOKUP('Données projet'!$B$12,Paramètres!$A$1:$I$89,5,0)</f>
        <v>-1.4897523215040567E-13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348.77506423101278</v>
      </c>
      <c r="CE84" s="59">
        <f t="shared" si="94"/>
        <v>336.13747591329548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43.731242899680666</v>
      </c>
      <c r="CL84" s="21">
        <f>EXP(-LN(2)/25)*CL83+(1-EXP(-LN(2)/25))/(LN(2)/25)*Calculateur!CG84*Calculateur!CI84*VLOOKUP('Données projet'!$B$12,Paramètres!$A$1:$I$89,3,0)*0.475*44/12</f>
        <v>45.243256772132263</v>
      </c>
      <c r="CM84" s="21">
        <f>EXP(-LN(2)/2)*CM83+(1-EXP(-LN(2)/2))/(LN(2)/2)*CG84*CJ84*VLOOKUP('Données projet'!$B$12,Paramètres!$A$1:$I$89,3,0)*0.475*44/12</f>
        <v>40.358833020635622</v>
      </c>
      <c r="CN84" s="22">
        <f t="shared" si="66"/>
        <v>129.33333269244855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6.7444444444444462</v>
      </c>
      <c r="CT84" s="12">
        <f>IF('Données projet'!$A$140&gt;35,CT83+CS84-DB83,IF(A84&lt;'Données projet'!$A$140,$CQ$205^A84,IF(A84='Données projet'!$A$140,'Données projet'!$B$140,CT83+CS84-DB83)))</f>
        <v>195.54777777777778</v>
      </c>
      <c r="CU84" s="17">
        <f>CT84*VLOOKUP('Données projet'!$B$13,Paramètres!$A$1:$I$89,3,0)*VLOOKUP('Données projet'!$B$13,Paramètres!$A$1:$I$89,5,0)</f>
        <v>189.13381066666668</v>
      </c>
      <c r="CV84" s="13">
        <f t="shared" si="95"/>
        <v>47.348399790775353</v>
      </c>
      <c r="CW84" s="20">
        <f t="shared" si="67"/>
        <v>411.87318321337824</v>
      </c>
      <c r="CX84" s="59">
        <f t="shared" si="68"/>
        <v>682.99393623687968</v>
      </c>
      <c r="CY84" s="59">
        <f ca="1">AVERAGE(OFFSET($CX$3,0,0,'Données projet'!$E$13+1,1))-AVERAGE(OFFSET($H$3,0,0,'Données projet'!$E$13+1,1))</f>
        <v>557.48193674339791</v>
      </c>
      <c r="CZ84" s="59">
        <f t="shared" si="96"/>
        <v>271.51396593253048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37.136211173754326</v>
      </c>
      <c r="DH84" s="21">
        <f>EXP(-LN(2)/2)*DH83+(1-EXP(-LN(2)/2))/(LN(2)/2)*DB84*DE84*VLOOKUP('Données projet'!$B$13,Paramètres!$A$1:$I$89,3,0)*0.475*44/12</f>
        <v>1.6786907216078037</v>
      </c>
      <c r="DI84" s="22">
        <f t="shared" si="69"/>
        <v>38.814901895362127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6.7444444444444462</v>
      </c>
      <c r="DO84" s="12">
        <f>IF('Données projet'!$A$166&gt;35,DO83+DN84-DW83,IF(A84&lt;'Données projet'!$A$166,$DL$205^A84,IF(A84='Données projet'!$A$166,'Données projet'!$B$166,DO83+DN84-DW83)))</f>
        <v>195.54777777777778</v>
      </c>
      <c r="DP84" s="17">
        <f>DO84*VLOOKUP('Données projet'!$B$14,Paramètres!$A$1:$I$89,3,0)*VLOOKUP('Données projet'!$B$14,Paramètres!$A$1:$I$89,5,0)</f>
        <v>210.487628</v>
      </c>
      <c r="DQ84" s="13">
        <f t="shared" si="97"/>
        <v>52.042130296610793</v>
      </c>
      <c r="DR84" s="20">
        <f t="shared" si="70"/>
        <v>457.2393290332638</v>
      </c>
      <c r="DS84" s="59">
        <f t="shared" si="71"/>
        <v>728.36008205676524</v>
      </c>
      <c r="DT84" s="59">
        <f ca="1">AVERAGE(OFFSET($DS$3,0,0,'Données projet'!$E$14+1,1))-AVERAGE(OFFSET($H$3,0,0,'Données projet'!$E$14+1,1))</f>
        <v>610.05768948788375</v>
      </c>
      <c r="DU84" s="59">
        <f t="shared" si="98"/>
        <v>295.23928902444845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41.329009209500782</v>
      </c>
      <c r="EC84" s="21">
        <f>EXP(-LN(2)/2)*EC83+(1-EXP(-LN(2)/2))/(LN(2)/2)*DW84*DZ84*VLOOKUP('Données projet'!$B$14,Paramètres!$A$1:$I$89,3,0)*0.475*44/12</f>
        <v>1.8682203192086848</v>
      </c>
      <c r="ED84" s="22">
        <f t="shared" si="72"/>
        <v>43.197229528709464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9.546999999999997</v>
      </c>
      <c r="N85" s="13">
        <f>IF('Données projet'!$A$36&gt;35,N84+M85-V84,IF(A85&lt;'Données projet'!$A$36,$K$205^A85,IF(A85='Données projet'!$A$36,'Données projet'!$B$36,N84+M85-V84)))</f>
        <v>335.99600000000044</v>
      </c>
      <c r="O85" s="13">
        <f>N85*VLOOKUP('Données projet'!$B$9,Paramètres!$A$1:$I$89,3,0)*VLOOKUP('Données projet'!$B$9,Paramètres!$A$1:$I$89,5,0)</f>
        <v>304.00918080000037</v>
      </c>
      <c r="P85" s="13">
        <f t="shared" si="87"/>
        <v>72.016291285794935</v>
      </c>
      <c r="Q85" s="20">
        <f t="shared" si="54"/>
        <v>654.91103054942675</v>
      </c>
      <c r="R85" s="59">
        <f t="shared" si="55"/>
        <v>926.41712218141379</v>
      </c>
      <c r="S85" s="59">
        <f ca="1">AVERAGE(OFFSET($R$3,0,0,'Données projet'!$E$9+1,1))-AVERAGE(OFFSET($H$3,0,0,'Données projet'!$E$9+1,1))</f>
        <v>681.47578137804555</v>
      </c>
      <c r="T85" s="59">
        <f t="shared" si="88"/>
        <v>300.88511065995885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12.482269075127244</v>
      </c>
      <c r="AA85" s="21">
        <f>EXP(-LN(2)/25)*AA84+(1-EXP(-LN(2)/25))/(LN(2)/25)*Calculateur!V85*Calculateur!X85*VLOOKUP('Données projet'!$B$9,Paramètres!$A$1:$I$89,3,0)*0.475*44/12</f>
        <v>25.225162515036608</v>
      </c>
      <c r="AB85" s="21">
        <f>EXP(-LN(2)/2)*AB84+(1-EXP(-LN(2)/2))/(LN(2)/2)*V85*Y85*VLOOKUP('Données projet'!$B$9,Paramètres!$A$1:$I$89,3,0)*0.475*44/12</f>
        <v>0.29393025034219911</v>
      </c>
      <c r="AC85" s="22">
        <f t="shared" si="57"/>
        <v>38.00136184050605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-8.8675733422860506E-14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217.53602321474159</v>
      </c>
      <c r="AO85" s="59">
        <f t="shared" si="90"/>
        <v>215.75909414893025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21.306807148727231</v>
      </c>
      <c r="AV85" s="21">
        <f>EXP(-LN(2)/25)*AV84+(1-EXP(-LN(2)/25))/(LN(2)/25)*Calculateur!AQ85*Calculateur!AS85*VLOOKUP('Données projet'!$B$10,Paramètres!$A$1:$I$89,3,0)*0.475*44/12</f>
        <v>18.925232963716432</v>
      </c>
      <c r="AW85" s="21">
        <f>EXP(-LN(2)/2)*AW84+(1-EXP(-LN(2)/2))/(LN(2)/2)*AQ85*AT85*VLOOKUP('Données projet'!$B$10,Paramètres!$A$1:$I$89,3,0)*0.475*44/12</f>
        <v>0.43029842657204947</v>
      </c>
      <c r="AX85" s="21">
        <f t="shared" si="60"/>
        <v>40.662338539015714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-1.7053025658242404E-13</v>
      </c>
      <c r="BE85" s="13">
        <f>BD85*VLOOKUP('Données projet'!$B$11,Paramètres!$A$1:$I$89,3,0)*VLOOKUP('Données projet'!$B$11,Paramètres!$A$1:$I$89,5,0)</f>
        <v>-1.1439169611549005E-13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281.67293577289729</v>
      </c>
      <c r="BJ85" s="59">
        <f t="shared" si="92"/>
        <v>272.44904846480154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32.920876708807477</v>
      </c>
      <c r="BQ85" s="21">
        <f>EXP(-LN(2)/25)*BQ84+(1-EXP(-LN(2)/25))/(LN(2)/25)*Calculateur!BL85*Calculateur!BN85*VLOOKUP('Données projet'!$B$11,Paramètres!$A$1:$I$89,3,0)*0.475*44/12</f>
        <v>33.790380965495174</v>
      </c>
      <c r="BR85" s="21">
        <f>EXP(-LN(2)/2)*BR84+(1-EXP(-LN(2)/2))/(LN(2)/2)*BL85*BO85*VLOOKUP('Données projet'!$B$11,Paramètres!$A$1:$I$89,3,0)*0.475*44/12</f>
        <v>21.913110605637161</v>
      </c>
      <c r="BS85" s="22">
        <f t="shared" si="63"/>
        <v>88.624368279939816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-1.7053025658242404E-13</v>
      </c>
      <c r="BZ85" s="13">
        <f>BY85*VLOOKUP('Données projet'!$B$12,Paramètres!$A$1:$I$89,3,0)*VLOOKUP('Données projet'!$B$12,Paramètres!$A$1:$I$89,5,0)</f>
        <v>-1.4897523215040567E-13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348.77506423101278</v>
      </c>
      <c r="CE85" s="59">
        <f t="shared" si="94"/>
        <v>336.13747591329548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42.873699899842315</v>
      </c>
      <c r="CL85" s="21">
        <f>EXP(-LN(2)/25)*CL84+(1-EXP(-LN(2)/25))/(LN(2)/25)*Calculateur!CG85*Calculateur!CI85*VLOOKUP('Données projet'!$B$12,Paramètres!$A$1:$I$89,3,0)*0.475*44/12</f>
        <v>44.006077536458839</v>
      </c>
      <c r="CM85" s="21">
        <f>EXP(-LN(2)/2)*CM84+(1-EXP(-LN(2)/2))/(LN(2)/2)*CG85*CJ85*VLOOKUP('Données projet'!$B$12,Paramètres!$A$1:$I$89,3,0)*0.475*44/12</f>
        <v>28.538004509667005</v>
      </c>
      <c r="CN85" s="22">
        <f t="shared" si="66"/>
        <v>115.41778194596816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6.7444444444444462</v>
      </c>
      <c r="CT85" s="12">
        <f>IF('Données projet'!$A$140&gt;35,CT84+CS85-DB84,IF(A85&lt;'Données projet'!$A$140,$CQ$205^A85,IF(A85='Données projet'!$A$140,'Données projet'!$B$140,CT84+CS85-DB84)))</f>
        <v>202.29222222222222</v>
      </c>
      <c r="CU85" s="17">
        <f>CT85*VLOOKUP('Données projet'!$B$13,Paramètres!$A$1:$I$89,3,0)*VLOOKUP('Données projet'!$B$13,Paramètres!$A$1:$I$89,5,0)</f>
        <v>195.65703733333334</v>
      </c>
      <c r="CV85" s="13">
        <f t="shared" si="95"/>
        <v>48.788499880593612</v>
      </c>
      <c r="CW85" s="20">
        <f t="shared" si="67"/>
        <v>425.74264398092276</v>
      </c>
      <c r="CX85" s="59">
        <f t="shared" si="68"/>
        <v>697.24873561290974</v>
      </c>
      <c r="CY85" s="59">
        <f ca="1">AVERAGE(OFFSET($CX$3,0,0,'Données projet'!$E$13+1,1))-AVERAGE(OFFSET($H$3,0,0,'Données projet'!$E$13+1,1))</f>
        <v>557.48193674339791</v>
      </c>
      <c r="CZ85" s="59">
        <f t="shared" si="96"/>
        <v>271.51396593253048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36.120719526299546</v>
      </c>
      <c r="DH85" s="21">
        <f>EXP(-LN(2)/2)*DH84+(1-EXP(-LN(2)/2))/(LN(2)/2)*DB85*DE85*VLOOKUP('Données projet'!$B$13,Paramètres!$A$1:$I$89,3,0)*0.475*44/12</f>
        <v>1.187013592763817</v>
      </c>
      <c r="DI85" s="22">
        <f t="shared" si="69"/>
        <v>37.307733119063364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6.7444444444444462</v>
      </c>
      <c r="DO85" s="12">
        <f>IF('Données projet'!$A$166&gt;35,DO84+DN85-DW84,IF(A85&lt;'Données projet'!$A$166,$DL$205^A85,IF(A85='Données projet'!$A$166,'Données projet'!$B$166,DO84+DN85-DW84)))</f>
        <v>202.29222222222222</v>
      </c>
      <c r="DP85" s="17">
        <f>DO85*VLOOKUP('Données projet'!$B$14,Paramètres!$A$1:$I$89,3,0)*VLOOKUP('Données projet'!$B$14,Paramètres!$A$1:$I$89,5,0)</f>
        <v>217.74734799999999</v>
      </c>
      <c r="DQ85" s="13">
        <f t="shared" si="97"/>
        <v>53.624990052075724</v>
      </c>
      <c r="DR85" s="20">
        <f t="shared" si="70"/>
        <v>472.64015544069844</v>
      </c>
      <c r="DS85" s="59">
        <f t="shared" si="71"/>
        <v>744.14624707268547</v>
      </c>
      <c r="DT85" s="59">
        <f ca="1">AVERAGE(OFFSET($DS$3,0,0,'Données projet'!$E$14+1,1))-AVERAGE(OFFSET($H$3,0,0,'Données projet'!$E$14+1,1))</f>
        <v>610.05768948788375</v>
      </c>
      <c r="DU85" s="59">
        <f t="shared" si="98"/>
        <v>295.23928902444845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40.198865279268851</v>
      </c>
      <c r="EC85" s="21">
        <f>EXP(-LN(2)/2)*EC84+(1-EXP(-LN(2)/2))/(LN(2)/2)*DW85*DZ85*VLOOKUP('Données projet'!$B$14,Paramètres!$A$1:$I$89,3,0)*0.475*44/12</f>
        <v>1.3210312564629576</v>
      </c>
      <c r="ED85" s="22">
        <f t="shared" si="72"/>
        <v>41.51989653573181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9.546999999999997</v>
      </c>
      <c r="N86" s="13">
        <f>IF('Données projet'!$A$36&gt;35,N85+M86-V85,IF(A86&lt;'Données projet'!$A$36,$K$205^A86,IF(A86='Données projet'!$A$36,'Données projet'!$B$36,N85+M86-V85)))</f>
        <v>345.54300000000046</v>
      </c>
      <c r="O86" s="13">
        <f>N86*VLOOKUP('Données projet'!$B$9,Paramètres!$A$1:$I$89,3,0)*VLOOKUP('Données projet'!$B$9,Paramètres!$A$1:$I$89,5,0)</f>
        <v>312.64730640000039</v>
      </c>
      <c r="P86" s="13">
        <f t="shared" si="87"/>
        <v>73.821419204446315</v>
      </c>
      <c r="Q86" s="20">
        <f t="shared" si="54"/>
        <v>673.09969709441123</v>
      </c>
      <c r="R86" s="59">
        <f t="shared" si="55"/>
        <v>944.98444257151471</v>
      </c>
      <c r="S86" s="59">
        <f ca="1">AVERAGE(OFFSET($R$3,0,0,'Données projet'!$E$9+1,1))-AVERAGE(OFFSET($H$3,0,0,'Données projet'!$E$9+1,1))</f>
        <v>681.47578137804555</v>
      </c>
      <c r="T86" s="59">
        <f t="shared" si="88"/>
        <v>300.88511065995885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12.237499391996371</v>
      </c>
      <c r="AA86" s="21">
        <f>EXP(-LN(2)/25)*AA85+(1-EXP(-LN(2)/25))/(LN(2)/25)*Calculateur!V86*Calculateur!X86*VLOOKUP('Données projet'!$B$9,Paramètres!$A$1:$I$89,3,0)*0.475*44/12</f>
        <v>24.535379119529289</v>
      </c>
      <c r="AB86" s="21">
        <f>EXP(-LN(2)/2)*AB85+(1-EXP(-LN(2)/2))/(LN(2)/2)*V86*Y86*VLOOKUP('Données projet'!$B$9,Paramètres!$A$1:$I$89,3,0)*0.475*44/12</f>
        <v>0.20784007321282855</v>
      </c>
      <c r="AC86" s="22">
        <f t="shared" si="57"/>
        <v>36.98071858473849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-8.8675733422860506E-14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217.53602321474159</v>
      </c>
      <c r="AO86" s="59">
        <f t="shared" si="90"/>
        <v>215.75909414893025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20.888993656409816</v>
      </c>
      <c r="AV86" s="21">
        <f>EXP(-LN(2)/25)*AV85+(1-EXP(-LN(2)/25))/(LN(2)/25)*Calculateur!AQ86*Calculateur!AS86*VLOOKUP('Données projet'!$B$10,Paramètres!$A$1:$I$89,3,0)*0.475*44/12</f>
        <v>18.407721473088859</v>
      </c>
      <c r="AW86" s="21">
        <f>EXP(-LN(2)/2)*AW85+(1-EXP(-LN(2)/2))/(LN(2)/2)*AQ86*AT86*VLOOKUP('Données projet'!$B$10,Paramètres!$A$1:$I$89,3,0)*0.475*44/12</f>
        <v>0.30426693536299787</v>
      </c>
      <c r="AX86" s="21">
        <f t="shared" si="60"/>
        <v>39.600982064861675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-1.7053025658242404E-13</v>
      </c>
      <c r="BE86" s="13">
        <f>BD86*VLOOKUP('Données projet'!$B$11,Paramètres!$A$1:$I$89,3,0)*VLOOKUP('Données projet'!$B$11,Paramètres!$A$1:$I$89,5,0)</f>
        <v>-1.1439169611549005E-13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281.67293577289729</v>
      </c>
      <c r="BJ86" s="59">
        <f t="shared" si="92"/>
        <v>272.44904846480154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32.275318396299845</v>
      </c>
      <c r="BQ86" s="21">
        <f>EXP(-LN(2)/25)*BQ85+(1-EXP(-LN(2)/25))/(LN(2)/25)*Calculateur!BL86*Calculateur!BN86*VLOOKUP('Données projet'!$B$11,Paramètres!$A$1:$I$89,3,0)*0.475*44/12</f>
        <v>32.8663812210348</v>
      </c>
      <c r="BR86" s="21">
        <f>EXP(-LN(2)/2)*BR85+(1-EXP(-LN(2)/2))/(LN(2)/2)*BL86*BO86*VLOOKUP('Données projet'!$B$11,Paramètres!$A$1:$I$89,3,0)*0.475*44/12</f>
        <v>15.494909106136891</v>
      </c>
      <c r="BS86" s="22">
        <f t="shared" si="63"/>
        <v>80.636608723471525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-1.7053025658242404E-13</v>
      </c>
      <c r="BZ86" s="13">
        <f>BY86*VLOOKUP('Données projet'!$B$12,Paramètres!$A$1:$I$89,3,0)*VLOOKUP('Données projet'!$B$12,Paramètres!$A$1:$I$89,5,0)</f>
        <v>-1.4897523215040567E-13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348.77506423101278</v>
      </c>
      <c r="CE86" s="59">
        <f t="shared" si="94"/>
        <v>336.13747591329548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42.032972795181209</v>
      </c>
      <c r="CL86" s="21">
        <f>EXP(-LN(2)/25)*CL85+(1-EXP(-LN(2)/25))/(LN(2)/25)*Calculateur!CG86*Calculateur!CI86*VLOOKUP('Données projet'!$B$12,Paramètres!$A$1:$I$89,3,0)*0.475*44/12</f>
        <v>42.802729032045335</v>
      </c>
      <c r="CM86" s="21">
        <f>EXP(-LN(2)/2)*CM85+(1-EXP(-LN(2)/2))/(LN(2)/2)*CG86*CJ86*VLOOKUP('Données projet'!$B$12,Paramètres!$A$1:$I$89,3,0)*0.475*44/12</f>
        <v>20.179416510317814</v>
      </c>
      <c r="CN86" s="22">
        <f t="shared" si="66"/>
        <v>105.01511833754435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6.7444444444444462</v>
      </c>
      <c r="CT86" s="12">
        <f>IF('Données projet'!$A$140&gt;35,CT85+CS86-DB85,IF(A86&lt;'Données projet'!$A$140,$CQ$205^A86,IF(A86='Données projet'!$A$140,'Données projet'!$B$140,CT85+CS86-DB85)))</f>
        <v>209.03666666666666</v>
      </c>
      <c r="CU86" s="17">
        <f>CT86*VLOOKUP('Données projet'!$B$13,Paramètres!$A$1:$I$89,3,0)*VLOOKUP('Données projet'!$B$13,Paramètres!$A$1:$I$89,5,0)</f>
        <v>202.18026399999999</v>
      </c>
      <c r="CV86" s="13">
        <f t="shared" si="95"/>
        <v>50.223020984939033</v>
      </c>
      <c r="CW86" s="20">
        <f t="shared" si="67"/>
        <v>439.60238801543551</v>
      </c>
      <c r="CX86" s="59">
        <f t="shared" si="68"/>
        <v>711.48713349253899</v>
      </c>
      <c r="CY86" s="59">
        <f ca="1">AVERAGE(OFFSET($CX$3,0,0,'Données projet'!$E$13+1,1))-AVERAGE(OFFSET($H$3,0,0,'Données projet'!$E$13+1,1))</f>
        <v>557.48193674339791</v>
      </c>
      <c r="CZ86" s="59">
        <f t="shared" si="96"/>
        <v>271.51396593253048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35.1329965513468</v>
      </c>
      <c r="DH86" s="21">
        <f>EXP(-LN(2)/2)*DH85+(1-EXP(-LN(2)/2))/(LN(2)/2)*DB86*DE86*VLOOKUP('Données projet'!$B$13,Paramètres!$A$1:$I$89,3,0)*0.475*44/12</f>
        <v>0.8393453608039021</v>
      </c>
      <c r="DI86" s="22">
        <f t="shared" si="69"/>
        <v>35.972341912150704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6.7444444444444462</v>
      </c>
      <c r="DO86" s="12">
        <f>IF('Données projet'!$A$166&gt;35,DO85+DN86-DW85,IF(A86&lt;'Données projet'!$A$166,$DL$205^A86,IF(A86='Données projet'!$A$166,'Données projet'!$B$166,DO85+DN86-DW85)))</f>
        <v>209.03666666666666</v>
      </c>
      <c r="DP86" s="17">
        <f>DO86*VLOOKUP('Données projet'!$B$14,Paramètres!$A$1:$I$89,3,0)*VLOOKUP('Données projet'!$B$14,Paramètres!$A$1:$I$89,5,0)</f>
        <v>225.007068</v>
      </c>
      <c r="DQ86" s="13">
        <f t="shared" si="97"/>
        <v>55.201717767383421</v>
      </c>
      <c r="DR86" s="20">
        <f t="shared" si="70"/>
        <v>488.03030187819269</v>
      </c>
      <c r="DS86" s="59">
        <f t="shared" si="71"/>
        <v>759.91504735529611</v>
      </c>
      <c r="DT86" s="59">
        <f ca="1">AVERAGE(OFFSET($DS$3,0,0,'Données projet'!$E$14+1,1))-AVERAGE(OFFSET($H$3,0,0,'Données projet'!$E$14+1,1))</f>
        <v>610.05768948788375</v>
      </c>
      <c r="DU86" s="59">
        <f t="shared" si="98"/>
        <v>295.23928902444845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39.099625194240794</v>
      </c>
      <c r="EC86" s="21">
        <f>EXP(-LN(2)/2)*EC85+(1-EXP(-LN(2)/2))/(LN(2)/2)*DW86*DZ86*VLOOKUP('Données projet'!$B$14,Paramètres!$A$1:$I$89,3,0)*0.475*44/12</f>
        <v>0.93411015960434252</v>
      </c>
      <c r="ED86" s="22">
        <f t="shared" si="72"/>
        <v>40.033735353845138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355.09</v>
      </c>
      <c r="L87" s="12">
        <f>VLOOKUP(A87,'Données projet'!$A$35:$I$55,9,0)</f>
        <v>9.546999999999997</v>
      </c>
      <c r="M87" s="12">
        <f t="array" ref="M87">INDEX(L:L,MIN(IF(ISNUMBER(L87:L283),ROW(L87:L283),"")))</f>
        <v>9.546999999999997</v>
      </c>
      <c r="N87" s="13">
        <f>IF('Données projet'!$A$36&gt;35,N86+M87-V86,IF(A87&lt;'Données projet'!$A$36,$K$205^A87,IF(A87='Données projet'!$A$36,'Données projet'!$B$36,N86+M87-V86)))</f>
        <v>355.09000000000049</v>
      </c>
      <c r="O87" s="13">
        <f>N87*VLOOKUP('Données projet'!$B$9,Paramètres!$A$1:$I$89,3,0)*VLOOKUP('Données projet'!$B$9,Paramètres!$A$1:$I$89,5,0)</f>
        <v>321.28543200000041</v>
      </c>
      <c r="P87" s="13">
        <f t="shared" si="87"/>
        <v>75.620750353808944</v>
      </c>
      <c r="Q87" s="20">
        <f t="shared" si="54"/>
        <v>691.27826759955133</v>
      </c>
      <c r="R87" s="59">
        <f t="shared" si="55"/>
        <v>963.53509812410164</v>
      </c>
      <c r="S87" s="59">
        <f ca="1">AVERAGE(OFFSET($R$3,0,0,'Données projet'!$E$9+1,1))-AVERAGE(OFFSET($H$3,0,0,'Données projet'!$E$9+1,1))</f>
        <v>681.47578137804555</v>
      </c>
      <c r="T87" s="59">
        <f t="shared" si="88"/>
        <v>300.88511065995885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66.69</v>
      </c>
      <c r="W87" s="16">
        <f>IF(ISNA(VLOOKUP(A87,'Données projet'!$A$35:$I$55,5,0)),0%,VLOOKUP(A87,'Données projet'!$A$35:$I$55,5,0)*VLOOKUP('Données projet'!$B$9,Paramètres!$A$1:$I$89,7,0))</f>
        <v>0.15049999999999999</v>
      </c>
      <c r="X87" s="16">
        <f>IF(ISNA(VLOOKUP(A87,'Données projet'!$A$35:$I$55,6,0)),0%,VLOOKUP(A87,'Données projet'!$A$35:$I$55,6,0)*VLOOKUP('Données projet'!$B$9,Paramètres!$A$1:$I$89,7,0))</f>
        <v>8.6000000000000007E-2</v>
      </c>
      <c r="Y87" s="16">
        <f>IF(ISNA(VLOOKUP(A87,'Données projet'!$A$35:$I$55,7,0)),0%,VLOOKUP(A87,'Données projet'!$A$35:$I$55,7,0))</f>
        <v>0.1</v>
      </c>
      <c r="Z87" s="21">
        <f>EXP(-LN(2)/35)*Z86+(1-EXP(-LN(2)/35))/(LN(2)/35)*V87*W87*VLOOKUP('Données projet'!$B$9,Paramètres!$A$1:$I$89,3,0)*0.475*44/12</f>
        <v>22.036678946661006</v>
      </c>
      <c r="AA87" s="21">
        <f>EXP(-LN(2)/25)*AA86+(1-EXP(-LN(2)/25))/(LN(2)/25)*Calculateur!V87*Calculateur!X87*VLOOKUP('Données projet'!$B$9,Paramètres!$A$1:$I$89,3,0)*0.475*44/12</f>
        <v>29.578527314097339</v>
      </c>
      <c r="AB87" s="21">
        <f>EXP(-LN(2)/2)*AB86+(1-EXP(-LN(2)/2))/(LN(2)/2)*V87*Y87*VLOOKUP('Données projet'!$B$9,Paramètres!$A$1:$I$89,3,0)*0.475*44/12</f>
        <v>5.8403114480929164</v>
      </c>
      <c r="AC87" s="22">
        <f t="shared" si="57"/>
        <v>57.455517708851261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-8.8675733422860506E-14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217.53602321474159</v>
      </c>
      <c r="AO87" s="59">
        <f t="shared" si="90"/>
        <v>215.75909414893025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20.479373231835677</v>
      </c>
      <c r="AV87" s="21">
        <f>EXP(-LN(2)/25)*AV86+(1-EXP(-LN(2)/25))/(LN(2)/25)*Calculateur!AQ87*Calculateur!AS87*VLOOKUP('Données projet'!$B$10,Paramètres!$A$1:$I$89,3,0)*0.475*44/12</f>
        <v>17.904361361387245</v>
      </c>
      <c r="AW87" s="21">
        <f>EXP(-LN(2)/2)*AW86+(1-EXP(-LN(2)/2))/(LN(2)/2)*AQ87*AT87*VLOOKUP('Données projet'!$B$10,Paramètres!$A$1:$I$89,3,0)*0.475*44/12</f>
        <v>0.21514921328602474</v>
      </c>
      <c r="AX87" s="21">
        <f t="shared" si="60"/>
        <v>38.598883806508951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-1.7053025658242404E-13</v>
      </c>
      <c r="BE87" s="13">
        <f>BD87*VLOOKUP('Données projet'!$B$11,Paramètres!$A$1:$I$89,3,0)*VLOOKUP('Données projet'!$B$11,Paramètres!$A$1:$I$89,5,0)</f>
        <v>-1.1439169611549005E-13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281.67293577289729</v>
      </c>
      <c r="BJ87" s="59">
        <f t="shared" si="92"/>
        <v>272.44904846480154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31.642419088548795</v>
      </c>
      <c r="BQ87" s="21">
        <f>EXP(-LN(2)/25)*BQ86+(1-EXP(-LN(2)/25))/(LN(2)/25)*Calculateur!BL87*Calculateur!BN87*VLOOKUP('Données projet'!$B$11,Paramètres!$A$1:$I$89,3,0)*0.475*44/12</f>
        <v>31.967648298177732</v>
      </c>
      <c r="BR87" s="21">
        <f>EXP(-LN(2)/2)*BR86+(1-EXP(-LN(2)/2))/(LN(2)/2)*BL87*BO87*VLOOKUP('Données projet'!$B$11,Paramètres!$A$1:$I$89,3,0)*0.475*44/12</f>
        <v>10.956555302818582</v>
      </c>
      <c r="BS87" s="22">
        <f t="shared" si="63"/>
        <v>74.566622689545113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-1.7053025658242404E-13</v>
      </c>
      <c r="BZ87" s="13">
        <f>BY87*VLOOKUP('Données projet'!$B$12,Paramètres!$A$1:$I$89,3,0)*VLOOKUP('Données projet'!$B$12,Paramètres!$A$1:$I$89,5,0)</f>
        <v>-1.4897523215040567E-13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348.77506423101278</v>
      </c>
      <c r="CE87" s="59">
        <f t="shared" si="94"/>
        <v>336.13747591329548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41.208731836249612</v>
      </c>
      <c r="CL87" s="21">
        <f>EXP(-LN(2)/25)*CL86+(1-EXP(-LN(2)/25))/(LN(2)/25)*Calculateur!CG87*Calculateur!CI87*VLOOKUP('Données projet'!$B$12,Paramètres!$A$1:$I$89,3,0)*0.475*44/12</f>
        <v>41.632286155766359</v>
      </c>
      <c r="CM87" s="21">
        <f>EXP(-LN(2)/2)*CM86+(1-EXP(-LN(2)/2))/(LN(2)/2)*CG87*CJ87*VLOOKUP('Données projet'!$B$12,Paramètres!$A$1:$I$89,3,0)*0.475*44/12</f>
        <v>14.269002254833504</v>
      </c>
      <c r="CN87" s="22">
        <f t="shared" si="66"/>
        <v>97.110020246849473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6.7444444444444462</v>
      </c>
      <c r="CT87" s="12">
        <f>IF('Données projet'!$A$140&gt;35,CT86+CS87-DB86,IF(A87&lt;'Données projet'!$A$140,$CQ$205^A87,IF(A87='Données projet'!$A$140,'Données projet'!$B$140,CT86+CS87-DB86)))</f>
        <v>215.7811111111111</v>
      </c>
      <c r="CU87" s="17">
        <f>CT87*VLOOKUP('Données projet'!$B$13,Paramètres!$A$1:$I$89,3,0)*VLOOKUP('Données projet'!$B$13,Paramètres!$A$1:$I$89,5,0)</f>
        <v>208.70349066666665</v>
      </c>
      <c r="CV87" s="13">
        <f t="shared" si="95"/>
        <v>51.652163752582879</v>
      </c>
      <c r="CW87" s="20">
        <f t="shared" si="67"/>
        <v>453.45276478019287</v>
      </c>
      <c r="CX87" s="59">
        <f t="shared" si="68"/>
        <v>725.70959530474317</v>
      </c>
      <c r="CY87" s="59">
        <f ca="1">AVERAGE(OFFSET($CX$3,0,0,'Données projet'!$E$13+1,1))-AVERAGE(OFFSET($H$3,0,0,'Données projet'!$E$13+1,1))</f>
        <v>557.48193674339791</v>
      </c>
      <c r="CZ87" s="59">
        <f t="shared" si="96"/>
        <v>271.51396593253048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34.172282913086228</v>
      </c>
      <c r="DH87" s="21">
        <f>EXP(-LN(2)/2)*DH86+(1-EXP(-LN(2)/2))/(LN(2)/2)*DB87*DE87*VLOOKUP('Données projet'!$B$13,Paramètres!$A$1:$I$89,3,0)*0.475*44/12</f>
        <v>0.59350679638190862</v>
      </c>
      <c r="DI87" s="22">
        <f t="shared" si="69"/>
        <v>34.765789709468137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6.7444444444444462</v>
      </c>
      <c r="DO87" s="12">
        <f>IF('Données projet'!$A$166&gt;35,DO86+DN87-DW86,IF(A87&lt;'Données projet'!$A$166,$DL$205^A87,IF(A87='Données projet'!$A$166,'Données projet'!$B$166,DO86+DN87-DW86)))</f>
        <v>215.7811111111111</v>
      </c>
      <c r="DP87" s="17">
        <f>DO87*VLOOKUP('Données projet'!$B$14,Paramètres!$A$1:$I$89,3,0)*VLOOKUP('Données projet'!$B$14,Paramètres!$A$1:$I$89,5,0)</f>
        <v>232.26678799999999</v>
      </c>
      <c r="DQ87" s="13">
        <f t="shared" si="97"/>
        <v>56.77253398197216</v>
      </c>
      <c r="DR87" s="20">
        <f t="shared" si="70"/>
        <v>503.41015245193472</v>
      </c>
      <c r="DS87" s="59">
        <f t="shared" si="71"/>
        <v>775.66698297648509</v>
      </c>
      <c r="DT87" s="59">
        <f ca="1">AVERAGE(OFFSET($DS$3,0,0,'Données projet'!$E$14+1,1))-AVERAGE(OFFSET($H$3,0,0,'Données projet'!$E$14+1,1))</f>
        <v>610.05768948788375</v>
      </c>
      <c r="DU87" s="59">
        <f t="shared" si="98"/>
        <v>295.23928902444845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38.030443887144351</v>
      </c>
      <c r="EC87" s="21">
        <f>EXP(-LN(2)/2)*EC86+(1-EXP(-LN(2)/2))/(LN(2)/2)*DW87*DZ87*VLOOKUP('Données projet'!$B$14,Paramètres!$A$1:$I$89,3,0)*0.475*44/12</f>
        <v>0.6605156282314788</v>
      </c>
      <c r="ED87" s="22">
        <f t="shared" si="72"/>
        <v>38.69095951537583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9.1730000000000018</v>
      </c>
      <c r="N88" s="13">
        <f>IF('Données projet'!$A$36&gt;35,N87+M88-V87,IF(A88&lt;'Données projet'!$A$36,$K$205^A88,IF(A88='Données projet'!$A$36,'Données projet'!$B$36,N87+M88-V87)))</f>
        <v>297.57300000000049</v>
      </c>
      <c r="O88" s="13">
        <f>N88*VLOOKUP('Données projet'!$B$9,Paramètres!$A$1:$I$89,3,0)*VLOOKUP('Données projet'!$B$9,Paramètres!$A$1:$I$89,5,0)</f>
        <v>269.24405040000045</v>
      </c>
      <c r="P88" s="13">
        <f t="shared" si="87"/>
        <v>64.688811534365087</v>
      </c>
      <c r="Q88" s="20">
        <f t="shared" si="54"/>
        <v>581.59973453568659</v>
      </c>
      <c r="R88" s="59">
        <f t="shared" si="55"/>
        <v>854.22219526396816</v>
      </c>
      <c r="S88" s="59">
        <f ca="1">AVERAGE(OFFSET($R$3,0,0,'Données projet'!$E$9+1,1))-AVERAGE(OFFSET($H$3,0,0,'Données projet'!$E$9+1,1))</f>
        <v>681.47578137804555</v>
      </c>
      <c r="T88" s="59">
        <f t="shared" si="88"/>
        <v>300.88511065995885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21.604553113563949</v>
      </c>
      <c r="AA88" s="21">
        <f>EXP(-LN(2)/25)*AA87+(1-EXP(-LN(2)/25))/(LN(2)/25)*Calculateur!V88*Calculateur!X88*VLOOKUP('Données projet'!$B$9,Paramètres!$A$1:$I$89,3,0)*0.475*44/12</f>
        <v>28.7697009292262</v>
      </c>
      <c r="AB88" s="21">
        <f>EXP(-LN(2)/2)*AB87+(1-EXP(-LN(2)/2))/(LN(2)/2)*V88*Y88*VLOOKUP('Données projet'!$B$9,Paramètres!$A$1:$I$89,3,0)*0.475*44/12</f>
        <v>4.1297238291879266</v>
      </c>
      <c r="AC88" s="22">
        <f t="shared" si="57"/>
        <v>54.503977871978073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-8.8675733422860506E-14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217.53602321474159</v>
      </c>
      <c r="AO88" s="59">
        <f t="shared" si="90"/>
        <v>215.75909414893025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20.077785213943649</v>
      </c>
      <c r="AV88" s="21">
        <f>EXP(-LN(2)/25)*AV87+(1-EXP(-LN(2)/25))/(LN(2)/25)*Calculateur!AQ88*Calculateur!AS88*VLOOKUP('Données projet'!$B$10,Paramètres!$A$1:$I$89,3,0)*0.475*44/12</f>
        <v>17.414765658410669</v>
      </c>
      <c r="AW88" s="21">
        <f>EXP(-LN(2)/2)*AW87+(1-EXP(-LN(2)/2))/(LN(2)/2)*AQ88*AT88*VLOOKUP('Données projet'!$B$10,Paramètres!$A$1:$I$89,3,0)*0.475*44/12</f>
        <v>0.15213346768149894</v>
      </c>
      <c r="AX88" s="21">
        <f t="shared" si="60"/>
        <v>37.644684340035816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-1.7053025658242404E-13</v>
      </c>
      <c r="BE88" s="13">
        <f>BD88*VLOOKUP('Données projet'!$B$11,Paramètres!$A$1:$I$89,3,0)*VLOOKUP('Données projet'!$B$11,Paramètres!$A$1:$I$89,5,0)</f>
        <v>-1.1439169611549005E-13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281.67293577289729</v>
      </c>
      <c r="BJ88" s="59">
        <f t="shared" si="92"/>
        <v>272.44904846480154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31.021930550192284</v>
      </c>
      <c r="BQ88" s="21">
        <f>EXP(-LN(2)/25)*BQ87+(1-EXP(-LN(2)/25))/(LN(2)/25)*Calculateur!BL88*Calculateur!BN88*VLOOKUP('Données projet'!$B$11,Paramètres!$A$1:$I$89,3,0)*0.475*44/12</f>
        <v>31.093491274358502</v>
      </c>
      <c r="BR88" s="21">
        <f>EXP(-LN(2)/2)*BR87+(1-EXP(-LN(2)/2))/(LN(2)/2)*BL88*BO88*VLOOKUP('Données projet'!$B$11,Paramètres!$A$1:$I$89,3,0)*0.475*44/12</f>
        <v>7.7474545530684464</v>
      </c>
      <c r="BS88" s="22">
        <f t="shared" si="63"/>
        <v>69.86287637761923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-1.7053025658242404E-13</v>
      </c>
      <c r="BZ88" s="13">
        <f>BY88*VLOOKUP('Données projet'!$B$12,Paramètres!$A$1:$I$89,3,0)*VLOOKUP('Données projet'!$B$12,Paramètres!$A$1:$I$89,5,0)</f>
        <v>-1.4897523215040567E-13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348.77506423101278</v>
      </c>
      <c r="CE88" s="59">
        <f t="shared" si="94"/>
        <v>336.13747591329548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40.400653739785319</v>
      </c>
      <c r="CL88" s="21">
        <f>EXP(-LN(2)/25)*CL87+(1-EXP(-LN(2)/25))/(LN(2)/25)*Calculateur!CG88*Calculateur!CI88*VLOOKUP('Données projet'!$B$12,Paramètres!$A$1:$I$89,3,0)*0.475*44/12</f>
        <v>40.493849101490149</v>
      </c>
      <c r="CM88" s="21">
        <f>EXP(-LN(2)/2)*CM87+(1-EXP(-LN(2)/2))/(LN(2)/2)*CG88*CJ88*VLOOKUP('Données projet'!$B$12,Paramètres!$A$1:$I$89,3,0)*0.475*44/12</f>
        <v>10.089708255158909</v>
      </c>
      <c r="CN88" s="22">
        <f t="shared" si="66"/>
        <v>90.984211096434379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6.7444444444444462</v>
      </c>
      <c r="CT88" s="12">
        <f>IF('Données projet'!$A$140&gt;35,CT87+CS88-DB87,IF(A88&lt;'Données projet'!$A$140,$CQ$205^A88,IF(A88='Données projet'!$A$140,'Données projet'!$B$140,CT87+CS88-DB87)))</f>
        <v>222.52555555555554</v>
      </c>
      <c r="CU88" s="17">
        <f>CT88*VLOOKUP('Données projet'!$B$13,Paramètres!$A$1:$I$89,3,0)*VLOOKUP('Données projet'!$B$13,Paramètres!$A$1:$I$89,5,0)</f>
        <v>215.22671733333331</v>
      </c>
      <c r="CV88" s="13">
        <f t="shared" si="95"/>
        <v>53.076115576927016</v>
      </c>
      <c r="CW88" s="20">
        <f t="shared" si="67"/>
        <v>467.29410065203678</v>
      </c>
      <c r="CX88" s="59">
        <f t="shared" si="68"/>
        <v>739.91656138031829</v>
      </c>
      <c r="CY88" s="59">
        <f ca="1">AVERAGE(OFFSET($CX$3,0,0,'Données projet'!$E$13+1,1))-AVERAGE(OFFSET($H$3,0,0,'Données projet'!$E$13+1,1))</f>
        <v>557.48193674339791</v>
      </c>
      <c r="CZ88" s="59">
        <f t="shared" si="96"/>
        <v>271.51396593253048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33.237840039785631</v>
      </c>
      <c r="DH88" s="21">
        <f>EXP(-LN(2)/2)*DH87+(1-EXP(-LN(2)/2))/(LN(2)/2)*DB88*DE88*VLOOKUP('Données projet'!$B$13,Paramètres!$A$1:$I$89,3,0)*0.475*44/12</f>
        <v>0.4196726804019511</v>
      </c>
      <c r="DI88" s="22">
        <f t="shared" si="69"/>
        <v>33.657512720187583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6.7444444444444462</v>
      </c>
      <c r="DO88" s="12">
        <f>IF('Données projet'!$A$166&gt;35,DO87+DN88-DW87,IF(A88&lt;'Données projet'!$A$166,$DL$205^A88,IF(A88='Données projet'!$A$166,'Données projet'!$B$166,DO87+DN88-DW87)))</f>
        <v>222.52555555555554</v>
      </c>
      <c r="DP88" s="17">
        <f>DO88*VLOOKUP('Données projet'!$B$14,Paramètres!$A$1:$I$89,3,0)*VLOOKUP('Données projet'!$B$14,Paramètres!$A$1:$I$89,5,0)</f>
        <v>239.52650799999995</v>
      </c>
      <c r="DQ88" s="13">
        <f t="shared" si="97"/>
        <v>58.337644665882742</v>
      </c>
      <c r="DR88" s="20">
        <f t="shared" si="70"/>
        <v>518.78006589307904</v>
      </c>
      <c r="DS88" s="59">
        <f t="shared" si="71"/>
        <v>791.40252662136049</v>
      </c>
      <c r="DT88" s="59">
        <f ca="1">AVERAGE(OFFSET($DS$3,0,0,'Données projet'!$E$14+1,1))-AVERAGE(OFFSET($H$3,0,0,'Données projet'!$E$14+1,1))</f>
        <v>610.05768948788375</v>
      </c>
      <c r="DU88" s="59">
        <f t="shared" si="98"/>
        <v>295.23928902444845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36.990499399116267</v>
      </c>
      <c r="EC88" s="21">
        <f>EXP(-LN(2)/2)*EC87+(1-EXP(-LN(2)/2))/(LN(2)/2)*DW88*DZ88*VLOOKUP('Données projet'!$B$14,Paramètres!$A$1:$I$89,3,0)*0.475*44/12</f>
        <v>0.46705507980217126</v>
      </c>
      <c r="ED88" s="22">
        <f t="shared" si="72"/>
        <v>37.457554478918439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9.1730000000000018</v>
      </c>
      <c r="N89" s="13">
        <f>IF('Données projet'!$A$36&gt;35,N88+M89-V88,IF(A89&lt;'Données projet'!$A$36,$K$205^A89,IF(A89='Données projet'!$A$36,'Données projet'!$B$36,N88+M89-V88)))</f>
        <v>306.74600000000049</v>
      </c>
      <c r="O89" s="13">
        <f>N89*VLOOKUP('Données projet'!$B$9,Paramètres!$A$1:$I$89,3,0)*VLOOKUP('Données projet'!$B$9,Paramètres!$A$1:$I$89,5,0)</f>
        <v>277.54378080000043</v>
      </c>
      <c r="P89" s="13">
        <f t="shared" si="87"/>
        <v>66.447673279805883</v>
      </c>
      <c r="Q89" s="20">
        <f t="shared" si="54"/>
        <v>599.11844918899601</v>
      </c>
      <c r="R89" s="59">
        <f t="shared" si="55"/>
        <v>872.10019725440065</v>
      </c>
      <c r="S89" s="59">
        <f ca="1">AVERAGE(OFFSET($R$3,0,0,'Données projet'!$E$9+1,1))-AVERAGE(OFFSET($H$3,0,0,'Données projet'!$E$9+1,1))</f>
        <v>681.47578137804555</v>
      </c>
      <c r="T89" s="59">
        <f t="shared" si="88"/>
        <v>300.88511065995885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21.180901004483189</v>
      </c>
      <c r="AA89" s="21">
        <f>EXP(-LN(2)/25)*AA88+(1-EXP(-LN(2)/25))/(LN(2)/25)*Calculateur!V89*Calculateur!X89*VLOOKUP('Données projet'!$B$9,Paramètres!$A$1:$I$89,3,0)*0.475*44/12</f>
        <v>27.982991944383691</v>
      </c>
      <c r="AB89" s="21">
        <f>EXP(-LN(2)/2)*AB88+(1-EXP(-LN(2)/2))/(LN(2)/2)*V89*Y89*VLOOKUP('Données projet'!$B$9,Paramètres!$A$1:$I$89,3,0)*0.475*44/12</f>
        <v>2.9201557240464586</v>
      </c>
      <c r="AC89" s="22">
        <f t="shared" si="57"/>
        <v>52.08404867291334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-8.8675733422860506E-14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217.53602321474159</v>
      </c>
      <c r="AO89" s="59">
        <f t="shared" si="90"/>
        <v>215.75909414893025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19.684072092137978</v>
      </c>
      <c r="AV89" s="21">
        <f>EXP(-LN(2)/25)*AV88+(1-EXP(-LN(2)/25))/(LN(2)/25)*Calculateur!AQ89*Calculateur!AS89*VLOOKUP('Données projet'!$B$10,Paramètres!$A$1:$I$89,3,0)*0.475*44/12</f>
        <v>16.938557975678705</v>
      </c>
      <c r="AW89" s="21">
        <f>EXP(-LN(2)/2)*AW88+(1-EXP(-LN(2)/2))/(LN(2)/2)*AQ89*AT89*VLOOKUP('Données projet'!$B$10,Paramètres!$A$1:$I$89,3,0)*0.475*44/12</f>
        <v>0.10757460664301237</v>
      </c>
      <c r="AX89" s="21">
        <f t="shared" si="60"/>
        <v>36.730204674459699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-1.7053025658242404E-13</v>
      </c>
      <c r="BE89" s="13">
        <f>BD89*VLOOKUP('Données projet'!$B$11,Paramètres!$A$1:$I$89,3,0)*VLOOKUP('Données projet'!$B$11,Paramètres!$A$1:$I$89,5,0)</f>
        <v>-1.1439169611549005E-13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281.67293577289729</v>
      </c>
      <c r="BJ89" s="59">
        <f t="shared" si="92"/>
        <v>272.44904846480154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30.413609413612306</v>
      </c>
      <c r="BQ89" s="21">
        <f>EXP(-LN(2)/25)*BQ88+(1-EXP(-LN(2)/25))/(LN(2)/25)*Calculateur!BL89*Calculateur!BN89*VLOOKUP('Données projet'!$B$11,Paramètres!$A$1:$I$89,3,0)*0.475*44/12</f>
        <v>30.243238120325529</v>
      </c>
      <c r="BR89" s="21">
        <f>EXP(-LN(2)/2)*BR88+(1-EXP(-LN(2)/2))/(LN(2)/2)*BL89*BO89*VLOOKUP('Données projet'!$B$11,Paramètres!$A$1:$I$89,3,0)*0.475*44/12</f>
        <v>5.4782776514092912</v>
      </c>
      <c r="BS89" s="22">
        <f t="shared" si="63"/>
        <v>66.135125185347121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-1.7053025658242404E-13</v>
      </c>
      <c r="BZ89" s="13">
        <f>BY89*VLOOKUP('Données projet'!$B$12,Paramètres!$A$1:$I$89,3,0)*VLOOKUP('Données projet'!$B$12,Paramètres!$A$1:$I$89,5,0)</f>
        <v>-1.4897523215040567E-13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348.77506423101278</v>
      </c>
      <c r="CE89" s="59">
        <f t="shared" si="94"/>
        <v>336.13747591329548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39.608421561913715</v>
      </c>
      <c r="CL89" s="21">
        <f>EXP(-LN(2)/25)*CL88+(1-EXP(-LN(2)/25))/(LN(2)/25)*Calculateur!CG89*Calculateur!CI89*VLOOKUP('Données projet'!$B$12,Paramètres!$A$1:$I$89,3,0)*0.475*44/12</f>
        <v>39.386542668330925</v>
      </c>
      <c r="CM89" s="21">
        <f>EXP(-LN(2)/2)*CM88+(1-EXP(-LN(2)/2))/(LN(2)/2)*CG89*CJ89*VLOOKUP('Données projet'!$B$12,Paramètres!$A$1:$I$89,3,0)*0.475*44/12</f>
        <v>7.1345011274167538</v>
      </c>
      <c r="CN89" s="22">
        <f t="shared" si="66"/>
        <v>86.129465357661402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>
        <f>VLOOKUP(A89,'Données projet'!$A$139:$I$159,2,0)</f>
        <v>229.27</v>
      </c>
      <c r="CR89" s="12">
        <f>VLOOKUP(A89,'Données projet'!$A$139:$I$159,9,0)</f>
        <v>6.7444444444444462</v>
      </c>
      <c r="CS89" s="12">
        <f t="array" ref="CS89">INDEX(CR:CR,MIN(IF(ISNUMBER(CR89:CR285),ROW(CR89:CR285),"")))</f>
        <v>6.7444444444444462</v>
      </c>
      <c r="CT89" s="12">
        <f>IF('Données projet'!$A$140&gt;35,CT88+CS89-DB88,IF(A89&lt;'Données projet'!$A$140,$CQ$205^A89,IF(A89='Données projet'!$A$140,'Données projet'!$B$140,CT88+CS89-DB88)))</f>
        <v>229.26999999999998</v>
      </c>
      <c r="CU89" s="17">
        <f>CT89*VLOOKUP('Données projet'!$B$13,Paramètres!$A$1:$I$89,3,0)*VLOOKUP('Données projet'!$B$13,Paramètres!$A$1:$I$89,5,0)</f>
        <v>221.74994399999997</v>
      </c>
      <c r="CV89" s="13">
        <f t="shared" si="95"/>
        <v>54.495051846596574</v>
      </c>
      <c r="CW89" s="20">
        <f t="shared" si="67"/>
        <v>481.12670109948903</v>
      </c>
      <c r="CX89" s="59">
        <f t="shared" si="68"/>
        <v>754.10844916489373</v>
      </c>
      <c r="CY89" s="59">
        <f ca="1">AVERAGE(OFFSET($CX$3,0,0,'Données projet'!$E$13+1,1))-AVERAGE(OFFSET($H$3,0,0,'Données projet'!$E$13+1,1))</f>
        <v>557.48193674339791</v>
      </c>
      <c r="CZ89" s="59">
        <f t="shared" si="96"/>
        <v>271.51396593253048</v>
      </c>
      <c r="DA89" s="15">
        <f>IF(ISNA(VLOOKUP(A89,'Données projet'!$A$139:$I$159,3,0)),0,VLOOKUP(A89,'Données projet'!$A$139:$I$159,3,0))</f>
        <v>4</v>
      </c>
      <c r="DB89" s="15">
        <f>IF(ISNA(VLOOKUP(A89,'Données projet'!$A$139:$I$159,4,0)),0,VLOOKUP(A89,'Données projet'!$A$139:$I$159,4,0))</f>
        <v>37.54000000000002</v>
      </c>
      <c r="DC89" s="16">
        <f>IF(ISNA(VLOOKUP(A89,'Données projet'!$A$139:$I$159,5,0)),0%,VLOOKUP(A89,'Données projet'!$A$139:$I$159,5,0)*VLOOKUP('Données projet'!$B$13,Paramètres!$A$1:$I$89,7,0))</f>
        <v>0.15049999999999999</v>
      </c>
      <c r="DD89" s="16">
        <f>IF(ISNA(VLOOKUP(A89,'Données projet'!$A$139:$I$159,6,0)),0%,VLOOKUP(A89,'Données projet'!$A$139:$I$159,6,0)*VLOOKUP('Données projet'!$B$13,Paramètres!$A$1:$I$89,7,0))</f>
        <v>8.6000000000000007E-2</v>
      </c>
      <c r="DE89" s="16">
        <f>IF(ISNA(VLOOKUP(A89,'Données projet'!$A$139:$I$159,7,0)),0%,VLOOKUP(A89,'Données projet'!$A$139:$I$159,7,0))</f>
        <v>0.1</v>
      </c>
      <c r="DF89" s="21">
        <f>EXP(-LN(2)/35)*DF88+(1-EXP(-LN(2)/35))/(LN(2)/35)*DB89*DC89*VLOOKUP('Données projet'!$B$13,Paramètres!$A$1:$I$89,3,0)*0.475*44/12</f>
        <v>6.0407959551073747</v>
      </c>
      <c r="DG89" s="21">
        <f>EXP(-LN(2)/25)*DG88+(1-EXP(-LN(2)/25))/(LN(2)/25)*Calculateur!DB89*Calculateur!DD89*VLOOKUP('Données projet'!$B$13,Paramètres!$A$1:$I$89,3,0)*0.475*44/12</f>
        <v>35.767241578686168</v>
      </c>
      <c r="DH89" s="21">
        <f>EXP(-LN(2)/2)*DH88+(1-EXP(-LN(2)/2))/(LN(2)/2)*DB89*DE89*VLOOKUP('Données projet'!$B$13,Paramètres!$A$1:$I$89,3,0)*0.475*44/12</f>
        <v>3.7225758343919244</v>
      </c>
      <c r="DI89" s="22">
        <f t="shared" si="69"/>
        <v>45.53061336818547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>
        <f>VLOOKUP(A89,'Données projet'!$A$165:$I$185,2,0)</f>
        <v>229.27</v>
      </c>
      <c r="DM89" s="12">
        <f>VLOOKUP(A89,'Données projet'!$A$165:$I$185,9,0)</f>
        <v>6.7444444444444462</v>
      </c>
      <c r="DN89" s="12">
        <f t="array" ref="DN89">INDEX(DM:DM,MIN(IF(ISNUMBER(DM89:DM285),ROW(DM89:DM285),"")))</f>
        <v>6.7444444444444462</v>
      </c>
      <c r="DO89" s="12">
        <f>IF('Données projet'!$A$166&gt;35,DO88+DN89-DW88,IF(A89&lt;'Données projet'!$A$166,$DL$205^A89,IF(A89='Données projet'!$A$166,'Données projet'!$B$166,DO88+DN89-DW88)))</f>
        <v>229.26999999999998</v>
      </c>
      <c r="DP89" s="17">
        <f>DO89*VLOOKUP('Données projet'!$B$14,Paramètres!$A$1:$I$89,3,0)*VLOOKUP('Données projet'!$B$14,Paramètres!$A$1:$I$89,5,0)</f>
        <v>246.78622799999997</v>
      </c>
      <c r="DQ89" s="13">
        <f t="shared" si="97"/>
        <v>59.897242594324595</v>
      </c>
      <c r="DR89" s="20">
        <f t="shared" si="70"/>
        <v>534.14037795178194</v>
      </c>
      <c r="DS89" s="59">
        <f t="shared" si="71"/>
        <v>807.1221260171867</v>
      </c>
      <c r="DT89" s="59">
        <f ca="1">AVERAGE(OFFSET($DS$3,0,0,'Données projet'!$E$14+1,1))-AVERAGE(OFFSET($H$3,0,0,'Données projet'!$E$14+1,1))</f>
        <v>610.05768948788375</v>
      </c>
      <c r="DU89" s="59">
        <f t="shared" si="98"/>
        <v>295.23928902444845</v>
      </c>
      <c r="DV89" s="15">
        <f>IF(ISNA(VLOOKUP(A89,'Données projet'!$A$165:$I$185,3,0)),0,VLOOKUP(A89,'Données projet'!$A$165:$I$185,3,0))</f>
        <v>4</v>
      </c>
      <c r="DW89" s="15">
        <f>IF(ISNA(VLOOKUP(A89,'Données projet'!$A$165:$I$185,4,0)),0,VLOOKUP(A89,'Données projet'!$A$165:$I$185,4,0))</f>
        <v>37.54000000000002</v>
      </c>
      <c r="DX89" s="16">
        <f>IF(ISNA(VLOOKUP(A89,'Données projet'!$A$165:$I$185,5,0)),0%,VLOOKUP(A89,'Données projet'!$A$165:$I$185,5,0)*VLOOKUP('Données projet'!$B$14,Paramètres!$A$1:$I$89,7,0))</f>
        <v>0.15049999999999999</v>
      </c>
      <c r="DY89" s="16">
        <f>IF(ISNA(VLOOKUP(A89,'Données projet'!$A$165:$I$185,6,0)),0%,VLOOKUP(A89,'Données projet'!$A$165:$I$185,6,0)*VLOOKUP('Données projet'!$B$14,Paramètres!$A$1:$I$89,7,0))</f>
        <v>8.6000000000000007E-2</v>
      </c>
      <c r="DZ89" s="16">
        <f>IF(ISNA(VLOOKUP(A89,'Données projet'!$A$165:$I$185,7,0)),0%,VLOOKUP(A89,'Données projet'!$A$165:$I$185,7,0))</f>
        <v>0.1</v>
      </c>
      <c r="EA89" s="21">
        <f>EXP(-LN(2)/35)*EA88+(1-EXP(-LN(2)/35))/(LN(2)/35)*DW89*DX89*VLOOKUP('Données projet'!$B$14,Paramètres!$A$1:$I$89,3,0)*0.475*44/12</f>
        <v>6.7228213048775629</v>
      </c>
      <c r="EB89" s="21">
        <f>EXP(-LN(2)/25)*EB88+(1-EXP(-LN(2)/25))/(LN(2)/25)*Calculateur!DW89*Calculateur!DY89*VLOOKUP('Données projet'!$B$14,Paramètres!$A$1:$I$89,3,0)*0.475*44/12</f>
        <v>39.805478531118482</v>
      </c>
      <c r="EC89" s="21">
        <f>EXP(-LN(2)/2)*EC88+(1-EXP(-LN(2)/2))/(LN(2)/2)*DW89*DZ89*VLOOKUP('Données projet'!$B$14,Paramètres!$A$1:$I$89,3,0)*0.475*44/12</f>
        <v>4.1428666544039157</v>
      </c>
      <c r="ED89" s="22">
        <f t="shared" si="72"/>
        <v>50.671166490399962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9.1730000000000018</v>
      </c>
      <c r="N90" s="13">
        <f>IF('Données projet'!$A$36&gt;35,N89+M90-V89,IF(A90&lt;'Données projet'!$A$36,$K$205^A90,IF(A90='Données projet'!$A$36,'Données projet'!$B$36,N89+M90-V89)))</f>
        <v>315.91900000000049</v>
      </c>
      <c r="O90" s="13">
        <f>N90*VLOOKUP('Données projet'!$B$9,Paramètres!$A$1:$I$89,3,0)*VLOOKUP('Données projet'!$B$9,Paramètres!$A$1:$I$89,5,0)</f>
        <v>285.84351120000042</v>
      </c>
      <c r="P90" s="13">
        <f t="shared" si="87"/>
        <v>68.200422369637309</v>
      </c>
      <c r="Q90" s="20">
        <f t="shared" si="54"/>
        <v>616.62651763378562</v>
      </c>
      <c r="R90" s="59">
        <f t="shared" si="55"/>
        <v>889.96132020426046</v>
      </c>
      <c r="S90" s="59">
        <f ca="1">AVERAGE(OFFSET($R$3,0,0,'Données projet'!$E$9+1,1))-AVERAGE(OFFSET($H$3,0,0,'Données projet'!$E$9+1,1))</f>
        <v>681.47578137804555</v>
      </c>
      <c r="T90" s="59">
        <f t="shared" si="88"/>
        <v>300.88511065995885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20.765556454859233</v>
      </c>
      <c r="AA90" s="21">
        <f>EXP(-LN(2)/25)*AA89+(1-EXP(-LN(2)/25))/(LN(2)/25)*Calculateur!V90*Calculateur!X90*VLOOKUP('Données projet'!$B$9,Paramètres!$A$1:$I$89,3,0)*0.475*44/12</f>
        <v>27.217795558102928</v>
      </c>
      <c r="AB90" s="21">
        <f>EXP(-LN(2)/2)*AB89+(1-EXP(-LN(2)/2))/(LN(2)/2)*V90*Y90*VLOOKUP('Données projet'!$B$9,Paramètres!$A$1:$I$89,3,0)*0.475*44/12</f>
        <v>2.0648619145939637</v>
      </c>
      <c r="AC90" s="22">
        <f t="shared" si="57"/>
        <v>50.04821392755612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-8.8675733422860506E-14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217.53602321474159</v>
      </c>
      <c r="AO90" s="59">
        <f t="shared" si="90"/>
        <v>215.75909414893025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19.298079444509625</v>
      </c>
      <c r="AV90" s="21">
        <f>EXP(-LN(2)/25)*AV89+(1-EXP(-LN(2)/25))/(LN(2)/25)*Calculateur!AQ90*Calculateur!AS90*VLOOKUP('Données projet'!$B$10,Paramètres!$A$1:$I$89,3,0)*0.475*44/12</f>
        <v>16.475372217073719</v>
      </c>
      <c r="AW90" s="21">
        <f>EXP(-LN(2)/2)*AW89+(1-EXP(-LN(2)/2))/(LN(2)/2)*AQ90*AT90*VLOOKUP('Données projet'!$B$10,Paramètres!$A$1:$I$89,3,0)*0.475*44/12</f>
        <v>7.6066733840749468E-2</v>
      </c>
      <c r="AX90" s="21">
        <f t="shared" si="60"/>
        <v>35.849518395424091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-1.7053025658242404E-13</v>
      </c>
      <c r="BE90" s="13">
        <f>BD90*VLOOKUP('Données projet'!$B$11,Paramètres!$A$1:$I$89,3,0)*VLOOKUP('Données projet'!$B$11,Paramètres!$A$1:$I$89,5,0)</f>
        <v>-1.1439169611549005E-13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281.67293577289729</v>
      </c>
      <c r="BJ90" s="59">
        <f t="shared" si="92"/>
        <v>272.44904846480154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29.817217083481406</v>
      </c>
      <c r="BQ90" s="21">
        <f>EXP(-LN(2)/25)*BQ89+(1-EXP(-LN(2)/25))/(LN(2)/25)*Calculateur!BL90*Calculateur!BN90*VLOOKUP('Données projet'!$B$11,Paramètres!$A$1:$I$89,3,0)*0.475*44/12</f>
        <v>29.416235183502458</v>
      </c>
      <c r="BR90" s="21">
        <f>EXP(-LN(2)/2)*BR89+(1-EXP(-LN(2)/2))/(LN(2)/2)*BL90*BO90*VLOOKUP('Données projet'!$B$11,Paramètres!$A$1:$I$89,3,0)*0.475*44/12</f>
        <v>3.8737272765342232</v>
      </c>
      <c r="BS90" s="22">
        <f t="shared" si="63"/>
        <v>63.107179543518086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-1.7053025658242404E-13</v>
      </c>
      <c r="BZ90" s="13">
        <f>BY90*VLOOKUP('Données projet'!$B$12,Paramètres!$A$1:$I$89,3,0)*VLOOKUP('Données projet'!$B$12,Paramètres!$A$1:$I$89,5,0)</f>
        <v>-1.4897523215040567E-13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348.77506423101278</v>
      </c>
      <c r="CE90" s="59">
        <f t="shared" si="94"/>
        <v>336.13747591329548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38.831724573836262</v>
      </c>
      <c r="CL90" s="21">
        <f>EXP(-LN(2)/25)*CL89+(1-EXP(-LN(2)/25))/(LN(2)/25)*Calculateur!CG90*Calculateur!CI90*VLOOKUP('Données projet'!$B$12,Paramètres!$A$1:$I$89,3,0)*0.475*44/12</f>
        <v>38.30951558781716</v>
      </c>
      <c r="CM90" s="21">
        <f>EXP(-LN(2)/2)*CM89+(1-EXP(-LN(2)/2))/(LN(2)/2)*CG90*CJ90*VLOOKUP('Données projet'!$B$12,Paramètres!$A$1:$I$89,3,0)*0.475*44/12</f>
        <v>5.0448541275794554</v>
      </c>
      <c r="CN90" s="22">
        <f t="shared" si="66"/>
        <v>82.186094289232884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6.7600000000000007</v>
      </c>
      <c r="CT90" s="12">
        <f>IF('Données projet'!$A$140&gt;35,CT89+CS90-DB89,IF(A90&lt;'Données projet'!$A$140,$CQ$205^A90,IF(A90='Données projet'!$A$140,'Données projet'!$B$140,CT89+CS90-DB89)))</f>
        <v>198.48999999999995</v>
      </c>
      <c r="CU90" s="17">
        <f>CT90*VLOOKUP('Données projet'!$B$13,Paramètres!$A$1:$I$89,3,0)*VLOOKUP('Données projet'!$B$13,Paramètres!$A$1:$I$89,5,0)</f>
        <v>191.97952799999996</v>
      </c>
      <c r="CV90" s="13">
        <f t="shared" si="95"/>
        <v>47.977334038454906</v>
      </c>
      <c r="CW90" s="20">
        <f t="shared" si="67"/>
        <v>417.92486805030893</v>
      </c>
      <c r="CX90" s="59">
        <f t="shared" si="68"/>
        <v>691.25967062078371</v>
      </c>
      <c r="CY90" s="59">
        <f ca="1">AVERAGE(OFFSET($CX$3,0,0,'Données projet'!$E$13+1,1))-AVERAGE(OFFSET($H$3,0,0,'Données projet'!$E$13+1,1))</f>
        <v>557.48193674339791</v>
      </c>
      <c r="CZ90" s="59">
        <f t="shared" si="96"/>
        <v>271.51396593253048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5.9223396309494349</v>
      </c>
      <c r="DG90" s="21">
        <f>EXP(-LN(2)/25)*DG89+(1-EXP(-LN(2)/25))/(LN(2)/25)*Calculateur!DB90*Calculateur!DD90*VLOOKUP('Données projet'!$B$13,Paramètres!$A$1:$I$89,3,0)*0.475*44/12</f>
        <v>34.789184476799505</v>
      </c>
      <c r="DH90" s="21">
        <f>EXP(-LN(2)/2)*DH89+(1-EXP(-LN(2)/2))/(LN(2)/2)*DB90*DE90*VLOOKUP('Données projet'!$B$13,Paramètres!$A$1:$I$89,3,0)*0.475*44/12</f>
        <v>2.6322586159797003</v>
      </c>
      <c r="DI90" s="22">
        <f t="shared" si="69"/>
        <v>43.343782723728644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6.7600000000000007</v>
      </c>
      <c r="DO90" s="12">
        <f>IF('Données projet'!$A$166&gt;35,DO89+DN90-DW89,IF(A90&lt;'Données projet'!$A$166,$DL$205^A90,IF(A90='Données projet'!$A$166,'Données projet'!$B$166,DO89+DN90-DW89)))</f>
        <v>198.48999999999995</v>
      </c>
      <c r="DP90" s="17">
        <f>DO90*VLOOKUP('Données projet'!$B$14,Paramètres!$A$1:$I$89,3,0)*VLOOKUP('Données projet'!$B$14,Paramètres!$A$1:$I$89,5,0)</f>
        <v>213.65463599999993</v>
      </c>
      <c r="DQ90" s="13">
        <f t="shared" si="97"/>
        <v>52.733411907190522</v>
      </c>
      <c r="DR90" s="20">
        <f t="shared" si="70"/>
        <v>463.95918343835666</v>
      </c>
      <c r="DS90" s="59">
        <f t="shared" si="71"/>
        <v>737.29398600883155</v>
      </c>
      <c r="DT90" s="59">
        <f ca="1">AVERAGE(OFFSET($DS$3,0,0,'Données projet'!$E$14+1,1))-AVERAGE(OFFSET($H$3,0,0,'Données projet'!$E$14+1,1))</f>
        <v>610.05768948788375</v>
      </c>
      <c r="DU90" s="59">
        <f t="shared" si="98"/>
        <v>295.23928902444845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6.5909908796050178</v>
      </c>
      <c r="EB90" s="21">
        <f>EXP(-LN(2)/25)*EB89+(1-EXP(-LN(2)/25))/(LN(2)/25)*Calculateur!DW90*Calculateur!DY90*VLOOKUP('Données projet'!$B$14,Paramètres!$A$1:$I$89,3,0)*0.475*44/12</f>
        <v>38.716995627405907</v>
      </c>
      <c r="EC90" s="21">
        <f>EXP(-LN(2)/2)*EC89+(1-EXP(-LN(2)/2))/(LN(2)/2)*DW90*DZ90*VLOOKUP('Données projet'!$B$14,Paramètres!$A$1:$I$89,3,0)*0.475*44/12</f>
        <v>2.9294491048806339</v>
      </c>
      <c r="ED90" s="22">
        <f t="shared" si="72"/>
        <v>48.237435611891556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9.1730000000000018</v>
      </c>
      <c r="N91" s="13">
        <f>IF('Données projet'!$A$36&gt;35,N90+M91-V90,IF(A91&lt;'Données projet'!$A$36,$K$205^A91,IF(A91='Données projet'!$A$36,'Données projet'!$B$36,N90+M91-V90)))</f>
        <v>325.0920000000005</v>
      </c>
      <c r="O91" s="13">
        <f>N91*VLOOKUP('Données projet'!$B$9,Paramètres!$A$1:$I$89,3,0)*VLOOKUP('Données projet'!$B$9,Paramètres!$A$1:$I$89,5,0)</f>
        <v>294.14324160000047</v>
      </c>
      <c r="P91" s="13">
        <f t="shared" si="87"/>
        <v>69.947256671789191</v>
      </c>
      <c r="Q91" s="20">
        <f t="shared" si="54"/>
        <v>634.12428449003357</v>
      </c>
      <c r="R91" s="59">
        <f t="shared" si="55"/>
        <v>907.80601685922727</v>
      </c>
      <c r="S91" s="59">
        <f ca="1">AVERAGE(OFFSET($R$3,0,0,'Données projet'!$E$9+1,1))-AVERAGE(OFFSET($H$3,0,0,'Données projet'!$E$9+1,1))</f>
        <v>681.47578137804555</v>
      </c>
      <c r="T91" s="59">
        <f t="shared" si="88"/>
        <v>300.88511065995885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20.358356558518242</v>
      </c>
      <c r="AA91" s="21">
        <f>EXP(-LN(2)/25)*AA90+(1-EXP(-LN(2)/25))/(LN(2)/25)*Calculateur!V91*Calculateur!X91*VLOOKUP('Données projet'!$B$9,Paramètres!$A$1:$I$89,3,0)*0.475*44/12</f>
        <v>26.473523507244941</v>
      </c>
      <c r="AB91" s="21">
        <f>EXP(-LN(2)/2)*AB90+(1-EXP(-LN(2)/2))/(LN(2)/2)*V91*Y91*VLOOKUP('Données projet'!$B$9,Paramètres!$A$1:$I$89,3,0)*0.475*44/12</f>
        <v>1.4600778620232295</v>
      </c>
      <c r="AC91" s="22">
        <f t="shared" si="57"/>
        <v>48.291957927786413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-8.8675733422860506E-14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217.53602321474159</v>
      </c>
      <c r="AO91" s="59">
        <f t="shared" si="90"/>
        <v>215.75909414893025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18.919655877268994</v>
      </c>
      <c r="AV91" s="21">
        <f>EXP(-LN(2)/25)*AV90+(1-EXP(-LN(2)/25))/(LN(2)/25)*Calculateur!AQ91*Calculateur!AS91*VLOOKUP('Données projet'!$B$10,Paramètres!$A$1:$I$89,3,0)*0.475*44/12</f>
        <v>16.024852297395668</v>
      </c>
      <c r="AW91" s="21">
        <f>EXP(-LN(2)/2)*AW90+(1-EXP(-LN(2)/2))/(LN(2)/2)*AQ91*AT91*VLOOKUP('Données projet'!$B$10,Paramètres!$A$1:$I$89,3,0)*0.475*44/12</f>
        <v>5.3787303321506184E-2</v>
      </c>
      <c r="AX91" s="21">
        <f t="shared" si="60"/>
        <v>34.998295477986169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-1.7053025658242404E-13</v>
      </c>
      <c r="BE91" s="13">
        <f>BD91*VLOOKUP('Données projet'!$B$11,Paramètres!$A$1:$I$89,3,0)*VLOOKUP('Données projet'!$B$11,Paramètres!$A$1:$I$89,5,0)</f>
        <v>-1.1439169611549005E-13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281.67293577289729</v>
      </c>
      <c r="BJ91" s="59">
        <f t="shared" si="92"/>
        <v>272.44904846480154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29.232519643180968</v>
      </c>
      <c r="BQ91" s="21">
        <f>EXP(-LN(2)/25)*BQ90+(1-EXP(-LN(2)/25))/(LN(2)/25)*Calculateur!BL91*Calculateur!BN91*VLOOKUP('Données projet'!$B$11,Paramètres!$A$1:$I$89,3,0)*0.475*44/12</f>
        <v>28.611846685477008</v>
      </c>
      <c r="BR91" s="21">
        <f>EXP(-LN(2)/2)*BR90+(1-EXP(-LN(2)/2))/(LN(2)/2)*BL91*BO91*VLOOKUP('Données projet'!$B$11,Paramètres!$A$1:$I$89,3,0)*0.475*44/12</f>
        <v>2.7391388257046456</v>
      </c>
      <c r="BS91" s="22">
        <f t="shared" si="63"/>
        <v>60.583505154362619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-1.7053025658242404E-13</v>
      </c>
      <c r="BZ91" s="13">
        <f>BY91*VLOOKUP('Données projet'!$B$12,Paramètres!$A$1:$I$89,3,0)*VLOOKUP('Données projet'!$B$12,Paramètres!$A$1:$I$89,5,0)</f>
        <v>-1.4897523215040567E-13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348.77506423101278</v>
      </c>
      <c r="CE91" s="59">
        <f t="shared" si="94"/>
        <v>336.13747591329548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38.070258139956621</v>
      </c>
      <c r="CL91" s="21">
        <f>EXP(-LN(2)/25)*CL90+(1-EXP(-LN(2)/25))/(LN(2)/25)*Calculateur!CG91*Calculateur!CI91*VLOOKUP('Données projet'!$B$12,Paramètres!$A$1:$I$89,3,0)*0.475*44/12</f>
        <v>37.261939869458431</v>
      </c>
      <c r="CM91" s="21">
        <f>EXP(-LN(2)/2)*CM90+(1-EXP(-LN(2)/2))/(LN(2)/2)*CG91*CJ91*VLOOKUP('Données projet'!$B$12,Paramètres!$A$1:$I$89,3,0)*0.475*44/12</f>
        <v>3.5672505637083773</v>
      </c>
      <c r="CN91" s="22">
        <f t="shared" si="66"/>
        <v>78.899448573123436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6.7600000000000007</v>
      </c>
      <c r="CT91" s="12">
        <f>IF('Données projet'!$A$140&gt;35,CT90+CS91-DB90,IF(A91&lt;'Données projet'!$A$140,$CQ$205^A91,IF(A91='Données projet'!$A$140,'Données projet'!$B$140,CT90+CS91-DB90)))</f>
        <v>205.24999999999994</v>
      </c>
      <c r="CU91" s="17">
        <f>CT91*VLOOKUP('Données projet'!$B$13,Paramètres!$A$1:$I$89,3,0)*VLOOKUP('Données projet'!$B$13,Paramètres!$A$1:$I$89,5,0)</f>
        <v>198.51779999999997</v>
      </c>
      <c r="CV91" s="13">
        <f t="shared" si="95"/>
        <v>49.418284138701907</v>
      </c>
      <c r="CW91" s="20">
        <f t="shared" si="67"/>
        <v>431.82201320823901</v>
      </c>
      <c r="CX91" s="59">
        <f t="shared" si="68"/>
        <v>705.50374557743271</v>
      </c>
      <c r="CY91" s="59">
        <f ca="1">AVERAGE(OFFSET($CX$3,0,0,'Données projet'!$E$13+1,1))-AVERAGE(OFFSET($H$3,0,0,'Données projet'!$E$13+1,1))</f>
        <v>557.48193674339791</v>
      </c>
      <c r="CZ91" s="59">
        <f t="shared" si="96"/>
        <v>271.51396593253048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5.8062061630570092</v>
      </c>
      <c r="DG91" s="21">
        <f>EXP(-LN(2)/25)*DG90+(1-EXP(-LN(2)/25))/(LN(2)/25)*Calculateur!DB91*Calculateur!DD91*VLOOKUP('Données projet'!$B$13,Paramètres!$A$1:$I$89,3,0)*0.475*44/12</f>
        <v>33.837872397797724</v>
      </c>
      <c r="DH91" s="21">
        <f>EXP(-LN(2)/2)*DH90+(1-EXP(-LN(2)/2))/(LN(2)/2)*DB91*DE91*VLOOKUP('Données projet'!$B$13,Paramètres!$A$1:$I$89,3,0)*0.475*44/12</f>
        <v>1.8612879171959624</v>
      </c>
      <c r="DI91" s="22">
        <f t="shared" si="69"/>
        <v>41.505366478050696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6.7600000000000007</v>
      </c>
      <c r="DO91" s="12">
        <f>IF('Données projet'!$A$166&gt;35,DO90+DN91-DW90,IF(A91&lt;'Données projet'!$A$166,$DL$205^A91,IF(A91='Données projet'!$A$166,'Données projet'!$B$166,DO90+DN91-DW90)))</f>
        <v>205.24999999999994</v>
      </c>
      <c r="DP91" s="17">
        <f>DO91*VLOOKUP('Données projet'!$B$14,Paramètres!$A$1:$I$89,3,0)*VLOOKUP('Données projet'!$B$14,Paramètres!$A$1:$I$89,5,0)</f>
        <v>220.93109999999993</v>
      </c>
      <c r="DQ91" s="13">
        <f t="shared" si="97"/>
        <v>54.317205936119478</v>
      </c>
      <c r="DR91" s="20">
        <f t="shared" si="70"/>
        <v>479.39079950540798</v>
      </c>
      <c r="DS91" s="59">
        <f t="shared" si="71"/>
        <v>753.07253187460174</v>
      </c>
      <c r="DT91" s="59">
        <f ca="1">AVERAGE(OFFSET($DS$3,0,0,'Données projet'!$E$14+1,1))-AVERAGE(OFFSET($H$3,0,0,'Données projet'!$E$14+1,1))</f>
        <v>610.05768948788375</v>
      </c>
      <c r="DU91" s="59">
        <f t="shared" si="98"/>
        <v>295.23928902444845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6.4617455685634475</v>
      </c>
      <c r="EB91" s="21">
        <f>EXP(-LN(2)/25)*EB90+(1-EXP(-LN(2)/25))/(LN(2)/25)*Calculateur!DW91*Calculateur!DY91*VLOOKUP('Données projet'!$B$14,Paramètres!$A$1:$I$89,3,0)*0.475*44/12</f>
        <v>37.658277345936185</v>
      </c>
      <c r="EC91" s="21">
        <f>EXP(-LN(2)/2)*EC90+(1-EXP(-LN(2)/2))/(LN(2)/2)*DW91*DZ91*VLOOKUP('Données projet'!$B$14,Paramètres!$A$1:$I$89,3,0)*0.475*44/12</f>
        <v>2.0714333272019583</v>
      </c>
      <c r="ED91" s="22">
        <f t="shared" si="72"/>
        <v>46.191456241701587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9.1730000000000018</v>
      </c>
      <c r="N92" s="13">
        <f>IF('Données projet'!$A$36&gt;35,N91+M92-V91,IF(A92&lt;'Données projet'!$A$36,$K$205^A92,IF(A92='Données projet'!$A$36,'Données projet'!$B$36,N91+M92-V91)))</f>
        <v>334.2650000000005</v>
      </c>
      <c r="O92" s="13">
        <f>N92*VLOOKUP('Données projet'!$B$9,Paramètres!$A$1:$I$89,3,0)*VLOOKUP('Données projet'!$B$9,Paramètres!$A$1:$I$89,5,0)</f>
        <v>302.44297200000045</v>
      </c>
      <c r="P92" s="13">
        <f t="shared" si="87"/>
        <v>71.688362252626035</v>
      </c>
      <c r="Q92" s="20">
        <f t="shared" si="54"/>
        <v>651.61207382332452</v>
      </c>
      <c r="R92" s="59">
        <f t="shared" si="55"/>
        <v>925.63471753484805</v>
      </c>
      <c r="S92" s="59">
        <f ca="1">AVERAGE(OFFSET($R$3,0,0,'Données projet'!$E$9+1,1))-AVERAGE(OFFSET($H$3,0,0,'Données projet'!$E$9+1,1))</f>
        <v>681.47578137804555</v>
      </c>
      <c r="T92" s="59">
        <f t="shared" si="88"/>
        <v>300.88511065995885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19.959141603777088</v>
      </c>
      <c r="AA92" s="21">
        <f>EXP(-LN(2)/25)*AA91+(1-EXP(-LN(2)/25))/(LN(2)/25)*Calculateur!V92*Calculateur!X92*VLOOKUP('Données projet'!$B$9,Paramètres!$A$1:$I$89,3,0)*0.475*44/12</f>
        <v>25.749603614757234</v>
      </c>
      <c r="AB92" s="21">
        <f>EXP(-LN(2)/2)*AB91+(1-EXP(-LN(2)/2))/(LN(2)/2)*V92*Y92*VLOOKUP('Données projet'!$B$9,Paramètres!$A$1:$I$89,3,0)*0.475*44/12</f>
        <v>1.0324309572969819</v>
      </c>
      <c r="AC92" s="22">
        <f t="shared" si="57"/>
        <v>46.741176175831299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-8.8675733422860506E-14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217.53602321474159</v>
      </c>
      <c r="AO92" s="59">
        <f t="shared" si="90"/>
        <v>215.75909414893025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18.548652965366369</v>
      </c>
      <c r="AV92" s="21">
        <f>EXP(-LN(2)/25)*AV91+(1-EXP(-LN(2)/25))/(LN(2)/25)*Calculateur!AQ92*Calculateur!AS92*VLOOKUP('Données projet'!$B$10,Paramètres!$A$1:$I$89,3,0)*0.475*44/12</f>
        <v>15.586651868613027</v>
      </c>
      <c r="AW92" s="21">
        <f>EXP(-LN(2)/2)*AW91+(1-EXP(-LN(2)/2))/(LN(2)/2)*AQ92*AT92*VLOOKUP('Données projet'!$B$10,Paramètres!$A$1:$I$89,3,0)*0.475*44/12</f>
        <v>3.8033366920374734E-2</v>
      </c>
      <c r="AX92" s="21">
        <f t="shared" si="60"/>
        <v>34.173338200899771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-1.7053025658242404E-13</v>
      </c>
      <c r="BE92" s="13">
        <f>BD92*VLOOKUP('Données projet'!$B$11,Paramètres!$A$1:$I$89,3,0)*VLOOKUP('Données projet'!$B$11,Paramètres!$A$1:$I$89,5,0)</f>
        <v>-1.1439169611549005E-13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281.67293577289729</v>
      </c>
      <c r="BJ92" s="59">
        <f t="shared" si="92"/>
        <v>272.44904846480154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28.659287763054596</v>
      </c>
      <c r="BQ92" s="21">
        <f>EXP(-LN(2)/25)*BQ91+(1-EXP(-LN(2)/25))/(LN(2)/25)*Calculateur!BL92*Calculateur!BN92*VLOOKUP('Données projet'!$B$11,Paramètres!$A$1:$I$89,3,0)*0.475*44/12</f>
        <v>27.829454233231015</v>
      </c>
      <c r="BR92" s="21">
        <f>EXP(-LN(2)/2)*BR91+(1-EXP(-LN(2)/2))/(LN(2)/2)*BL92*BO92*VLOOKUP('Données projet'!$B$11,Paramètres!$A$1:$I$89,3,0)*0.475*44/12</f>
        <v>1.9368636382671116</v>
      </c>
      <c r="BS92" s="22">
        <f t="shared" si="63"/>
        <v>58.425605634552724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-1.7053025658242404E-13</v>
      </c>
      <c r="BZ92" s="13">
        <f>BY92*VLOOKUP('Données projet'!$B$12,Paramètres!$A$1:$I$89,3,0)*VLOOKUP('Données projet'!$B$12,Paramètres!$A$1:$I$89,5,0)</f>
        <v>-1.4897523215040567E-13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348.77506423101278</v>
      </c>
      <c r="CE92" s="59">
        <f t="shared" si="94"/>
        <v>336.13747591329548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37.323723598396697</v>
      </c>
      <c r="CL92" s="21">
        <f>EXP(-LN(2)/25)*CL91+(1-EXP(-LN(2)/25))/(LN(2)/25)*Calculateur!CG92*Calculateur!CI92*VLOOKUP('Données projet'!$B$12,Paramètres!$A$1:$I$89,3,0)*0.475*44/12</f>
        <v>36.243010164207838</v>
      </c>
      <c r="CM92" s="21">
        <f>EXP(-LN(2)/2)*CM91+(1-EXP(-LN(2)/2))/(LN(2)/2)*CG92*CJ92*VLOOKUP('Données projet'!$B$12,Paramètres!$A$1:$I$89,3,0)*0.475*44/12</f>
        <v>2.5224270637897281</v>
      </c>
      <c r="CN92" s="22">
        <f t="shared" si="66"/>
        <v>76.089160826394277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6.7600000000000007</v>
      </c>
      <c r="CT92" s="12">
        <f>IF('Données projet'!$A$140&gt;35,CT91+CS92-DB91,IF(A92&lt;'Données projet'!$A$140,$CQ$205^A92,IF(A92='Données projet'!$A$140,'Données projet'!$B$140,CT91+CS92-DB91)))</f>
        <v>212.00999999999993</v>
      </c>
      <c r="CU92" s="17">
        <f>CT92*VLOOKUP('Données projet'!$B$13,Paramètres!$A$1:$I$89,3,0)*VLOOKUP('Données projet'!$B$13,Paramètres!$A$1:$I$89,5,0)</f>
        <v>205.05607199999992</v>
      </c>
      <c r="CV92" s="13">
        <f t="shared" si="95"/>
        <v>50.853719611219461</v>
      </c>
      <c r="CW92" s="20">
        <f t="shared" si="67"/>
        <v>445.70955372287375</v>
      </c>
      <c r="CX92" s="59">
        <f t="shared" si="68"/>
        <v>719.73219743439734</v>
      </c>
      <c r="CY92" s="59">
        <f ca="1">AVERAGE(OFFSET($CX$3,0,0,'Données projet'!$E$13+1,1))-AVERAGE(OFFSET($H$3,0,0,'Données projet'!$E$13+1,1))</f>
        <v>557.48193674339791</v>
      </c>
      <c r="CZ92" s="59">
        <f t="shared" si="96"/>
        <v>271.51396593253048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5.6923500016355328</v>
      </c>
      <c r="DG92" s="21">
        <f>EXP(-LN(2)/25)*DG91+(1-EXP(-LN(2)/25))/(LN(2)/25)*Calculateur!DB92*Calculateur!DD92*VLOOKUP('Données projet'!$B$13,Paramètres!$A$1:$I$89,3,0)*0.475*44/12</f>
        <v>32.912573997623575</v>
      </c>
      <c r="DH92" s="21">
        <f>EXP(-LN(2)/2)*DH91+(1-EXP(-LN(2)/2))/(LN(2)/2)*DB92*DE92*VLOOKUP('Données projet'!$B$13,Paramètres!$A$1:$I$89,3,0)*0.475*44/12</f>
        <v>1.3161293079898502</v>
      </c>
      <c r="DI92" s="22">
        <f t="shared" si="69"/>
        <v>39.921053307248954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6.7600000000000007</v>
      </c>
      <c r="DO92" s="12">
        <f>IF('Données projet'!$A$166&gt;35,DO91+DN92-DW91,IF(A92&lt;'Données projet'!$A$166,$DL$205^A92,IF(A92='Données projet'!$A$166,'Données projet'!$B$166,DO91+DN92-DW91)))</f>
        <v>212.00999999999993</v>
      </c>
      <c r="DP92" s="17">
        <f>DO92*VLOOKUP('Données projet'!$B$14,Paramètres!$A$1:$I$89,3,0)*VLOOKUP('Données projet'!$B$14,Paramètres!$A$1:$I$89,5,0)</f>
        <v>228.20756399999993</v>
      </c>
      <c r="DQ92" s="13">
        <f t="shared" si="97"/>
        <v>55.894938662531274</v>
      </c>
      <c r="DR92" s="20">
        <f t="shared" si="70"/>
        <v>494.81185880390854</v>
      </c>
      <c r="DS92" s="59">
        <f t="shared" si="71"/>
        <v>768.83450251543218</v>
      </c>
      <c r="DT92" s="59">
        <f ca="1">AVERAGE(OFFSET($DS$3,0,0,'Données projet'!$E$14+1,1))-AVERAGE(OFFSET($H$3,0,0,'Données projet'!$E$14+1,1))</f>
        <v>610.05768948788375</v>
      </c>
      <c r="DU92" s="59">
        <f t="shared" si="98"/>
        <v>295.23928902444845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6.3350346792395467</v>
      </c>
      <c r="EB92" s="21">
        <f>EXP(-LN(2)/25)*EB91+(1-EXP(-LN(2)/25))/(LN(2)/25)*Calculateur!DW92*Calculateur!DY92*VLOOKUP('Données projet'!$B$14,Paramètres!$A$1:$I$89,3,0)*0.475*44/12</f>
        <v>36.628509771548821</v>
      </c>
      <c r="EC92" s="21">
        <f>EXP(-LN(2)/2)*EC91+(1-EXP(-LN(2)/2))/(LN(2)/2)*DW92*DZ92*VLOOKUP('Données projet'!$B$14,Paramètres!$A$1:$I$89,3,0)*0.475*44/12</f>
        <v>1.4647245524403174</v>
      </c>
      <c r="ED92" s="22">
        <f t="shared" si="72"/>
        <v>44.428269003228685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9.1730000000000018</v>
      </c>
      <c r="N93" s="13">
        <f>IF('Données projet'!$A$36&gt;35,N92+M93-V92,IF(A93&lt;'Données projet'!$A$36,$K$205^A93,IF(A93='Données projet'!$A$36,'Données projet'!$B$36,N92+M93-V92)))</f>
        <v>343.4380000000005</v>
      </c>
      <c r="O93" s="13">
        <f>N93*VLOOKUP('Données projet'!$B$9,Paramètres!$A$1:$I$89,3,0)*VLOOKUP('Données projet'!$B$9,Paramètres!$A$1:$I$89,5,0)</f>
        <v>310.74270240000044</v>
      </c>
      <c r="P93" s="13">
        <f t="shared" si="87"/>
        <v>73.423914385133031</v>
      </c>
      <c r="Q93" s="20">
        <f t="shared" si="54"/>
        <v>669.09019090077402</v>
      </c>
      <c r="R93" s="59">
        <f t="shared" si="55"/>
        <v>943.44783190500175</v>
      </c>
      <c r="S93" s="59">
        <f ca="1">AVERAGE(OFFSET($R$3,0,0,'Données projet'!$E$9+1,1))-AVERAGE(OFFSET($H$3,0,0,'Données projet'!$E$9+1,1))</f>
        <v>681.47578137804555</v>
      </c>
      <c r="T93" s="59">
        <f t="shared" si="88"/>
        <v>300.88511065995885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19.567755010801328</v>
      </c>
      <c r="AA93" s="21">
        <f>EXP(-LN(2)/25)*AA92+(1-EXP(-LN(2)/25))/(LN(2)/25)*Calculateur!V93*Calculateur!X93*VLOOKUP('Données projet'!$B$9,Paramètres!$A$1:$I$89,3,0)*0.475*44/12</f>
        <v>25.045479349798896</v>
      </c>
      <c r="AB93" s="21">
        <f>EXP(-LN(2)/2)*AB92+(1-EXP(-LN(2)/2))/(LN(2)/2)*V93*Y93*VLOOKUP('Données projet'!$B$9,Paramètres!$A$1:$I$89,3,0)*0.475*44/12</f>
        <v>0.73003893101161477</v>
      </c>
      <c r="AC93" s="22">
        <f t="shared" si="57"/>
        <v>45.343273291611837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-8.8675733422860506E-14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217.53602321474159</v>
      </c>
      <c r="AO93" s="59">
        <f t="shared" si="90"/>
        <v>215.75909414893025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18.184925194276722</v>
      </c>
      <c r="AV93" s="21">
        <f>EXP(-LN(2)/25)*AV92+(1-EXP(-LN(2)/25))/(LN(2)/25)*Calculateur!AQ93*Calculateur!AS93*VLOOKUP('Données projet'!$B$10,Paramètres!$A$1:$I$89,3,0)*0.475*44/12</f>
        <v>15.160434053599406</v>
      </c>
      <c r="AW93" s="21">
        <f>EXP(-LN(2)/2)*AW92+(1-EXP(-LN(2)/2))/(LN(2)/2)*AQ93*AT93*VLOOKUP('Données projet'!$B$10,Paramètres!$A$1:$I$89,3,0)*0.475*44/12</f>
        <v>2.6893651660753092E-2</v>
      </c>
      <c r="AX93" s="21">
        <f t="shared" si="60"/>
        <v>33.372252899536882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-1.7053025658242404E-13</v>
      </c>
      <c r="BE93" s="13">
        <f>BD93*VLOOKUP('Données projet'!$B$11,Paramètres!$A$1:$I$89,3,0)*VLOOKUP('Données projet'!$B$11,Paramètres!$A$1:$I$89,5,0)</f>
        <v>-1.1439169611549005E-13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281.67293577289729</v>
      </c>
      <c r="BJ93" s="59">
        <f t="shared" si="92"/>
        <v>272.44904846480154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28.097296610460582</v>
      </c>
      <c r="BQ93" s="21">
        <f>EXP(-LN(2)/25)*BQ92+(1-EXP(-LN(2)/25))/(LN(2)/25)*Calculateur!BL93*Calculateur!BN93*VLOOKUP('Données projet'!$B$11,Paramètres!$A$1:$I$89,3,0)*0.475*44/12</f>
        <v>27.068456343735921</v>
      </c>
      <c r="BR93" s="21">
        <f>EXP(-LN(2)/2)*BR92+(1-EXP(-LN(2)/2))/(LN(2)/2)*BL93*BO93*VLOOKUP('Données projet'!$B$11,Paramètres!$A$1:$I$89,3,0)*0.475*44/12</f>
        <v>1.3695694128523228</v>
      </c>
      <c r="BS93" s="22">
        <f t="shared" si="63"/>
        <v>56.535322367048828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-1.7053025658242404E-13</v>
      </c>
      <c r="BZ93" s="13">
        <f>BY93*VLOOKUP('Données projet'!$B$12,Paramètres!$A$1:$I$89,3,0)*VLOOKUP('Données projet'!$B$12,Paramètres!$A$1:$I$89,5,0)</f>
        <v>-1.4897523215040567E-13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348.77506423101278</v>
      </c>
      <c r="CE93" s="59">
        <f t="shared" si="94"/>
        <v>336.13747591329548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36.591828143855651</v>
      </c>
      <c r="CL93" s="21">
        <f>EXP(-LN(2)/25)*CL92+(1-EXP(-LN(2)/25))/(LN(2)/25)*Calculateur!CG93*Calculateur!CI93*VLOOKUP('Données projet'!$B$12,Paramètres!$A$1:$I$89,3,0)*0.475*44/12</f>
        <v>35.251943145330507</v>
      </c>
      <c r="CM93" s="21">
        <f>EXP(-LN(2)/2)*CM92+(1-EXP(-LN(2)/2))/(LN(2)/2)*CG93*CJ93*VLOOKUP('Données projet'!$B$12,Paramètres!$A$1:$I$89,3,0)*0.475*44/12</f>
        <v>1.7836252818541889</v>
      </c>
      <c r="CN93" s="22">
        <f t="shared" si="66"/>
        <v>73.627396571040336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6.7600000000000007</v>
      </c>
      <c r="CT93" s="12">
        <f>IF('Données projet'!$A$140&gt;35,CT92+CS93-DB92,IF(A93&lt;'Données projet'!$A$140,$CQ$205^A93,IF(A93='Données projet'!$A$140,'Données projet'!$B$140,CT92+CS93-DB92)))</f>
        <v>218.76999999999992</v>
      </c>
      <c r="CU93" s="17">
        <f>CT93*VLOOKUP('Données projet'!$B$13,Paramètres!$A$1:$I$89,3,0)*VLOOKUP('Données projet'!$B$13,Paramètres!$A$1:$I$89,5,0)</f>
        <v>211.59434399999995</v>
      </c>
      <c r="CV93" s="13">
        <f t="shared" si="95"/>
        <v>52.283836462333554</v>
      </c>
      <c r="CW93" s="20">
        <f t="shared" si="67"/>
        <v>459.58783097189752</v>
      </c>
      <c r="CX93" s="59">
        <f t="shared" si="68"/>
        <v>733.94547197612519</v>
      </c>
      <c r="CY93" s="59">
        <f ca="1">AVERAGE(OFFSET($CX$3,0,0,'Données projet'!$E$13+1,1))-AVERAGE(OFFSET($H$3,0,0,'Données projet'!$E$13+1,1))</f>
        <v>557.48193674339791</v>
      </c>
      <c r="CZ93" s="59">
        <f t="shared" si="96"/>
        <v>271.51396593253048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5.58072649009413</v>
      </c>
      <c r="DG93" s="21">
        <f>EXP(-LN(2)/25)*DG92+(1-EXP(-LN(2)/25))/(LN(2)/25)*Calculateur!DB93*Calculateur!DD93*VLOOKUP('Données projet'!$B$13,Paramètres!$A$1:$I$89,3,0)*0.475*44/12</f>
        <v>32.012577930861518</v>
      </c>
      <c r="DH93" s="21">
        <f>EXP(-LN(2)/2)*DH92+(1-EXP(-LN(2)/2))/(LN(2)/2)*DB93*DE93*VLOOKUP('Données projet'!$B$13,Paramètres!$A$1:$I$89,3,0)*0.475*44/12</f>
        <v>0.93064395859798121</v>
      </c>
      <c r="DI93" s="22">
        <f t="shared" si="69"/>
        <v>38.52394837955363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6.7600000000000007</v>
      </c>
      <c r="DO93" s="12">
        <f>IF('Données projet'!$A$166&gt;35,DO92+DN93-DW92,IF(A93&lt;'Données projet'!$A$166,$DL$205^A93,IF(A93='Données projet'!$A$166,'Données projet'!$B$166,DO92+DN93-DW92)))</f>
        <v>218.76999999999992</v>
      </c>
      <c r="DP93" s="17">
        <f>DO93*VLOOKUP('Données projet'!$B$14,Paramètres!$A$1:$I$89,3,0)*VLOOKUP('Données projet'!$B$14,Paramètres!$A$1:$I$89,5,0)</f>
        <v>235.48402799999994</v>
      </c>
      <c r="DQ93" s="13">
        <f t="shared" si="97"/>
        <v>57.466825523205202</v>
      </c>
      <c r="DR93" s="20">
        <f t="shared" si="70"/>
        <v>510.22273655291565</v>
      </c>
      <c r="DS93" s="59">
        <f t="shared" si="71"/>
        <v>784.58037755714327</v>
      </c>
      <c r="DT93" s="59">
        <f ca="1">AVERAGE(OFFSET($DS$3,0,0,'Données projet'!$E$14+1,1))-AVERAGE(OFFSET($H$3,0,0,'Données projet'!$E$14+1,1))</f>
        <v>610.05768948788375</v>
      </c>
      <c r="DU93" s="59">
        <f t="shared" si="98"/>
        <v>295.23928902444845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6.2108085131692761</v>
      </c>
      <c r="EB93" s="21">
        <f>EXP(-LN(2)/25)*EB92+(1-EXP(-LN(2)/25))/(LN(2)/25)*Calculateur!DW93*Calculateur!DY93*VLOOKUP('Données projet'!$B$14,Paramètres!$A$1:$I$89,3,0)*0.475*44/12</f>
        <v>35.626901245636205</v>
      </c>
      <c r="EC93" s="21">
        <f>EXP(-LN(2)/2)*EC92+(1-EXP(-LN(2)/2))/(LN(2)/2)*DW93*DZ93*VLOOKUP('Données projet'!$B$14,Paramètres!$A$1:$I$89,3,0)*0.475*44/12</f>
        <v>1.0357166636009794</v>
      </c>
      <c r="ED93" s="22">
        <f t="shared" si="72"/>
        <v>42.87342642240646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9.1730000000000018</v>
      </c>
      <c r="N94" s="13">
        <f>IF('Données projet'!$A$36&gt;35,N93+M94-V93,IF(A94&lt;'Données projet'!$A$36,$K$205^A94,IF(A94='Données projet'!$A$36,'Données projet'!$B$36,N93+M94-V93)))</f>
        <v>352.6110000000005</v>
      </c>
      <c r="O94" s="13">
        <f>N94*VLOOKUP('Données projet'!$B$9,Paramètres!$A$1:$I$89,3,0)*VLOOKUP('Données projet'!$B$9,Paramètres!$A$1:$I$89,5,0)</f>
        <v>319.04243280000043</v>
      </c>
      <c r="P94" s="13">
        <f t="shared" si="87"/>
        <v>75.154078446360543</v>
      </c>
      <c r="Q94" s="20">
        <f t="shared" si="54"/>
        <v>686.55892375407859</v>
      </c>
      <c r="R94" s="59">
        <f t="shared" si="55"/>
        <v>961.2457505969237</v>
      </c>
      <c r="S94" s="59">
        <f ca="1">AVERAGE(OFFSET($R$3,0,0,'Données projet'!$E$9+1,1))-AVERAGE(OFFSET($H$3,0,0,'Données projet'!$E$9+1,1))</f>
        <v>681.47578137804555</v>
      </c>
      <c r="T94" s="59">
        <f t="shared" si="88"/>
        <v>300.88511065995885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19.184043270191573</v>
      </c>
      <c r="AA94" s="21">
        <f>EXP(-LN(2)/25)*AA93+(1-EXP(-LN(2)/25))/(LN(2)/25)*Calculateur!V94*Calculateur!X94*VLOOKUP('Données projet'!$B$9,Paramètres!$A$1:$I$89,3,0)*0.475*44/12</f>
        <v>24.360609399894127</v>
      </c>
      <c r="AB94" s="21">
        <f>EXP(-LN(2)/2)*AB93+(1-EXP(-LN(2)/2))/(LN(2)/2)*V94*Y94*VLOOKUP('Données projet'!$B$9,Paramètres!$A$1:$I$89,3,0)*0.475*44/12</f>
        <v>0.51621547864849093</v>
      </c>
      <c r="AC94" s="22">
        <f t="shared" si="57"/>
        <v>44.060868148734187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-8.8675733422860506E-14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217.53602321474159</v>
      </c>
      <c r="AO94" s="59">
        <f t="shared" si="90"/>
        <v>215.75909414893025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17.828329902926111</v>
      </c>
      <c r="AV94" s="21">
        <f>EXP(-LN(2)/25)*AV93+(1-EXP(-LN(2)/25))/(LN(2)/25)*Calculateur!AQ94*Calculateur!AS94*VLOOKUP('Données projet'!$B$10,Paramètres!$A$1:$I$89,3,0)*0.475*44/12</f>
        <v>14.745871187151153</v>
      </c>
      <c r="AW94" s="21">
        <f>EXP(-LN(2)/2)*AW93+(1-EXP(-LN(2)/2))/(LN(2)/2)*AQ94*AT94*VLOOKUP('Données projet'!$B$10,Paramètres!$A$1:$I$89,3,0)*0.475*44/12</f>
        <v>1.9016683460187367E-2</v>
      </c>
      <c r="AX94" s="21">
        <f t="shared" si="60"/>
        <v>32.593217773537454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-1.7053025658242404E-13</v>
      </c>
      <c r="BE94" s="13">
        <f>BD94*VLOOKUP('Données projet'!$B$11,Paramètres!$A$1:$I$89,3,0)*VLOOKUP('Données projet'!$B$11,Paramètres!$A$1:$I$89,5,0)</f>
        <v>-1.1439169611549005E-13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281.67293577289729</v>
      </c>
      <c r="BJ94" s="59">
        <f t="shared" si="92"/>
        <v>272.44904846480154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27.546325761588179</v>
      </c>
      <c r="BQ94" s="21">
        <f>EXP(-LN(2)/25)*BQ93+(1-EXP(-LN(2)/25))/(LN(2)/25)*Calculateur!BL94*Calculateur!BN94*VLOOKUP('Données projet'!$B$11,Paramètres!$A$1:$I$89,3,0)*0.475*44/12</f>
        <v>26.328267981548208</v>
      </c>
      <c r="BR94" s="21">
        <f>EXP(-LN(2)/2)*BR93+(1-EXP(-LN(2)/2))/(LN(2)/2)*BL94*BO94*VLOOKUP('Données projet'!$B$11,Paramètres!$A$1:$I$89,3,0)*0.475*44/12</f>
        <v>0.9684318191335558</v>
      </c>
      <c r="BS94" s="22">
        <f t="shared" si="63"/>
        <v>54.843025562269943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-1.7053025658242404E-13</v>
      </c>
      <c r="BZ94" s="13">
        <f>BY94*VLOOKUP('Données projet'!$B$12,Paramètres!$A$1:$I$89,3,0)*VLOOKUP('Données projet'!$B$12,Paramètres!$A$1:$I$89,5,0)</f>
        <v>-1.4897523215040567E-13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348.77506423101278</v>
      </c>
      <c r="CE94" s="59">
        <f t="shared" si="94"/>
        <v>336.13747591329548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35.874284712766013</v>
      </c>
      <c r="CL94" s="21">
        <f>EXP(-LN(2)/25)*CL93+(1-EXP(-LN(2)/25))/(LN(2)/25)*Calculateur!CG94*Calculateur!CI94*VLOOKUP('Données projet'!$B$12,Paramètres!$A$1:$I$89,3,0)*0.475*44/12</f>
        <v>34.287976906202324</v>
      </c>
      <c r="CM94" s="21">
        <f>EXP(-LN(2)/2)*CM93+(1-EXP(-LN(2)/2))/(LN(2)/2)*CG94*CJ94*VLOOKUP('Données projet'!$B$12,Paramètres!$A$1:$I$89,3,0)*0.475*44/12</f>
        <v>1.2612135318948643</v>
      </c>
      <c r="CN94" s="22">
        <f t="shared" si="66"/>
        <v>71.423475150863197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6.7600000000000007</v>
      </c>
      <c r="CT94" s="12">
        <f>IF('Données projet'!$A$140&gt;35,CT93+CS94-DB93,IF(A94&lt;'Données projet'!$A$140,$CQ$205^A94,IF(A94='Données projet'!$A$140,'Données projet'!$B$140,CT93+CS94-DB93)))</f>
        <v>225.52999999999992</v>
      </c>
      <c r="CU94" s="17">
        <f>CT94*VLOOKUP('Données projet'!$B$13,Paramètres!$A$1:$I$89,3,0)*VLOOKUP('Données projet'!$B$13,Paramètres!$A$1:$I$89,5,0)</f>
        <v>218.1326159999999</v>
      </c>
      <c r="CV94" s="13">
        <f t="shared" si="95"/>
        <v>53.708817897023764</v>
      </c>
      <c r="CW94" s="20">
        <f t="shared" si="67"/>
        <v>473.4571640373162</v>
      </c>
      <c r="CX94" s="59">
        <f t="shared" si="68"/>
        <v>748.14399088016125</v>
      </c>
      <c r="CY94" s="59">
        <f ca="1">AVERAGE(OFFSET($CX$3,0,0,'Données projet'!$E$13+1,1))-AVERAGE(OFFSET($H$3,0,0,'Données projet'!$E$13+1,1))</f>
        <v>557.48193674339791</v>
      </c>
      <c r="CZ94" s="59">
        <f t="shared" si="96"/>
        <v>271.51396593253048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5.4712918475304351</v>
      </c>
      <c r="DG94" s="21">
        <f>EXP(-LN(2)/25)*DG93+(1-EXP(-LN(2)/25))/(LN(2)/25)*Calculateur!DB94*Calculateur!DD94*VLOOKUP('Données projet'!$B$13,Paramètres!$A$1:$I$89,3,0)*0.475*44/12</f>
        <v>31.137192303873803</v>
      </c>
      <c r="DH94" s="21">
        <f>EXP(-LN(2)/2)*DH93+(1-EXP(-LN(2)/2))/(LN(2)/2)*DB94*DE94*VLOOKUP('Données projet'!$B$13,Paramètres!$A$1:$I$89,3,0)*0.475*44/12</f>
        <v>0.65806465399492509</v>
      </c>
      <c r="DI94" s="22">
        <f t="shared" si="69"/>
        <v>37.266548805399168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6.7600000000000007</v>
      </c>
      <c r="DO94" s="12">
        <f>IF('Données projet'!$A$166&gt;35,DO93+DN94-DW93,IF(A94&lt;'Données projet'!$A$166,$DL$205^A94,IF(A94='Données projet'!$A$166,'Données projet'!$B$166,DO93+DN94-DW93)))</f>
        <v>225.52999999999992</v>
      </c>
      <c r="DP94" s="17">
        <f>DO94*VLOOKUP('Données projet'!$B$14,Paramètres!$A$1:$I$89,3,0)*VLOOKUP('Données projet'!$B$14,Paramètres!$A$1:$I$89,5,0)</f>
        <v>242.76049199999989</v>
      </c>
      <c r="DQ94" s="13">
        <f t="shared" si="97"/>
        <v>59.033067884554228</v>
      </c>
      <c r="DR94" s="20">
        <f t="shared" si="70"/>
        <v>525.62378346559842</v>
      </c>
      <c r="DS94" s="59">
        <f t="shared" si="71"/>
        <v>800.31061030844353</v>
      </c>
      <c r="DT94" s="59">
        <f ca="1">AVERAGE(OFFSET($DS$3,0,0,'Données projet'!$E$14+1,1))-AVERAGE(OFFSET($H$3,0,0,'Données projet'!$E$14+1,1))</f>
        <v>610.05768948788375</v>
      </c>
      <c r="DU94" s="59">
        <f t="shared" si="98"/>
        <v>295.23928902444845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6.0890183464451644</v>
      </c>
      <c r="EB94" s="21">
        <f>EXP(-LN(2)/25)*EB93+(1-EXP(-LN(2)/25))/(LN(2)/25)*Calculateur!DW94*Calculateur!DY94*VLOOKUP('Données projet'!$B$14,Paramètres!$A$1:$I$89,3,0)*0.475*44/12</f>
        <v>34.652681757536975</v>
      </c>
      <c r="EC94" s="21">
        <f>EXP(-LN(2)/2)*EC93+(1-EXP(-LN(2)/2))/(LN(2)/2)*DW94*DZ94*VLOOKUP('Données projet'!$B$14,Paramètres!$A$1:$I$89,3,0)*0.475*44/12</f>
        <v>0.73236227622015881</v>
      </c>
      <c r="ED94" s="22">
        <f t="shared" si="72"/>
        <v>41.474062380202298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9.1730000000000018</v>
      </c>
      <c r="N95" s="13">
        <f>IF('Données projet'!$A$36&gt;35,N94+M95-V94,IF(A95&lt;'Données projet'!$A$36,$K$205^A95,IF(A95='Données projet'!$A$36,'Données projet'!$B$36,N94+M95-V94)))</f>
        <v>361.7840000000005</v>
      </c>
      <c r="O95" s="13">
        <f>N95*VLOOKUP('Données projet'!$B$9,Paramètres!$A$1:$I$89,3,0)*VLOOKUP('Données projet'!$B$9,Paramètres!$A$1:$I$89,5,0)</f>
        <v>327.34216320000047</v>
      </c>
      <c r="P95" s="13">
        <f t="shared" si="87"/>
        <v>76.87901071885527</v>
      </c>
      <c r="Q95" s="20">
        <f t="shared" si="54"/>
        <v>704.01854457534034</v>
      </c>
      <c r="R95" s="59">
        <f t="shared" si="55"/>
        <v>979.02884661845201</v>
      </c>
      <c r="S95" s="59">
        <f ca="1">AVERAGE(OFFSET($R$3,0,0,'Données projet'!$E$9+1,1))-AVERAGE(OFFSET($H$3,0,0,'Données projet'!$E$9+1,1))</f>
        <v>681.47578137804555</v>
      </c>
      <c r="T95" s="59">
        <f t="shared" si="88"/>
        <v>300.88511065995885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18.807855882774124</v>
      </c>
      <c r="AA95" s="21">
        <f>EXP(-LN(2)/25)*AA94+(1-EXP(-LN(2)/25))/(LN(2)/25)*Calculateur!V95*Calculateur!X95*VLOOKUP('Données projet'!$B$9,Paramètres!$A$1:$I$89,3,0)*0.475*44/12</f>
        <v>23.694467254785252</v>
      </c>
      <c r="AB95" s="21">
        <f>EXP(-LN(2)/2)*AB94+(1-EXP(-LN(2)/2))/(LN(2)/2)*V95*Y95*VLOOKUP('Données projet'!$B$9,Paramètres!$A$1:$I$89,3,0)*0.475*44/12</f>
        <v>0.36501946550580738</v>
      </c>
      <c r="AC95" s="22">
        <f t="shared" si="57"/>
        <v>42.867342603065183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-8.8675733422860506E-14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217.53602321474159</v>
      </c>
      <c r="AO95" s="59">
        <f t="shared" si="90"/>
        <v>215.75909414893025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17.478727227737231</v>
      </c>
      <c r="AV95" s="21">
        <f>EXP(-LN(2)/25)*AV94+(1-EXP(-LN(2)/25))/(LN(2)/25)*Calculateur!AQ95*Calculateur!AS95*VLOOKUP('Données projet'!$B$10,Paramètres!$A$1:$I$89,3,0)*0.475*44/12</f>
        <v>14.342644564086841</v>
      </c>
      <c r="AW95" s="21">
        <f>EXP(-LN(2)/2)*AW94+(1-EXP(-LN(2)/2))/(LN(2)/2)*AQ95*AT95*VLOOKUP('Données projet'!$B$10,Paramètres!$A$1:$I$89,3,0)*0.475*44/12</f>
        <v>1.3446825830376546E-2</v>
      </c>
      <c r="AX95" s="21">
        <f t="shared" si="60"/>
        <v>31.834818617654445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-1.7053025658242404E-13</v>
      </c>
      <c r="BE95" s="13">
        <f>BD95*VLOOKUP('Données projet'!$B$11,Paramètres!$A$1:$I$89,3,0)*VLOOKUP('Données projet'!$B$11,Paramètres!$A$1:$I$89,5,0)</f>
        <v>-1.1439169611549005E-13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281.67293577289729</v>
      </c>
      <c r="BJ95" s="59">
        <f t="shared" si="92"/>
        <v>272.44904846480154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27.006159115003129</v>
      </c>
      <c r="BQ95" s="21">
        <f>EXP(-LN(2)/25)*BQ94+(1-EXP(-LN(2)/25))/(LN(2)/25)*Calculateur!BL95*Calculateur!BN95*VLOOKUP('Données projet'!$B$11,Paramètres!$A$1:$I$89,3,0)*0.475*44/12</f>
        <v>25.608320109049334</v>
      </c>
      <c r="BR95" s="21">
        <f>EXP(-LN(2)/2)*BR94+(1-EXP(-LN(2)/2))/(LN(2)/2)*BL95*BO95*VLOOKUP('Données projet'!$B$11,Paramètres!$A$1:$I$89,3,0)*0.475*44/12</f>
        <v>0.6847847064261614</v>
      </c>
      <c r="BS95" s="22">
        <f t="shared" si="63"/>
        <v>53.299263930478624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-1.7053025658242404E-13</v>
      </c>
      <c r="BZ95" s="13">
        <f>BY95*VLOOKUP('Données projet'!$B$12,Paramètres!$A$1:$I$89,3,0)*VLOOKUP('Données projet'!$B$12,Paramètres!$A$1:$I$89,5,0)</f>
        <v>-1.4897523215040567E-13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348.77506423101278</v>
      </c>
      <c r="CE95" s="59">
        <f t="shared" si="94"/>
        <v>336.13747591329548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35.170811870701762</v>
      </c>
      <c r="CL95" s="21">
        <f>EXP(-LN(2)/25)*CL94+(1-EXP(-LN(2)/25))/(LN(2)/25)*Calculateur!CG95*Calculateur!CI95*VLOOKUP('Données projet'!$B$12,Paramètres!$A$1:$I$89,3,0)*0.475*44/12</f>
        <v>33.350370374575881</v>
      </c>
      <c r="CM95" s="21">
        <f>EXP(-LN(2)/2)*CM94+(1-EXP(-LN(2)/2))/(LN(2)/2)*CG95*CJ95*VLOOKUP('Données projet'!$B$12,Paramètres!$A$1:$I$89,3,0)*0.475*44/12</f>
        <v>0.89181264092709467</v>
      </c>
      <c r="CN95" s="22">
        <f t="shared" si="66"/>
        <v>69.412994886204743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6.7600000000000007</v>
      </c>
      <c r="CT95" s="12">
        <f>IF('Données projet'!$A$140&gt;35,CT94+CS95-DB94,IF(A95&lt;'Données projet'!$A$140,$CQ$205^A95,IF(A95='Données projet'!$A$140,'Données projet'!$B$140,CT94+CS95-DB94)))</f>
        <v>232.28999999999991</v>
      </c>
      <c r="CU95" s="17">
        <f>CT95*VLOOKUP('Données projet'!$B$13,Paramètres!$A$1:$I$89,3,0)*VLOOKUP('Données projet'!$B$13,Paramètres!$A$1:$I$89,5,0)</f>
        <v>224.67088799999993</v>
      </c>
      <c r="CV95" s="13">
        <f t="shared" si="95"/>
        <v>55.128835513346814</v>
      </c>
      <c r="CW95" s="20">
        <f t="shared" si="67"/>
        <v>487.31785178574552</v>
      </c>
      <c r="CX95" s="59">
        <f t="shared" si="68"/>
        <v>762.32815382885724</v>
      </c>
      <c r="CY95" s="59">
        <f ca="1">AVERAGE(OFFSET($CX$3,0,0,'Données projet'!$E$13+1,1))-AVERAGE(OFFSET($H$3,0,0,'Données projet'!$E$13+1,1))</f>
        <v>557.48193674339791</v>
      </c>
      <c r="CZ95" s="59">
        <f t="shared" si="96"/>
        <v>271.51396593253048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5.3640031515588733</v>
      </c>
      <c r="DG95" s="21">
        <f>EXP(-LN(2)/25)*DG94+(1-EXP(-LN(2)/25))/(LN(2)/25)*Calculateur!DB95*Calculateur!DD95*VLOOKUP('Données projet'!$B$13,Paramètres!$A$1:$I$89,3,0)*0.475*44/12</f>
        <v>30.285744142890596</v>
      </c>
      <c r="DH95" s="21">
        <f>EXP(-LN(2)/2)*DH94+(1-EXP(-LN(2)/2))/(LN(2)/2)*DB95*DE95*VLOOKUP('Données projet'!$B$13,Paramètres!$A$1:$I$89,3,0)*0.475*44/12</f>
        <v>0.46532197929899061</v>
      </c>
      <c r="DI95" s="22">
        <f t="shared" si="69"/>
        <v>36.11506927374846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6.7600000000000007</v>
      </c>
      <c r="DO95" s="12">
        <f>IF('Données projet'!$A$166&gt;35,DO94+DN95-DW94,IF(A95&lt;'Données projet'!$A$166,$DL$205^A95,IF(A95='Données projet'!$A$166,'Données projet'!$B$166,DO94+DN95-DW94)))</f>
        <v>232.28999999999991</v>
      </c>
      <c r="DP95" s="17">
        <f>DO95*VLOOKUP('Données projet'!$B$14,Paramètres!$A$1:$I$89,3,0)*VLOOKUP('Données projet'!$B$14,Paramètres!$A$1:$I$89,5,0)</f>
        <v>250.03695599999989</v>
      </c>
      <c r="DQ95" s="13">
        <f t="shared" si="97"/>
        <v>60.593854355453338</v>
      </c>
      <c r="DR95" s="20">
        <f t="shared" si="70"/>
        <v>541.01532803574764</v>
      </c>
      <c r="DS95" s="59">
        <f t="shared" si="71"/>
        <v>816.02563007885942</v>
      </c>
      <c r="DT95" s="59">
        <f ca="1">AVERAGE(OFFSET($DS$3,0,0,'Données projet'!$E$14+1,1))-AVERAGE(OFFSET($H$3,0,0,'Données projet'!$E$14+1,1))</f>
        <v>610.05768948788375</v>
      </c>
      <c r="DU95" s="59">
        <f t="shared" si="98"/>
        <v>295.23928902444845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5.9696164106058456</v>
      </c>
      <c r="EB95" s="21">
        <f>EXP(-LN(2)/25)*EB94+(1-EXP(-LN(2)/25))/(LN(2)/25)*Calculateur!DW95*Calculateur!DY95*VLOOKUP('Données projet'!$B$14,Paramètres!$A$1:$I$89,3,0)*0.475*44/12</f>
        <v>33.705102352571792</v>
      </c>
      <c r="EC95" s="21">
        <f>EXP(-LN(2)/2)*EC94+(1-EXP(-LN(2)/2))/(LN(2)/2)*DW95*DZ95*VLOOKUP('Données projet'!$B$14,Paramètres!$A$1:$I$89,3,0)*0.475*44/12</f>
        <v>0.51785833180048979</v>
      </c>
      <c r="ED95" s="22">
        <f t="shared" si="72"/>
        <v>40.192577094978127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9.1730000000000018</v>
      </c>
      <c r="N96" s="13">
        <f>IF('Données projet'!$A$36&gt;35,N95+M96-V95,IF(A96&lt;'Données projet'!$A$36,$K$205^A96,IF(A96='Données projet'!$A$36,'Données projet'!$B$36,N95+M96-V95)))</f>
        <v>370.95700000000051</v>
      </c>
      <c r="O96" s="13">
        <f>N96*VLOOKUP('Données projet'!$B$9,Paramètres!$A$1:$I$89,3,0)*VLOOKUP('Données projet'!$B$9,Paramètres!$A$1:$I$89,5,0)</f>
        <v>335.64189360000046</v>
      </c>
      <c r="P96" s="13">
        <f t="shared" si="87"/>
        <v>78.598859108522404</v>
      </c>
      <c r="Q96" s="20">
        <f t="shared" si="54"/>
        <v>721.46931096734397</v>
      </c>
      <c r="R96" s="59">
        <f t="shared" si="55"/>
        <v>996.79747663917988</v>
      </c>
      <c r="S96" s="59">
        <f ca="1">AVERAGE(OFFSET($R$3,0,0,'Données projet'!$E$9+1,1))-AVERAGE(OFFSET($H$3,0,0,'Données projet'!$E$9+1,1))</f>
        <v>681.47578137804555</v>
      </c>
      <c r="T96" s="59">
        <f t="shared" si="88"/>
        <v>300.88511065995885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18.439045300572278</v>
      </c>
      <c r="AA96" s="21">
        <f>EXP(-LN(2)/25)*AA95+(1-EXP(-LN(2)/25))/(LN(2)/25)*Calculateur!V96*Calculateur!X96*VLOOKUP('Données projet'!$B$9,Paramètres!$A$1:$I$89,3,0)*0.475*44/12</f>
        <v>23.04654080166527</v>
      </c>
      <c r="AB96" s="21">
        <f>EXP(-LN(2)/2)*AB95+(1-EXP(-LN(2)/2))/(LN(2)/2)*V96*Y96*VLOOKUP('Données projet'!$B$9,Paramètres!$A$1:$I$89,3,0)*0.475*44/12</f>
        <v>0.25810773932424547</v>
      </c>
      <c r="AC96" s="22">
        <f t="shared" si="57"/>
        <v>41.743693841561793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-8.8675733422860506E-14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217.53602321474159</v>
      </c>
      <c r="AO96" s="59">
        <f t="shared" si="90"/>
        <v>215.75909414893025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17.135980047772229</v>
      </c>
      <c r="AV96" s="21">
        <f>EXP(-LN(2)/25)*AV95+(1-EXP(-LN(2)/25))/(LN(2)/25)*Calculateur!AQ96*Calculateur!AS96*VLOOKUP('Données projet'!$B$10,Paramètres!$A$1:$I$89,3,0)*0.475*44/12</f>
        <v>13.95044419423499</v>
      </c>
      <c r="AW96" s="21">
        <f>EXP(-LN(2)/2)*AW95+(1-EXP(-LN(2)/2))/(LN(2)/2)*AQ96*AT96*VLOOKUP('Données projet'!$B$10,Paramètres!$A$1:$I$89,3,0)*0.475*44/12</f>
        <v>9.5083417300936834E-3</v>
      </c>
      <c r="AX96" s="21">
        <f t="shared" si="60"/>
        <v>31.095932583737312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-1.7053025658242404E-13</v>
      </c>
      <c r="BE96" s="13">
        <f>BD96*VLOOKUP('Données projet'!$B$11,Paramètres!$A$1:$I$89,3,0)*VLOOKUP('Données projet'!$B$11,Paramètres!$A$1:$I$89,5,0)</f>
        <v>-1.1439169611549005E-13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281.67293577289729</v>
      </c>
      <c r="BJ96" s="59">
        <f t="shared" si="92"/>
        <v>272.44904846480154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26.476584806888489</v>
      </c>
      <c r="BQ96" s="21">
        <f>EXP(-LN(2)/25)*BQ95+(1-EXP(-LN(2)/25))/(LN(2)/25)*Calculateur!BL96*Calculateur!BN96*VLOOKUP('Données projet'!$B$11,Paramètres!$A$1:$I$89,3,0)*0.475*44/12</f>
        <v>24.908059248984355</v>
      </c>
      <c r="BR96" s="21">
        <f>EXP(-LN(2)/2)*BR95+(1-EXP(-LN(2)/2))/(LN(2)/2)*BL96*BO96*VLOOKUP('Données projet'!$B$11,Paramètres!$A$1:$I$89,3,0)*0.475*44/12</f>
        <v>0.4842159095667779</v>
      </c>
      <c r="BS96" s="22">
        <f t="shared" si="63"/>
        <v>51.868859965439619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-1.7053025658242404E-13</v>
      </c>
      <c r="BZ96" s="13">
        <f>BY96*VLOOKUP('Données projet'!$B$12,Paramètres!$A$1:$I$89,3,0)*VLOOKUP('Données projet'!$B$12,Paramètres!$A$1:$I$89,5,0)</f>
        <v>-1.4897523215040567E-13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348.77506423101278</v>
      </c>
      <c r="CE96" s="59">
        <f t="shared" si="94"/>
        <v>336.13747591329548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34.481133701994324</v>
      </c>
      <c r="CL96" s="21">
        <f>EXP(-LN(2)/25)*CL95+(1-EXP(-LN(2)/25))/(LN(2)/25)*Calculateur!CG96*Calculateur!CI96*VLOOKUP('Données projet'!$B$12,Paramètres!$A$1:$I$89,3,0)*0.475*44/12</f>
        <v>32.438402742863346</v>
      </c>
      <c r="CM96" s="21">
        <f>EXP(-LN(2)/2)*CM95+(1-EXP(-LN(2)/2))/(LN(2)/2)*CG96*CJ96*VLOOKUP('Données projet'!$B$12,Paramètres!$A$1:$I$89,3,0)*0.475*44/12</f>
        <v>0.63060676594743226</v>
      </c>
      <c r="CN96" s="22">
        <f t="shared" si="66"/>
        <v>67.550143210805103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6.7600000000000007</v>
      </c>
      <c r="CT96" s="12">
        <f>IF('Données projet'!$A$140&gt;35,CT95+CS96-DB95,IF(A96&lt;'Données projet'!$A$140,$CQ$205^A96,IF(A96='Données projet'!$A$140,'Données projet'!$B$140,CT95+CS96-DB95)))</f>
        <v>239.0499999999999</v>
      </c>
      <c r="CU96" s="17">
        <f>CT96*VLOOKUP('Données projet'!$B$13,Paramètres!$A$1:$I$89,3,0)*VLOOKUP('Données projet'!$B$13,Paramètres!$A$1:$I$89,5,0)</f>
        <v>231.20915999999988</v>
      </c>
      <c r="CV96" s="13">
        <f t="shared" si="95"/>
        <v>56.544050353913839</v>
      </c>
      <c r="CW96" s="20">
        <f t="shared" si="67"/>
        <v>501.17017469973308</v>
      </c>
      <c r="CX96" s="59">
        <f t="shared" si="68"/>
        <v>776.49834037156904</v>
      </c>
      <c r="CY96" s="59">
        <f ca="1">AVERAGE(OFFSET($CX$3,0,0,'Données projet'!$E$13+1,1))-AVERAGE(OFFSET($H$3,0,0,'Données projet'!$E$13+1,1))</f>
        <v>557.48193674339791</v>
      </c>
      <c r="CZ96" s="59">
        <f t="shared" si="96"/>
        <v>271.51396593253048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5.2588183214756707</v>
      </c>
      <c r="DG96" s="21">
        <f>EXP(-LN(2)/25)*DG95+(1-EXP(-LN(2)/25))/(LN(2)/25)*Calculateur!DB96*Calculateur!DD96*VLOOKUP('Données projet'!$B$13,Paramètres!$A$1:$I$89,3,0)*0.475*44/12</f>
        <v>29.457578876645186</v>
      </c>
      <c r="DH96" s="21">
        <f>EXP(-LN(2)/2)*DH95+(1-EXP(-LN(2)/2))/(LN(2)/2)*DB96*DE96*VLOOKUP('Données projet'!$B$13,Paramètres!$A$1:$I$89,3,0)*0.475*44/12</f>
        <v>0.32903232699746254</v>
      </c>
      <c r="DI96" s="22">
        <f t="shared" si="69"/>
        <v>35.045429525118323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6.7600000000000007</v>
      </c>
      <c r="DO96" s="12">
        <f>IF('Données projet'!$A$166&gt;35,DO95+DN96-DW95,IF(A96&lt;'Données projet'!$A$166,$DL$205^A96,IF(A96='Données projet'!$A$166,'Données projet'!$B$166,DO95+DN96-DW95)))</f>
        <v>239.0499999999999</v>
      </c>
      <c r="DP96" s="17">
        <f>DO96*VLOOKUP('Données projet'!$B$14,Paramètres!$A$1:$I$89,3,0)*VLOOKUP('Données projet'!$B$14,Paramètres!$A$1:$I$89,5,0)</f>
        <v>257.31341999999989</v>
      </c>
      <c r="DQ96" s="13">
        <f t="shared" si="97"/>
        <v>62.149361942952382</v>
      </c>
      <c r="DR96" s="20">
        <f t="shared" si="70"/>
        <v>556.3976785506419</v>
      </c>
      <c r="DS96" s="59">
        <f t="shared" si="71"/>
        <v>831.72584422247792</v>
      </c>
      <c r="DT96" s="59">
        <f ca="1">AVERAGE(OFFSET($DS$3,0,0,'Données projet'!$E$14+1,1))-AVERAGE(OFFSET($H$3,0,0,'Données projet'!$E$14+1,1))</f>
        <v>610.05768948788375</v>
      </c>
      <c r="DU96" s="59">
        <f t="shared" si="98"/>
        <v>295.23928902444845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5.8525558739003456</v>
      </c>
      <c r="EB96" s="21">
        <f>EXP(-LN(2)/25)*EB95+(1-EXP(-LN(2)/25))/(LN(2)/25)*Calculateur!DW96*Calculateur!DY96*VLOOKUP('Données projet'!$B$14,Paramètres!$A$1:$I$89,3,0)*0.475*44/12</f>
        <v>32.783434556266421</v>
      </c>
      <c r="EC96" s="21">
        <f>EXP(-LN(2)/2)*EC95+(1-EXP(-LN(2)/2))/(LN(2)/2)*DW96*DZ96*VLOOKUP('Données projet'!$B$14,Paramètres!$A$1:$I$89,3,0)*0.475*44/12</f>
        <v>0.36618113811007946</v>
      </c>
      <c r="ED96" s="22">
        <f t="shared" si="72"/>
        <v>39.002171568276843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380.13</v>
      </c>
      <c r="L97" s="12">
        <f>VLOOKUP(A97,'Données projet'!$A$35:$I$55,9,0)</f>
        <v>9.1730000000000018</v>
      </c>
      <c r="M97" s="12">
        <f t="array" ref="M97">INDEX(L:L,MIN(IF(ISNUMBER(L97:L293),ROW(L97:L293),"")))</f>
        <v>9.1730000000000018</v>
      </c>
      <c r="N97" s="13">
        <f>IF('Données projet'!$A$36&gt;35,N96+M97-V96,IF(A97&lt;'Données projet'!$A$36,$K$205^A97,IF(A97='Données projet'!$A$36,'Données projet'!$B$36,N96+M97-V96)))</f>
        <v>380.13000000000051</v>
      </c>
      <c r="O97" s="13">
        <f>N97*VLOOKUP('Données projet'!$B$9,Paramètres!$A$1:$I$89,3,0)*VLOOKUP('Données projet'!$B$9,Paramètres!$A$1:$I$89,5,0)</f>
        <v>343.94162400000044</v>
      </c>
      <c r="P97" s="13">
        <f t="shared" si="87"/>
        <v>80.313763789484966</v>
      </c>
      <c r="Q97" s="20">
        <f t="shared" si="54"/>
        <v>738.91146706668712</v>
      </c>
      <c r="R97" s="59">
        <f t="shared" si="55"/>
        <v>1014.5519821439257</v>
      </c>
      <c r="S97" s="59">
        <f ca="1">AVERAGE(OFFSET($R$3,0,0,'Données projet'!$E$9+1,1))-AVERAGE(OFFSET($H$3,0,0,'Données projet'!$E$9+1,1))</f>
        <v>681.47578137804555</v>
      </c>
      <c r="T97" s="59">
        <f t="shared" si="88"/>
        <v>300.88511065995885</v>
      </c>
      <c r="U97" s="15">
        <f>IF(ISNA(VLOOKUP(A97,'Données projet'!$A$35:$I$55,3,0)),0,VLOOKUP(A97,'Données projet'!$A$35:$I$55,3,0))</f>
        <v>7</v>
      </c>
      <c r="V97" s="15">
        <f>IF(ISNA(VLOOKUP(A97,'Données projet'!$A$35:$I$55,4,0)),0,VLOOKUP(A97,'Données projet'!$A$35:$I$55,4,0))</f>
        <v>67.350000000000023</v>
      </c>
      <c r="W97" s="16">
        <f>IF(ISNA(VLOOKUP(A97,'Données projet'!$A$35:$I$55,5,0)),0%,VLOOKUP(A97,'Données projet'!$A$35:$I$55,5,0)*VLOOKUP('Données projet'!$B$9,Paramètres!$A$1:$I$89,7,0))</f>
        <v>0.15049999999999999</v>
      </c>
      <c r="X97" s="16">
        <f>IF(ISNA(VLOOKUP(A97,'Données projet'!$A$35:$I$55,6,0)),0%,VLOOKUP(A97,'Données projet'!$A$35:$I$55,6,0)*VLOOKUP('Données projet'!$B$9,Paramètres!$A$1:$I$89,7,0))</f>
        <v>8.6000000000000007E-2</v>
      </c>
      <c r="Y97" s="16">
        <f>IF(ISNA(VLOOKUP(A97,'Données projet'!$A$35:$I$55,7,0)),0%,VLOOKUP(A97,'Données projet'!$A$35:$I$55,7,0))</f>
        <v>0.1</v>
      </c>
      <c r="Z97" s="21">
        <f>EXP(-LN(2)/35)*Z96+(1-EXP(-LN(2)/35))/(LN(2)/35)*V97*W97*VLOOKUP('Données projet'!$B$9,Paramètres!$A$1:$I$89,3,0)*0.475*44/12</f>
        <v>28.215969128647792</v>
      </c>
      <c r="AA97" s="21">
        <f>EXP(-LN(2)/25)*AA96+(1-EXP(-LN(2)/25))/(LN(2)/25)*Calculateur!V97*Calculateur!X97*VLOOKUP('Données projet'!$B$9,Paramètres!$A$1:$I$89,3,0)*0.475*44/12</f>
        <v>28.18695085333249</v>
      </c>
      <c r="AB97" s="21">
        <f>EXP(-LN(2)/2)*AB96+(1-EXP(-LN(2)/2))/(LN(2)/2)*V97*Y97*VLOOKUP('Données projet'!$B$9,Paramètres!$A$1:$I$89,3,0)*0.475*44/12</f>
        <v>5.9322004637288286</v>
      </c>
      <c r="AC97" s="22">
        <f t="shared" si="57"/>
        <v>62.335120445709109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-8.8675733422860506E-14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217.53602321474159</v>
      </c>
      <c r="AO97" s="59">
        <f t="shared" si="90"/>
        <v>215.75909414893025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16.799953930951204</v>
      </c>
      <c r="AV97" s="21">
        <f>EXP(-LN(2)/25)*AV96+(1-EXP(-LN(2)/25))/(LN(2)/25)*Calculateur!AQ97*Calculateur!AS97*VLOOKUP('Données projet'!$B$10,Paramètres!$A$1:$I$89,3,0)*0.475*44/12</f>
        <v>13.568968564121658</v>
      </c>
      <c r="AW97" s="21">
        <f>EXP(-LN(2)/2)*AW96+(1-EXP(-LN(2)/2))/(LN(2)/2)*AQ97*AT97*VLOOKUP('Données projet'!$B$10,Paramètres!$A$1:$I$89,3,0)*0.475*44/12</f>
        <v>6.723412915188273E-3</v>
      </c>
      <c r="AX97" s="21">
        <f t="shared" si="60"/>
        <v>30.375645907988051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-1.7053025658242404E-13</v>
      </c>
      <c r="BE97" s="13">
        <f>BD97*VLOOKUP('Données projet'!$B$11,Paramètres!$A$1:$I$89,3,0)*VLOOKUP('Données projet'!$B$11,Paramètres!$A$1:$I$89,5,0)</f>
        <v>-1.1439169611549005E-13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281.67293577289729</v>
      </c>
      <c r="BJ97" s="59">
        <f t="shared" si="92"/>
        <v>272.44904846480154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25.957395127947546</v>
      </c>
      <c r="BQ97" s="21">
        <f>EXP(-LN(2)/25)*BQ96+(1-EXP(-LN(2)/25))/(LN(2)/25)*Calculateur!BL97*Calculateur!BN97*VLOOKUP('Données projet'!$B$11,Paramètres!$A$1:$I$89,3,0)*0.475*44/12</f>
        <v>24.226947058962971</v>
      </c>
      <c r="BR97" s="21">
        <f>EXP(-LN(2)/2)*BR96+(1-EXP(-LN(2)/2))/(LN(2)/2)*BL97*BO97*VLOOKUP('Données projet'!$B$11,Paramètres!$A$1:$I$89,3,0)*0.475*44/12</f>
        <v>0.3423923532130807</v>
      </c>
      <c r="BS97" s="22">
        <f t="shared" si="63"/>
        <v>50.526734540123591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-1.7053025658242404E-13</v>
      </c>
      <c r="BZ97" s="13">
        <f>BY97*VLOOKUP('Données projet'!$B$12,Paramètres!$A$1:$I$89,3,0)*VLOOKUP('Données projet'!$B$12,Paramètres!$A$1:$I$89,5,0)</f>
        <v>-1.4897523215040567E-13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348.77506423101278</v>
      </c>
      <c r="CE97" s="59">
        <f t="shared" si="94"/>
        <v>336.13747591329548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33.804979701513091</v>
      </c>
      <c r="CL97" s="21">
        <f>EXP(-LN(2)/25)*CL96+(1-EXP(-LN(2)/25))/(LN(2)/25)*Calculateur!CG97*Calculateur!CI97*VLOOKUP('Données projet'!$B$12,Paramètres!$A$1:$I$89,3,0)*0.475*44/12</f>
        <v>31.551372913998286</v>
      </c>
      <c r="CM97" s="21">
        <f>EXP(-LN(2)/2)*CM96+(1-EXP(-LN(2)/2))/(LN(2)/2)*CG97*CJ97*VLOOKUP('Données projet'!$B$12,Paramètres!$A$1:$I$89,3,0)*0.475*44/12</f>
        <v>0.44590632046354739</v>
      </c>
      <c r="CN97" s="22">
        <f t="shared" si="66"/>
        <v>65.802258935974933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6.7600000000000007</v>
      </c>
      <c r="CT97" s="12">
        <f>IF('Données projet'!$A$140&gt;35,CT96+CS97-DB96,IF(A97&lt;'Données projet'!$A$140,$CQ$205^A97,IF(A97='Données projet'!$A$140,'Données projet'!$B$140,CT96+CS97-DB96)))</f>
        <v>245.80999999999989</v>
      </c>
      <c r="CU97" s="17">
        <f>CT97*VLOOKUP('Données projet'!$B$13,Paramètres!$A$1:$I$89,3,0)*VLOOKUP('Données projet'!$B$13,Paramètres!$A$1:$I$89,5,0)</f>
        <v>237.74743199999992</v>
      </c>
      <c r="CV97" s="13">
        <f t="shared" si="95"/>
        <v>57.954613835088161</v>
      </c>
      <c r="CW97" s="20">
        <f t="shared" si="67"/>
        <v>515.01439649611177</v>
      </c>
      <c r="CX97" s="59">
        <f t="shared" si="68"/>
        <v>790.65491157335032</v>
      </c>
      <c r="CY97" s="59">
        <f ca="1">AVERAGE(OFFSET($CX$3,0,0,'Données projet'!$E$13+1,1))-AVERAGE(OFFSET($H$3,0,0,'Données projet'!$E$13+1,1))</f>
        <v>557.48193674339791</v>
      </c>
      <c r="CZ97" s="59">
        <f t="shared" si="96"/>
        <v>271.51396593253048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5.1556961017539882</v>
      </c>
      <c r="DG97" s="21">
        <f>EXP(-LN(2)/25)*DG96+(1-EXP(-LN(2)/25))/(LN(2)/25)*Calculateur!DB97*Calculateur!DD97*VLOOKUP('Données projet'!$B$13,Paramètres!$A$1:$I$89,3,0)*0.475*44/12</f>
        <v>28.652059833156578</v>
      </c>
      <c r="DH97" s="21">
        <f>EXP(-LN(2)/2)*DH96+(1-EXP(-LN(2)/2))/(LN(2)/2)*DB97*DE97*VLOOKUP('Données projet'!$B$13,Paramètres!$A$1:$I$89,3,0)*0.475*44/12</f>
        <v>0.2326609896494953</v>
      </c>
      <c r="DI97" s="22">
        <f t="shared" si="69"/>
        <v>34.040416924560063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6.7600000000000007</v>
      </c>
      <c r="DO97" s="12">
        <f>IF('Données projet'!$A$166&gt;35,DO96+DN97-DW96,IF(A97&lt;'Données projet'!$A$166,$DL$205^A97,IF(A97='Données projet'!$A$166,'Données projet'!$B$166,DO96+DN97-DW96)))</f>
        <v>245.80999999999989</v>
      </c>
      <c r="DP97" s="17">
        <f>DO97*VLOOKUP('Données projet'!$B$14,Paramètres!$A$1:$I$89,3,0)*VLOOKUP('Données projet'!$B$14,Paramètres!$A$1:$I$89,5,0)</f>
        <v>264.58988399999987</v>
      </c>
      <c r="DQ97" s="13">
        <f t="shared" si="97"/>
        <v>63.69975707358595</v>
      </c>
      <c r="DR97" s="20">
        <f t="shared" si="70"/>
        <v>571.77112486982867</v>
      </c>
      <c r="DS97" s="59">
        <f t="shared" si="71"/>
        <v>847.41163994706721</v>
      </c>
      <c r="DT97" s="59">
        <f ca="1">AVERAGE(OFFSET($DS$3,0,0,'Données projet'!$E$14+1,1))-AVERAGE(OFFSET($H$3,0,0,'Données projet'!$E$14+1,1))</f>
        <v>610.05768948788375</v>
      </c>
      <c r="DU97" s="59">
        <f t="shared" si="98"/>
        <v>295.23928902444845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5.7377908229197638</v>
      </c>
      <c r="EB97" s="21">
        <f>EXP(-LN(2)/25)*EB96+(1-EXP(-LN(2)/25))/(LN(2)/25)*Calculateur!DW97*Calculateur!DY97*VLOOKUP('Données projet'!$B$14,Paramètres!$A$1:$I$89,3,0)*0.475*44/12</f>
        <v>31.886969814319421</v>
      </c>
      <c r="EC97" s="21">
        <f>EXP(-LN(2)/2)*EC96+(1-EXP(-LN(2)/2))/(LN(2)/2)*DW97*DZ97*VLOOKUP('Données projet'!$B$14,Paramètres!$A$1:$I$89,3,0)*0.475*44/12</f>
        <v>0.2589291659002449</v>
      </c>
      <c r="ED97" s="22">
        <f t="shared" si="72"/>
        <v>37.883689803139433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8.9420000000000019</v>
      </c>
      <c r="N98" s="13">
        <f>IF('Données projet'!$A$36&gt;35,N97+M98-V97,IF(A98&lt;'Données projet'!$A$36,$K$205^A98,IF(A98='Données projet'!$A$36,'Données projet'!$B$36,N97+M98-V97)))</f>
        <v>321.72200000000049</v>
      </c>
      <c r="O98" s="13">
        <f>N98*VLOOKUP('Données projet'!$B$9,Paramètres!$A$1:$I$89,3,0)*VLOOKUP('Données projet'!$B$9,Paramètres!$A$1:$I$89,5,0)</f>
        <v>291.09406560000048</v>
      </c>
      <c r="P98" s="13">
        <f t="shared" si="87"/>
        <v>69.306175582041092</v>
      </c>
      <c r="Q98" s="20">
        <f t="shared" si="54"/>
        <v>627.697086725389</v>
      </c>
      <c r="R98" s="59">
        <f t="shared" si="55"/>
        <v>903.64453264415488</v>
      </c>
      <c r="S98" s="59">
        <f ca="1">AVERAGE(OFFSET($R$3,0,0,'Données projet'!$E$9+1,1))-AVERAGE(OFFSET($H$3,0,0,'Données projet'!$E$9+1,1))</f>
        <v>681.47578137804555</v>
      </c>
      <c r="T98" s="59">
        <f t="shared" si="88"/>
        <v>300.88511065995885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27.662671184076828</v>
      </c>
      <c r="AA98" s="21">
        <f>EXP(-LN(2)/25)*AA97+(1-EXP(-LN(2)/25))/(LN(2)/25)*Calculateur!V98*Calculateur!X98*VLOOKUP('Données projet'!$B$9,Paramètres!$A$1:$I$89,3,0)*0.475*44/12</f>
        <v>27.416177199960789</v>
      </c>
      <c r="AB98" s="21">
        <f>EXP(-LN(2)/2)*AB97+(1-EXP(-LN(2)/2))/(LN(2)/2)*V98*Y98*VLOOKUP('Données projet'!$B$9,Paramètres!$A$1:$I$89,3,0)*0.475*44/12</f>
        <v>4.1946991752606371</v>
      </c>
      <c r="AC98" s="22">
        <f t="shared" si="57"/>
        <v>59.273547559298251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-8.8675733422860506E-14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217.53602321474159</v>
      </c>
      <c r="AO98" s="59">
        <f t="shared" si="90"/>
        <v>215.75909414893025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16.470517081325347</v>
      </c>
      <c r="AV98" s="21">
        <f>EXP(-LN(2)/25)*AV97+(1-EXP(-LN(2)/25))/(LN(2)/25)*Calculateur!AQ98*Calculateur!AS98*VLOOKUP('Données projet'!$B$10,Paramètres!$A$1:$I$89,3,0)*0.475*44/12</f>
        <v>13.197924405174707</v>
      </c>
      <c r="AW98" s="21">
        <f>EXP(-LN(2)/2)*AW97+(1-EXP(-LN(2)/2))/(LN(2)/2)*AQ98*AT98*VLOOKUP('Données projet'!$B$10,Paramètres!$A$1:$I$89,3,0)*0.475*44/12</f>
        <v>4.7541708650468417E-3</v>
      </c>
      <c r="AX98" s="21">
        <f t="shared" si="60"/>
        <v>29.673195657365103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-1.7053025658242404E-13</v>
      </c>
      <c r="BE98" s="13">
        <f>BD98*VLOOKUP('Données projet'!$B$11,Paramètres!$A$1:$I$89,3,0)*VLOOKUP('Données projet'!$B$11,Paramètres!$A$1:$I$89,5,0)</f>
        <v>-1.1439169611549005E-13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281.67293577289729</v>
      </c>
      <c r="BJ98" s="59">
        <f t="shared" si="92"/>
        <v>272.44904846480154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25.448386441936197</v>
      </c>
      <c r="BQ98" s="21">
        <f>EXP(-LN(2)/25)*BQ97+(1-EXP(-LN(2)/25))/(LN(2)/25)*Calculateur!BL98*Calculateur!BN98*VLOOKUP('Données projet'!$B$11,Paramètres!$A$1:$I$89,3,0)*0.475*44/12</f>
        <v>23.564459917595855</v>
      </c>
      <c r="BR98" s="21">
        <f>EXP(-LN(2)/2)*BR97+(1-EXP(-LN(2)/2))/(LN(2)/2)*BL98*BO98*VLOOKUP('Données projet'!$B$11,Paramètres!$A$1:$I$89,3,0)*0.475*44/12</f>
        <v>0.24210795478338895</v>
      </c>
      <c r="BS98" s="22">
        <f t="shared" si="63"/>
        <v>49.254954314315434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-1.7053025658242404E-13</v>
      </c>
      <c r="BZ98" s="13">
        <f>BY98*VLOOKUP('Données projet'!$B$12,Paramètres!$A$1:$I$89,3,0)*VLOOKUP('Données projet'!$B$12,Paramètres!$A$1:$I$89,5,0)</f>
        <v>-1.4897523215040567E-13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348.77506423101278</v>
      </c>
      <c r="CE98" s="59">
        <f t="shared" si="94"/>
        <v>336.13747591329548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33.142084668568081</v>
      </c>
      <c r="CL98" s="21">
        <f>EXP(-LN(2)/25)*CL97+(1-EXP(-LN(2)/25))/(LN(2)/25)*Calculateur!CG98*Calculateur!CI98*VLOOKUP('Données projet'!$B$12,Paramètres!$A$1:$I$89,3,0)*0.475*44/12</f>
        <v>30.688598962450413</v>
      </c>
      <c r="CM98" s="21">
        <f>EXP(-LN(2)/2)*CM97+(1-EXP(-LN(2)/2))/(LN(2)/2)*CG98*CJ98*VLOOKUP('Données projet'!$B$12,Paramètres!$A$1:$I$89,3,0)*0.475*44/12</f>
        <v>0.31530338297371618</v>
      </c>
      <c r="CN98" s="22">
        <f t="shared" si="66"/>
        <v>64.145987013992212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252.57</v>
      </c>
      <c r="CR98" s="12">
        <f>VLOOKUP(A98,'Données projet'!$A$139:$I$159,9,0)</f>
        <v>6.7600000000000007</v>
      </c>
      <c r="CS98" s="12">
        <f t="array" ref="CS98">INDEX(CR:CR,MIN(IF(ISNUMBER(CR98:CR294),ROW(CR98:CR294),"")))</f>
        <v>6.7600000000000007</v>
      </c>
      <c r="CT98" s="12">
        <f>IF('Données projet'!$A$140&gt;35,CT97+CS98-DB97,IF(A98&lt;'Données projet'!$A$140,$CQ$205^A98,IF(A98='Données projet'!$A$140,'Données projet'!$B$140,CT97+CS98-DB97)))</f>
        <v>252.56999999999988</v>
      </c>
      <c r="CU98" s="17">
        <f>CT98*VLOOKUP('Données projet'!$B$13,Paramètres!$A$1:$I$89,3,0)*VLOOKUP('Données projet'!$B$13,Paramètres!$A$1:$I$89,5,0)</f>
        <v>244.28570399999987</v>
      </c>
      <c r="CV98" s="13">
        <f t="shared" si="95"/>
        <v>59.360668571092589</v>
      </c>
      <c r="CW98" s="20">
        <f t="shared" si="67"/>
        <v>528.85076556131935</v>
      </c>
      <c r="CX98" s="59">
        <f t="shared" si="68"/>
        <v>804.79821148008523</v>
      </c>
      <c r="CY98" s="59">
        <f ca="1">AVERAGE(OFFSET($CX$3,0,0,'Données projet'!$E$13+1,1))-AVERAGE(OFFSET($H$3,0,0,'Données projet'!$E$13+1,1))</f>
        <v>557.48193674339791</v>
      </c>
      <c r="CZ98" s="59">
        <f t="shared" si="96"/>
        <v>271.51396593253048</v>
      </c>
      <c r="DA98" s="15">
        <f>IF(ISNA(VLOOKUP(A98,'Données projet'!$A$139:$I$159,3,0)),0,VLOOKUP(A98,'Données projet'!$A$139:$I$159,3,0))</f>
        <v>5</v>
      </c>
      <c r="DB98" s="15">
        <f>IF(ISNA(VLOOKUP(A98,'Données projet'!$A$139:$I$159,4,0)),0,VLOOKUP(A98,'Données projet'!$A$139:$I$159,4,0))</f>
        <v>42.199999999999989</v>
      </c>
      <c r="DC98" s="16">
        <f>IF(ISNA(VLOOKUP(A98,'Données projet'!$A$139:$I$159,5,0)),0%,VLOOKUP(A98,'Données projet'!$A$139:$I$159,5,0)*VLOOKUP('Données projet'!$B$13,Paramètres!$A$1:$I$89,7,0))</f>
        <v>0.15049999999999999</v>
      </c>
      <c r="DD98" s="16">
        <f>IF(ISNA(VLOOKUP(A98,'Données projet'!$A$139:$I$159,6,0)),0%,VLOOKUP(A98,'Données projet'!$A$139:$I$159,6,0)*VLOOKUP('Données projet'!$B$13,Paramètres!$A$1:$I$89,7,0))</f>
        <v>8.6000000000000007E-2</v>
      </c>
      <c r="DE98" s="16">
        <f>IF(ISNA(VLOOKUP(A98,'Données projet'!$A$139:$I$159,7,0)),0%,VLOOKUP(A98,'Données projet'!$A$139:$I$159,7,0))</f>
        <v>0.1</v>
      </c>
      <c r="DF98" s="21">
        <f>EXP(-LN(2)/35)*DF97+(1-EXP(-LN(2)/35))/(LN(2)/35)*DB98*DC98*VLOOKUP('Données projet'!$B$13,Paramètres!$A$1:$I$89,3,0)*0.475*44/12</f>
        <v>11.845261717294008</v>
      </c>
      <c r="DG98" s="21">
        <f>EXP(-LN(2)/25)*DG97+(1-EXP(-LN(2)/25))/(LN(2)/25)*Calculateur!DB98*Calculateur!DD98*VLOOKUP('Données projet'!$B$13,Paramètres!$A$1:$I$89,3,0)*0.475*44/12</f>
        <v>31.733669597836226</v>
      </c>
      <c r="DH98" s="21">
        <f>EXP(-LN(2)/2)*DH97+(1-EXP(-LN(2)/2))/(LN(2)/2)*DB98*DE98*VLOOKUP('Données projet'!$B$13,Paramètres!$A$1:$I$89,3,0)*0.475*44/12</f>
        <v>4.0156005217214492</v>
      </c>
      <c r="DI98" s="22">
        <f t="shared" si="69"/>
        <v>47.594531836851687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252.57</v>
      </c>
      <c r="DM98" s="12">
        <f>VLOOKUP(A98,'Données projet'!$A$165:$I$185,9,0)</f>
        <v>6.7600000000000007</v>
      </c>
      <c r="DN98" s="12">
        <f t="array" ref="DN98">INDEX(DM:DM,MIN(IF(ISNUMBER(DM98:DM294),ROW(DM98:DM294),"")))</f>
        <v>6.7600000000000007</v>
      </c>
      <c r="DO98" s="12">
        <f>IF('Données projet'!$A$166&gt;35,DO97+DN98-DW97,IF(A98&lt;'Données projet'!$A$166,$DL$205^A98,IF(A98='Données projet'!$A$166,'Données projet'!$B$166,DO97+DN98-DW97)))</f>
        <v>252.56999999999988</v>
      </c>
      <c r="DP98" s="17">
        <f>DO98*VLOOKUP('Données projet'!$B$14,Paramètres!$A$1:$I$89,3,0)*VLOOKUP('Données projet'!$B$14,Paramètres!$A$1:$I$89,5,0)</f>
        <v>271.86634799999985</v>
      </c>
      <c r="DQ98" s="13">
        <f t="shared" si="97"/>
        <v>65.245196499177069</v>
      </c>
      <c r="DR98" s="20">
        <f t="shared" si="70"/>
        <v>587.13594000273326</v>
      </c>
      <c r="DS98" s="59">
        <f t="shared" si="71"/>
        <v>863.08338592149926</v>
      </c>
      <c r="DT98" s="59">
        <f ca="1">AVERAGE(OFFSET($DS$3,0,0,'Données projet'!$E$14+1,1))-AVERAGE(OFFSET($H$3,0,0,'Données projet'!$E$14+1,1))</f>
        <v>610.05768948788375</v>
      </c>
      <c r="DU98" s="59">
        <f t="shared" si="98"/>
        <v>295.23928902444845</v>
      </c>
      <c r="DV98" s="15">
        <f>IF(ISNA(VLOOKUP(A98,'Données projet'!$A$165:$I$185,3,0)),0,VLOOKUP(A98,'Données projet'!$A$165:$I$185,3,0))</f>
        <v>5</v>
      </c>
      <c r="DW98" s="15">
        <f>IF(ISNA(VLOOKUP(A98,'Données projet'!$A$165:$I$185,4,0)),0,VLOOKUP(A98,'Données projet'!$A$165:$I$185,4,0))</f>
        <v>42.199999999999989</v>
      </c>
      <c r="DX98" s="16">
        <f>IF(ISNA(VLOOKUP(A98,'Données projet'!$A$165:$I$185,5,0)),0%,VLOOKUP(A98,'Données projet'!$A$165:$I$185,5,0)*VLOOKUP('Données projet'!$B$14,Paramètres!$A$1:$I$89,7,0))</f>
        <v>0.15049999999999999</v>
      </c>
      <c r="DY98" s="16">
        <f>IF(ISNA(VLOOKUP(A98,'Données projet'!$A$165:$I$185,6,0)),0%,VLOOKUP(A98,'Données projet'!$A$165:$I$185,6,0)*VLOOKUP('Données projet'!$B$14,Paramètres!$A$1:$I$89,7,0))</f>
        <v>8.6000000000000007E-2</v>
      </c>
      <c r="DZ98" s="16">
        <f>IF(ISNA(VLOOKUP(A98,'Données projet'!$A$165:$I$185,7,0)),0%,VLOOKUP(A98,'Données projet'!$A$165:$I$185,7,0))</f>
        <v>0.1</v>
      </c>
      <c r="EA98" s="21">
        <f>EXP(-LN(2)/35)*EA97+(1-EXP(-LN(2)/35))/(LN(2)/35)*DW98*DX98*VLOOKUP('Données projet'!$B$14,Paramètres!$A$1:$I$89,3,0)*0.475*44/12</f>
        <v>13.182629975698172</v>
      </c>
      <c r="EB98" s="21">
        <f>EXP(-LN(2)/25)*EB97+(1-EXP(-LN(2)/25))/(LN(2)/25)*Calculateur!DW98*Calculateur!DY98*VLOOKUP('Données projet'!$B$14,Paramètres!$A$1:$I$89,3,0)*0.475*44/12</f>
        <v>35.316503262108064</v>
      </c>
      <c r="EC98" s="21">
        <f>EXP(-LN(2)/2)*EC97+(1-EXP(-LN(2)/2))/(LN(2)/2)*DW98*DZ98*VLOOKUP('Données projet'!$B$14,Paramètres!$A$1:$I$89,3,0)*0.475*44/12</f>
        <v>4.468974774173871</v>
      </c>
      <c r="ED98" s="22">
        <f t="shared" si="72"/>
        <v>52.968108011980107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8.9420000000000019</v>
      </c>
      <c r="N99" s="13">
        <f>IF('Données projet'!$A$36&gt;35,N98+M99-V98,IF(A99&lt;'Données projet'!$A$36,$K$205^A99,IF(A99='Données projet'!$A$36,'Données projet'!$B$36,N98+M99-V98)))</f>
        <v>330.6640000000005</v>
      </c>
      <c r="O99" s="13">
        <f>N99*VLOOKUP('Données projet'!$B$9,Paramètres!$A$1:$I$89,3,0)*VLOOKUP('Données projet'!$B$9,Paramètres!$A$1:$I$89,5,0)</f>
        <v>299.18478720000041</v>
      </c>
      <c r="P99" s="13">
        <f t="shared" si="87"/>
        <v>71.005536504727559</v>
      </c>
      <c r="Q99" s="20">
        <f t="shared" ref="Q99:Q130" si="107">(O99+P99)*0.475*44/12</f>
        <v>644.74814711906788</v>
      </c>
      <c r="R99" s="59">
        <f t="shared" si="55"/>
        <v>920.9971993154553</v>
      </c>
      <c r="S99" s="59">
        <f ca="1">AVERAGE(OFFSET($R$3,0,0,'Données projet'!$E$9+1,1))-AVERAGE(OFFSET($H$3,0,0,'Données projet'!$E$9+1,1))</f>
        <v>681.47578137804555</v>
      </c>
      <c r="T99" s="59">
        <f t="shared" si="88"/>
        <v>300.88511065995885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27.120223074720478</v>
      </c>
      <c r="AA99" s="21">
        <f>EXP(-LN(2)/25)*AA98+(1-EXP(-LN(2)/25))/(LN(2)/25)*Calculateur!V99*Calculateur!X99*VLOOKUP('Données projet'!$B$9,Paramètres!$A$1:$I$89,3,0)*0.475*44/12</f>
        <v>26.666480392673762</v>
      </c>
      <c r="AB99" s="21">
        <f>EXP(-LN(2)/2)*AB98+(1-EXP(-LN(2)/2))/(LN(2)/2)*V99*Y99*VLOOKUP('Données projet'!$B$9,Paramètres!$A$1:$I$89,3,0)*0.475*44/12</f>
        <v>2.9661002318644147</v>
      </c>
      <c r="AC99" s="22">
        <f t="shared" si="57"/>
        <v>56.752803699258656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-8.8675733422860506E-14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217.53602321474159</v>
      </c>
      <c r="AO99" s="59">
        <f t="shared" si="90"/>
        <v>215.75909414893025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16.147540287384015</v>
      </c>
      <c r="AV99" s="21">
        <f>EXP(-LN(2)/25)*AV98+(1-EXP(-LN(2)/25))/(LN(2)/25)*Calculateur!AQ99*Calculateur!AS99*VLOOKUP('Données projet'!$B$10,Paramètres!$A$1:$I$89,3,0)*0.475*44/12</f>
        <v>12.837026468266524</v>
      </c>
      <c r="AW99" s="21">
        <f>EXP(-LN(2)/2)*AW98+(1-EXP(-LN(2)/2))/(LN(2)/2)*AQ99*AT99*VLOOKUP('Données projet'!$B$10,Paramètres!$A$1:$I$89,3,0)*0.475*44/12</f>
        <v>3.3617064575941365E-3</v>
      </c>
      <c r="AX99" s="21">
        <f t="shared" si="60"/>
        <v>28.987928462108133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-1.7053025658242404E-13</v>
      </c>
      <c r="BE99" s="13">
        <f>BD99*VLOOKUP('Données projet'!$B$11,Paramètres!$A$1:$I$89,3,0)*VLOOKUP('Données projet'!$B$11,Paramètres!$A$1:$I$89,5,0)</f>
        <v>-1.1439169611549005E-13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281.67293577289729</v>
      </c>
      <c r="BJ99" s="59">
        <f t="shared" si="92"/>
        <v>272.44904846480154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24.94935910579289</v>
      </c>
      <c r="BQ99" s="21">
        <f>EXP(-LN(2)/25)*BQ98+(1-EXP(-LN(2)/25))/(LN(2)/25)*Calculateur!BL99*Calculateur!BN99*VLOOKUP('Données projet'!$B$11,Paramètres!$A$1:$I$89,3,0)*0.475*44/12</f>
        <v>22.920088521948106</v>
      </c>
      <c r="BR99" s="21">
        <f>EXP(-LN(2)/2)*BR98+(1-EXP(-LN(2)/2))/(LN(2)/2)*BL99*BO99*VLOOKUP('Données projet'!$B$11,Paramètres!$A$1:$I$89,3,0)*0.475*44/12</f>
        <v>0.17119617660654035</v>
      </c>
      <c r="BS99" s="22">
        <f t="shared" si="63"/>
        <v>48.040643804347539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-1.7053025658242404E-13</v>
      </c>
      <c r="BZ99" s="13">
        <f>BY99*VLOOKUP('Données projet'!$B$12,Paramètres!$A$1:$I$89,3,0)*VLOOKUP('Données projet'!$B$12,Paramètres!$A$1:$I$89,5,0)</f>
        <v>-1.4897523215040567E-13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348.77506423101278</v>
      </c>
      <c r="CE99" s="59">
        <f t="shared" si="94"/>
        <v>336.13747591329548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32.492188602893073</v>
      </c>
      <c r="CL99" s="21">
        <f>EXP(-LN(2)/25)*CL98+(1-EXP(-LN(2)/25))/(LN(2)/25)*Calculateur!CG99*Calculateur!CI99*VLOOKUP('Données projet'!$B$12,Paramètres!$A$1:$I$89,3,0)*0.475*44/12</f>
        <v>29.849417609978929</v>
      </c>
      <c r="CM99" s="21">
        <f>EXP(-LN(2)/2)*CM98+(1-EXP(-LN(2)/2))/(LN(2)/2)*CG99*CJ99*VLOOKUP('Données projet'!$B$12,Paramètres!$A$1:$I$89,3,0)*0.475*44/12</f>
        <v>0.22295316023177375</v>
      </c>
      <c r="CN99" s="22">
        <f t="shared" si="66"/>
        <v>62.564559373103776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6.7777777777777777</v>
      </c>
      <c r="CT99" s="12">
        <f>IF('Données projet'!$A$140&gt;35,CT98+CS99-DB98,IF(A99&lt;'Données projet'!$A$140,$CQ$205^A99,IF(A99='Données projet'!$A$140,'Données projet'!$B$140,CT98+CS99-DB98)))</f>
        <v>217.14777777777766</v>
      </c>
      <c r="CU99" s="17">
        <f>CT99*VLOOKUP('Données projet'!$B$13,Paramètres!$A$1:$I$89,3,0)*VLOOKUP('Données projet'!$B$13,Paramètres!$A$1:$I$89,5,0)</f>
        <v>210.02533066666655</v>
      </c>
      <c r="CV99" s="13">
        <f t="shared" si="95"/>
        <v>51.941121047420019</v>
      </c>
      <c r="CW99" s="20">
        <f t="shared" si="67"/>
        <v>456.25823673536746</v>
      </c>
      <c r="CX99" s="59">
        <f t="shared" si="68"/>
        <v>732.50728893175483</v>
      </c>
      <c r="CY99" s="59">
        <f ca="1">AVERAGE(OFFSET($CX$3,0,0,'Données projet'!$E$13+1,1))-AVERAGE(OFFSET($H$3,0,0,'Données projet'!$E$13+1,1))</f>
        <v>557.48193674339791</v>
      </c>
      <c r="CZ99" s="59">
        <f t="shared" si="96"/>
        <v>271.51396593253048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11.612983359914121</v>
      </c>
      <c r="DG99" s="21">
        <f>EXP(-LN(2)/25)*DG98+(1-EXP(-LN(2)/25))/(LN(2)/25)*Calculateur!DB99*Calculateur!DD99*VLOOKUP('Données projet'!$B$13,Paramètres!$A$1:$I$89,3,0)*0.475*44/12</f>
        <v>30.865910733882238</v>
      </c>
      <c r="DH99" s="21">
        <f>EXP(-LN(2)/2)*DH98+(1-EXP(-LN(2)/2))/(LN(2)/2)*DB99*DE99*VLOOKUP('Données projet'!$B$13,Paramètres!$A$1:$I$89,3,0)*0.475*44/12</f>
        <v>2.8394583594454752</v>
      </c>
      <c r="DI99" s="22">
        <f t="shared" si="69"/>
        <v>45.318352453241829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6.7777777777777777</v>
      </c>
      <c r="DO99" s="12">
        <f>IF('Données projet'!$A$166&gt;35,DO98+DN99-DW98,IF(A99&lt;'Données projet'!$A$166,$DL$205^A99,IF(A99='Données projet'!$A$166,'Données projet'!$B$166,DO98+DN99-DW98)))</f>
        <v>217.14777777777766</v>
      </c>
      <c r="DP99" s="17">
        <f>DO99*VLOOKUP('Données projet'!$B$14,Paramètres!$A$1:$I$89,3,0)*VLOOKUP('Données projet'!$B$14,Paramètres!$A$1:$I$89,5,0)</f>
        <v>233.73786799999985</v>
      </c>
      <c r="DQ99" s="13">
        <f t="shared" si="97"/>
        <v>57.090136123850634</v>
      </c>
      <c r="DR99" s="20">
        <f t="shared" si="70"/>
        <v>506.52544051570618</v>
      </c>
      <c r="DS99" s="59">
        <f t="shared" si="71"/>
        <v>782.77449271209366</v>
      </c>
      <c r="DT99" s="59">
        <f ca="1">AVERAGE(OFFSET($DS$3,0,0,'Données projet'!$E$14+1,1))-AVERAGE(OFFSET($H$3,0,0,'Données projet'!$E$14+1,1))</f>
        <v>610.05768948788375</v>
      </c>
      <c r="DU99" s="59">
        <f t="shared" si="98"/>
        <v>295.23928902444845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12.924126642485071</v>
      </c>
      <c r="EB99" s="21">
        <f>EXP(-LN(2)/25)*EB98+(1-EXP(-LN(2)/25))/(LN(2)/25)*Calculateur!DW99*Calculateur!DY99*VLOOKUP('Données projet'!$B$14,Paramètres!$A$1:$I$89,3,0)*0.475*44/12</f>
        <v>34.350771623191527</v>
      </c>
      <c r="EC99" s="21">
        <f>EXP(-LN(2)/2)*EC98+(1-EXP(-LN(2)/2))/(LN(2)/2)*DW99*DZ99*VLOOKUP('Données projet'!$B$14,Paramètres!$A$1:$I$89,3,0)*0.475*44/12</f>
        <v>3.1600423677699641</v>
      </c>
      <c r="ED99" s="22">
        <f t="shared" si="72"/>
        <v>50.434940633446558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8.9420000000000019</v>
      </c>
      <c r="N100" s="13">
        <f>IF('Données projet'!$A$36&gt;35,N99+M100-V99,IF(A100&lt;'Données projet'!$A$36,$K$205^A100,IF(A100='Données projet'!$A$36,'Données projet'!$B$36,N99+M100-V99)))</f>
        <v>339.60600000000051</v>
      </c>
      <c r="O100" s="13">
        <f>N100*VLOOKUP('Données projet'!$B$9,Paramètres!$A$1:$I$89,3,0)*VLOOKUP('Données projet'!$B$9,Paramètres!$A$1:$I$89,5,0)</f>
        <v>307.27550880000041</v>
      </c>
      <c r="P100" s="13">
        <f t="shared" si="87"/>
        <v>72.699555980078841</v>
      </c>
      <c r="Q100" s="20">
        <f t="shared" si="107"/>
        <v>661.78990449197136</v>
      </c>
      <c r="R100" s="59">
        <f t="shared" si="55"/>
        <v>938.33533077135417</v>
      </c>
      <c r="S100" s="59">
        <f ca="1">AVERAGE(OFFSET($R$3,0,0,'Données projet'!$E$9+1,1))-AVERAGE(OFFSET($H$3,0,0,'Données projet'!$E$9+1,1))</f>
        <v>681.47578137804555</v>
      </c>
      <c r="T100" s="59">
        <f t="shared" si="88"/>
        <v>300.88511065995885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26.588412041927928</v>
      </c>
      <c r="AA100" s="21">
        <f>EXP(-LN(2)/25)*AA99+(1-EXP(-LN(2)/25))/(LN(2)/25)*Calculateur!V100*Calculateur!X100*VLOOKUP('Données projet'!$B$9,Paramètres!$A$1:$I$89,3,0)*0.475*44/12</f>
        <v>25.937284084006841</v>
      </c>
      <c r="AB100" s="21">
        <f>EXP(-LN(2)/2)*AB99+(1-EXP(-LN(2)/2))/(LN(2)/2)*V100*Y100*VLOOKUP('Données projet'!$B$9,Paramètres!$A$1:$I$89,3,0)*0.475*44/12</f>
        <v>2.0973495876303185</v>
      </c>
      <c r="AC100" s="22">
        <f t="shared" si="57"/>
        <v>54.623045713565091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-8.8675733422860506E-14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217.53602321474159</v>
      </c>
      <c r="AO100" s="59">
        <f t="shared" si="90"/>
        <v>215.75909414893025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15.830896871375479</v>
      </c>
      <c r="AV100" s="21">
        <f>EXP(-LN(2)/25)*AV99+(1-EXP(-LN(2)/25))/(LN(2)/25)*Calculateur!AQ100*Calculateur!AS100*VLOOKUP('Données projet'!$B$10,Paramètres!$A$1:$I$89,3,0)*0.475*44/12</f>
        <v>12.485997304421893</v>
      </c>
      <c r="AW100" s="21">
        <f>EXP(-LN(2)/2)*AW99+(1-EXP(-LN(2)/2))/(LN(2)/2)*AQ100*AT100*VLOOKUP('Données projet'!$B$10,Paramètres!$A$1:$I$89,3,0)*0.475*44/12</f>
        <v>2.3770854325234209E-3</v>
      </c>
      <c r="AX100" s="21">
        <f t="shared" si="60"/>
        <v>28.319271261229897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-1.7053025658242404E-13</v>
      </c>
      <c r="BE100" s="13">
        <f>BD100*VLOOKUP('Données projet'!$B$11,Paramètres!$A$1:$I$89,3,0)*VLOOKUP('Données projet'!$B$11,Paramètres!$A$1:$I$89,5,0)</f>
        <v>-1.1439169611549005E-13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281.67293577289729</v>
      </c>
      <c r="BJ100" s="59">
        <f t="shared" si="92"/>
        <v>272.44904846480154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24.460117391334734</v>
      </c>
      <c r="BQ100" s="21">
        <f>EXP(-LN(2)/25)*BQ99+(1-EXP(-LN(2)/25))/(LN(2)/25)*Calculateur!BL100*Calculateur!BN100*VLOOKUP('Données projet'!$B$11,Paramètres!$A$1:$I$89,3,0)*0.475*44/12</f>
        <v>22.293337496000365</v>
      </c>
      <c r="BR100" s="21">
        <f>EXP(-LN(2)/2)*BR99+(1-EXP(-LN(2)/2))/(LN(2)/2)*BL100*BO100*VLOOKUP('Données projet'!$B$11,Paramètres!$A$1:$I$89,3,0)*0.475*44/12</f>
        <v>0.12105397739169448</v>
      </c>
      <c r="BS100" s="22">
        <f t="shared" si="63"/>
        <v>46.874508864726792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-1.7053025658242404E-13</v>
      </c>
      <c r="BZ100" s="13">
        <f>BY100*VLOOKUP('Données projet'!$B$12,Paramètres!$A$1:$I$89,3,0)*VLOOKUP('Données projet'!$B$12,Paramètres!$A$1:$I$89,5,0)</f>
        <v>-1.4897523215040567E-13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348.77506423101278</v>
      </c>
      <c r="CE100" s="59">
        <f t="shared" si="94"/>
        <v>336.13747591329548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31.855036602668495</v>
      </c>
      <c r="CL100" s="21">
        <f>EXP(-LN(2)/25)*CL99+(1-EXP(-LN(2)/25))/(LN(2)/25)*Calculateur!CG100*Calculateur!CI100*VLOOKUP('Données projet'!$B$12,Paramètres!$A$1:$I$89,3,0)*0.475*44/12</f>
        <v>29.033183715721403</v>
      </c>
      <c r="CM100" s="21">
        <f>EXP(-LN(2)/2)*CM99+(1-EXP(-LN(2)/2))/(LN(2)/2)*CG100*CJ100*VLOOKUP('Données projet'!$B$12,Paramètres!$A$1:$I$89,3,0)*0.475*44/12</f>
        <v>0.15765169148685812</v>
      </c>
      <c r="CN100" s="22">
        <f t="shared" si="66"/>
        <v>61.045872009876753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6.7777777777777777</v>
      </c>
      <c r="CT100" s="12">
        <f>IF('Données projet'!$A$140&gt;35,CT99+CS100-DB99,IF(A100&lt;'Données projet'!$A$140,$CQ$205^A100,IF(A100='Données projet'!$A$140,'Données projet'!$B$140,CT99+CS100-DB99)))</f>
        <v>223.92555555555543</v>
      </c>
      <c r="CU100" s="17">
        <f>CT100*VLOOKUP('Données projet'!$B$13,Paramètres!$A$1:$I$89,3,0)*VLOOKUP('Données projet'!$B$13,Paramètres!$A$1:$I$89,5,0)</f>
        <v>216.58079733333321</v>
      </c>
      <c r="CV100" s="13">
        <f t="shared" si="95"/>
        <v>53.371062792617998</v>
      </c>
      <c r="CW100" s="20">
        <f t="shared" si="67"/>
        <v>470.16615638603167</v>
      </c>
      <c r="CX100" s="59">
        <f t="shared" si="68"/>
        <v>746.71158266541443</v>
      </c>
      <c r="CY100" s="59">
        <f ca="1">AVERAGE(OFFSET($CX$3,0,0,'Données projet'!$E$13+1,1))-AVERAGE(OFFSET($H$3,0,0,'Données projet'!$E$13+1,1))</f>
        <v>557.48193674339791</v>
      </c>
      <c r="CZ100" s="59">
        <f t="shared" si="96"/>
        <v>271.51396593253048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11.385259839446645</v>
      </c>
      <c r="DG100" s="21">
        <f>EXP(-LN(2)/25)*DG99+(1-EXP(-LN(2)/25))/(LN(2)/25)*Calculateur!DB100*Calculateur!DD100*VLOOKUP('Données projet'!$B$13,Paramètres!$A$1:$I$89,3,0)*0.475*44/12</f>
        <v>30.021880781696527</v>
      </c>
      <c r="DH100" s="21">
        <f>EXP(-LN(2)/2)*DH99+(1-EXP(-LN(2)/2))/(LN(2)/2)*DB100*DE100*VLOOKUP('Données projet'!$B$13,Paramètres!$A$1:$I$89,3,0)*0.475*44/12</f>
        <v>2.0078002608607251</v>
      </c>
      <c r="DI100" s="22">
        <f t="shared" si="69"/>
        <v>43.414940882003897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6.7777777777777777</v>
      </c>
      <c r="DO100" s="12">
        <f>IF('Données projet'!$A$166&gt;35,DO99+DN100-DW99,IF(A100&lt;'Données projet'!$A$166,$DL$205^A100,IF(A100='Données projet'!$A$166,'Données projet'!$B$166,DO99+DN100-DW99)))</f>
        <v>223.92555555555543</v>
      </c>
      <c r="DP100" s="17">
        <f>DO100*VLOOKUP('Données projet'!$B$14,Paramètres!$A$1:$I$89,3,0)*VLOOKUP('Données projet'!$B$14,Paramètres!$A$1:$I$89,5,0)</f>
        <v>241.03346799999989</v>
      </c>
      <c r="DQ100" s="13">
        <f t="shared" si="97"/>
        <v>58.661830520049733</v>
      </c>
      <c r="DR100" s="20">
        <f t="shared" si="70"/>
        <v>521.96931158908649</v>
      </c>
      <c r="DS100" s="59">
        <f t="shared" si="71"/>
        <v>798.5147378684693</v>
      </c>
      <c r="DT100" s="59">
        <f ca="1">AVERAGE(OFFSET($DS$3,0,0,'Données projet'!$E$14+1,1))-AVERAGE(OFFSET($H$3,0,0,'Données projet'!$E$14+1,1))</f>
        <v>610.05768948788375</v>
      </c>
      <c r="DU100" s="59">
        <f t="shared" si="98"/>
        <v>295.23928902444845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12.670692401964814</v>
      </c>
      <c r="EB100" s="21">
        <f>EXP(-LN(2)/25)*EB99+(1-EXP(-LN(2)/25))/(LN(2)/25)*Calculateur!DW100*Calculateur!DY100*VLOOKUP('Données projet'!$B$14,Paramètres!$A$1:$I$89,3,0)*0.475*44/12</f>
        <v>33.411447966726783</v>
      </c>
      <c r="EC100" s="21">
        <f>EXP(-LN(2)/2)*EC99+(1-EXP(-LN(2)/2))/(LN(2)/2)*DW100*DZ100*VLOOKUP('Données projet'!$B$14,Paramètres!$A$1:$I$89,3,0)*0.475*44/12</f>
        <v>2.2344873870869355</v>
      </c>
      <c r="ED100" s="22">
        <f t="shared" si="72"/>
        <v>48.316627755778534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8.9420000000000019</v>
      </c>
      <c r="N101" s="13">
        <f>IF('Données projet'!$A$36&gt;35,N100+M101-V100,IF(A101&lt;'Données projet'!$A$36,$K$205^A101,IF(A101='Données projet'!$A$36,'Données projet'!$B$36,N100+M101-V100)))</f>
        <v>348.54800000000051</v>
      </c>
      <c r="O101" s="13">
        <f>N101*VLOOKUP('Données projet'!$B$9,Paramètres!$A$1:$I$89,3,0)*VLOOKUP('Données projet'!$B$9,Paramètres!$A$1:$I$89,5,0)</f>
        <v>315.36623040000046</v>
      </c>
      <c r="P101" s="13">
        <f t="shared" si="87"/>
        <v>74.38839081830163</v>
      </c>
      <c r="Q101" s="20">
        <f t="shared" si="107"/>
        <v>678.82263195520943</v>
      </c>
      <c r="R101" s="59">
        <f t="shared" si="55"/>
        <v>955.6592908898408</v>
      </c>
      <c r="S101" s="59">
        <f ca="1">AVERAGE(OFFSET($R$3,0,0,'Données projet'!$E$9+1,1))-AVERAGE(OFFSET($H$3,0,0,'Données projet'!$E$9+1,1))</f>
        <v>681.47578137804555</v>
      </c>
      <c r="T101" s="59">
        <f t="shared" si="88"/>
        <v>300.88511065995885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26.067029499115737</v>
      </c>
      <c r="AA101" s="21">
        <f>EXP(-LN(2)/25)*AA100+(1-EXP(-LN(2)/25))/(LN(2)/25)*Calculateur!V101*Calculateur!X101*VLOOKUP('Données projet'!$B$9,Paramètres!$A$1:$I$89,3,0)*0.475*44/12</f>
        <v>25.228027686747183</v>
      </c>
      <c r="AB101" s="21">
        <f>EXP(-LN(2)/2)*AB100+(1-EXP(-LN(2)/2))/(LN(2)/2)*V101*Y101*VLOOKUP('Données projet'!$B$9,Paramètres!$A$1:$I$89,3,0)*0.475*44/12</f>
        <v>1.4830501159322074</v>
      </c>
      <c r="AC101" s="22">
        <f t="shared" si="57"/>
        <v>52.778107301795124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-8.8675733422860506E-14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217.53602321474159</v>
      </c>
      <c r="AO101" s="59">
        <f t="shared" si="90"/>
        <v>215.75909414893025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15.520462639621458</v>
      </c>
      <c r="AV101" s="21">
        <f>EXP(-LN(2)/25)*AV100+(1-EXP(-LN(2)/25))/(LN(2)/25)*Calculateur!AQ101*Calculateur!AS101*VLOOKUP('Données projet'!$B$10,Paramètres!$A$1:$I$89,3,0)*0.475*44/12</f>
        <v>12.144567051522415</v>
      </c>
      <c r="AW101" s="21">
        <f>EXP(-LN(2)/2)*AW100+(1-EXP(-LN(2)/2))/(LN(2)/2)*AQ101*AT101*VLOOKUP('Données projet'!$B$10,Paramètres!$A$1:$I$89,3,0)*0.475*44/12</f>
        <v>1.6808532287970683E-3</v>
      </c>
      <c r="AX101" s="21">
        <f t="shared" si="60"/>
        <v>27.66671054437267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-1.7053025658242404E-13</v>
      </c>
      <c r="BE101" s="13">
        <f>BD101*VLOOKUP('Données projet'!$B$11,Paramètres!$A$1:$I$89,3,0)*VLOOKUP('Données projet'!$B$11,Paramètres!$A$1:$I$89,5,0)</f>
        <v>-1.1439169611549005E-13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281.67293577289729</v>
      </c>
      <c r="BJ101" s="59">
        <f t="shared" si="92"/>
        <v>272.44904846480154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23.980469408489121</v>
      </c>
      <c r="BQ101" s="21">
        <f>EXP(-LN(2)/25)*BQ100+(1-EXP(-LN(2)/25))/(LN(2)/25)*Calculateur!BL101*Calculateur!BN101*VLOOKUP('Données projet'!$B$11,Paramètres!$A$1:$I$89,3,0)*0.475*44/12</f>
        <v>21.68372500981657</v>
      </c>
      <c r="BR101" s="21">
        <f>EXP(-LN(2)/2)*BR100+(1-EXP(-LN(2)/2))/(LN(2)/2)*BL101*BO101*VLOOKUP('Données projet'!$B$11,Paramètres!$A$1:$I$89,3,0)*0.475*44/12</f>
        <v>8.5598088303270176E-2</v>
      </c>
      <c r="BS101" s="22">
        <f t="shared" si="63"/>
        <v>45.749792506608962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-1.7053025658242404E-13</v>
      </c>
      <c r="BZ101" s="13">
        <f>BY101*VLOOKUP('Données projet'!$B$12,Paramètres!$A$1:$I$89,3,0)*VLOOKUP('Données projet'!$B$12,Paramètres!$A$1:$I$89,5,0)</f>
        <v>-1.4897523215040567E-13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348.77506423101278</v>
      </c>
      <c r="CE101" s="59">
        <f t="shared" si="94"/>
        <v>336.13747591329548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31.230378764543975</v>
      </c>
      <c r="CL101" s="21">
        <f>EXP(-LN(2)/25)*CL100+(1-EXP(-LN(2)/25))/(LN(2)/25)*Calculateur!CG101*Calculateur!CI101*VLOOKUP('Données projet'!$B$12,Paramètres!$A$1:$I$89,3,0)*0.475*44/12</f>
        <v>28.239269780226227</v>
      </c>
      <c r="CM101" s="21">
        <f>EXP(-LN(2)/2)*CM100+(1-EXP(-LN(2)/2))/(LN(2)/2)*CG101*CJ101*VLOOKUP('Données projet'!$B$12,Paramètres!$A$1:$I$89,3,0)*0.475*44/12</f>
        <v>0.11147658011588689</v>
      </c>
      <c r="CN101" s="22">
        <f t="shared" si="66"/>
        <v>59.581125124886086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6.7777777777777777</v>
      </c>
      <c r="CT101" s="12">
        <f>IF('Données projet'!$A$140&gt;35,CT100+CS101-DB100,IF(A101&lt;'Données projet'!$A$140,$CQ$205^A101,IF(A101='Données projet'!$A$140,'Données projet'!$B$140,CT100+CS101-DB100)))</f>
        <v>230.70333333333321</v>
      </c>
      <c r="CU101" s="17">
        <f>CT101*VLOOKUP('Données projet'!$B$13,Paramètres!$A$1:$I$89,3,0)*VLOOKUP('Données projet'!$B$13,Paramètres!$A$1:$I$89,5,0)</f>
        <v>223.13626399999987</v>
      </c>
      <c r="CV101" s="13">
        <f t="shared" si="95"/>
        <v>54.795974627594028</v>
      </c>
      <c r="CW101" s="20">
        <f t="shared" si="67"/>
        <v>484.06531560972599</v>
      </c>
      <c r="CX101" s="59">
        <f t="shared" si="68"/>
        <v>760.90197454435736</v>
      </c>
      <c r="CY101" s="59">
        <f ca="1">AVERAGE(OFFSET($CX$3,0,0,'Données projet'!$E$13+1,1))-AVERAGE(OFFSET($H$3,0,0,'Données projet'!$E$13+1,1))</f>
        <v>557.48193674339791</v>
      </c>
      <c r="CZ101" s="59">
        <f t="shared" si="96"/>
        <v>271.51396593253048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11.162001838317904</v>
      </c>
      <c r="DG101" s="21">
        <f>EXP(-LN(2)/25)*DG100+(1-EXP(-LN(2)/25))/(LN(2)/25)*Calculateur!DB101*Calculateur!DD101*VLOOKUP('Données projet'!$B$13,Paramètres!$A$1:$I$89,3,0)*0.475*44/12</f>
        <v>29.20093087293894</v>
      </c>
      <c r="DH101" s="21">
        <f>EXP(-LN(2)/2)*DH100+(1-EXP(-LN(2)/2))/(LN(2)/2)*DB101*DE101*VLOOKUP('Données projet'!$B$13,Paramètres!$A$1:$I$89,3,0)*0.475*44/12</f>
        <v>1.4197291797227378</v>
      </c>
      <c r="DI101" s="22">
        <f t="shared" si="69"/>
        <v>41.782661890979583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6.7777777777777777</v>
      </c>
      <c r="DO101" s="12">
        <f>IF('Données projet'!$A$166&gt;35,DO100+DN101-DW100,IF(A101&lt;'Données projet'!$A$166,$DL$205^A101,IF(A101='Données projet'!$A$166,'Données projet'!$B$166,DO100+DN101-DW100)))</f>
        <v>230.70333333333321</v>
      </c>
      <c r="DP101" s="17">
        <f>DO101*VLOOKUP('Données projet'!$B$14,Paramètres!$A$1:$I$89,3,0)*VLOOKUP('Données projet'!$B$14,Paramètres!$A$1:$I$89,5,0)</f>
        <v>248.32906799999984</v>
      </c>
      <c r="DQ101" s="13">
        <f t="shared" si="97"/>
        <v>60.227996382141974</v>
      </c>
      <c r="DR101" s="20">
        <f t="shared" si="70"/>
        <v>537.40355379889695</v>
      </c>
      <c r="DS101" s="59">
        <f t="shared" si="71"/>
        <v>814.24021273352832</v>
      </c>
      <c r="DT101" s="59">
        <f ca="1">AVERAGE(OFFSET($DS$3,0,0,'Données projet'!$E$14+1,1))-AVERAGE(OFFSET($H$3,0,0,'Données projet'!$E$14+1,1))</f>
        <v>610.05768948788375</v>
      </c>
      <c r="DU101" s="59">
        <f t="shared" si="98"/>
        <v>295.23928902444845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12.422227852321537</v>
      </c>
      <c r="EB101" s="21">
        <f>EXP(-LN(2)/25)*EB100+(1-EXP(-LN(2)/25))/(LN(2)/25)*Calculateur!DW101*Calculateur!DY101*VLOOKUP('Données projet'!$B$14,Paramètres!$A$1:$I$89,3,0)*0.475*44/12</f>
        <v>32.497810165044953</v>
      </c>
      <c r="EC101" s="21">
        <f>EXP(-LN(2)/2)*EC100+(1-EXP(-LN(2)/2))/(LN(2)/2)*DW101*DZ101*VLOOKUP('Données projet'!$B$14,Paramètres!$A$1:$I$89,3,0)*0.475*44/12</f>
        <v>1.580021183884982</v>
      </c>
      <c r="ED101" s="22">
        <f t="shared" si="72"/>
        <v>46.500059201251474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8.9420000000000019</v>
      </c>
      <c r="N102" s="13">
        <f>IF('Données projet'!$A$36&gt;35,N101+M102-V101,IF(A102&lt;'Données projet'!$A$36,$K$205^A102,IF(A102='Données projet'!$A$36,'Données projet'!$B$36,N101+M102-V101)))</f>
        <v>357.49000000000052</v>
      </c>
      <c r="O102" s="13">
        <f>N102*VLOOKUP('Données projet'!$B$9,Paramètres!$A$1:$I$89,3,0)*VLOOKUP('Données projet'!$B$9,Paramètres!$A$1:$I$89,5,0)</f>
        <v>323.45695200000046</v>
      </c>
      <c r="P102" s="13">
        <f t="shared" si="87"/>
        <v>76.072189325282608</v>
      </c>
      <c r="Q102" s="20">
        <f t="shared" si="107"/>
        <v>695.84658780820121</v>
      </c>
      <c r="R102" s="59">
        <f t="shared" si="55"/>
        <v>972.96942716261128</v>
      </c>
      <c r="S102" s="59">
        <f ca="1">AVERAGE(OFFSET($R$3,0,0,'Données projet'!$E$9+1,1))-AVERAGE(OFFSET($H$3,0,0,'Données projet'!$E$9+1,1))</f>
        <v>681.47578137804555</v>
      </c>
      <c r="T102" s="59">
        <f t="shared" si="88"/>
        <v>300.88511065995885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25.555870949956144</v>
      </c>
      <c r="AA102" s="21">
        <f>EXP(-LN(2)/25)*AA101+(1-EXP(-LN(2)/25))/(LN(2)/25)*Calculateur!V102*Calculateur!X102*VLOOKUP('Données projet'!$B$9,Paramètres!$A$1:$I$89,3,0)*0.475*44/12</f>
        <v>24.538165942968764</v>
      </c>
      <c r="AB102" s="21">
        <f>EXP(-LN(2)/2)*AB101+(1-EXP(-LN(2)/2))/(LN(2)/2)*V102*Y102*VLOOKUP('Données projet'!$B$9,Paramètres!$A$1:$I$89,3,0)*0.475*44/12</f>
        <v>1.0486747938151593</v>
      </c>
      <c r="AC102" s="22">
        <f t="shared" si="57"/>
        <v>51.142711686740064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-8.8675733422860506E-14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217.53602321474159</v>
      </c>
      <c r="AO102" s="59">
        <f t="shared" si="90"/>
        <v>215.75909414893025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15.216115833805947</v>
      </c>
      <c r="AV102" s="21">
        <f>EXP(-LN(2)/25)*AV101+(1-EXP(-LN(2)/25))/(LN(2)/25)*Calculateur!AQ102*Calculateur!AS102*VLOOKUP('Données projet'!$B$10,Paramètres!$A$1:$I$89,3,0)*0.475*44/12</f>
        <v>11.81247322684351</v>
      </c>
      <c r="AW102" s="21">
        <f>EXP(-LN(2)/2)*AW101+(1-EXP(-LN(2)/2))/(LN(2)/2)*AQ102*AT102*VLOOKUP('Données projet'!$B$10,Paramètres!$A$1:$I$89,3,0)*0.475*44/12</f>
        <v>1.1885427162617104E-3</v>
      </c>
      <c r="AX102" s="21">
        <f t="shared" si="60"/>
        <v>27.029777603365719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-1.7053025658242404E-13</v>
      </c>
      <c r="BE102" s="13">
        <f>BD102*VLOOKUP('Données projet'!$B$11,Paramètres!$A$1:$I$89,3,0)*VLOOKUP('Données projet'!$B$11,Paramètres!$A$1:$I$89,5,0)</f>
        <v>-1.1439169611549005E-13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281.67293577289729</v>
      </c>
      <c r="BJ102" s="59">
        <f t="shared" si="92"/>
        <v>272.44904846480154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23.510227030030727</v>
      </c>
      <c r="BQ102" s="21">
        <f>EXP(-LN(2)/25)*BQ101+(1-EXP(-LN(2)/25))/(LN(2)/25)*Calculateur!BL102*Calculateur!BN102*VLOOKUP('Données projet'!$B$11,Paramètres!$A$1:$I$89,3,0)*0.475*44/12</f>
        <v>21.090782409125595</v>
      </c>
      <c r="BR102" s="21">
        <f>EXP(-LN(2)/2)*BR101+(1-EXP(-LN(2)/2))/(LN(2)/2)*BL102*BO102*VLOOKUP('Données projet'!$B$11,Paramètres!$A$1:$I$89,3,0)*0.475*44/12</f>
        <v>6.0526988695847238E-2</v>
      </c>
      <c r="BS102" s="22">
        <f t="shared" si="63"/>
        <v>44.66153642785217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-1.7053025658242404E-13</v>
      </c>
      <c r="BZ102" s="13">
        <f>BY102*VLOOKUP('Données projet'!$B$12,Paramètres!$A$1:$I$89,3,0)*VLOOKUP('Données projet'!$B$12,Paramètres!$A$1:$I$89,5,0)</f>
        <v>-1.4897523215040567E-13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348.77506423101278</v>
      </c>
      <c r="CE102" s="59">
        <f t="shared" si="94"/>
        <v>336.13747591329548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30.617970085621415</v>
      </c>
      <c r="CL102" s="21">
        <f>EXP(-LN(2)/25)*CL101+(1-EXP(-LN(2)/25))/(LN(2)/25)*Calculateur!CG102*Calculateur!CI102*VLOOKUP('Données projet'!$B$12,Paramètres!$A$1:$I$89,3,0)*0.475*44/12</f>
        <v>27.467065463047284</v>
      </c>
      <c r="CM102" s="21">
        <f>EXP(-LN(2)/2)*CM101+(1-EXP(-LN(2)/2))/(LN(2)/2)*CG102*CJ102*VLOOKUP('Données projet'!$B$12,Paramètres!$A$1:$I$89,3,0)*0.475*44/12</f>
        <v>7.8825845743429074E-2</v>
      </c>
      <c r="CN102" s="22">
        <f t="shared" si="66"/>
        <v>58.16386139441213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6.7777777777777777</v>
      </c>
      <c r="CT102" s="12">
        <f>IF('Données projet'!$A$140&gt;35,CT101+CS102-DB101,IF(A102&lt;'Données projet'!$A$140,$CQ$205^A102,IF(A102='Données projet'!$A$140,'Données projet'!$B$140,CT101+CS102-DB101)))</f>
        <v>237.48111111111098</v>
      </c>
      <c r="CU102" s="17">
        <f>CT102*VLOOKUP('Données projet'!$B$13,Paramètres!$A$1:$I$89,3,0)*VLOOKUP('Données projet'!$B$13,Paramètres!$A$1:$I$89,5,0)</f>
        <v>229.69173066666653</v>
      </c>
      <c r="CV102" s="13">
        <f t="shared" si="95"/>
        <v>56.216021291878434</v>
      </c>
      <c r="CW102" s="20">
        <f t="shared" si="67"/>
        <v>497.95600132779902</v>
      </c>
      <c r="CX102" s="59">
        <f t="shared" si="68"/>
        <v>775.07884068220915</v>
      </c>
      <c r="CY102" s="59">
        <f ca="1">AVERAGE(OFFSET($CX$3,0,0,'Données projet'!$E$13+1,1))-AVERAGE(OFFSET($H$3,0,0,'Données projet'!$E$13+1,1))</f>
        <v>557.48193674339791</v>
      </c>
      <c r="CZ102" s="59">
        <f t="shared" si="96"/>
        <v>271.51396593253048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10.943121790417363</v>
      </c>
      <c r="DG102" s="21">
        <f>EXP(-LN(2)/25)*DG101+(1-EXP(-LN(2)/25))/(LN(2)/25)*Calculateur!DB102*Calculateur!DD102*VLOOKUP('Données projet'!$B$13,Paramètres!$A$1:$I$89,3,0)*0.475*44/12</f>
        <v>28.40242988260821</v>
      </c>
      <c r="DH102" s="21">
        <f>EXP(-LN(2)/2)*DH101+(1-EXP(-LN(2)/2))/(LN(2)/2)*DB102*DE102*VLOOKUP('Données projet'!$B$13,Paramètres!$A$1:$I$89,3,0)*0.475*44/12</f>
        <v>1.0039001304303627</v>
      </c>
      <c r="DI102" s="22">
        <f t="shared" si="69"/>
        <v>40.349451803455935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6.7777777777777777</v>
      </c>
      <c r="DO102" s="12">
        <f>IF('Données projet'!$A$166&gt;35,DO101+DN102-DW101,IF(A102&lt;'Données projet'!$A$166,$DL$205^A102,IF(A102='Données projet'!$A$166,'Données projet'!$B$166,DO101+DN102-DW101)))</f>
        <v>237.48111111111098</v>
      </c>
      <c r="DP102" s="17">
        <f>DO102*VLOOKUP('Données projet'!$B$14,Paramètres!$A$1:$I$89,3,0)*VLOOKUP('Données projet'!$B$14,Paramètres!$A$1:$I$89,5,0)</f>
        <v>255.62466799999987</v>
      </c>
      <c r="DQ102" s="13">
        <f t="shared" si="97"/>
        <v>61.78881478057815</v>
      </c>
      <c r="DR102" s="20">
        <f t="shared" si="70"/>
        <v>552.82848250950667</v>
      </c>
      <c r="DS102" s="59">
        <f t="shared" si="71"/>
        <v>829.95132186391675</v>
      </c>
      <c r="DT102" s="59">
        <f ca="1">AVERAGE(OFFSET($DS$3,0,0,'Données projet'!$E$14+1,1))-AVERAGE(OFFSET($H$3,0,0,'Données projet'!$E$14+1,1))</f>
        <v>610.05768948788375</v>
      </c>
      <c r="DU102" s="59">
        <f t="shared" si="98"/>
        <v>295.23928902444845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12.178635540948354</v>
      </c>
      <c r="EB102" s="21">
        <f>EXP(-LN(2)/25)*EB101+(1-EXP(-LN(2)/25))/(LN(2)/25)*Calculateur!DW102*Calculateur!DY102*VLOOKUP('Données projet'!$B$14,Paramètres!$A$1:$I$89,3,0)*0.475*44/12</f>
        <v>31.609155837096235</v>
      </c>
      <c r="EC102" s="21">
        <f>EXP(-LN(2)/2)*EC101+(1-EXP(-LN(2)/2))/(LN(2)/2)*DW102*DZ102*VLOOKUP('Données projet'!$B$14,Paramètres!$A$1:$I$89,3,0)*0.475*44/12</f>
        <v>1.1172436935434678</v>
      </c>
      <c r="ED102" s="22">
        <f t="shared" si="72"/>
        <v>44.905035071588053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8.9420000000000019</v>
      </c>
      <c r="N103" s="13">
        <f>IF('Données projet'!$A$36&gt;35,N102+M103-V102,IF(A103&lt;'Données projet'!$A$36,$K$205^A103,IF(A103='Données projet'!$A$36,'Données projet'!$B$36,N102+M103-V102)))</f>
        <v>366.43200000000053</v>
      </c>
      <c r="O103" s="13">
        <f>N103*VLOOKUP('Données projet'!$B$9,Paramètres!$A$1:$I$89,3,0)*VLOOKUP('Données projet'!$B$9,Paramètres!$A$1:$I$89,5,0)</f>
        <v>331.54767360000045</v>
      </c>
      <c r="P103" s="13">
        <f t="shared" si="87"/>
        <v>77.751091964826287</v>
      </c>
      <c r="Q103" s="20">
        <f t="shared" si="107"/>
        <v>712.86201669207321</v>
      </c>
      <c r="R103" s="59">
        <f t="shared" si="55"/>
        <v>990.26607187578247</v>
      </c>
      <c r="S103" s="59">
        <f ca="1">AVERAGE(OFFSET($R$3,0,0,'Données projet'!$E$9+1,1))-AVERAGE(OFFSET($H$3,0,0,'Données projet'!$E$9+1,1))</f>
        <v>681.47578137804555</v>
      </c>
      <c r="T103" s="59">
        <f t="shared" si="88"/>
        <v>300.88511065995885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25.054735908169643</v>
      </c>
      <c r="AA103" s="21">
        <f>EXP(-LN(2)/25)*AA102+(1-EXP(-LN(2)/25))/(LN(2)/25)*Calculateur!V103*Calculateur!X103*VLOOKUP('Données projet'!$B$9,Paramètres!$A$1:$I$89,3,0)*0.475*44/12</f>
        <v>23.86716850485222</v>
      </c>
      <c r="AB103" s="21">
        <f>EXP(-LN(2)/2)*AB102+(1-EXP(-LN(2)/2))/(LN(2)/2)*V103*Y103*VLOOKUP('Données projet'!$B$9,Paramètres!$A$1:$I$89,3,0)*0.475*44/12</f>
        <v>0.74152505796610368</v>
      </c>
      <c r="AC103" s="22">
        <f t="shared" si="57"/>
        <v>49.663429470987964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-8.8675733422860506E-14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217.53602321474159</v>
      </c>
      <c r="AO103" s="59">
        <f t="shared" si="90"/>
        <v>215.75909414893025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14.917737083219256</v>
      </c>
      <c r="AV103" s="21">
        <f>EXP(-LN(2)/25)*AV102+(1-EXP(-LN(2)/25))/(LN(2)/25)*Calculateur!AQ103*Calculateur!AS103*VLOOKUP('Données projet'!$B$10,Paramètres!$A$1:$I$89,3,0)*0.475*44/12</f>
        <v>11.489460525264505</v>
      </c>
      <c r="AW103" s="21">
        <f>EXP(-LN(2)/2)*AW102+(1-EXP(-LN(2)/2))/(LN(2)/2)*AQ103*AT103*VLOOKUP('Données projet'!$B$10,Paramètres!$A$1:$I$89,3,0)*0.475*44/12</f>
        <v>8.4042661439853413E-4</v>
      </c>
      <c r="AX103" s="21">
        <f t="shared" si="60"/>
        <v>26.408038035098162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-1.7053025658242404E-13</v>
      </c>
      <c r="BE103" s="13">
        <f>BD103*VLOOKUP('Données projet'!$B$11,Paramètres!$A$1:$I$89,3,0)*VLOOKUP('Données projet'!$B$11,Paramètres!$A$1:$I$89,5,0)</f>
        <v>-1.1439169611549005E-13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281.67293577289729</v>
      </c>
      <c r="BJ103" s="59">
        <f t="shared" si="92"/>
        <v>272.44904846480154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23.049205817794373</v>
      </c>
      <c r="BQ103" s="21">
        <f>EXP(-LN(2)/25)*BQ102+(1-EXP(-LN(2)/25))/(LN(2)/25)*Calculateur!BL103*Calculateur!BN103*VLOOKUP('Données projet'!$B$11,Paramètres!$A$1:$I$89,3,0)*0.475*44/12</f>
        <v>20.514053855032014</v>
      </c>
      <c r="BR103" s="21">
        <f>EXP(-LN(2)/2)*BR102+(1-EXP(-LN(2)/2))/(LN(2)/2)*BL103*BO103*VLOOKUP('Données projet'!$B$11,Paramètres!$A$1:$I$89,3,0)*0.475*44/12</f>
        <v>4.2799044151635088E-2</v>
      </c>
      <c r="BS103" s="22">
        <f t="shared" si="63"/>
        <v>43.606058716978026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-1.7053025658242404E-13</v>
      </c>
      <c r="BZ103" s="13">
        <f>BY103*VLOOKUP('Données projet'!$B$12,Paramètres!$A$1:$I$89,3,0)*VLOOKUP('Données projet'!$B$12,Paramètres!$A$1:$I$89,5,0)</f>
        <v>-1.4897523215040567E-13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348.77506423101278</v>
      </c>
      <c r="CE103" s="59">
        <f t="shared" si="94"/>
        <v>336.13747591329548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30.017570367360118</v>
      </c>
      <c r="CL103" s="21">
        <f>EXP(-LN(2)/25)*CL102+(1-EXP(-LN(2)/25))/(LN(2)/25)*Calculateur!CG103*Calculateur!CI103*VLOOKUP('Données projet'!$B$12,Paramètres!$A$1:$I$89,3,0)*0.475*44/12</f>
        <v>26.715977113530059</v>
      </c>
      <c r="CM103" s="21">
        <f>EXP(-LN(2)/2)*CM102+(1-EXP(-LN(2)/2))/(LN(2)/2)*CG103*CJ103*VLOOKUP('Données projet'!$B$12,Paramètres!$A$1:$I$89,3,0)*0.475*44/12</f>
        <v>5.5738290057943451E-2</v>
      </c>
      <c r="CN103" s="22">
        <f t="shared" si="66"/>
        <v>56.789285770948126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6.7777777777777777</v>
      </c>
      <c r="CT103" s="12">
        <f>IF('Données projet'!$A$140&gt;35,CT102+CS103-DB102,IF(A103&lt;'Données projet'!$A$140,$CQ$205^A103,IF(A103='Données projet'!$A$140,'Données projet'!$B$140,CT102+CS103-DB102)))</f>
        <v>244.25888888888875</v>
      </c>
      <c r="CU103" s="17">
        <f>CT103*VLOOKUP('Données projet'!$B$13,Paramètres!$A$1:$I$89,3,0)*VLOOKUP('Données projet'!$B$13,Paramètres!$A$1:$I$89,5,0)</f>
        <v>236.24719733333319</v>
      </c>
      <c r="CV103" s="13">
        <f t="shared" si="95"/>
        <v>57.631357586724938</v>
      </c>
      <c r="CW103" s="20">
        <f t="shared" si="67"/>
        <v>511.83848315243455</v>
      </c>
      <c r="CX103" s="59">
        <f t="shared" si="68"/>
        <v>789.24253833614375</v>
      </c>
      <c r="CY103" s="59">
        <f ca="1">AVERAGE(OFFSET($CX$3,0,0,'Données projet'!$E$13+1,1))-AVERAGE(OFFSET($H$3,0,0,'Données projet'!$E$13+1,1))</f>
        <v>557.48193674339791</v>
      </c>
      <c r="CZ103" s="59">
        <f t="shared" si="96"/>
        <v>271.51396593253048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10.728533846752505</v>
      </c>
      <c r="DG103" s="21">
        <f>EXP(-LN(2)/25)*DG102+(1-EXP(-LN(2)/25))/(LN(2)/25)*Calculateur!DB103*Calculateur!DD103*VLOOKUP('Données projet'!$B$13,Paramètres!$A$1:$I$89,3,0)*0.475*44/12</f>
        <v>27.625763943849417</v>
      </c>
      <c r="DH103" s="21">
        <f>EXP(-LN(2)/2)*DH102+(1-EXP(-LN(2)/2))/(LN(2)/2)*DB103*DE103*VLOOKUP('Données projet'!$B$13,Paramètres!$A$1:$I$89,3,0)*0.475*44/12</f>
        <v>0.70986458986136913</v>
      </c>
      <c r="DI103" s="22">
        <f t="shared" si="69"/>
        <v>39.064162380463287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6.7777777777777777</v>
      </c>
      <c r="DO103" s="12">
        <f>IF('Données projet'!$A$166&gt;35,DO102+DN103-DW102,IF(A103&lt;'Données projet'!$A$166,$DL$205^A103,IF(A103='Données projet'!$A$166,'Données projet'!$B$166,DO102+DN103-DW102)))</f>
        <v>244.25888888888875</v>
      </c>
      <c r="DP103" s="17">
        <f>DO103*VLOOKUP('Données projet'!$B$14,Paramètres!$A$1:$I$89,3,0)*VLOOKUP('Données projet'!$B$14,Paramètres!$A$1:$I$89,5,0)</f>
        <v>262.92026799999985</v>
      </c>
      <c r="DQ103" s="13">
        <f t="shared" si="97"/>
        <v>63.344455862333881</v>
      </c>
      <c r="DR103" s="20">
        <f t="shared" si="70"/>
        <v>568.24439406023112</v>
      </c>
      <c r="DS103" s="59">
        <f t="shared" si="71"/>
        <v>845.64844924394038</v>
      </c>
      <c r="DT103" s="59">
        <f ca="1">AVERAGE(OFFSET($DS$3,0,0,'Données projet'!$E$14+1,1))-AVERAGE(OFFSET($H$3,0,0,'Données projet'!$E$14+1,1))</f>
        <v>610.05768948788375</v>
      </c>
      <c r="DU103" s="59">
        <f t="shared" si="98"/>
        <v>295.23928902444845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11.93981992622456</v>
      </c>
      <c r="EB103" s="21">
        <f>EXP(-LN(2)/25)*EB102+(1-EXP(-LN(2)/25))/(LN(2)/25)*Calculateur!DW103*Calculateur!DY103*VLOOKUP('Données projet'!$B$14,Paramètres!$A$1:$I$89,3,0)*0.475*44/12</f>
        <v>30.744801808477575</v>
      </c>
      <c r="EC103" s="21">
        <f>EXP(-LN(2)/2)*EC102+(1-EXP(-LN(2)/2))/(LN(2)/2)*DW103*DZ103*VLOOKUP('Données projet'!$B$14,Paramètres!$A$1:$I$89,3,0)*0.475*44/12</f>
        <v>0.79001059194249101</v>
      </c>
      <c r="ED103" s="22">
        <f t="shared" si="72"/>
        <v>43.474632326644624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8.9420000000000019</v>
      </c>
      <c r="N104" s="13">
        <f>IF('Données projet'!$A$36&gt;35,N103+M104-V103,IF(A104&lt;'Données projet'!$A$36,$K$205^A104,IF(A104='Données projet'!$A$36,'Données projet'!$B$36,N103+M104-V103)))</f>
        <v>375.37400000000054</v>
      </c>
      <c r="O104" s="13">
        <f>N104*VLOOKUP('Données projet'!$B$9,Paramètres!$A$1:$I$89,3,0)*VLOOKUP('Données projet'!$B$9,Paramètres!$A$1:$I$89,5,0)</f>
        <v>339.6383952000005</v>
      </c>
      <c r="P104" s="13">
        <f t="shared" si="87"/>
        <v>79.425231954431325</v>
      </c>
      <c r="Q104" s="20">
        <f t="shared" si="107"/>
        <v>729.86915062730213</v>
      </c>
      <c r="R104" s="59">
        <f t="shared" si="55"/>
        <v>1007.5495431743766</v>
      </c>
      <c r="S104" s="59">
        <f ca="1">AVERAGE(OFFSET($R$3,0,0,'Données projet'!$E$9+1,1))-AVERAGE(OFFSET($H$3,0,0,'Données projet'!$E$9+1,1))</f>
        <v>681.47578137804555</v>
      </c>
      <c r="T104" s="59">
        <f t="shared" si="88"/>
        <v>300.88511065995885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24.563427818890382</v>
      </c>
      <c r="AA104" s="21">
        <f>EXP(-LN(2)/25)*AA103+(1-EXP(-LN(2)/25))/(LN(2)/25)*Calculateur!V104*Calculateur!X104*VLOOKUP('Données projet'!$B$9,Paramètres!$A$1:$I$89,3,0)*0.475*44/12</f>
        <v>23.214519526967194</v>
      </c>
      <c r="AB104" s="21">
        <f>EXP(-LN(2)/2)*AB103+(1-EXP(-LN(2)/2))/(LN(2)/2)*V104*Y104*VLOOKUP('Données projet'!$B$9,Paramètres!$A$1:$I$89,3,0)*0.475*44/12</f>
        <v>0.52433739690757963</v>
      </c>
      <c r="AC104" s="22">
        <f t="shared" si="57"/>
        <v>48.302284742765153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-8.8675733422860506E-14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217.53602321474159</v>
      </c>
      <c r="AO104" s="59">
        <f t="shared" si="90"/>
        <v>215.75909414893025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14.625209357938504</v>
      </c>
      <c r="AV104" s="21">
        <f>EXP(-LN(2)/25)*AV103+(1-EXP(-LN(2)/25))/(LN(2)/25)*Calculateur!AQ104*Calculateur!AS104*VLOOKUP('Données projet'!$B$10,Paramètres!$A$1:$I$89,3,0)*0.475*44/12</f>
        <v>11.175280622996677</v>
      </c>
      <c r="AW104" s="21">
        <f>EXP(-LN(2)/2)*AW103+(1-EXP(-LN(2)/2))/(LN(2)/2)*AQ104*AT104*VLOOKUP('Données projet'!$B$10,Paramètres!$A$1:$I$89,3,0)*0.475*44/12</f>
        <v>5.9427135813085522E-4</v>
      </c>
      <c r="AX104" s="21">
        <f t="shared" si="60"/>
        <v>25.801084252293315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-1.7053025658242404E-13</v>
      </c>
      <c r="BE104" s="13">
        <f>BD104*VLOOKUP('Données projet'!$B$11,Paramètres!$A$1:$I$89,3,0)*VLOOKUP('Données projet'!$B$11,Paramètres!$A$1:$I$89,5,0)</f>
        <v>-1.1439169611549005E-13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281.67293577289729</v>
      </c>
      <c r="BJ104" s="59">
        <f t="shared" si="92"/>
        <v>272.44904846480154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22.597224950334802</v>
      </c>
      <c r="BQ104" s="21">
        <f>EXP(-LN(2)/25)*BQ103+(1-EXP(-LN(2)/25))/(LN(2)/25)*Calculateur!BL104*Calculateur!BN104*VLOOKUP('Données projet'!$B$11,Paramètres!$A$1:$I$89,3,0)*0.475*44/12</f>
        <v>19.953095973578957</v>
      </c>
      <c r="BR104" s="21">
        <f>EXP(-LN(2)/2)*BR103+(1-EXP(-LN(2)/2))/(LN(2)/2)*BL104*BO104*VLOOKUP('Données projet'!$B$11,Paramètres!$A$1:$I$89,3,0)*0.475*44/12</f>
        <v>3.0263494347923619E-2</v>
      </c>
      <c r="BS104" s="22">
        <f t="shared" si="63"/>
        <v>42.58058441826168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-1.7053025658242404E-13</v>
      </c>
      <c r="BZ104" s="13">
        <f>BY104*VLOOKUP('Données projet'!$B$12,Paramètres!$A$1:$I$89,3,0)*VLOOKUP('Données projet'!$B$12,Paramètres!$A$1:$I$89,5,0)</f>
        <v>-1.4897523215040567E-13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348.77506423101278</v>
      </c>
      <c r="CE104" s="59">
        <f t="shared" si="94"/>
        <v>336.13747591329548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29.428944121366257</v>
      </c>
      <c r="CL104" s="21">
        <f>EXP(-LN(2)/25)*CL103+(1-EXP(-LN(2)/25))/(LN(2)/25)*Calculateur!CG104*Calculateur!CI104*VLOOKUP('Données projet'!$B$12,Paramètres!$A$1:$I$89,3,0)*0.475*44/12</f>
        <v>25.985427314428403</v>
      </c>
      <c r="CM104" s="21">
        <f>EXP(-LN(2)/2)*CM103+(1-EXP(-LN(2)/2))/(LN(2)/2)*CG104*CJ104*VLOOKUP('Données projet'!$B$12,Paramètres!$A$1:$I$89,3,0)*0.475*44/12</f>
        <v>3.9412922871714537E-2</v>
      </c>
      <c r="CN104" s="22">
        <f t="shared" si="66"/>
        <v>55.453784358666375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6.7777777777777777</v>
      </c>
      <c r="CT104" s="12">
        <f>IF('Données projet'!$A$140&gt;35,CT103+CS104-DB103,IF(A104&lt;'Données projet'!$A$140,$CQ$205^A104,IF(A104='Données projet'!$A$140,'Données projet'!$B$140,CT103+CS104-DB103)))</f>
        <v>251.03666666666652</v>
      </c>
      <c r="CU104" s="17">
        <f>CT104*VLOOKUP('Données projet'!$B$13,Paramètres!$A$1:$I$89,3,0)*VLOOKUP('Données projet'!$B$13,Paramètres!$A$1:$I$89,5,0)</f>
        <v>242.80266399999985</v>
      </c>
      <c r="CV104" s="13">
        <f t="shared" si="95"/>
        <v>59.04212923358233</v>
      </c>
      <c r="CW104" s="20">
        <f t="shared" si="67"/>
        <v>525.71301488182235</v>
      </c>
      <c r="CX104" s="59">
        <f t="shared" si="68"/>
        <v>803.39340742889681</v>
      </c>
      <c r="CY104" s="59">
        <f ca="1">AVERAGE(OFFSET($CX$3,0,0,'Données projet'!$E$13+1,1))-AVERAGE(OFFSET($H$3,0,0,'Données projet'!$E$13+1,1))</f>
        <v>557.48193674339791</v>
      </c>
      <c r="CZ104" s="59">
        <f t="shared" si="96"/>
        <v>271.51396593253048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10.518153841777192</v>
      </c>
      <c r="DG104" s="21">
        <f>EXP(-LN(2)/25)*DG103+(1-EXP(-LN(2)/25))/(LN(2)/25)*Calculateur!DB104*Calculateur!DD104*VLOOKUP('Données projet'!$B$13,Paramètres!$A$1:$I$89,3,0)*0.475*44/12</f>
        <v>26.870335976029068</v>
      </c>
      <c r="DH104" s="21">
        <f>EXP(-LN(2)/2)*DH103+(1-EXP(-LN(2)/2))/(LN(2)/2)*DB104*DE104*VLOOKUP('Données projet'!$B$13,Paramètres!$A$1:$I$89,3,0)*0.475*44/12</f>
        <v>0.50195006521518148</v>
      </c>
      <c r="DI104" s="22">
        <f t="shared" si="69"/>
        <v>37.890439883021443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6.7777777777777777</v>
      </c>
      <c r="DO104" s="12">
        <f>IF('Données projet'!$A$166&gt;35,DO103+DN104-DW103,IF(A104&lt;'Données projet'!$A$166,$DL$205^A104,IF(A104='Données projet'!$A$166,'Données projet'!$B$166,DO103+DN104-DW103)))</f>
        <v>251.03666666666652</v>
      </c>
      <c r="DP104" s="17">
        <f>DO104*VLOOKUP('Données projet'!$B$14,Paramètres!$A$1:$I$89,3,0)*VLOOKUP('Données projet'!$B$14,Paramètres!$A$1:$I$89,5,0)</f>
        <v>270.21586799999983</v>
      </c>
      <c r="DQ104" s="13">
        <f t="shared" si="97"/>
        <v>64.895079794482484</v>
      </c>
      <c r="DR104" s="20">
        <f t="shared" si="70"/>
        <v>583.65156740872328</v>
      </c>
      <c r="DS104" s="59">
        <f t="shared" si="71"/>
        <v>861.33195995579763</v>
      </c>
      <c r="DT104" s="59">
        <f ca="1">AVERAGE(OFFSET($DS$3,0,0,'Données projet'!$E$14+1,1))-AVERAGE(OFFSET($H$3,0,0,'Données projet'!$E$14+1,1))</f>
        <v>610.05768948788375</v>
      </c>
      <c r="DU104" s="59">
        <f t="shared" si="98"/>
        <v>295.23928902444845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11.705687340042358</v>
      </c>
      <c r="EB104" s="21">
        <f>EXP(-LN(2)/25)*EB103+(1-EXP(-LN(2)/25))/(LN(2)/25)*Calculateur!DW104*Calculateur!DY104*VLOOKUP('Données projet'!$B$14,Paramètres!$A$1:$I$89,3,0)*0.475*44/12</f>
        <v>29.904083586225898</v>
      </c>
      <c r="EC104" s="21">
        <f>EXP(-LN(2)/2)*EC103+(1-EXP(-LN(2)/2))/(LN(2)/2)*DW104*DZ104*VLOOKUP('Données projet'!$B$14,Paramètres!$A$1:$I$89,3,0)*0.475*44/12</f>
        <v>0.55862184677173388</v>
      </c>
      <c r="ED104" s="22">
        <f t="shared" si="72"/>
        <v>42.16839277303999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8.9420000000000019</v>
      </c>
      <c r="N105" s="13">
        <f>IF('Données projet'!$A$36&gt;35,N104+M105-V104,IF(A105&lt;'Données projet'!$A$36,$K$205^A105,IF(A105='Données projet'!$A$36,'Données projet'!$B$36,N104+M105-V104)))</f>
        <v>384.31600000000054</v>
      </c>
      <c r="O105" s="13">
        <f>N105*VLOOKUP('Données projet'!$B$9,Paramètres!$A$1:$I$89,3,0)*VLOOKUP('Données projet'!$B$9,Paramètres!$A$1:$I$89,5,0)</f>
        <v>347.7291168000005</v>
      </c>
      <c r="P105" s="13">
        <f t="shared" si="87"/>
        <v>81.094735802697301</v>
      </c>
      <c r="Q105" s="20">
        <f t="shared" si="107"/>
        <v>746.86820994969855</v>
      </c>
      <c r="R105" s="59">
        <f t="shared" si="55"/>
        <v>1024.8201460246814</v>
      </c>
      <c r="S105" s="59">
        <f ca="1">AVERAGE(OFFSET($R$3,0,0,'Données projet'!$E$9+1,1))-AVERAGE(OFFSET($H$3,0,0,'Données projet'!$E$9+1,1))</f>
        <v>681.47578137804555</v>
      </c>
      <c r="T105" s="59">
        <f t="shared" si="88"/>
        <v>300.88511065995885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24.081753981573542</v>
      </c>
      <c r="AA105" s="21">
        <f>EXP(-LN(2)/25)*AA104+(1-EXP(-LN(2)/25))/(LN(2)/25)*Calculateur!V105*Calculateur!X105*VLOOKUP('Données projet'!$B$9,Paramètres!$A$1:$I$89,3,0)*0.475*44/12</f>
        <v>22.579717269703753</v>
      </c>
      <c r="AB105" s="21">
        <f>EXP(-LN(2)/2)*AB104+(1-EXP(-LN(2)/2))/(LN(2)/2)*V105*Y105*VLOOKUP('Données projet'!$B$9,Paramètres!$A$1:$I$89,3,0)*0.475*44/12</f>
        <v>0.37076252898305184</v>
      </c>
      <c r="AC105" s="22">
        <f t="shared" si="57"/>
        <v>47.032233780260341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-8.8675733422860506E-14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217.53602321474159</v>
      </c>
      <c r="AO105" s="59">
        <f t="shared" si="90"/>
        <v>215.75909414893025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14.338417922926212</v>
      </c>
      <c r="AV105" s="21">
        <f>EXP(-LN(2)/25)*AV104+(1-EXP(-LN(2)/25))/(LN(2)/25)*Calculateur!AQ105*Calculateur!AS105*VLOOKUP('Données projet'!$B$10,Paramètres!$A$1:$I$89,3,0)*0.475*44/12</f>
        <v>10.869691986678367</v>
      </c>
      <c r="AW105" s="21">
        <f>EXP(-LN(2)/2)*AW104+(1-EXP(-LN(2)/2))/(LN(2)/2)*AQ105*AT105*VLOOKUP('Données projet'!$B$10,Paramètres!$A$1:$I$89,3,0)*0.475*44/12</f>
        <v>4.2021330719926707E-4</v>
      </c>
      <c r="AX105" s="21">
        <f t="shared" si="60"/>
        <v>25.208530122911778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-1.7053025658242404E-13</v>
      </c>
      <c r="BE105" s="13">
        <f>BD105*VLOOKUP('Données projet'!$B$11,Paramètres!$A$1:$I$89,3,0)*VLOOKUP('Données projet'!$B$11,Paramètres!$A$1:$I$89,5,0)</f>
        <v>-1.1439169611549005E-13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281.67293577289729</v>
      </c>
      <c r="BJ105" s="59">
        <f t="shared" si="92"/>
        <v>272.44904846480154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22.154107152005004</v>
      </c>
      <c r="BQ105" s="21">
        <f>EXP(-LN(2)/25)*BQ104+(1-EXP(-LN(2)/25))/(LN(2)/25)*Calculateur!BL105*Calculateur!BN105*VLOOKUP('Données projet'!$B$11,Paramètres!$A$1:$I$89,3,0)*0.475*44/12</f>
        <v>19.407477514893728</v>
      </c>
      <c r="BR105" s="21">
        <f>EXP(-LN(2)/2)*BR104+(1-EXP(-LN(2)/2))/(LN(2)/2)*BL105*BO105*VLOOKUP('Données projet'!$B$11,Paramètres!$A$1:$I$89,3,0)*0.475*44/12</f>
        <v>2.1399522075817544E-2</v>
      </c>
      <c r="BS105" s="22">
        <f t="shared" si="63"/>
        <v>41.58298418897455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-1.7053025658242404E-13</v>
      </c>
      <c r="BZ105" s="13">
        <f>BY105*VLOOKUP('Données projet'!$B$12,Paramètres!$A$1:$I$89,3,0)*VLOOKUP('Données projet'!$B$12,Paramètres!$A$1:$I$89,5,0)</f>
        <v>-1.4897523215040567E-13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348.77506423101278</v>
      </c>
      <c r="CE105" s="59">
        <f t="shared" si="94"/>
        <v>336.13747591329548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28.851860477029774</v>
      </c>
      <c r="CL105" s="21">
        <f>EXP(-LN(2)/25)*CL104+(1-EXP(-LN(2)/25))/(LN(2)/25)*Calculateur!CG105*Calculateur!CI105*VLOOKUP('Données projet'!$B$12,Paramètres!$A$1:$I$89,3,0)*0.475*44/12</f>
        <v>25.274854438001125</v>
      </c>
      <c r="CM105" s="21">
        <f>EXP(-LN(2)/2)*CM104+(1-EXP(-LN(2)/2))/(LN(2)/2)*CG105*CJ105*VLOOKUP('Données projet'!$B$12,Paramètres!$A$1:$I$89,3,0)*0.475*44/12</f>
        <v>2.7869145028971726E-2</v>
      </c>
      <c r="CN105" s="22">
        <f t="shared" si="66"/>
        <v>54.154584060059875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6.7777777777777777</v>
      </c>
      <c r="CT105" s="12">
        <f>IF('Données projet'!$A$140&gt;35,CT104+CS105-DB104,IF(A105&lt;'Données projet'!$A$140,$CQ$205^A105,IF(A105='Données projet'!$A$140,'Données projet'!$B$140,CT104+CS105-DB104)))</f>
        <v>257.81444444444429</v>
      </c>
      <c r="CU105" s="17">
        <f>CT105*VLOOKUP('Données projet'!$B$13,Paramètres!$A$1:$I$89,3,0)*VLOOKUP('Données projet'!$B$13,Paramètres!$A$1:$I$89,5,0)</f>
        <v>249.35813066666651</v>
      </c>
      <c r="CV105" s="13">
        <f t="shared" si="95"/>
        <v>60.44847363724665</v>
      </c>
      <c r="CW105" s="20">
        <f t="shared" si="67"/>
        <v>539.57983582931536</v>
      </c>
      <c r="CX105" s="59">
        <f t="shared" si="68"/>
        <v>817.53177190429824</v>
      </c>
      <c r="CY105" s="59">
        <f ca="1">AVERAGE(OFFSET($CX$3,0,0,'Données projet'!$E$13+1,1))-AVERAGE(OFFSET($H$3,0,0,'Données projet'!$E$13+1,1))</f>
        <v>557.48193674339791</v>
      </c>
      <c r="CZ105" s="59">
        <f t="shared" si="96"/>
        <v>271.51396593253048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10.311899260380313</v>
      </c>
      <c r="DG105" s="21">
        <f>EXP(-LN(2)/25)*DG104+(1-EXP(-LN(2)/25))/(LN(2)/25)*Calculateur!DB105*Calculateur!DD105*VLOOKUP('Données projet'!$B$13,Paramètres!$A$1:$I$89,3,0)*0.475*44/12</f>
        <v>26.135565225714998</v>
      </c>
      <c r="DH105" s="21">
        <f>EXP(-LN(2)/2)*DH104+(1-EXP(-LN(2)/2))/(LN(2)/2)*DB105*DE105*VLOOKUP('Données projet'!$B$13,Paramètres!$A$1:$I$89,3,0)*0.475*44/12</f>
        <v>0.35493229493068462</v>
      </c>
      <c r="DI105" s="22">
        <f t="shared" si="69"/>
        <v>36.802396781025998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6.7777777777777777</v>
      </c>
      <c r="DO105" s="12">
        <f>IF('Données projet'!$A$166&gt;35,DO104+DN105-DW104,IF(A105&lt;'Données projet'!$A$166,$DL$205^A105,IF(A105='Données projet'!$A$166,'Données projet'!$B$166,DO104+DN105-DW104)))</f>
        <v>257.81444444444429</v>
      </c>
      <c r="DP105" s="17">
        <f>DO105*VLOOKUP('Données projet'!$B$14,Paramètres!$A$1:$I$89,3,0)*VLOOKUP('Données projet'!$B$14,Paramètres!$A$1:$I$89,5,0)</f>
        <v>277.51146799999981</v>
      </c>
      <c r="DQ105" s="13">
        <f t="shared" si="97"/>
        <v>66.440837603000162</v>
      </c>
      <c r="DR105" s="20">
        <f t="shared" si="70"/>
        <v>599.05026559189162</v>
      </c>
      <c r="DS105" s="59">
        <f t="shared" si="71"/>
        <v>877.0022016668745</v>
      </c>
      <c r="DT105" s="59">
        <f ca="1">AVERAGE(OFFSET($DS$3,0,0,'Données projet'!$E$14+1,1))-AVERAGE(OFFSET($H$3,0,0,'Données projet'!$E$14+1,1))</f>
        <v>610.05768948788375</v>
      </c>
      <c r="DU105" s="59">
        <f t="shared" si="98"/>
        <v>295.23928902444845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11.476145951068412</v>
      </c>
      <c r="EB105" s="21">
        <f>EXP(-LN(2)/25)*EB104+(1-EXP(-LN(2)/25))/(LN(2)/25)*Calculateur!DW105*Calculateur!DY105*VLOOKUP('Données projet'!$B$14,Paramètres!$A$1:$I$89,3,0)*0.475*44/12</f>
        <v>29.086354847973141</v>
      </c>
      <c r="EC105" s="21">
        <f>EXP(-LN(2)/2)*EC104+(1-EXP(-LN(2)/2))/(LN(2)/2)*DW105*DZ105*VLOOKUP('Données projet'!$B$14,Paramètres!$A$1:$I$89,3,0)*0.475*44/12</f>
        <v>0.39500529597124551</v>
      </c>
      <c r="ED105" s="22">
        <f t="shared" si="72"/>
        <v>40.957506095012796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8.9420000000000019</v>
      </c>
      <c r="N106" s="13">
        <f>IF('Données projet'!$A$36&gt;35,N105+M106-V105,IF(A106&lt;'Données projet'!$A$36,$K$205^A106,IF(A106='Données projet'!$A$36,'Données projet'!$B$36,N105+M106-V105)))</f>
        <v>393.25800000000055</v>
      </c>
      <c r="O106" s="13">
        <f>N106*VLOOKUP('Données projet'!$B$9,Paramètres!$A$1:$I$89,3,0)*VLOOKUP('Données projet'!$B$9,Paramètres!$A$1:$I$89,5,0)</f>
        <v>355.81983840000049</v>
      </c>
      <c r="P106" s="13">
        <f t="shared" si="87"/>
        <v>82.759723795307863</v>
      </c>
      <c r="Q106" s="20">
        <f t="shared" si="107"/>
        <v>763.85940415682887</v>
      </c>
      <c r="R106" s="59">
        <f t="shared" si="55"/>
        <v>1042.0781730865915</v>
      </c>
      <c r="S106" s="59">
        <f ca="1">AVERAGE(OFFSET($R$3,0,0,'Données projet'!$E$9+1,1))-AVERAGE(OFFSET($H$3,0,0,'Données projet'!$E$9+1,1))</f>
        <v>681.47578137804555</v>
      </c>
      <c r="T106" s="59">
        <f t="shared" si="88"/>
        <v>300.88511065995885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23.60952547441445</v>
      </c>
      <c r="AA106" s="21">
        <f>EXP(-LN(2)/25)*AA105+(1-EXP(-LN(2)/25))/(LN(2)/25)*Calculateur!V106*Calculateur!X106*VLOOKUP('Données projet'!$B$9,Paramètres!$A$1:$I$89,3,0)*0.475*44/12</f>
        <v>21.96227371354798</v>
      </c>
      <c r="AB106" s="21">
        <f>EXP(-LN(2)/2)*AB105+(1-EXP(-LN(2)/2))/(LN(2)/2)*V106*Y106*VLOOKUP('Données projet'!$B$9,Paramètres!$A$1:$I$89,3,0)*0.475*44/12</f>
        <v>0.26216869845378982</v>
      </c>
      <c r="AC106" s="22">
        <f t="shared" si="57"/>
        <v>45.833967886416218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-8.8675733422860506E-14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217.53602321474159</v>
      </c>
      <c r="AO106" s="59">
        <f t="shared" si="90"/>
        <v>215.75909414893025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14.057250293029009</v>
      </c>
      <c r="AV106" s="21">
        <f>EXP(-LN(2)/25)*AV105+(1-EXP(-LN(2)/25))/(LN(2)/25)*Calculateur!AQ106*Calculateur!AS106*VLOOKUP('Données projet'!$B$10,Paramètres!$A$1:$I$89,3,0)*0.475*44/12</f>
        <v>10.572459687690388</v>
      </c>
      <c r="AW106" s="21">
        <f>EXP(-LN(2)/2)*AW105+(1-EXP(-LN(2)/2))/(LN(2)/2)*AQ106*AT106*VLOOKUP('Données projet'!$B$10,Paramètres!$A$1:$I$89,3,0)*0.475*44/12</f>
        <v>2.9713567906542761E-4</v>
      </c>
      <c r="AX106" s="21">
        <f t="shared" si="60"/>
        <v>24.630007116398463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-1.7053025658242404E-13</v>
      </c>
      <c r="BE106" s="13">
        <f>BD106*VLOOKUP('Données projet'!$B$11,Paramètres!$A$1:$I$89,3,0)*VLOOKUP('Données projet'!$B$11,Paramètres!$A$1:$I$89,5,0)</f>
        <v>-1.1439169611549005E-13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281.67293577289729</v>
      </c>
      <c r="BJ106" s="59">
        <f t="shared" si="92"/>
        <v>272.44904846480154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21.719678623425285</v>
      </c>
      <c r="BQ106" s="21">
        <f>EXP(-LN(2)/25)*BQ105+(1-EXP(-LN(2)/25))/(LN(2)/25)*Calculateur!BL106*Calculateur!BN106*VLOOKUP('Données projet'!$B$11,Paramètres!$A$1:$I$89,3,0)*0.475*44/12</f>
        <v>18.876779021654073</v>
      </c>
      <c r="BR106" s="21">
        <f>EXP(-LN(2)/2)*BR105+(1-EXP(-LN(2)/2))/(LN(2)/2)*BL106*BO106*VLOOKUP('Données projet'!$B$11,Paramètres!$A$1:$I$89,3,0)*0.475*44/12</f>
        <v>1.5131747173961809E-2</v>
      </c>
      <c r="BS106" s="22">
        <f t="shared" si="63"/>
        <v>40.611589392253315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-1.7053025658242404E-13</v>
      </c>
      <c r="BZ106" s="13">
        <f>BY106*VLOOKUP('Données projet'!$B$12,Paramètres!$A$1:$I$89,3,0)*VLOOKUP('Données projet'!$B$12,Paramètres!$A$1:$I$89,5,0)</f>
        <v>-1.4897523215040567E-13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348.77506423101278</v>
      </c>
      <c r="CE106" s="59">
        <f t="shared" si="94"/>
        <v>336.13747591329548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28.286093090972464</v>
      </c>
      <c r="CL106" s="21">
        <f>EXP(-LN(2)/25)*CL105+(1-EXP(-LN(2)/25))/(LN(2)/25)*Calculateur!CG106*Calculateur!CI106*VLOOKUP('Données projet'!$B$12,Paramètres!$A$1:$I$89,3,0)*0.475*44/12</f>
        <v>24.583712214247157</v>
      </c>
      <c r="CM106" s="21">
        <f>EXP(-LN(2)/2)*CM105+(1-EXP(-LN(2)/2))/(LN(2)/2)*CG106*CJ106*VLOOKUP('Données projet'!$B$12,Paramètres!$A$1:$I$89,3,0)*0.475*44/12</f>
        <v>1.9706461435857268E-2</v>
      </c>
      <c r="CN106" s="22">
        <f t="shared" si="66"/>
        <v>52.889511766655481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6.7777777777777777</v>
      </c>
      <c r="CT106" s="12">
        <f>IF('Données projet'!$A$140&gt;35,CT105+CS106-DB105,IF(A106&lt;'Données projet'!$A$140,$CQ$205^A106,IF(A106='Données projet'!$A$140,'Données projet'!$B$140,CT105+CS106-DB105)))</f>
        <v>264.59222222222206</v>
      </c>
      <c r="CU106" s="17">
        <f>CT106*VLOOKUP('Données projet'!$B$13,Paramètres!$A$1:$I$89,3,0)*VLOOKUP('Données projet'!$B$13,Paramètres!$A$1:$I$89,5,0)</f>
        <v>255.91359733333317</v>
      </c>
      <c r="CV106" s="13">
        <f t="shared" si="95"/>
        <v>61.850520566504819</v>
      </c>
      <c r="CW106" s="20">
        <f t="shared" si="67"/>
        <v>553.43917200888438</v>
      </c>
      <c r="CX106" s="59">
        <f t="shared" si="68"/>
        <v>831.65794093864702</v>
      </c>
      <c r="CY106" s="59">
        <f ca="1">AVERAGE(OFFSET($CX$3,0,0,'Données projet'!$E$13+1,1))-AVERAGE(OFFSET($H$3,0,0,'Données projet'!$E$13+1,1))</f>
        <v>557.48193674339791</v>
      </c>
      <c r="CZ106" s="59">
        <f t="shared" si="96"/>
        <v>271.51396593253048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10.109689205521754</v>
      </c>
      <c r="DG106" s="21">
        <f>EXP(-LN(2)/25)*DG105+(1-EXP(-LN(2)/25))/(LN(2)/25)*Calculateur!DB106*Calculateur!DD106*VLOOKUP('Données projet'!$B$13,Paramètres!$A$1:$I$89,3,0)*0.475*44/12</f>
        <v>25.420886820208182</v>
      </c>
      <c r="DH106" s="21">
        <f>EXP(-LN(2)/2)*DH105+(1-EXP(-LN(2)/2))/(LN(2)/2)*DB106*DE106*VLOOKUP('Données projet'!$B$13,Paramètres!$A$1:$I$89,3,0)*0.475*44/12</f>
        <v>0.2509750326075908</v>
      </c>
      <c r="DI106" s="22">
        <f t="shared" si="69"/>
        <v>35.781551058337527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6.7777777777777777</v>
      </c>
      <c r="DO106" s="12">
        <f>IF('Données projet'!$A$166&gt;35,DO105+DN106-DW105,IF(A106&lt;'Données projet'!$A$166,$DL$205^A106,IF(A106='Données projet'!$A$166,'Données projet'!$B$166,DO105+DN106-DW105)))</f>
        <v>264.59222222222206</v>
      </c>
      <c r="DP106" s="17">
        <f>DO106*VLOOKUP('Données projet'!$B$14,Paramètres!$A$1:$I$89,3,0)*VLOOKUP('Données projet'!$B$14,Paramètres!$A$1:$I$89,5,0)</f>
        <v>284.80706799999979</v>
      </c>
      <c r="DQ106" s="13">
        <f t="shared" si="97"/>
        <v>67.981871920882909</v>
      </c>
      <c r="DR106" s="20">
        <f t="shared" si="70"/>
        <v>614.44073702887056</v>
      </c>
      <c r="DS106" s="59">
        <f t="shared" si="71"/>
        <v>892.65950595863319</v>
      </c>
      <c r="DT106" s="59">
        <f ca="1">AVERAGE(OFFSET($DS$3,0,0,'Données projet'!$E$14+1,1))-AVERAGE(OFFSET($H$3,0,0,'Données projet'!$E$14+1,1))</f>
        <v>610.05768948788375</v>
      </c>
      <c r="DU106" s="59">
        <f t="shared" si="98"/>
        <v>295.23928902444845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11.251105728725822</v>
      </c>
      <c r="EB106" s="21">
        <f>EXP(-LN(2)/25)*EB105+(1-EXP(-LN(2)/25))/(LN(2)/25)*Calculateur!DW106*Calculateur!DY106*VLOOKUP('Données projet'!$B$14,Paramètres!$A$1:$I$89,3,0)*0.475*44/12</f>
        <v>28.29098694507039</v>
      </c>
      <c r="EC106" s="21">
        <f>EXP(-LN(2)/2)*EC105+(1-EXP(-LN(2)/2))/(LN(2)/2)*DW106*DZ106*VLOOKUP('Données projet'!$B$14,Paramètres!$A$1:$I$89,3,0)*0.475*44/12</f>
        <v>0.27931092338586694</v>
      </c>
      <c r="ED106" s="22">
        <f t="shared" si="72"/>
        <v>39.821403597182076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402.2</v>
      </c>
      <c r="L107" s="12">
        <f>VLOOKUP(A107,'Données projet'!$A$35:$I$55,9,0)</f>
        <v>8.9420000000000019</v>
      </c>
      <c r="M107" s="12">
        <f t="array" ref="M107">INDEX(L:L,MIN(IF(ISNUMBER(L107:L303),ROW(L107:L303),"")))</f>
        <v>8.9420000000000019</v>
      </c>
      <c r="N107" s="13">
        <f>IF('Données projet'!$A$36&gt;35,N106+M107-V106,IF(A107&lt;'Données projet'!$A$36,$K$205^A107,IF(A107='Données projet'!$A$36,'Données projet'!$B$36,N106+M107-V106)))</f>
        <v>402.20000000000056</v>
      </c>
      <c r="O107" s="13">
        <f>N107*VLOOKUP('Données projet'!$B$9,Paramètres!$A$1:$I$89,3,0)*VLOOKUP('Données projet'!$B$9,Paramètres!$A$1:$I$89,5,0)</f>
        <v>363.91056000000049</v>
      </c>
      <c r="P107" s="13">
        <f t="shared" si="87"/>
        <v>84.42031043556446</v>
      </c>
      <c r="Q107" s="20">
        <f t="shared" si="107"/>
        <v>780.84293267527562</v>
      </c>
      <c r="R107" s="59">
        <f t="shared" si="55"/>
        <v>1059.3239055063366</v>
      </c>
      <c r="S107" s="59">
        <f ca="1">AVERAGE(OFFSET($R$3,0,0,'Données projet'!$E$9+1,1))-AVERAGE(OFFSET($H$3,0,0,'Données projet'!$E$9+1,1))</f>
        <v>681.47578137804555</v>
      </c>
      <c r="T107" s="59">
        <f t="shared" si="88"/>
        <v>300.88511065995885</v>
      </c>
      <c r="U107" s="15">
        <f>IF(ISNA(VLOOKUP(A107,'Données projet'!$A$35:$I$55,3,0)),0,VLOOKUP(A107,'Données projet'!$A$35:$I$55,3,0))</f>
        <v>8</v>
      </c>
      <c r="V107" s="15">
        <f>IF(ISNA(VLOOKUP(A107,'Données projet'!$A$35:$I$55,4,0)),0,VLOOKUP(A107,'Données projet'!$A$35:$I$55,4,0))</f>
        <v>66.089999999999975</v>
      </c>
      <c r="W107" s="16">
        <f>IF(ISNA(VLOOKUP(A107,'Données projet'!$A$35:$I$55,5,0)),0%,VLOOKUP(A107,'Données projet'!$A$35:$I$55,5,0)*VLOOKUP('Données projet'!$B$9,Paramètres!$A$1:$I$89,7,0))</f>
        <v>0.15049999999999999</v>
      </c>
      <c r="X107" s="16">
        <f>IF(ISNA(VLOOKUP(A107,'Données projet'!$A$35:$I$55,6,0)),0%,VLOOKUP(A107,'Données projet'!$A$35:$I$55,6,0)*VLOOKUP('Données projet'!$B$9,Paramètres!$A$1:$I$89,7,0))</f>
        <v>8.6000000000000007E-2</v>
      </c>
      <c r="Y107" s="16">
        <f>IF(ISNA(VLOOKUP(A107,'Données projet'!$A$35:$I$55,7,0)),0%,VLOOKUP(A107,'Données projet'!$A$35:$I$55,7,0))</f>
        <v>0.1</v>
      </c>
      <c r="Z107" s="21">
        <f>EXP(-LN(2)/35)*Z106+(1-EXP(-LN(2)/35))/(LN(2)/35)*V107*W107*VLOOKUP('Données projet'!$B$9,Paramètres!$A$1:$I$89,3,0)*0.475*44/12</f>
        <v>33.09538580102793</v>
      </c>
      <c r="AA107" s="21">
        <f>EXP(-LN(2)/25)*AA106+(1-EXP(-LN(2)/25))/(LN(2)/25)*Calculateur!V107*Calculateur!X107*VLOOKUP('Données projet'!$B$9,Paramètres!$A$1:$I$89,3,0)*0.475*44/12</f>
        <v>27.024374978935796</v>
      </c>
      <c r="AB107" s="21">
        <f>EXP(-LN(2)/2)*AB106+(1-EXP(-LN(2)/2))/(LN(2)/2)*V107*Y107*VLOOKUP('Données projet'!$B$9,Paramètres!$A$1:$I$89,3,0)*0.475*44/12</f>
        <v>5.8275053982732432</v>
      </c>
      <c r="AC107" s="22">
        <f t="shared" si="57"/>
        <v>65.947266178236973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-8.8675733422860506E-14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217.53602321474159</v>
      </c>
      <c r="AO107" s="59">
        <f t="shared" si="90"/>
        <v>215.75909414893025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13.781596188858769</v>
      </c>
      <c r="AV107" s="21">
        <f>EXP(-LN(2)/25)*AV106+(1-EXP(-LN(2)/25))/(LN(2)/25)*Calculateur!AQ107*Calculateur!AS107*VLOOKUP('Données projet'!$B$10,Paramètres!$A$1:$I$89,3,0)*0.475*44/12</f>
        <v>10.283355221549003</v>
      </c>
      <c r="AW107" s="21">
        <f>EXP(-LN(2)/2)*AW106+(1-EXP(-LN(2)/2))/(LN(2)/2)*AQ107*AT107*VLOOKUP('Données projet'!$B$10,Paramètres!$A$1:$I$89,3,0)*0.475*44/12</f>
        <v>2.1010665359963353E-4</v>
      </c>
      <c r="AX107" s="21">
        <f t="shared" si="60"/>
        <v>24.065161517061373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-1.7053025658242404E-13</v>
      </c>
      <c r="BE107" s="13">
        <f>BD107*VLOOKUP('Données projet'!$B$11,Paramètres!$A$1:$I$89,3,0)*VLOOKUP('Données projet'!$B$11,Paramètres!$A$1:$I$89,5,0)</f>
        <v>-1.1439169611549005E-13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281.67293577289729</v>
      </c>
      <c r="BJ107" s="59">
        <f t="shared" si="92"/>
        <v>272.44904846480154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21.293768973315775</v>
      </c>
      <c r="BQ107" s="21">
        <f>EXP(-LN(2)/25)*BQ106+(1-EXP(-LN(2)/25))/(LN(2)/25)*Calculateur!BL107*Calculateur!BN107*VLOOKUP('Données projet'!$B$11,Paramètres!$A$1:$I$89,3,0)*0.475*44/12</f>
        <v>18.360592506620279</v>
      </c>
      <c r="BR107" s="21">
        <f>EXP(-LN(2)/2)*BR106+(1-EXP(-LN(2)/2))/(LN(2)/2)*BL107*BO107*VLOOKUP('Données projet'!$B$11,Paramètres!$A$1:$I$89,3,0)*0.475*44/12</f>
        <v>1.0699761037908772E-2</v>
      </c>
      <c r="BS107" s="22">
        <f t="shared" si="63"/>
        <v>39.665061240973962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-1.7053025658242404E-13</v>
      </c>
      <c r="BZ107" s="13">
        <f>BY107*VLOOKUP('Données projet'!$B$12,Paramètres!$A$1:$I$89,3,0)*VLOOKUP('Données projet'!$B$12,Paramètres!$A$1:$I$89,5,0)</f>
        <v>-1.4897523215040567E-13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348.77506423101278</v>
      </c>
      <c r="CE107" s="59">
        <f t="shared" si="94"/>
        <v>336.13747591329548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27.731420058271706</v>
      </c>
      <c r="CL107" s="21">
        <f>EXP(-LN(2)/25)*CL106+(1-EXP(-LN(2)/25))/(LN(2)/25)*Calculateur!CG107*Calculateur!CI107*VLOOKUP('Données projet'!$B$12,Paramètres!$A$1:$I$89,3,0)*0.475*44/12</f>
        <v>23.911469310947329</v>
      </c>
      <c r="CM107" s="21">
        <f>EXP(-LN(2)/2)*CM106+(1-EXP(-LN(2)/2))/(LN(2)/2)*CG107*CJ107*VLOOKUP('Données projet'!$B$12,Paramètres!$A$1:$I$89,3,0)*0.475*44/12</f>
        <v>1.3934572514485863E-2</v>
      </c>
      <c r="CN107" s="22">
        <f t="shared" si="66"/>
        <v>51.656823941733521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>
        <f>VLOOKUP(A107,'Données projet'!$A$139:$I$159,2,0)</f>
        <v>271.37</v>
      </c>
      <c r="CR107" s="12">
        <f>VLOOKUP(A107,'Données projet'!$A$139:$I$159,9,0)</f>
        <v>6.7777777777777777</v>
      </c>
      <c r="CS107" s="12">
        <f t="array" ref="CS107">INDEX(CR:CR,MIN(IF(ISNUMBER(CR107:CR303),ROW(CR107:CR303),"")))</f>
        <v>6.7777777777777777</v>
      </c>
      <c r="CT107" s="12">
        <f>IF('Données projet'!$A$140&gt;35,CT106+CS107-DB106,IF(A107&lt;'Données projet'!$A$140,$CQ$205^A107,IF(A107='Données projet'!$A$140,'Données projet'!$B$140,CT106+CS107-DB106)))</f>
        <v>271.36999999999983</v>
      </c>
      <c r="CU107" s="17">
        <f>CT107*VLOOKUP('Données projet'!$B$13,Paramètres!$A$1:$I$89,3,0)*VLOOKUP('Données projet'!$B$13,Paramètres!$A$1:$I$89,5,0)</f>
        <v>262.46906399999983</v>
      </c>
      <c r="CV107" s="13">
        <f t="shared" si="95"/>
        <v>63.248392763074122</v>
      </c>
      <c r="CW107" s="20">
        <f t="shared" si="67"/>
        <v>567.29123719568713</v>
      </c>
      <c r="CX107" s="59">
        <f t="shared" si="68"/>
        <v>845.7722100267481</v>
      </c>
      <c r="CY107" s="59">
        <f ca="1">AVERAGE(OFFSET($CX$3,0,0,'Données projet'!$E$13+1,1))-AVERAGE(OFFSET($H$3,0,0,'Données projet'!$E$13+1,1))</f>
        <v>557.48193674339791</v>
      </c>
      <c r="CZ107" s="59">
        <f t="shared" si="96"/>
        <v>271.51396593253048</v>
      </c>
      <c r="DA107" s="15">
        <f>IF(ISNA(VLOOKUP(A107,'Données projet'!$A$139:$I$159,3,0)),0,VLOOKUP(A107,'Données projet'!$A$139:$I$159,3,0))</f>
        <v>6</v>
      </c>
      <c r="DB107" s="15">
        <f>IF(ISNA(VLOOKUP(A107,'Données projet'!$A$139:$I$159,4,0)),0,VLOOKUP(A107,'Données projet'!$A$139:$I$159,4,0))</f>
        <v>39.400000000000006</v>
      </c>
      <c r="DC107" s="16">
        <f>IF(ISNA(VLOOKUP(A107,'Données projet'!$A$139:$I$159,5,0)),0%,VLOOKUP(A107,'Données projet'!$A$139:$I$159,5,0)*VLOOKUP('Données projet'!$B$13,Paramètres!$A$1:$I$89,7,0))</f>
        <v>0.15049999999999999</v>
      </c>
      <c r="DD107" s="16">
        <f>IF(ISNA(VLOOKUP(A107,'Données projet'!$A$139:$I$159,6,0)),0%,VLOOKUP(A107,'Données projet'!$A$139:$I$159,6,0)*VLOOKUP('Données projet'!$B$13,Paramètres!$A$1:$I$89,7,0))</f>
        <v>8.6000000000000007E-2</v>
      </c>
      <c r="DE107" s="16">
        <f>IF(ISNA(VLOOKUP(A107,'Données projet'!$A$139:$I$159,7,0)),0%,VLOOKUP(A107,'Données projet'!$A$139:$I$159,7,0))</f>
        <v>0.1</v>
      </c>
      <c r="DF107" s="21">
        <f>EXP(-LN(2)/35)*DF106+(1-EXP(-LN(2)/35))/(LN(2)/35)*DB107*DC107*VLOOKUP('Données projet'!$B$13,Paramètres!$A$1:$I$89,3,0)*0.475*44/12</f>
        <v>16.251544543147411</v>
      </c>
      <c r="DG107" s="21">
        <f>EXP(-LN(2)/25)*DG106+(1-EXP(-LN(2)/25))/(LN(2)/25)*Calculateur!DB107*Calculateur!DD107*VLOOKUP('Données projet'!$B$13,Paramètres!$A$1:$I$89,3,0)*0.475*44/12</f>
        <v>28.334400925558327</v>
      </c>
      <c r="DH107" s="21">
        <f>EXP(-LN(2)/2)*DH106+(1-EXP(-LN(2)/2))/(LN(2)/2)*DB107*DE107*VLOOKUP('Données projet'!$B$13,Paramètres!$A$1:$I$89,3,0)*0.475*44/12</f>
        <v>3.7730283207822897</v>
      </c>
      <c r="DI107" s="22">
        <f t="shared" si="69"/>
        <v>48.358973789488026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>
        <f>VLOOKUP(A107,'Données projet'!$A$165:$I$185,2,0)</f>
        <v>271.37</v>
      </c>
      <c r="DM107" s="12">
        <f>VLOOKUP(A107,'Données projet'!$A$165:$I$185,9,0)</f>
        <v>6.7777777777777777</v>
      </c>
      <c r="DN107" s="12">
        <f t="array" ref="DN107">INDEX(DM:DM,MIN(IF(ISNUMBER(DM107:DM303),ROW(DM107:DM303),"")))</f>
        <v>6.7777777777777777</v>
      </c>
      <c r="DO107" s="12">
        <f>IF('Données projet'!$A$166&gt;35,DO106+DN107-DW106,IF(A107&lt;'Données projet'!$A$166,$DL$205^A107,IF(A107='Données projet'!$A$166,'Données projet'!$B$166,DO106+DN107-DW106)))</f>
        <v>271.36999999999983</v>
      </c>
      <c r="DP107" s="17">
        <f>DO107*VLOOKUP('Données projet'!$B$14,Paramètres!$A$1:$I$89,3,0)*VLOOKUP('Données projet'!$B$14,Paramètres!$A$1:$I$89,5,0)</f>
        <v>292.10266799999982</v>
      </c>
      <c r="DQ107" s="13">
        <f t="shared" si="97"/>
        <v>69.518317657451291</v>
      </c>
      <c r="DR107" s="20">
        <f t="shared" si="70"/>
        <v>629.82321668672728</v>
      </c>
      <c r="DS107" s="59">
        <f t="shared" si="71"/>
        <v>908.30418951778825</v>
      </c>
      <c r="DT107" s="59">
        <f ca="1">AVERAGE(OFFSET($DS$3,0,0,'Données projet'!$E$14+1,1))-AVERAGE(OFFSET($H$3,0,0,'Données projet'!$E$14+1,1))</f>
        <v>610.05768948788375</v>
      </c>
      <c r="DU107" s="59">
        <f t="shared" si="98"/>
        <v>295.23928902444845</v>
      </c>
      <c r="DV107" s="15">
        <f>IF(ISNA(VLOOKUP(A107,'Données projet'!$A$165:$I$185,3,0)),0,VLOOKUP(A107,'Données projet'!$A$165:$I$185,3,0))</f>
        <v>6</v>
      </c>
      <c r="DW107" s="15">
        <f>IF(ISNA(VLOOKUP(A107,'Données projet'!$A$165:$I$185,4,0)),0,VLOOKUP(A107,'Données projet'!$A$165:$I$185,4,0))</f>
        <v>39.400000000000006</v>
      </c>
      <c r="DX107" s="16">
        <f>IF(ISNA(VLOOKUP(A107,'Données projet'!$A$165:$I$185,5,0)),0%,VLOOKUP(A107,'Données projet'!$A$165:$I$185,5,0)*VLOOKUP('Données projet'!$B$14,Paramètres!$A$1:$I$89,7,0))</f>
        <v>0.15049999999999999</v>
      </c>
      <c r="DY107" s="16">
        <f>IF(ISNA(VLOOKUP(A107,'Données projet'!$A$165:$I$185,6,0)),0%,VLOOKUP(A107,'Données projet'!$A$165:$I$185,6,0)*VLOOKUP('Données projet'!$B$14,Paramètres!$A$1:$I$89,7,0))</f>
        <v>8.6000000000000007E-2</v>
      </c>
      <c r="DZ107" s="16">
        <f>IF(ISNA(VLOOKUP(A107,'Données projet'!$A$165:$I$185,7,0)),0%,VLOOKUP(A107,'Données projet'!$A$165:$I$185,7,0))</f>
        <v>0.1</v>
      </c>
      <c r="EA107" s="21">
        <f>EXP(-LN(2)/35)*EA106+(1-EXP(-LN(2)/35))/(LN(2)/35)*DW107*DX107*VLOOKUP('Données projet'!$B$14,Paramètres!$A$1:$I$89,3,0)*0.475*44/12</f>
        <v>18.086396346405987</v>
      </c>
      <c r="EB107" s="21">
        <f>EXP(-LN(2)/25)*EB106+(1-EXP(-LN(2)/25))/(LN(2)/25)*Calculateur!DW107*Calculateur!DY107*VLOOKUP('Données projet'!$B$14,Paramètres!$A$1:$I$89,3,0)*0.475*44/12</f>
        <v>31.533446191347164</v>
      </c>
      <c r="EC107" s="21">
        <f>EXP(-LN(2)/2)*EC106+(1-EXP(-LN(2)/2))/(LN(2)/2)*DW107*DZ107*VLOOKUP('Données projet'!$B$14,Paramètres!$A$1:$I$89,3,0)*0.475*44/12</f>
        <v>4.1990153892577071</v>
      </c>
      <c r="ED107" s="22">
        <f t="shared" si="72"/>
        <v>53.81885792701086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8.8449999999999989</v>
      </c>
      <c r="N108" s="13">
        <f>IF('Données projet'!$A$36&gt;35,N107+M108-V107,IF(A108&lt;'Données projet'!$A$36,$K$205^A108,IF(A108='Données projet'!$A$36,'Données projet'!$B$36,N107+M108-V107)))</f>
        <v>344.95500000000055</v>
      </c>
      <c r="O108" s="13">
        <f>N108*VLOOKUP('Données projet'!$B$9,Paramètres!$A$1:$I$89,3,0)*VLOOKUP('Données projet'!$B$9,Paramètres!$A$1:$I$89,5,0)</f>
        <v>312.11528400000049</v>
      </c>
      <c r="P108" s="13">
        <f t="shared" si="87"/>
        <v>73.71041067221141</v>
      </c>
      <c r="Q108" s="20">
        <f t="shared" si="107"/>
        <v>671.97975155410234</v>
      </c>
      <c r="R108" s="59">
        <f t="shared" si="55"/>
        <v>950.7183796349741</v>
      </c>
      <c r="S108" s="59">
        <f ca="1">AVERAGE(OFFSET($R$3,0,0,'Données projet'!$E$9+1,1))-AVERAGE(OFFSET($H$3,0,0,'Données projet'!$E$9+1,1))</f>
        <v>681.47578137804555</v>
      </c>
      <c r="T108" s="59">
        <f t="shared" si="88"/>
        <v>300.88511065995885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32.44640547166189</v>
      </c>
      <c r="AA108" s="21">
        <f>EXP(-LN(2)/25)*AA107+(1-EXP(-LN(2)/25))/(LN(2)/25)*Calculateur!V108*Calculateur!X108*VLOOKUP('Données projet'!$B$9,Paramètres!$A$1:$I$89,3,0)*0.475*44/12</f>
        <v>26.285392023986681</v>
      </c>
      <c r="AB108" s="21">
        <f>EXP(-LN(2)/2)*AB107+(1-EXP(-LN(2)/2))/(LN(2)/2)*V108*Y108*VLOOKUP('Données projet'!$B$9,Paramètres!$A$1:$I$89,3,0)*0.475*44/12</f>
        <v>4.1206685845202227</v>
      </c>
      <c r="AC108" s="22">
        <f t="shared" si="57"/>
        <v>62.852466080168796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-8.8675733422860506E-14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217.53602321474159</v>
      </c>
      <c r="AO108" s="59">
        <f t="shared" si="90"/>
        <v>215.75909414893025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13.511347493538906</v>
      </c>
      <c r="AV108" s="21">
        <f>EXP(-LN(2)/25)*AV107+(1-EXP(-LN(2)/25))/(LN(2)/25)*Calculateur!AQ108*Calculateur!AS108*VLOOKUP('Données projet'!$B$10,Paramètres!$A$1:$I$89,3,0)*0.475*44/12</f>
        <v>10.002156332237599</v>
      </c>
      <c r="AW108" s="21">
        <f>EXP(-LN(2)/2)*AW107+(1-EXP(-LN(2)/2))/(LN(2)/2)*AQ108*AT108*VLOOKUP('Données projet'!$B$10,Paramètres!$A$1:$I$89,3,0)*0.475*44/12</f>
        <v>1.485678395327138E-4</v>
      </c>
      <c r="AX108" s="21">
        <f t="shared" si="60"/>
        <v>23.513652393616034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-1.7053025658242404E-13</v>
      </c>
      <c r="BE108" s="13">
        <f>BD108*VLOOKUP('Données projet'!$B$11,Paramètres!$A$1:$I$89,3,0)*VLOOKUP('Données projet'!$B$11,Paramètres!$A$1:$I$89,5,0)</f>
        <v>-1.1439169611549005E-13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281.67293577289729</v>
      </c>
      <c r="BJ108" s="59">
        <f t="shared" si="92"/>
        <v>272.44904846480154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20.876211151665675</v>
      </c>
      <c r="BQ108" s="21">
        <f>EXP(-LN(2)/25)*BQ107+(1-EXP(-LN(2)/25))/(LN(2)/25)*Calculateur!BL108*Calculateur!BN108*VLOOKUP('Données projet'!$B$11,Paramètres!$A$1:$I$89,3,0)*0.475*44/12</f>
        <v>17.85852113898515</v>
      </c>
      <c r="BR108" s="21">
        <f>EXP(-LN(2)/2)*BR107+(1-EXP(-LN(2)/2))/(LN(2)/2)*BL108*BO108*VLOOKUP('Données projet'!$B$11,Paramètres!$A$1:$I$89,3,0)*0.475*44/12</f>
        <v>7.5658735869809047E-3</v>
      </c>
      <c r="BS108" s="22">
        <f t="shared" si="63"/>
        <v>38.742298164237809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-1.7053025658242404E-13</v>
      </c>
      <c r="BZ108" s="13">
        <f>BY108*VLOOKUP('Données projet'!$B$12,Paramètres!$A$1:$I$89,3,0)*VLOOKUP('Données projet'!$B$12,Paramètres!$A$1:$I$89,5,0)</f>
        <v>-1.4897523215040567E-13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348.77506423101278</v>
      </c>
      <c r="CE108" s="59">
        <f t="shared" si="94"/>
        <v>336.13747591329548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27.187623825425064</v>
      </c>
      <c r="CL108" s="21">
        <f>EXP(-LN(2)/25)*CL107+(1-EXP(-LN(2)/25))/(LN(2)/25)*Calculateur!CG108*Calculateur!CI108*VLOOKUP('Données projet'!$B$12,Paramètres!$A$1:$I$89,3,0)*0.475*44/12</f>
        <v>23.257608925189952</v>
      </c>
      <c r="CM108" s="21">
        <f>EXP(-LN(2)/2)*CM107+(1-EXP(-LN(2)/2))/(LN(2)/2)*CG108*CJ108*VLOOKUP('Données projet'!$B$12,Paramètres!$A$1:$I$89,3,0)*0.475*44/12</f>
        <v>9.8532307179286342E-3</v>
      </c>
      <c r="CN108" s="22">
        <f t="shared" si="66"/>
        <v>50.45508598133295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6.8811111111111085</v>
      </c>
      <c r="CT108" s="12">
        <f>IF('Données projet'!$A$140&gt;35,CT107+CS108-DB107,IF(A108&lt;'Données projet'!$A$140,$CQ$205^A108,IF(A108='Données projet'!$A$140,'Données projet'!$B$140,CT107+CS108-DB107)))</f>
        <v>238.85111111111095</v>
      </c>
      <c r="CU108" s="17">
        <f>CT108*VLOOKUP('Données projet'!$B$13,Paramètres!$A$1:$I$89,3,0)*VLOOKUP('Données projet'!$B$13,Paramètres!$A$1:$I$89,5,0)</f>
        <v>231.0167946666665</v>
      </c>
      <c r="CV108" s="13">
        <f t="shared" si="95"/>
        <v>56.50247983642894</v>
      </c>
      <c r="CW108" s="20">
        <f t="shared" si="67"/>
        <v>500.76273642622454</v>
      </c>
      <c r="CX108" s="59">
        <f t="shared" si="68"/>
        <v>779.50136450709624</v>
      </c>
      <c r="CY108" s="59">
        <f ca="1">AVERAGE(OFFSET($CX$3,0,0,'Données projet'!$E$13+1,1))-AVERAGE(OFFSET($H$3,0,0,'Données projet'!$E$13+1,1))</f>
        <v>557.48193674339791</v>
      </c>
      <c r="CZ108" s="59">
        <f t="shared" si="96"/>
        <v>271.51396593253048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15.932861667119687</v>
      </c>
      <c r="DG108" s="21">
        <f>EXP(-LN(2)/25)*DG107+(1-EXP(-LN(2)/25))/(LN(2)/25)*Calculateur!DB108*Calculateur!DD108*VLOOKUP('Données projet'!$B$13,Paramètres!$A$1:$I$89,3,0)*0.475*44/12</f>
        <v>27.55959524220755</v>
      </c>
      <c r="DH108" s="21">
        <f>EXP(-LN(2)/2)*DH107+(1-EXP(-LN(2)/2))/(LN(2)/2)*DB108*DE108*VLOOKUP('Données projet'!$B$13,Paramètres!$A$1:$I$89,3,0)*0.475*44/12</f>
        <v>2.6679339112340497</v>
      </c>
      <c r="DI108" s="22">
        <f t="shared" si="69"/>
        <v>46.16039082056129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6.8811111111111085</v>
      </c>
      <c r="DO108" s="12">
        <f>IF('Données projet'!$A$166&gt;35,DO107+DN108-DW107,IF(A108&lt;'Données projet'!$A$166,$DL$205^A108,IF(A108='Données projet'!$A$166,'Données projet'!$B$166,DO107+DN108-DW107)))</f>
        <v>238.85111111111095</v>
      </c>
      <c r="DP108" s="17">
        <f>DO108*VLOOKUP('Données projet'!$B$14,Paramètres!$A$1:$I$89,3,0)*VLOOKUP('Données projet'!$B$14,Paramètres!$A$1:$I$89,5,0)</f>
        <v>257.09933599999982</v>
      </c>
      <c r="DQ108" s="13">
        <f t="shared" si="97"/>
        <v>62.103670466640416</v>
      </c>
      <c r="DR108" s="20">
        <f t="shared" si="70"/>
        <v>555.94523626273178</v>
      </c>
      <c r="DS108" s="59">
        <f t="shared" si="71"/>
        <v>834.68386434360355</v>
      </c>
      <c r="DT108" s="59">
        <f ca="1">AVERAGE(OFFSET($DS$3,0,0,'Données projet'!$E$14+1,1))-AVERAGE(OFFSET($H$3,0,0,'Données projet'!$E$14+1,1))</f>
        <v>610.05768948788375</v>
      </c>
      <c r="DU108" s="59">
        <f t="shared" si="98"/>
        <v>295.23928902444845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17.731733145665455</v>
      </c>
      <c r="EB108" s="21">
        <f>EXP(-LN(2)/25)*EB107+(1-EXP(-LN(2)/25))/(LN(2)/25)*Calculateur!DW108*Calculateur!DY108*VLOOKUP('Données projet'!$B$14,Paramètres!$A$1:$I$89,3,0)*0.475*44/12</f>
        <v>30.671162446972911</v>
      </c>
      <c r="EC108" s="21">
        <f>EXP(-LN(2)/2)*EC107+(1-EXP(-LN(2)/2))/(LN(2)/2)*DW108*DZ108*VLOOKUP('Données projet'!$B$14,Paramètres!$A$1:$I$89,3,0)*0.475*44/12</f>
        <v>2.9691522560507955</v>
      </c>
      <c r="ED108" s="22">
        <f t="shared" si="72"/>
        <v>51.372047848689164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8.8449999999999989</v>
      </c>
      <c r="N109" s="13">
        <f>IF('Données projet'!$A$36&gt;35,N108+M109-V108,IF(A109&lt;'Données projet'!$A$36,$K$205^A109,IF(A109='Données projet'!$A$36,'Données projet'!$B$36,N108+M109-V108)))</f>
        <v>353.80000000000052</v>
      </c>
      <c r="O109" s="13">
        <f>N109*VLOOKUP('Données projet'!$B$9,Paramètres!$A$1:$I$89,3,0)*VLOOKUP('Données projet'!$B$9,Paramètres!$A$1:$I$89,5,0)</f>
        <v>320.11824000000047</v>
      </c>
      <c r="P109" s="13">
        <f t="shared" si="87"/>
        <v>75.377955265343587</v>
      </c>
      <c r="Q109" s="20">
        <f t="shared" si="107"/>
        <v>688.82254008714096</v>
      </c>
      <c r="R109" s="59">
        <f t="shared" si="55"/>
        <v>967.81435367527001</v>
      </c>
      <c r="S109" s="59">
        <f ca="1">AVERAGE(OFFSET($R$3,0,0,'Données projet'!$E$9+1,1))-AVERAGE(OFFSET($H$3,0,0,'Données projet'!$E$9+1,1))</f>
        <v>681.47578137804555</v>
      </c>
      <c r="T109" s="59">
        <f t="shared" si="88"/>
        <v>300.88511065995885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31.810151250715805</v>
      </c>
      <c r="AA109" s="21">
        <f>EXP(-LN(2)/25)*AA108+(1-EXP(-LN(2)/25))/(LN(2)/25)*Calculateur!V109*Calculateur!X109*VLOOKUP('Données projet'!$B$9,Paramètres!$A$1:$I$89,3,0)*0.475*44/12</f>
        <v>25.566616596802074</v>
      </c>
      <c r="AB109" s="21">
        <f>EXP(-LN(2)/2)*AB108+(1-EXP(-LN(2)/2))/(LN(2)/2)*V109*Y109*VLOOKUP('Données projet'!$B$9,Paramètres!$A$1:$I$89,3,0)*0.475*44/12</f>
        <v>2.9137526991366216</v>
      </c>
      <c r="AC109" s="22">
        <f t="shared" si="57"/>
        <v>60.290520546654506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-8.8675733422860506E-14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217.53602321474159</v>
      </c>
      <c r="AO109" s="59">
        <f t="shared" si="90"/>
        <v>215.75909414893025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13.246398210298837</v>
      </c>
      <c r="AV109" s="21">
        <f>EXP(-LN(2)/25)*AV108+(1-EXP(-LN(2)/25))/(LN(2)/25)*Calculateur!AQ109*Calculateur!AS109*VLOOKUP('Données projet'!$B$10,Paramètres!$A$1:$I$89,3,0)*0.475*44/12</f>
        <v>9.7286468413420195</v>
      </c>
      <c r="AW109" s="21">
        <f>EXP(-LN(2)/2)*AW108+(1-EXP(-LN(2)/2))/(LN(2)/2)*AQ109*AT109*VLOOKUP('Données projet'!$B$10,Paramètres!$A$1:$I$89,3,0)*0.475*44/12</f>
        <v>1.0505332679981677E-4</v>
      </c>
      <c r="AX109" s="21">
        <f t="shared" si="60"/>
        <v>22.975150104967653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-1.7053025658242404E-13</v>
      </c>
      <c r="BE109" s="13">
        <f>BD109*VLOOKUP('Données projet'!$B$11,Paramètres!$A$1:$I$89,3,0)*VLOOKUP('Données projet'!$B$11,Paramètres!$A$1:$I$89,5,0)</f>
        <v>-1.1439169611549005E-13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281.67293577289729</v>
      </c>
      <c r="BJ109" s="59">
        <f t="shared" si="92"/>
        <v>272.44904846480154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20.466841384213012</v>
      </c>
      <c r="BQ109" s="21">
        <f>EXP(-LN(2)/25)*BQ108+(1-EXP(-LN(2)/25))/(LN(2)/25)*Calculateur!BL109*Calculateur!BN109*VLOOKUP('Données projet'!$B$11,Paramètres!$A$1:$I$89,3,0)*0.475*44/12</f>
        <v>17.370178939300789</v>
      </c>
      <c r="BR109" s="21">
        <f>EXP(-LN(2)/2)*BR108+(1-EXP(-LN(2)/2))/(LN(2)/2)*BL109*BO109*VLOOKUP('Données projet'!$B$11,Paramètres!$A$1:$I$89,3,0)*0.475*44/12</f>
        <v>5.349880518954386E-3</v>
      </c>
      <c r="BS109" s="22">
        <f t="shared" si="63"/>
        <v>37.842370204032754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-1.7053025658242404E-13</v>
      </c>
      <c r="BZ109" s="13">
        <f>BY109*VLOOKUP('Données projet'!$B$12,Paramètres!$A$1:$I$89,3,0)*VLOOKUP('Données projet'!$B$12,Paramètres!$A$1:$I$89,5,0)</f>
        <v>-1.4897523215040567E-13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348.77506423101278</v>
      </c>
      <c r="CE109" s="59">
        <f t="shared" si="94"/>
        <v>336.13747591329548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26.654491105021595</v>
      </c>
      <c r="CL109" s="21">
        <f>EXP(-LN(2)/25)*CL108+(1-EXP(-LN(2)/25))/(LN(2)/25)*Calculateur!CG109*Calculateur!CI109*VLOOKUP('Données projet'!$B$12,Paramètres!$A$1:$I$89,3,0)*0.475*44/12</f>
        <v>22.621628386066135</v>
      </c>
      <c r="CM109" s="21">
        <f>EXP(-LN(2)/2)*CM108+(1-EXP(-LN(2)/2))/(LN(2)/2)*CG109*CJ109*VLOOKUP('Données projet'!$B$12,Paramètres!$A$1:$I$89,3,0)*0.475*44/12</f>
        <v>6.9672862572429314E-3</v>
      </c>
      <c r="CN109" s="22">
        <f t="shared" si="66"/>
        <v>49.28308677734497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6.8811111111111085</v>
      </c>
      <c r="CT109" s="12">
        <f>IF('Données projet'!$A$140&gt;35,CT108+CS109-DB108,IF(A109&lt;'Données projet'!$A$140,$CQ$205^A109,IF(A109='Données projet'!$A$140,'Données projet'!$B$140,CT108+CS109-DB108)))</f>
        <v>245.73222222222205</v>
      </c>
      <c r="CU109" s="17">
        <f>CT109*VLOOKUP('Données projet'!$B$13,Paramètres!$A$1:$I$89,3,0)*VLOOKUP('Données projet'!$B$13,Paramètres!$A$1:$I$89,5,0)</f>
        <v>237.67220533333315</v>
      </c>
      <c r="CV109" s="13">
        <f t="shared" si="95"/>
        <v>57.938410377158242</v>
      </c>
      <c r="CW109" s="20">
        <f t="shared" si="67"/>
        <v>514.8551556957724</v>
      </c>
      <c r="CX109" s="59">
        <f t="shared" si="68"/>
        <v>793.84696928390144</v>
      </c>
      <c r="CY109" s="59">
        <f ca="1">AVERAGE(OFFSET($CX$3,0,0,'Données projet'!$E$13+1,1))-AVERAGE(OFFSET($H$3,0,0,'Données projet'!$E$13+1,1))</f>
        <v>557.48193674339791</v>
      </c>
      <c r="CZ109" s="59">
        <f t="shared" si="96"/>
        <v>271.51396593253048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15.620427967913505</v>
      </c>
      <c r="DG109" s="21">
        <f>EXP(-LN(2)/25)*DG108+(1-EXP(-LN(2)/25))/(LN(2)/25)*Calculateur!DB109*Calculateur!DD109*VLOOKUP('Données projet'!$B$13,Paramètres!$A$1:$I$89,3,0)*0.475*44/12</f>
        <v>26.805976661013258</v>
      </c>
      <c r="DH109" s="21">
        <f>EXP(-LN(2)/2)*DH108+(1-EXP(-LN(2)/2))/(LN(2)/2)*DB109*DE109*VLOOKUP('Données projet'!$B$13,Paramètres!$A$1:$I$89,3,0)*0.475*44/12</f>
        <v>1.8865141603911453</v>
      </c>
      <c r="DI109" s="22">
        <f t="shared" si="69"/>
        <v>44.312918789317905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6.8811111111111085</v>
      </c>
      <c r="DO109" s="12">
        <f>IF('Données projet'!$A$166&gt;35,DO108+DN109-DW108,IF(A109&lt;'Données projet'!$A$166,$DL$205^A109,IF(A109='Données projet'!$A$166,'Données projet'!$B$166,DO108+DN109-DW108)))</f>
        <v>245.73222222222205</v>
      </c>
      <c r="DP109" s="17">
        <f>DO109*VLOOKUP('Données projet'!$B$14,Paramètres!$A$1:$I$89,3,0)*VLOOKUP('Données projet'!$B$14,Paramètres!$A$1:$I$89,5,0)</f>
        <v>264.50616399999979</v>
      </c>
      <c r="DQ109" s="13">
        <f t="shared" si="97"/>
        <v>63.681947338250211</v>
      </c>
      <c r="DR109" s="20">
        <f t="shared" si="70"/>
        <v>571.59429391411868</v>
      </c>
      <c r="DS109" s="59">
        <f t="shared" si="71"/>
        <v>850.58610750224784</v>
      </c>
      <c r="DT109" s="59">
        <f ca="1">AVERAGE(OFFSET($DS$3,0,0,'Données projet'!$E$14+1,1))-AVERAGE(OFFSET($H$3,0,0,'Données projet'!$E$14+1,1))</f>
        <v>610.05768948788375</v>
      </c>
      <c r="DU109" s="59">
        <f t="shared" si="98"/>
        <v>295.23928902444845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17.384024673968252</v>
      </c>
      <c r="EB109" s="21">
        <f>EXP(-LN(2)/25)*EB108+(1-EXP(-LN(2)/25))/(LN(2)/25)*Calculateur!DW109*Calculateur!DY109*VLOOKUP('Données projet'!$B$14,Paramètres!$A$1:$I$89,3,0)*0.475*44/12</f>
        <v>29.832457896934102</v>
      </c>
      <c r="EC109" s="21">
        <f>EXP(-LN(2)/2)*EC108+(1-EXP(-LN(2)/2))/(LN(2)/2)*DW109*DZ109*VLOOKUP('Données projet'!$B$14,Paramètres!$A$1:$I$89,3,0)*0.475*44/12</f>
        <v>2.099507694628854</v>
      </c>
      <c r="ED109" s="22">
        <f t="shared" si="72"/>
        <v>49.315990265531212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8.8449999999999989</v>
      </c>
      <c r="N110" s="13">
        <f>IF('Données projet'!$A$36&gt;35,N109+M110-V109,IF(A110&lt;'Données projet'!$A$36,$K$205^A110,IF(A110='Données projet'!$A$36,'Données projet'!$B$36,N109+M110-V109)))</f>
        <v>362.64500000000055</v>
      </c>
      <c r="O110" s="13">
        <f>N110*VLOOKUP('Données projet'!$B$9,Paramètres!$A$1:$I$89,3,0)*VLOOKUP('Données projet'!$B$9,Paramètres!$A$1:$I$89,5,0)</f>
        <v>328.12119600000045</v>
      </c>
      <c r="P110" s="13">
        <f t="shared" si="87"/>
        <v>77.040653823854953</v>
      </c>
      <c r="Q110" s="20">
        <f t="shared" si="107"/>
        <v>705.65688844321483</v>
      </c>
      <c r="R110" s="59">
        <f t="shared" si="55"/>
        <v>984.89749533608847</v>
      </c>
      <c r="S110" s="59">
        <f ca="1">AVERAGE(OFFSET($R$3,0,0,'Données projet'!$E$9+1,1))-AVERAGE(OFFSET($H$3,0,0,'Données projet'!$E$9+1,1))</f>
        <v>681.47578137804555</v>
      </c>
      <c r="T110" s="59">
        <f t="shared" si="88"/>
        <v>300.88511065995885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31.186373586965715</v>
      </c>
      <c r="AA110" s="21">
        <f>EXP(-LN(2)/25)*AA109+(1-EXP(-LN(2)/25))/(LN(2)/25)*Calculateur!V110*Calculateur!X110*VLOOKUP('Données projet'!$B$9,Paramètres!$A$1:$I$89,3,0)*0.475*44/12</f>
        <v>24.867496121472588</v>
      </c>
      <c r="AB110" s="21">
        <f>EXP(-LN(2)/2)*AB109+(1-EXP(-LN(2)/2))/(LN(2)/2)*V110*Y110*VLOOKUP('Données projet'!$B$9,Paramètres!$A$1:$I$89,3,0)*0.475*44/12</f>
        <v>2.0603342922601113</v>
      </c>
      <c r="AC110" s="22">
        <f t="shared" si="57"/>
        <v>58.114204000698408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-8.8675733422860506E-14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217.53602321474159</v>
      </c>
      <c r="AO110" s="59">
        <f t="shared" si="90"/>
        <v>215.75909414893025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12.986644420900001</v>
      </c>
      <c r="AV110" s="21">
        <f>EXP(-LN(2)/25)*AV109+(1-EXP(-LN(2)/25))/(LN(2)/25)*Calculateur!AQ110*Calculateur!AS110*VLOOKUP('Données projet'!$B$10,Paramètres!$A$1:$I$89,3,0)*0.475*44/12</f>
        <v>9.4626164818582197</v>
      </c>
      <c r="AW110" s="21">
        <f>EXP(-LN(2)/2)*AW109+(1-EXP(-LN(2)/2))/(LN(2)/2)*AQ110*AT110*VLOOKUP('Données projet'!$B$10,Paramètres!$A$1:$I$89,3,0)*0.475*44/12</f>
        <v>7.4283919766356902E-5</v>
      </c>
      <c r="AX110" s="21">
        <f t="shared" si="60"/>
        <v>22.449335186677985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-1.7053025658242404E-13</v>
      </c>
      <c r="BE110" s="13">
        <f>BD110*VLOOKUP('Données projet'!$B$11,Paramètres!$A$1:$I$89,3,0)*VLOOKUP('Données projet'!$B$11,Paramètres!$A$1:$I$89,5,0)</f>
        <v>-1.1439169611549005E-13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281.67293577289729</v>
      </c>
      <c r="BJ110" s="59">
        <f t="shared" si="92"/>
        <v>272.44904846480154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20.065499108209192</v>
      </c>
      <c r="BQ110" s="21">
        <f>EXP(-LN(2)/25)*BQ109+(1-EXP(-LN(2)/25))/(LN(2)/25)*Calculateur!BL110*Calculateur!BN110*VLOOKUP('Données projet'!$B$11,Paramètres!$A$1:$I$89,3,0)*0.475*44/12</f>
        <v>16.895190482747598</v>
      </c>
      <c r="BR110" s="21">
        <f>EXP(-LN(2)/2)*BR109+(1-EXP(-LN(2)/2))/(LN(2)/2)*BL110*BO110*VLOOKUP('Données projet'!$B$11,Paramètres!$A$1:$I$89,3,0)*0.475*44/12</f>
        <v>3.7829367934904524E-3</v>
      </c>
      <c r="BS110" s="22">
        <f t="shared" si="63"/>
        <v>36.964472527750281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-1.7053025658242404E-13</v>
      </c>
      <c r="BZ110" s="13">
        <f>BY110*VLOOKUP('Données projet'!$B$12,Paramètres!$A$1:$I$89,3,0)*VLOOKUP('Données projet'!$B$12,Paramètres!$A$1:$I$89,5,0)</f>
        <v>-1.4897523215040567E-13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348.77506423101278</v>
      </c>
      <c r="CE110" s="59">
        <f t="shared" si="94"/>
        <v>336.13747591329548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26.131812792086389</v>
      </c>
      <c r="CL110" s="21">
        <f>EXP(-LN(2)/25)*CL109+(1-EXP(-LN(2)/25))/(LN(2)/25)*Calculateur!CG110*Calculateur!CI110*VLOOKUP('Données projet'!$B$12,Paramètres!$A$1:$I$89,3,0)*0.475*44/12</f>
        <v>22.003038768229423</v>
      </c>
      <c r="CM110" s="21">
        <f>EXP(-LN(2)/2)*CM109+(1-EXP(-LN(2)/2))/(LN(2)/2)*CG110*CJ110*VLOOKUP('Données projet'!$B$12,Paramètres!$A$1:$I$89,3,0)*0.475*44/12</f>
        <v>4.9266153589643171E-3</v>
      </c>
      <c r="CN110" s="22">
        <f t="shared" si="66"/>
        <v>48.13977817567477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6.8811111111111085</v>
      </c>
      <c r="CT110" s="12">
        <f>IF('Données projet'!$A$140&gt;35,CT109+CS110-DB109,IF(A110&lt;'Données projet'!$A$140,$CQ$205^A110,IF(A110='Données projet'!$A$140,'Données projet'!$B$140,CT109+CS110-DB109)))</f>
        <v>252.61333333333314</v>
      </c>
      <c r="CU110" s="17">
        <f>CT110*VLOOKUP('Données projet'!$B$13,Paramètres!$A$1:$I$89,3,0)*VLOOKUP('Données projet'!$B$13,Paramètres!$A$1:$I$89,5,0)</f>
        <v>244.32761599999981</v>
      </c>
      <c r="CV110" s="13">
        <f t="shared" si="95"/>
        <v>59.369667493101296</v>
      </c>
      <c r="CW110" s="20">
        <f t="shared" si="67"/>
        <v>528.93943541715112</v>
      </c>
      <c r="CX110" s="59">
        <f t="shared" si="68"/>
        <v>808.18004231002476</v>
      </c>
      <c r="CY110" s="59">
        <f ca="1">AVERAGE(OFFSET($CX$3,0,0,'Données projet'!$E$13+1,1))-AVERAGE(OFFSET($H$3,0,0,'Données projet'!$E$13+1,1))</f>
        <v>557.48193674339791</v>
      </c>
      <c r="CZ110" s="59">
        <f t="shared" si="96"/>
        <v>271.51396593253048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15.314120902983017</v>
      </c>
      <c r="DG110" s="21">
        <f>EXP(-LN(2)/25)*DG109+(1-EXP(-LN(2)/25))/(LN(2)/25)*Calculateur!DB110*Calculateur!DD110*VLOOKUP('Données projet'!$B$13,Paramètres!$A$1:$I$89,3,0)*0.475*44/12</f>
        <v>26.072965819552802</v>
      </c>
      <c r="DH110" s="21">
        <f>EXP(-LN(2)/2)*DH109+(1-EXP(-LN(2)/2))/(LN(2)/2)*DB110*DE110*VLOOKUP('Données projet'!$B$13,Paramètres!$A$1:$I$89,3,0)*0.475*44/12</f>
        <v>1.3339669556170251</v>
      </c>
      <c r="DI110" s="22">
        <f t="shared" si="69"/>
        <v>42.721053678152842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6.8811111111111085</v>
      </c>
      <c r="DO110" s="12">
        <f>IF('Données projet'!$A$166&gt;35,DO109+DN110-DW109,IF(A110&lt;'Données projet'!$A$166,$DL$205^A110,IF(A110='Données projet'!$A$166,'Données projet'!$B$166,DO109+DN110-DW109)))</f>
        <v>252.61333333333314</v>
      </c>
      <c r="DP110" s="17">
        <f>DO110*VLOOKUP('Données projet'!$B$14,Paramètres!$A$1:$I$89,3,0)*VLOOKUP('Données projet'!$B$14,Paramètres!$A$1:$I$89,5,0)</f>
        <v>271.9129919999998</v>
      </c>
      <c r="DQ110" s="13">
        <f t="shared" si="97"/>
        <v>65.255087500219872</v>
      </c>
      <c r="DR110" s="20">
        <f t="shared" si="70"/>
        <v>587.23440512954915</v>
      </c>
      <c r="DS110" s="59">
        <f t="shared" si="71"/>
        <v>866.47501202242279</v>
      </c>
      <c r="DT110" s="59">
        <f ca="1">AVERAGE(OFFSET($DS$3,0,0,'Données projet'!$E$14+1,1))-AVERAGE(OFFSET($H$3,0,0,'Données projet'!$E$14+1,1))</f>
        <v>610.05768948788375</v>
      </c>
      <c r="DU110" s="59">
        <f t="shared" si="98"/>
        <v>295.23928902444845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17.043134553319806</v>
      </c>
      <c r="EB110" s="21">
        <f>EXP(-LN(2)/25)*EB109+(1-EXP(-LN(2)/25))/(LN(2)/25)*Calculateur!DW110*Calculateur!DY110*VLOOKUP('Données projet'!$B$14,Paramètres!$A$1:$I$89,3,0)*0.475*44/12</f>
        <v>29.01668776692166</v>
      </c>
      <c r="EC110" s="21">
        <f>EXP(-LN(2)/2)*EC109+(1-EXP(-LN(2)/2))/(LN(2)/2)*DW110*DZ110*VLOOKUP('Données projet'!$B$14,Paramètres!$A$1:$I$89,3,0)*0.475*44/12</f>
        <v>1.484576128025398</v>
      </c>
      <c r="ED110" s="22">
        <f t="shared" si="72"/>
        <v>47.544398448266861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8.8449999999999989</v>
      </c>
      <c r="N111" s="13">
        <f>IF('Données projet'!$A$36&gt;35,N110+M111-V110,IF(A111&lt;'Données projet'!$A$36,$K$205^A111,IF(A111='Données projet'!$A$36,'Données projet'!$B$36,N110+M111-V110)))</f>
        <v>371.49000000000058</v>
      </c>
      <c r="O111" s="13">
        <f>N111*VLOOKUP('Données projet'!$B$9,Paramètres!$A$1:$I$89,3,0)*VLOOKUP('Données projet'!$B$9,Paramètres!$A$1:$I$89,5,0)</f>
        <v>336.12415200000049</v>
      </c>
      <c r="P111" s="13">
        <f t="shared" si="87"/>
        <v>78.698638141016232</v>
      </c>
      <c r="Q111" s="20">
        <f t="shared" si="107"/>
        <v>722.4830261622709</v>
      </c>
      <c r="R111" s="59">
        <f t="shared" si="55"/>
        <v>1001.9681103522703</v>
      </c>
      <c r="S111" s="59">
        <f ca="1">AVERAGE(OFFSET($R$3,0,0,'Données projet'!$E$9+1,1))-AVERAGE(OFFSET($H$3,0,0,'Données projet'!$E$9+1,1))</f>
        <v>681.47578137804555</v>
      </c>
      <c r="T111" s="59">
        <f t="shared" si="88"/>
        <v>300.88511065995885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30.574827822734957</v>
      </c>
      <c r="AA111" s="21">
        <f>EXP(-LN(2)/25)*AA110+(1-EXP(-LN(2)/25))/(LN(2)/25)*Calculateur!V111*Calculateur!X111*VLOOKUP('Données projet'!$B$9,Paramètres!$A$1:$I$89,3,0)*0.475*44/12</f>
        <v>24.187493132306134</v>
      </c>
      <c r="AB111" s="21">
        <f>EXP(-LN(2)/2)*AB110+(1-EXP(-LN(2)/2))/(LN(2)/2)*V111*Y111*VLOOKUP('Données projet'!$B$9,Paramètres!$A$1:$I$89,3,0)*0.475*44/12</f>
        <v>1.4568763495683108</v>
      </c>
      <c r="AC111" s="22">
        <f t="shared" si="57"/>
        <v>56.219197304609402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-8.8675733422860506E-14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217.53602321474159</v>
      </c>
      <c r="AO111" s="59">
        <f t="shared" si="90"/>
        <v>215.75909414893025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12.731984244877108</v>
      </c>
      <c r="AV111" s="21">
        <f>EXP(-LN(2)/25)*AV110+(1-EXP(-LN(2)/25))/(LN(2)/25)*Calculateur!AQ111*Calculateur!AS111*VLOOKUP('Données projet'!$B$10,Paramètres!$A$1:$I$89,3,0)*0.475*44/12</f>
        <v>9.2038607365444332</v>
      </c>
      <c r="AW111" s="21">
        <f>EXP(-LN(2)/2)*AW110+(1-EXP(-LN(2)/2))/(LN(2)/2)*AQ111*AT111*VLOOKUP('Données projet'!$B$10,Paramètres!$A$1:$I$89,3,0)*0.475*44/12</f>
        <v>5.2526663399908383E-5</v>
      </c>
      <c r="AX111" s="21">
        <f t="shared" si="60"/>
        <v>21.935897508084938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-1.7053025658242404E-13</v>
      </c>
      <c r="BE111" s="13">
        <f>BD111*VLOOKUP('Données projet'!$B$11,Paramètres!$A$1:$I$89,3,0)*VLOOKUP('Données projet'!$B$11,Paramètres!$A$1:$I$89,5,0)</f>
        <v>-1.1439169611549005E-13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281.67293577289729</v>
      </c>
      <c r="BJ111" s="59">
        <f t="shared" si="92"/>
        <v>272.44904846480154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19.67202690944319</v>
      </c>
      <c r="BQ111" s="21">
        <f>EXP(-LN(2)/25)*BQ110+(1-EXP(-LN(2)/25))/(LN(2)/25)*Calculateur!BL111*Calculateur!BN111*VLOOKUP('Données projet'!$B$11,Paramètres!$A$1:$I$89,3,0)*0.475*44/12</f>
        <v>16.433190610517411</v>
      </c>
      <c r="BR111" s="21">
        <f>EXP(-LN(2)/2)*BR110+(1-EXP(-LN(2)/2))/(LN(2)/2)*BL111*BO111*VLOOKUP('Données projet'!$B$11,Paramètres!$A$1:$I$89,3,0)*0.475*44/12</f>
        <v>2.674940259477193E-3</v>
      </c>
      <c r="BS111" s="22">
        <f t="shared" si="63"/>
        <v>36.107892460220079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-1.7053025658242404E-13</v>
      </c>
      <c r="BZ111" s="13">
        <f>BY111*VLOOKUP('Données projet'!$B$12,Paramètres!$A$1:$I$89,3,0)*VLOOKUP('Données projet'!$B$12,Paramètres!$A$1:$I$89,5,0)</f>
        <v>-1.4897523215040567E-13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348.77506423101278</v>
      </c>
      <c r="CE111" s="59">
        <f t="shared" si="94"/>
        <v>336.13747591329548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25.619383882065549</v>
      </c>
      <c r="CL111" s="21">
        <f>EXP(-LN(2)/25)*CL110+(1-EXP(-LN(2)/25))/(LN(2)/25)*Calculateur!CG111*Calculateur!CI111*VLOOKUP('Données projet'!$B$12,Paramètres!$A$1:$I$89,3,0)*0.475*44/12</f>
        <v>21.401364516022671</v>
      </c>
      <c r="CM111" s="21">
        <f>EXP(-LN(2)/2)*CM110+(1-EXP(-LN(2)/2))/(LN(2)/2)*CG111*CJ111*VLOOKUP('Données projet'!$B$12,Paramètres!$A$1:$I$89,3,0)*0.475*44/12</f>
        <v>3.4836431286214657E-3</v>
      </c>
      <c r="CN111" s="22">
        <f t="shared" si="66"/>
        <v>47.024232041216834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6.8811111111111085</v>
      </c>
      <c r="CT111" s="12">
        <f>IF('Données projet'!$A$140&gt;35,CT110+CS111-DB110,IF(A111&lt;'Données projet'!$A$140,$CQ$205^A111,IF(A111='Données projet'!$A$140,'Données projet'!$B$140,CT110+CS111-DB110)))</f>
        <v>259.49444444444424</v>
      </c>
      <c r="CU111" s="17">
        <f>CT111*VLOOKUP('Données projet'!$B$13,Paramètres!$A$1:$I$89,3,0)*VLOOKUP('Données projet'!$B$13,Paramètres!$A$1:$I$89,5,0)</f>
        <v>250.98302666666646</v>
      </c>
      <c r="CV111" s="13">
        <f t="shared" si="95"/>
        <v>60.796393115447323</v>
      </c>
      <c r="CW111" s="20">
        <f t="shared" si="67"/>
        <v>543.01582278718149</v>
      </c>
      <c r="CX111" s="59">
        <f t="shared" si="68"/>
        <v>822.50090697718088</v>
      </c>
      <c r="CY111" s="59">
        <f ca="1">AVERAGE(OFFSET($CX$3,0,0,'Données projet'!$E$13+1,1))-AVERAGE(OFFSET($H$3,0,0,'Données projet'!$E$13+1,1))</f>
        <v>557.48193674339791</v>
      </c>
      <c r="CZ111" s="59">
        <f t="shared" si="96"/>
        <v>271.51396593253048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15.013820332766954</v>
      </c>
      <c r="DG111" s="21">
        <f>EXP(-LN(2)/25)*DG110+(1-EXP(-LN(2)/25))/(LN(2)/25)*Calculateur!DB111*Calculateur!DD111*VLOOKUP('Données projet'!$B$13,Paramètres!$A$1:$I$89,3,0)*0.475*44/12</f>
        <v>25.359999198099448</v>
      </c>
      <c r="DH111" s="21">
        <f>EXP(-LN(2)/2)*DH110+(1-EXP(-LN(2)/2))/(LN(2)/2)*DB111*DE111*VLOOKUP('Données projet'!$B$13,Paramètres!$A$1:$I$89,3,0)*0.475*44/12</f>
        <v>0.94325708019557275</v>
      </c>
      <c r="DI111" s="22">
        <f t="shared" si="69"/>
        <v>41.317076611061971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6.8811111111111085</v>
      </c>
      <c r="DO111" s="12">
        <f>IF('Données projet'!$A$166&gt;35,DO110+DN111-DW110,IF(A111&lt;'Données projet'!$A$166,$DL$205^A111,IF(A111='Données projet'!$A$166,'Données projet'!$B$166,DO110+DN111-DW110)))</f>
        <v>259.49444444444424</v>
      </c>
      <c r="DP111" s="17">
        <f>DO111*VLOOKUP('Données projet'!$B$14,Paramètres!$A$1:$I$89,3,0)*VLOOKUP('Données projet'!$B$14,Paramètres!$A$1:$I$89,5,0)</f>
        <v>279.31981999999977</v>
      </c>
      <c r="DQ111" s="13">
        <f t="shared" si="97"/>
        <v>66.823246953627802</v>
      </c>
      <c r="DR111" s="20">
        <f t="shared" si="70"/>
        <v>602.86584161090138</v>
      </c>
      <c r="DS111" s="59">
        <f t="shared" si="71"/>
        <v>882.35092580090077</v>
      </c>
      <c r="DT111" s="59">
        <f ca="1">AVERAGE(OFFSET($DS$3,0,0,'Données projet'!$E$14+1,1))-AVERAGE(OFFSET($H$3,0,0,'Données projet'!$E$14+1,1))</f>
        <v>610.05768948788375</v>
      </c>
      <c r="DU111" s="59">
        <f t="shared" si="98"/>
        <v>295.23928902444845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16.708929080014833</v>
      </c>
      <c r="EB111" s="21">
        <f>EXP(-LN(2)/25)*EB110+(1-EXP(-LN(2)/25))/(LN(2)/25)*Calculateur!DW111*Calculateur!DY111*VLOOKUP('Données projet'!$B$14,Paramètres!$A$1:$I$89,3,0)*0.475*44/12</f>
        <v>28.223224914013894</v>
      </c>
      <c r="EC111" s="21">
        <f>EXP(-LN(2)/2)*EC110+(1-EXP(-LN(2)/2))/(LN(2)/2)*DW111*DZ111*VLOOKUP('Données projet'!$B$14,Paramètres!$A$1:$I$89,3,0)*0.475*44/12</f>
        <v>1.049753847314427</v>
      </c>
      <c r="ED111" s="22">
        <f t="shared" si="72"/>
        <v>45.981907841343151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8.8449999999999989</v>
      </c>
      <c r="N112" s="13">
        <f>IF('Données projet'!$A$36&gt;35,N111+M112-V111,IF(A112&lt;'Données projet'!$A$36,$K$205^A112,IF(A112='Données projet'!$A$36,'Données projet'!$B$36,N111+M112-V111)))</f>
        <v>380.3350000000006</v>
      </c>
      <c r="O112" s="13">
        <f>N112*VLOOKUP('Données projet'!$B$9,Paramètres!$A$1:$I$89,3,0)*VLOOKUP('Données projet'!$B$9,Paramètres!$A$1:$I$89,5,0)</f>
        <v>344.12710800000053</v>
      </c>
      <c r="P112" s="13">
        <f t="shared" si="87"/>
        <v>80.352033376279337</v>
      </c>
      <c r="Q112" s="20">
        <f t="shared" si="107"/>
        <v>739.30117123035416</v>
      </c>
      <c r="R112" s="59">
        <f t="shared" si="55"/>
        <v>1019.0264915829434</v>
      </c>
      <c r="S112" s="59">
        <f ca="1">AVERAGE(OFFSET($R$3,0,0,'Données projet'!$E$9+1,1))-AVERAGE(OFFSET($H$3,0,0,'Données projet'!$E$9+1,1))</f>
        <v>681.47578137804555</v>
      </c>
      <c r="T112" s="59">
        <f t="shared" si="88"/>
        <v>300.88511065995885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29.97527409793468</v>
      </c>
      <c r="AA112" s="21">
        <f>EXP(-LN(2)/25)*AA111+(1-EXP(-LN(2)/25))/(LN(2)/25)*Calculateur!V112*Calculateur!X112*VLOOKUP('Données projet'!$B$9,Paramètres!$A$1:$I$89,3,0)*0.475*44/12</f>
        <v>23.526084860638239</v>
      </c>
      <c r="AB112" s="21">
        <f>EXP(-LN(2)/2)*AB111+(1-EXP(-LN(2)/2))/(LN(2)/2)*V112*Y112*VLOOKUP('Données projet'!$B$9,Paramètres!$A$1:$I$89,3,0)*0.475*44/12</f>
        <v>1.0301671461300557</v>
      </c>
      <c r="AC112" s="22">
        <f t="shared" si="57"/>
        <v>54.531526104702976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-8.8675733422860506E-14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217.53602321474159</v>
      </c>
      <c r="AO112" s="59">
        <f t="shared" si="90"/>
        <v>215.75909414893025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12.482317799578654</v>
      </c>
      <c r="AV112" s="21">
        <f>EXP(-LN(2)/25)*AV111+(1-EXP(-LN(2)/25))/(LN(2)/25)*Calculateur!AQ112*Calculateur!AS112*VLOOKUP('Données projet'!$B$10,Paramètres!$A$1:$I$89,3,0)*0.475*44/12</f>
        <v>8.9521806806936244</v>
      </c>
      <c r="AW112" s="21">
        <f>EXP(-LN(2)/2)*AW111+(1-EXP(-LN(2)/2))/(LN(2)/2)*AQ112*AT112*VLOOKUP('Données projet'!$B$10,Paramètres!$A$1:$I$89,3,0)*0.475*44/12</f>
        <v>3.7141959883178451E-5</v>
      </c>
      <c r="AX112" s="21">
        <f t="shared" si="60"/>
        <v>21.434535622232161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-1.7053025658242404E-13</v>
      </c>
      <c r="BE112" s="13">
        <f>BD112*VLOOKUP('Données projet'!$B$11,Paramètres!$A$1:$I$89,3,0)*VLOOKUP('Données projet'!$B$11,Paramètres!$A$1:$I$89,5,0)</f>
        <v>-1.1439169611549005E-13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281.67293577289729</v>
      </c>
      <c r="BJ112" s="59">
        <f t="shared" si="92"/>
        <v>272.44904846480154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19.286270460500646</v>
      </c>
      <c r="BQ112" s="21">
        <f>EXP(-LN(2)/25)*BQ111+(1-EXP(-LN(2)/25))/(LN(2)/25)*Calculateur!BL112*Calculateur!BN112*VLOOKUP('Données projet'!$B$11,Paramètres!$A$1:$I$89,3,0)*0.475*44/12</f>
        <v>15.983824149088877</v>
      </c>
      <c r="BR112" s="21">
        <f>EXP(-LN(2)/2)*BR111+(1-EXP(-LN(2)/2))/(LN(2)/2)*BL112*BO112*VLOOKUP('Données projet'!$B$11,Paramètres!$A$1:$I$89,3,0)*0.475*44/12</f>
        <v>1.8914683967452262E-3</v>
      </c>
      <c r="BS112" s="22">
        <f t="shared" si="63"/>
        <v>35.271986077986263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-1.7053025658242404E-13</v>
      </c>
      <c r="BZ112" s="13">
        <f>BY112*VLOOKUP('Données projet'!$B$12,Paramètres!$A$1:$I$89,3,0)*VLOOKUP('Données projet'!$B$12,Paramètres!$A$1:$I$89,5,0)</f>
        <v>-1.4897523215040567E-13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348.77506423101278</v>
      </c>
      <c r="CE112" s="59">
        <f t="shared" si="94"/>
        <v>336.13747591329548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25.117003390419445</v>
      </c>
      <c r="CL112" s="21">
        <f>EXP(-LN(2)/25)*CL111+(1-EXP(-LN(2)/25))/(LN(2)/25)*Calculateur!CG112*Calculateur!CI112*VLOOKUP('Données projet'!$B$12,Paramètres!$A$1:$I$89,3,0)*0.475*44/12</f>
        <v>20.816143077883183</v>
      </c>
      <c r="CM112" s="21">
        <f>EXP(-LN(2)/2)*CM111+(1-EXP(-LN(2)/2))/(LN(2)/2)*CG112*CJ112*VLOOKUP('Données projet'!$B$12,Paramètres!$A$1:$I$89,3,0)*0.475*44/12</f>
        <v>2.4633076794821586E-3</v>
      </c>
      <c r="CN112" s="22">
        <f t="shared" si="66"/>
        <v>45.935609775982108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6.8811111111111085</v>
      </c>
      <c r="CT112" s="12">
        <f>IF('Données projet'!$A$140&gt;35,CT111+CS112-DB111,IF(A112&lt;'Données projet'!$A$140,$CQ$205^A112,IF(A112='Données projet'!$A$140,'Données projet'!$B$140,CT111+CS112-DB111)))</f>
        <v>266.37555555555537</v>
      </c>
      <c r="CU112" s="17">
        <f>CT112*VLOOKUP('Données projet'!$B$13,Paramètres!$A$1:$I$89,3,0)*VLOOKUP('Données projet'!$B$13,Paramètres!$A$1:$I$89,5,0)</f>
        <v>257.63843733333317</v>
      </c>
      <c r="CV112" s="13">
        <f t="shared" si="95"/>
        <v>62.218721219477693</v>
      </c>
      <c r="CW112" s="20">
        <f t="shared" si="67"/>
        <v>557.0845511461456</v>
      </c>
      <c r="CX112" s="59">
        <f t="shared" si="68"/>
        <v>836.80987149873488</v>
      </c>
      <c r="CY112" s="59">
        <f ca="1">AVERAGE(OFFSET($CX$3,0,0,'Données projet'!$E$13+1,1))-AVERAGE(OFFSET($H$3,0,0,'Données projet'!$E$13+1,1))</f>
        <v>557.48193674339791</v>
      </c>
      <c r="CZ112" s="59">
        <f t="shared" si="96"/>
        <v>271.51396593253048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14.719408473567567</v>
      </c>
      <c r="DG112" s="21">
        <f>EXP(-LN(2)/25)*DG111+(1-EXP(-LN(2)/25))/(LN(2)/25)*Calculateur!DB112*Calculateur!DD112*VLOOKUP('Données projet'!$B$13,Paramètres!$A$1:$I$89,3,0)*0.475*44/12</f>
        <v>24.666528686403023</v>
      </c>
      <c r="DH112" s="21">
        <f>EXP(-LN(2)/2)*DH111+(1-EXP(-LN(2)/2))/(LN(2)/2)*DB112*DE112*VLOOKUP('Données projet'!$B$13,Paramètres!$A$1:$I$89,3,0)*0.475*44/12</f>
        <v>0.66698347780851264</v>
      </c>
      <c r="DI112" s="22">
        <f t="shared" si="69"/>
        <v>40.052920637779103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6.8811111111111085</v>
      </c>
      <c r="DO112" s="12">
        <f>IF('Données projet'!$A$166&gt;35,DO111+DN112-DW111,IF(A112&lt;'Données projet'!$A$166,$DL$205^A112,IF(A112='Données projet'!$A$166,'Données projet'!$B$166,DO111+DN112-DW111)))</f>
        <v>266.37555555555537</v>
      </c>
      <c r="DP112" s="17">
        <f>DO112*VLOOKUP('Données projet'!$B$14,Paramètres!$A$1:$I$89,3,0)*VLOOKUP('Données projet'!$B$14,Paramètres!$A$1:$I$89,5,0)</f>
        <v>286.72664799999978</v>
      </c>
      <c r="DQ112" s="13">
        <f t="shared" si="97"/>
        <v>68.386572954961892</v>
      </c>
      <c r="DR112" s="20">
        <f t="shared" si="70"/>
        <v>618.48885982989157</v>
      </c>
      <c r="DS112" s="59">
        <f t="shared" si="71"/>
        <v>898.21418018248085</v>
      </c>
      <c r="DT112" s="59">
        <f ca="1">AVERAGE(OFFSET($DS$3,0,0,'Données projet'!$E$14+1,1))-AVERAGE(OFFSET($H$3,0,0,'Données projet'!$E$14+1,1))</f>
        <v>610.05768948788375</v>
      </c>
      <c r="DU112" s="59">
        <f t="shared" si="98"/>
        <v>295.23928902444845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16.38127717219616</v>
      </c>
      <c r="EB112" s="21">
        <f>EXP(-LN(2)/25)*EB111+(1-EXP(-LN(2)/25))/(LN(2)/25)*Calculateur!DW112*Calculateur!DY112*VLOOKUP('Données projet'!$B$14,Paramètres!$A$1:$I$89,3,0)*0.475*44/12</f>
        <v>27.451459344545292</v>
      </c>
      <c r="EC112" s="21">
        <f>EXP(-LN(2)/2)*EC111+(1-EXP(-LN(2)/2))/(LN(2)/2)*DW112*DZ112*VLOOKUP('Données projet'!$B$14,Paramètres!$A$1:$I$89,3,0)*0.475*44/12</f>
        <v>0.74228806401269898</v>
      </c>
      <c r="ED112" s="22">
        <f t="shared" si="72"/>
        <v>44.575024580754146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8.8449999999999989</v>
      </c>
      <c r="N113" s="13">
        <f>IF('Données projet'!$A$36&gt;35,N112+M113-V112,IF(A113&lt;'Données projet'!$A$36,$K$205^A113,IF(A113='Données projet'!$A$36,'Données projet'!$B$36,N112+M113-V112)))</f>
        <v>389.18000000000063</v>
      </c>
      <c r="O113" s="13">
        <f>N113*VLOOKUP('Données projet'!$B$9,Paramètres!$A$1:$I$89,3,0)*VLOOKUP('Données projet'!$B$9,Paramètres!$A$1:$I$89,5,0)</f>
        <v>352.13006400000057</v>
      </c>
      <c r="P113" s="13">
        <f t="shared" si="87"/>
        <v>82.000958535583734</v>
      </c>
      <c r="Q113" s="20">
        <f t="shared" si="107"/>
        <v>756.11153091614267</v>
      </c>
      <c r="R113" s="59">
        <f t="shared" si="55"/>
        <v>1036.0729198709885</v>
      </c>
      <c r="S113" s="59">
        <f ca="1">AVERAGE(OFFSET($R$3,0,0,'Données projet'!$E$9+1,1))-AVERAGE(OFFSET($H$3,0,0,'Données projet'!$E$9+1,1))</f>
        <v>681.47578137804555</v>
      </c>
      <c r="T113" s="59">
        <f t="shared" si="88"/>
        <v>300.88511065995885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29.387477255986074</v>
      </c>
      <c r="AA113" s="21">
        <f>EXP(-LN(2)/25)*AA112+(1-EXP(-LN(2)/25))/(LN(2)/25)*Calculateur!V113*Calculateur!X113*VLOOKUP('Données projet'!$B$9,Paramètres!$A$1:$I$89,3,0)*0.475*44/12</f>
        <v>22.882762832941054</v>
      </c>
      <c r="AB113" s="21">
        <f>EXP(-LN(2)/2)*AB112+(1-EXP(-LN(2)/2))/(LN(2)/2)*V113*Y113*VLOOKUP('Données projet'!$B$9,Paramètres!$A$1:$I$89,3,0)*0.475*44/12</f>
        <v>0.7284381747841554</v>
      </c>
      <c r="AC113" s="22">
        <f t="shared" si="57"/>
        <v>52.998678263711277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-8.8675733422860506E-14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217.53602321474159</v>
      </c>
      <c r="AO113" s="59">
        <f t="shared" si="90"/>
        <v>215.75909414893025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12.237547160991008</v>
      </c>
      <c r="AV113" s="21">
        <f>EXP(-LN(2)/25)*AV112+(1-EXP(-LN(2)/25))/(LN(2)/25)*Calculateur!AQ113*Calculateur!AS113*VLOOKUP('Données projet'!$B$10,Paramètres!$A$1:$I$89,3,0)*0.475*44/12</f>
        <v>8.7073828292053363</v>
      </c>
      <c r="AW113" s="21">
        <f>EXP(-LN(2)/2)*AW112+(1-EXP(-LN(2)/2))/(LN(2)/2)*AQ113*AT113*VLOOKUP('Données projet'!$B$10,Paramètres!$A$1:$I$89,3,0)*0.475*44/12</f>
        <v>2.6263331699954192E-5</v>
      </c>
      <c r="AX113" s="21">
        <f t="shared" si="60"/>
        <v>20.944956253528044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-1.7053025658242404E-13</v>
      </c>
      <c r="BE113" s="13">
        <f>BD113*VLOOKUP('Données projet'!$B$11,Paramètres!$A$1:$I$89,3,0)*VLOOKUP('Données projet'!$B$11,Paramètres!$A$1:$I$89,5,0)</f>
        <v>-1.1439169611549005E-13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281.67293577289729</v>
      </c>
      <c r="BJ113" s="59">
        <f t="shared" si="92"/>
        <v>272.44904846480154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18.908078460233664</v>
      </c>
      <c r="BQ113" s="21">
        <f>EXP(-LN(2)/25)*BQ112+(1-EXP(-LN(2)/25))/(LN(2)/25)*Calculateur!BL113*Calculateur!BN113*VLOOKUP('Données projet'!$B$11,Paramètres!$A$1:$I$89,3,0)*0.475*44/12</f>
        <v>15.54674563717926</v>
      </c>
      <c r="BR113" s="21">
        <f>EXP(-LN(2)/2)*BR112+(1-EXP(-LN(2)/2))/(LN(2)/2)*BL113*BO113*VLOOKUP('Données projet'!$B$11,Paramètres!$A$1:$I$89,3,0)*0.475*44/12</f>
        <v>1.3374701297385965E-3</v>
      </c>
      <c r="BS113" s="22">
        <f t="shared" si="63"/>
        <v>34.456161567542665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-1.7053025658242404E-13</v>
      </c>
      <c r="BZ113" s="13">
        <f>BY113*VLOOKUP('Données projet'!$B$12,Paramètres!$A$1:$I$89,3,0)*VLOOKUP('Données projet'!$B$12,Paramètres!$A$1:$I$89,5,0)</f>
        <v>-1.4897523215040567E-13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348.77506423101278</v>
      </c>
      <c r="CE113" s="59">
        <f t="shared" si="94"/>
        <v>336.13747591329548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24.624474273792679</v>
      </c>
      <c r="CL113" s="21">
        <f>EXP(-LN(2)/25)*CL112+(1-EXP(-LN(2)/25))/(LN(2)/25)*Calculateur!CG113*Calculateur!CI113*VLOOKUP('Données projet'!$B$12,Paramètres!$A$1:$I$89,3,0)*0.475*44/12</f>
        <v>20.246924550745078</v>
      </c>
      <c r="CM113" s="21">
        <f>EXP(-LN(2)/2)*CM112+(1-EXP(-LN(2)/2))/(LN(2)/2)*CG113*CJ113*VLOOKUP('Données projet'!$B$12,Paramètres!$A$1:$I$89,3,0)*0.475*44/12</f>
        <v>1.7418215643107329E-3</v>
      </c>
      <c r="CN113" s="22">
        <f t="shared" si="66"/>
        <v>44.873140646102065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6.8811111111111085</v>
      </c>
      <c r="CT113" s="12">
        <f>IF('Données projet'!$A$140&gt;35,CT112+CS113-DB112,IF(A113&lt;'Données projet'!$A$140,$CQ$205^A113,IF(A113='Données projet'!$A$140,'Données projet'!$B$140,CT112+CS113-DB112)))</f>
        <v>273.25666666666649</v>
      </c>
      <c r="CU113" s="17">
        <f>CT113*VLOOKUP('Données projet'!$B$13,Paramètres!$A$1:$I$89,3,0)*VLOOKUP('Données projet'!$B$13,Paramètres!$A$1:$I$89,5,0)</f>
        <v>264.29384799999985</v>
      </c>
      <c r="CV113" s="13">
        <f t="shared" si="95"/>
        <v>63.636778464374139</v>
      </c>
      <c r="CW113" s="20">
        <f t="shared" si="67"/>
        <v>571.14584109211796</v>
      </c>
      <c r="CX113" s="59">
        <f t="shared" si="68"/>
        <v>851.10723004696388</v>
      </c>
      <c r="CY113" s="59">
        <f ca="1">AVERAGE(OFFSET($CX$3,0,0,'Données projet'!$E$13+1,1))-AVERAGE(OFFSET($H$3,0,0,'Données projet'!$E$13+1,1))</f>
        <v>557.48193674339791</v>
      </c>
      <c r="CZ113" s="59">
        <f t="shared" si="96"/>
        <v>271.51396593253048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14.430769851353576</v>
      </c>
      <c r="DG113" s="21">
        <f>EXP(-LN(2)/25)*DG112+(1-EXP(-LN(2)/25))/(LN(2)/25)*Calculateur!DB113*Calculateur!DD113*VLOOKUP('Données projet'!$B$13,Paramètres!$A$1:$I$89,3,0)*0.475*44/12</f>
        <v>23.992021162316966</v>
      </c>
      <c r="DH113" s="21">
        <f>EXP(-LN(2)/2)*DH112+(1-EXP(-LN(2)/2))/(LN(2)/2)*DB113*DE113*VLOOKUP('Données projet'!$B$13,Paramètres!$A$1:$I$89,3,0)*0.475*44/12</f>
        <v>0.47162854009778643</v>
      </c>
      <c r="DI113" s="22">
        <f t="shared" si="69"/>
        <v>38.89441955376833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6.8811111111111085</v>
      </c>
      <c r="DO113" s="12">
        <f>IF('Données projet'!$A$166&gt;35,DO112+DN113-DW112,IF(A113&lt;'Données projet'!$A$166,$DL$205^A113,IF(A113='Données projet'!$A$166,'Données projet'!$B$166,DO112+DN113-DW112)))</f>
        <v>273.25666666666649</v>
      </c>
      <c r="DP113" s="17">
        <f>DO113*VLOOKUP('Données projet'!$B$14,Paramètres!$A$1:$I$89,3,0)*VLOOKUP('Données projet'!$B$14,Paramètres!$A$1:$I$89,5,0)</f>
        <v>294.1334759999998</v>
      </c>
      <c r="DQ113" s="13">
        <f t="shared" si="97"/>
        <v>69.945204719352191</v>
      </c>
      <c r="DR113" s="20">
        <f t="shared" si="70"/>
        <v>634.10370225287136</v>
      </c>
      <c r="DS113" s="59">
        <f t="shared" si="71"/>
        <v>914.06509120771716</v>
      </c>
      <c r="DT113" s="59">
        <f ca="1">AVERAGE(OFFSET($DS$3,0,0,'Données projet'!$E$14+1,1))-AVERAGE(OFFSET($H$3,0,0,'Données projet'!$E$14+1,1))</f>
        <v>610.05768948788375</v>
      </c>
      <c r="DU113" s="59">
        <f t="shared" si="98"/>
        <v>295.23928902444845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16.060050318441881</v>
      </c>
      <c r="EB113" s="21">
        <f>EXP(-LN(2)/25)*EB112+(1-EXP(-LN(2)/25))/(LN(2)/25)*Calculateur!DW113*Calculateur!DY113*VLOOKUP('Données projet'!$B$14,Paramètres!$A$1:$I$89,3,0)*0.475*44/12</f>
        <v>26.700797745159196</v>
      </c>
      <c r="EC113" s="21">
        <f>EXP(-LN(2)/2)*EC112+(1-EXP(-LN(2)/2))/(LN(2)/2)*DW113*DZ113*VLOOKUP('Données projet'!$B$14,Paramètres!$A$1:$I$89,3,0)*0.475*44/12</f>
        <v>0.5248769236572135</v>
      </c>
      <c r="ED113" s="22">
        <f t="shared" si="72"/>
        <v>43.285724987258284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8.8449999999999989</v>
      </c>
      <c r="N114" s="13">
        <f>IF('Données projet'!$A$36&gt;35,N113+M114-V113,IF(A114&lt;'Données projet'!$A$36,$K$205^A114,IF(A114='Données projet'!$A$36,'Données projet'!$B$36,N113+M114-V113)))</f>
        <v>398.02500000000066</v>
      </c>
      <c r="O114" s="13">
        <f>N114*VLOOKUP('Données projet'!$B$9,Paramètres!$A$1:$I$89,3,0)*VLOOKUP('Données projet'!$B$9,Paramètres!$A$1:$I$89,5,0)</f>
        <v>360.13302000000061</v>
      </c>
      <c r="P114" s="13">
        <f t="shared" si="87"/>
        <v>83.645526906767415</v>
      </c>
      <c r="Q114" s="20">
        <f t="shared" si="107"/>
        <v>772.91430252928774</v>
      </c>
      <c r="R114" s="59">
        <f t="shared" si="55"/>
        <v>1053.1076648239114</v>
      </c>
      <c r="S114" s="59">
        <f ca="1">AVERAGE(OFFSET($R$3,0,0,'Données projet'!$E$9+1,1))-AVERAGE(OFFSET($H$3,0,0,'Données projet'!$E$9+1,1))</f>
        <v>681.47578137804555</v>
      </c>
      <c r="T114" s="59">
        <f t="shared" si="88"/>
        <v>300.88511065995885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28.811206751587406</v>
      </c>
      <c r="AA114" s="21">
        <f>EXP(-LN(2)/25)*AA113+(1-EXP(-LN(2)/25))/(LN(2)/25)*Calculateur!V114*Calculateur!X114*VLOOKUP('Données projet'!$B$9,Paramètres!$A$1:$I$89,3,0)*0.475*44/12</f>
        <v>22.257032479922085</v>
      </c>
      <c r="AB114" s="21">
        <f>EXP(-LN(2)/2)*AB113+(1-EXP(-LN(2)/2))/(LN(2)/2)*V114*Y114*VLOOKUP('Données projet'!$B$9,Paramètres!$A$1:$I$89,3,0)*0.475*44/12</f>
        <v>0.51508357306502783</v>
      </c>
      <c r="AC114" s="22">
        <f t="shared" si="57"/>
        <v>51.583322804574522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-8.8675733422860506E-14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217.53602321474159</v>
      </c>
      <c r="AO114" s="59">
        <f t="shared" si="90"/>
        <v>215.75909414893025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11.997576325330717</v>
      </c>
      <c r="AV114" s="21">
        <f>EXP(-LN(2)/25)*AV113+(1-EXP(-LN(2)/25))/(LN(2)/25)*Calculateur!AQ114*Calculateur!AS114*VLOOKUP('Données projet'!$B$10,Paramètres!$A$1:$I$89,3,0)*0.475*44/12</f>
        <v>8.4692789878393544</v>
      </c>
      <c r="AW114" s="21">
        <f>EXP(-LN(2)/2)*AW113+(1-EXP(-LN(2)/2))/(LN(2)/2)*AQ114*AT114*VLOOKUP('Données projet'!$B$10,Paramètres!$A$1:$I$89,3,0)*0.475*44/12</f>
        <v>1.8570979941589225E-5</v>
      </c>
      <c r="AX114" s="21">
        <f t="shared" si="60"/>
        <v>20.466873884150015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-1.7053025658242404E-13</v>
      </c>
      <c r="BE114" s="13">
        <f>BD114*VLOOKUP('Données projet'!$B$11,Paramètres!$A$1:$I$89,3,0)*VLOOKUP('Données projet'!$B$11,Paramètres!$A$1:$I$89,5,0)</f>
        <v>-1.1439169611549005E-13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281.67293577289729</v>
      </c>
      <c r="BJ114" s="59">
        <f t="shared" si="92"/>
        <v>272.44904846480154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18.537302574417573</v>
      </c>
      <c r="BQ114" s="21">
        <f>EXP(-LN(2)/25)*BQ113+(1-EXP(-LN(2)/25))/(LN(2)/25)*Calculateur!BL114*Calculateur!BN114*VLOOKUP('Données projet'!$B$11,Paramètres!$A$1:$I$89,3,0)*0.475*44/12</f>
        <v>15.121619060162773</v>
      </c>
      <c r="BR114" s="21">
        <f>EXP(-LN(2)/2)*BR113+(1-EXP(-LN(2)/2))/(LN(2)/2)*BL114*BO114*VLOOKUP('Données projet'!$B$11,Paramètres!$A$1:$I$89,3,0)*0.475*44/12</f>
        <v>9.4573419837261309E-4</v>
      </c>
      <c r="BS114" s="22">
        <f t="shared" si="63"/>
        <v>33.65986736877872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-1.7053025658242404E-13</v>
      </c>
      <c r="BZ114" s="13">
        <f>BY114*VLOOKUP('Données projet'!$B$12,Paramètres!$A$1:$I$89,3,0)*VLOOKUP('Données projet'!$B$12,Paramètres!$A$1:$I$89,5,0)</f>
        <v>-1.4897523215040567E-13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348.77506423101278</v>
      </c>
      <c r="CE114" s="59">
        <f t="shared" si="94"/>
        <v>336.13747591329548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24.141603352729863</v>
      </c>
      <c r="CL114" s="21">
        <f>EXP(-LN(2)/25)*CL113+(1-EXP(-LN(2)/25))/(LN(2)/25)*Calculateur!CG114*Calculateur!CI114*VLOOKUP('Données projet'!$B$12,Paramètres!$A$1:$I$89,3,0)*0.475*44/12</f>
        <v>19.693271334165466</v>
      </c>
      <c r="CM114" s="21">
        <f>EXP(-LN(2)/2)*CM113+(1-EXP(-LN(2)/2))/(LN(2)/2)*CG114*CJ114*VLOOKUP('Données projet'!$B$12,Paramètres!$A$1:$I$89,3,0)*0.475*44/12</f>
        <v>1.2316538397410793E-3</v>
      </c>
      <c r="CN114" s="22">
        <f t="shared" si="66"/>
        <v>43.836106340735071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6.8811111111111085</v>
      </c>
      <c r="CT114" s="12">
        <f>IF('Données projet'!$A$140&gt;35,CT113+CS114-DB113,IF(A114&lt;'Données projet'!$A$140,$CQ$205^A114,IF(A114='Données projet'!$A$140,'Données projet'!$B$140,CT113+CS114-DB113)))</f>
        <v>280.13777777777761</v>
      </c>
      <c r="CU114" s="17">
        <f>CT114*VLOOKUP('Données projet'!$B$13,Paramètres!$A$1:$I$89,3,0)*VLOOKUP('Données projet'!$B$13,Paramètres!$A$1:$I$89,5,0)</f>
        <v>270.94925866666654</v>
      </c>
      <c r="CV114" s="13">
        <f t="shared" si="95"/>
        <v>65.050684766766153</v>
      </c>
      <c r="CW114" s="20">
        <f t="shared" si="67"/>
        <v>585.19990147989529</v>
      </c>
      <c r="CX114" s="59">
        <f t="shared" si="68"/>
        <v>865.3932637745188</v>
      </c>
      <c r="CY114" s="59">
        <f ca="1">AVERAGE(OFFSET($CX$3,0,0,'Données projet'!$E$13+1,1))-AVERAGE(OFFSET($H$3,0,0,'Données projet'!$E$13+1,1))</f>
        <v>557.48193674339791</v>
      </c>
      <c r="CZ114" s="59">
        <f t="shared" si="96"/>
        <v>271.51396593253048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14.147791256469025</v>
      </c>
      <c r="DG114" s="21">
        <f>EXP(-LN(2)/25)*DG113+(1-EXP(-LN(2)/25))/(LN(2)/25)*Calculateur!DB114*Calculateur!DD114*VLOOKUP('Données projet'!$B$13,Paramètres!$A$1:$I$89,3,0)*0.475*44/12</f>
        <v>23.335958081947851</v>
      </c>
      <c r="DH114" s="21">
        <f>EXP(-LN(2)/2)*DH113+(1-EXP(-LN(2)/2))/(LN(2)/2)*DB114*DE114*VLOOKUP('Données projet'!$B$13,Paramètres!$A$1:$I$89,3,0)*0.475*44/12</f>
        <v>0.33349173890425637</v>
      </c>
      <c r="DI114" s="22">
        <f t="shared" si="69"/>
        <v>37.817241077321135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6.8811111111111085</v>
      </c>
      <c r="DO114" s="12">
        <f>IF('Données projet'!$A$166&gt;35,DO113+DN114-DW113,IF(A114&lt;'Données projet'!$A$166,$DL$205^A114,IF(A114='Données projet'!$A$166,'Données projet'!$B$166,DO113+DN114-DW113)))</f>
        <v>280.13777777777761</v>
      </c>
      <c r="DP114" s="17">
        <f>DO114*VLOOKUP('Données projet'!$B$14,Paramètres!$A$1:$I$89,3,0)*VLOOKUP('Données projet'!$B$14,Paramètres!$A$1:$I$89,5,0)</f>
        <v>301.54030399999982</v>
      </c>
      <c r="DQ114" s="13">
        <f t="shared" si="97"/>
        <v>71.499274050975586</v>
      </c>
      <c r="DR114" s="20">
        <f t="shared" si="70"/>
        <v>649.7105984387822</v>
      </c>
      <c r="DS114" s="59">
        <f t="shared" si="71"/>
        <v>929.90396073340571</v>
      </c>
      <c r="DT114" s="59">
        <f ca="1">AVERAGE(OFFSET($DS$3,0,0,'Données projet'!$E$14+1,1))-AVERAGE(OFFSET($H$3,0,0,'Données projet'!$E$14+1,1))</f>
        <v>610.05768948788375</v>
      </c>
      <c r="DU114" s="59">
        <f t="shared" si="98"/>
        <v>295.23928902444845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15.745122527360689</v>
      </c>
      <c r="EB114" s="21">
        <f>EXP(-LN(2)/25)*EB113+(1-EXP(-LN(2)/25))/(LN(2)/25)*Calculateur!DW114*Calculateur!DY114*VLOOKUP('Données projet'!$B$14,Paramètres!$A$1:$I$89,3,0)*0.475*44/12</f>
        <v>25.970663026683891</v>
      </c>
      <c r="EC114" s="21">
        <f>EXP(-LN(2)/2)*EC113+(1-EXP(-LN(2)/2))/(LN(2)/2)*DW114*DZ114*VLOOKUP('Données projet'!$B$14,Paramètres!$A$1:$I$89,3,0)*0.475*44/12</f>
        <v>0.37114403200634949</v>
      </c>
      <c r="ED114" s="22">
        <f t="shared" si="72"/>
        <v>42.086929586050928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8.8449999999999989</v>
      </c>
      <c r="N115" s="13">
        <f>IF('Données projet'!$A$36&gt;35,N114+M115-V114,IF(A115&lt;'Données projet'!$A$36,$K$205^A115,IF(A115='Données projet'!$A$36,'Données projet'!$B$36,N114+M115-V114)))</f>
        <v>406.87000000000069</v>
      </c>
      <c r="O115" s="13">
        <f>N115*VLOOKUP('Données projet'!$B$9,Paramètres!$A$1:$I$89,3,0)*VLOOKUP('Données projet'!$B$9,Paramètres!$A$1:$I$89,5,0)</f>
        <v>368.1359760000006</v>
      </c>
      <c r="P115" s="13">
        <f t="shared" si="87"/>
        <v>85.285846455183602</v>
      </c>
      <c r="Q115" s="20">
        <f t="shared" si="107"/>
        <v>789.70967410944593</v>
      </c>
      <c r="R115" s="59">
        <f t="shared" si="55"/>
        <v>1070.1309855250167</v>
      </c>
      <c r="S115" s="59">
        <f ca="1">AVERAGE(OFFSET($R$3,0,0,'Données projet'!$E$9+1,1))-AVERAGE(OFFSET($H$3,0,0,'Données projet'!$E$9+1,1))</f>
        <v>681.47578137804555</v>
      </c>
      <c r="T115" s="59">
        <f t="shared" si="88"/>
        <v>300.88511065995885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28.246236560289695</v>
      </c>
      <c r="AA115" s="21">
        <f>EXP(-LN(2)/25)*AA114+(1-EXP(-LN(2)/25))/(LN(2)/25)*Calculateur!V115*Calculateur!X115*VLOOKUP('Données projet'!$B$9,Paramètres!$A$1:$I$89,3,0)*0.475*44/12</f>
        <v>21.648412756312148</v>
      </c>
      <c r="AB115" s="21">
        <f>EXP(-LN(2)/2)*AB114+(1-EXP(-LN(2)/2))/(LN(2)/2)*V115*Y115*VLOOKUP('Données projet'!$B$9,Paramètres!$A$1:$I$89,3,0)*0.475*44/12</f>
        <v>0.3642190873920777</v>
      </c>
      <c r="AC115" s="22">
        <f t="shared" si="57"/>
        <v>50.258868403993922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-8.8675733422860506E-14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217.53602321474159</v>
      </c>
      <c r="AO115" s="59">
        <f t="shared" si="90"/>
        <v>215.75909414893025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11.762311171389968</v>
      </c>
      <c r="AV115" s="21">
        <f>EXP(-LN(2)/25)*AV114+(1-EXP(-LN(2)/25))/(LN(2)/25)*Calculateur!AQ115*Calculateur!AS115*VLOOKUP('Données projet'!$B$10,Paramètres!$A$1:$I$89,3,0)*0.475*44/12</f>
        <v>8.2376861085368613</v>
      </c>
      <c r="AW115" s="21">
        <f>EXP(-LN(2)/2)*AW114+(1-EXP(-LN(2)/2))/(LN(2)/2)*AQ115*AT115*VLOOKUP('Données projet'!$B$10,Paramètres!$A$1:$I$89,3,0)*0.475*44/12</f>
        <v>1.3131665849977096E-5</v>
      </c>
      <c r="AX115" s="21">
        <f t="shared" si="60"/>
        <v>20.00001041159268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-1.7053025658242404E-13</v>
      </c>
      <c r="BE115" s="13">
        <f>BD115*VLOOKUP('Données projet'!$B$11,Paramètres!$A$1:$I$89,3,0)*VLOOKUP('Données projet'!$B$11,Paramètres!$A$1:$I$89,5,0)</f>
        <v>-1.1439169611549005E-13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281.67293577289729</v>
      </c>
      <c r="BJ115" s="59">
        <f t="shared" si="92"/>
        <v>272.44904846480154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18.173797377571379</v>
      </c>
      <c r="BQ115" s="21">
        <f>EXP(-LN(2)/25)*BQ114+(1-EXP(-LN(2)/25))/(LN(2)/25)*Calculateur!BL115*Calculateur!BN115*VLOOKUP('Données projet'!$B$11,Paramètres!$A$1:$I$89,3,0)*0.475*44/12</f>
        <v>14.708117591751236</v>
      </c>
      <c r="BR115" s="21">
        <f>EXP(-LN(2)/2)*BR114+(1-EXP(-LN(2)/2))/(LN(2)/2)*BL115*BO115*VLOOKUP('Données projet'!$B$11,Paramètres!$A$1:$I$89,3,0)*0.475*44/12</f>
        <v>6.6873506486929825E-4</v>
      </c>
      <c r="BS115" s="22">
        <f t="shared" si="63"/>
        <v>32.882583704387486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-1.7053025658242404E-13</v>
      </c>
      <c r="BZ115" s="13">
        <f>BY115*VLOOKUP('Données projet'!$B$12,Paramètres!$A$1:$I$89,3,0)*VLOOKUP('Données projet'!$B$12,Paramètres!$A$1:$I$89,5,0)</f>
        <v>-1.4897523215040567E-13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348.77506423101278</v>
      </c>
      <c r="CE115" s="59">
        <f t="shared" si="94"/>
        <v>336.13747591329548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23.66820123590691</v>
      </c>
      <c r="CL115" s="21">
        <f>EXP(-LN(2)/25)*CL114+(1-EXP(-LN(2)/25))/(LN(2)/25)*Calculateur!CG115*Calculateur!CI115*VLOOKUP('Données projet'!$B$12,Paramètres!$A$1:$I$89,3,0)*0.475*44/12</f>
        <v>19.154757793908583</v>
      </c>
      <c r="CM115" s="21">
        <f>EXP(-LN(2)/2)*CM114+(1-EXP(-LN(2)/2))/(LN(2)/2)*CG115*CJ115*VLOOKUP('Données projet'!$B$12,Paramètres!$A$1:$I$89,3,0)*0.475*44/12</f>
        <v>8.7091078215536643E-4</v>
      </c>
      <c r="CN115" s="22">
        <f t="shared" si="66"/>
        <v>42.823829940597648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6.8811111111111085</v>
      </c>
      <c r="CT115" s="12">
        <f>IF('Données projet'!$A$140&gt;35,CT114+CS115-DB114,IF(A115&lt;'Données projet'!$A$140,$CQ$205^A115,IF(A115='Données projet'!$A$140,'Données projet'!$B$140,CT114+CS115-DB114)))</f>
        <v>287.01888888888874</v>
      </c>
      <c r="CU115" s="17">
        <f>CT115*VLOOKUP('Données projet'!$B$13,Paramètres!$A$1:$I$89,3,0)*VLOOKUP('Données projet'!$B$13,Paramètres!$A$1:$I$89,5,0)</f>
        <v>277.60466933333322</v>
      </c>
      <c r="CV115" s="13">
        <f t="shared" si="95"/>
        <v>66.460553816339257</v>
      </c>
      <c r="CW115" s="20">
        <f t="shared" si="67"/>
        <v>599.24693031901279</v>
      </c>
      <c r="CX115" s="59">
        <f t="shared" si="68"/>
        <v>879.66824173458372</v>
      </c>
      <c r="CY115" s="59">
        <f ca="1">AVERAGE(OFFSET($CX$3,0,0,'Données projet'!$E$13+1,1))-AVERAGE(OFFSET($H$3,0,0,'Données projet'!$E$13+1,1))</f>
        <v>557.48193674339791</v>
      </c>
      <c r="CZ115" s="59">
        <f t="shared" si="96"/>
        <v>271.51396593253048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13.870361699230262</v>
      </c>
      <c r="DG115" s="21">
        <f>EXP(-LN(2)/25)*DG114+(1-EXP(-LN(2)/25))/(LN(2)/25)*Calculateur!DB115*Calculateur!DD115*VLOOKUP('Données projet'!$B$13,Paramètres!$A$1:$I$89,3,0)*0.475*44/12</f>
        <v>22.697835081012286</v>
      </c>
      <c r="DH115" s="21">
        <f>EXP(-LN(2)/2)*DH114+(1-EXP(-LN(2)/2))/(LN(2)/2)*DB115*DE115*VLOOKUP('Données projet'!$B$13,Paramètres!$A$1:$I$89,3,0)*0.475*44/12</f>
        <v>0.23581427004889327</v>
      </c>
      <c r="DI115" s="22">
        <f t="shared" si="69"/>
        <v>36.804011050291436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6.8811111111111085</v>
      </c>
      <c r="DO115" s="12">
        <f>IF('Données projet'!$A$166&gt;35,DO114+DN115-DW114,IF(A115&lt;'Données projet'!$A$166,$DL$205^A115,IF(A115='Données projet'!$A$166,'Données projet'!$B$166,DO114+DN115-DW114)))</f>
        <v>287.01888888888874</v>
      </c>
      <c r="DP115" s="17">
        <f>DO115*VLOOKUP('Données projet'!$B$14,Paramètres!$A$1:$I$89,3,0)*VLOOKUP('Données projet'!$B$14,Paramètres!$A$1:$I$89,5,0)</f>
        <v>308.94713199999984</v>
      </c>
      <c r="DQ115" s="13">
        <f t="shared" si="97"/>
        <v>73.048905909776721</v>
      </c>
      <c r="DR115" s="20">
        <f t="shared" si="70"/>
        <v>665.3097660261941</v>
      </c>
      <c r="DS115" s="59">
        <f t="shared" si="71"/>
        <v>945.73107744176491</v>
      </c>
      <c r="DT115" s="59">
        <f ca="1">AVERAGE(OFFSET($DS$3,0,0,'Données projet'!$E$14+1,1))-AVERAGE(OFFSET($H$3,0,0,'Données projet'!$E$14+1,1))</f>
        <v>610.05768948788375</v>
      </c>
      <c r="DU115" s="59">
        <f t="shared" si="98"/>
        <v>295.23928902444845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15.436370278175612</v>
      </c>
      <c r="EB115" s="21">
        <f>EXP(-LN(2)/25)*EB114+(1-EXP(-LN(2)/25))/(LN(2)/25)*Calculateur!DW115*Calculateur!DY115*VLOOKUP('Données projet'!$B$14,Paramètres!$A$1:$I$89,3,0)*0.475*44/12</f>
        <v>25.260493880481409</v>
      </c>
      <c r="EC115" s="21">
        <f>EXP(-LN(2)/2)*EC114+(1-EXP(-LN(2)/2))/(LN(2)/2)*DW115*DZ115*VLOOKUP('Données projet'!$B$14,Paramètres!$A$1:$I$89,3,0)*0.475*44/12</f>
        <v>0.26243846182860675</v>
      </c>
      <c r="ED115" s="22">
        <f t="shared" si="72"/>
        <v>40.95930262048563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8.8449999999999989</v>
      </c>
      <c r="N116" s="13">
        <f>IF('Données projet'!$A$36&gt;35,N115+M116-V115,IF(A116&lt;'Données projet'!$A$36,$K$205^A116,IF(A116='Données projet'!$A$36,'Données projet'!$B$36,N115+M116-V115)))</f>
        <v>415.71500000000071</v>
      </c>
      <c r="O116" s="13">
        <f>N116*VLOOKUP('Données projet'!$B$9,Paramètres!$A$1:$I$89,3,0)*VLOOKUP('Données projet'!$B$9,Paramètres!$A$1:$I$89,5,0)</f>
        <v>376.13893200000064</v>
      </c>
      <c r="P116" s="13">
        <f t="shared" si="87"/>
        <v>86.922020183945492</v>
      </c>
      <c r="Q116" s="20">
        <f t="shared" si="107"/>
        <v>806.49782505370615</v>
      </c>
      <c r="R116" s="59">
        <f t="shared" si="55"/>
        <v>1087.1431311825938</v>
      </c>
      <c r="S116" s="59">
        <f ca="1">AVERAGE(OFFSET($R$3,0,0,'Données projet'!$E$9+1,1))-AVERAGE(OFFSET($H$3,0,0,'Données projet'!$E$9+1,1))</f>
        <v>681.47578137804555</v>
      </c>
      <c r="T116" s="59">
        <f t="shared" si="88"/>
        <v>300.88511065995885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27.692345089845542</v>
      </c>
      <c r="AA116" s="21">
        <f>EXP(-LN(2)/25)*AA115+(1-EXP(-LN(2)/25))/(LN(2)/25)*Calculateur!V116*Calculateur!X116*VLOOKUP('Données projet'!$B$9,Paramètres!$A$1:$I$89,3,0)*0.475*44/12</f>
        <v>21.056435771050243</v>
      </c>
      <c r="AB116" s="21">
        <f>EXP(-LN(2)/2)*AB115+(1-EXP(-LN(2)/2))/(LN(2)/2)*V116*Y116*VLOOKUP('Données projet'!$B$9,Paramètres!$A$1:$I$89,3,0)*0.475*44/12</f>
        <v>0.25754178653251392</v>
      </c>
      <c r="AC116" s="22">
        <f t="shared" si="57"/>
        <v>49.006322647428298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-8.8675733422860506E-14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217.53602321474159</v>
      </c>
      <c r="AO116" s="59">
        <f t="shared" si="90"/>
        <v>215.75909414893025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11.531659423620422</v>
      </c>
      <c r="AV116" s="21">
        <f>EXP(-LN(2)/25)*AV115+(1-EXP(-LN(2)/25))/(LN(2)/25)*Calculateur!AQ116*Calculateur!AS116*VLOOKUP('Données projet'!$B$10,Paramètres!$A$1:$I$89,3,0)*0.475*44/12</f>
        <v>8.0124261486978359</v>
      </c>
      <c r="AW116" s="21">
        <f>EXP(-LN(2)/2)*AW115+(1-EXP(-LN(2)/2))/(LN(2)/2)*AQ116*AT116*VLOOKUP('Données projet'!$B$10,Paramètres!$A$1:$I$89,3,0)*0.475*44/12</f>
        <v>9.2854899707946127E-6</v>
      </c>
      <c r="AX116" s="21">
        <f t="shared" si="60"/>
        <v>19.544094857808229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-1.7053025658242404E-13</v>
      </c>
      <c r="BE116" s="13">
        <f>BD116*VLOOKUP('Données projet'!$B$11,Paramètres!$A$1:$I$89,3,0)*VLOOKUP('Données projet'!$B$11,Paramètres!$A$1:$I$89,5,0)</f>
        <v>-1.1439169611549005E-13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281.67293577289729</v>
      </c>
      <c r="BJ116" s="59">
        <f t="shared" si="92"/>
        <v>272.44904846480154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17.81742029591906</v>
      </c>
      <c r="BQ116" s="21">
        <f>EXP(-LN(2)/25)*BQ115+(1-EXP(-LN(2)/25))/(LN(2)/25)*Calculateur!BL116*Calculateur!BN116*VLOOKUP('Données projet'!$B$11,Paramètres!$A$1:$I$89,3,0)*0.475*44/12</f>
        <v>14.30592334273851</v>
      </c>
      <c r="BR116" s="21">
        <f>EXP(-LN(2)/2)*BR115+(1-EXP(-LN(2)/2))/(LN(2)/2)*BL116*BO116*VLOOKUP('Données projet'!$B$11,Paramètres!$A$1:$I$89,3,0)*0.475*44/12</f>
        <v>4.7286709918630655E-4</v>
      </c>
      <c r="BS116" s="22">
        <f t="shared" si="63"/>
        <v>32.123816505756757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-1.7053025658242404E-13</v>
      </c>
      <c r="BZ116" s="13">
        <f>BY116*VLOOKUP('Données projet'!$B$12,Paramètres!$A$1:$I$89,3,0)*VLOOKUP('Données projet'!$B$12,Paramètres!$A$1:$I$89,5,0)</f>
        <v>-1.4897523215040567E-13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348.77506423101278</v>
      </c>
      <c r="CE116" s="59">
        <f t="shared" si="94"/>
        <v>336.13747591329548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23.204082245848074</v>
      </c>
      <c r="CL116" s="21">
        <f>EXP(-LN(2)/25)*CL115+(1-EXP(-LN(2)/25))/(LN(2)/25)*Calculateur!CG116*Calculateur!CI116*VLOOKUP('Données projet'!$B$12,Paramètres!$A$1:$I$89,3,0)*0.475*44/12</f>
        <v>18.630969934729219</v>
      </c>
      <c r="CM116" s="21">
        <f>EXP(-LN(2)/2)*CM115+(1-EXP(-LN(2)/2))/(LN(2)/2)*CG116*CJ116*VLOOKUP('Données projet'!$B$12,Paramètres!$A$1:$I$89,3,0)*0.475*44/12</f>
        <v>6.1582691987053964E-4</v>
      </c>
      <c r="CN116" s="22">
        <f t="shared" si="66"/>
        <v>41.835668007497162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>
        <f>VLOOKUP(A116,'Données projet'!$A$139:$I$159,2,0)</f>
        <v>293.89999999999998</v>
      </c>
      <c r="CR116" s="12">
        <f>VLOOKUP(A116,'Données projet'!$A$139:$I$159,9,0)</f>
        <v>6.8811111111111085</v>
      </c>
      <c r="CS116" s="12">
        <f t="array" ref="CS116">INDEX(CR:CR,MIN(IF(ISNUMBER(CR116:CR312),ROW(CR116:CR312),"")))</f>
        <v>6.8811111111111085</v>
      </c>
      <c r="CT116" s="12">
        <f>IF('Données projet'!$A$140&gt;35,CT115+CS116-DB115,IF(A116&lt;'Données projet'!$A$140,$CQ$205^A116,IF(A116='Données projet'!$A$140,'Données projet'!$B$140,CT115+CS116-DB115)))</f>
        <v>293.89999999999986</v>
      </c>
      <c r="CU116" s="17">
        <f>CT116*VLOOKUP('Données projet'!$B$13,Paramètres!$A$1:$I$89,3,0)*VLOOKUP('Données projet'!$B$13,Paramètres!$A$1:$I$89,5,0)</f>
        <v>284.26007999999985</v>
      </c>
      <c r="CV116" s="13">
        <f t="shared" si="95"/>
        <v>67.866493540604594</v>
      </c>
      <c r="CW116" s="20">
        <f t="shared" si="67"/>
        <v>613.28711558321936</v>
      </c>
      <c r="CX116" s="59">
        <f t="shared" si="68"/>
        <v>893.93242171210704</v>
      </c>
      <c r="CY116" s="59">
        <f ca="1">AVERAGE(OFFSET($CX$3,0,0,'Données projet'!$E$13+1,1))-AVERAGE(OFFSET($H$3,0,0,'Données projet'!$E$13+1,1))</f>
        <v>557.48193674339791</v>
      </c>
      <c r="CZ116" s="59">
        <f t="shared" si="96"/>
        <v>271.51396593253048</v>
      </c>
      <c r="DA116" s="15">
        <f>IF(ISNA(VLOOKUP(A116,'Données projet'!$A$139:$I$159,3,0)),0,VLOOKUP(A116,'Données projet'!$A$139:$I$159,3,0))</f>
        <v>7</v>
      </c>
      <c r="DB116" s="15">
        <f>IF(ISNA(VLOOKUP(A116,'Données projet'!$A$139:$I$159,4,0)),0,VLOOKUP(A116,'Données projet'!$A$139:$I$159,4,0))</f>
        <v>41.639999999999986</v>
      </c>
      <c r="DC116" s="16">
        <f>IF(ISNA(VLOOKUP(A116,'Données projet'!$A$139:$I$159,5,0)),0%,VLOOKUP(A116,'Données projet'!$A$139:$I$159,5,0)*VLOOKUP('Données projet'!$B$13,Paramètres!$A$1:$I$89,7,0))</f>
        <v>0.15049999999999999</v>
      </c>
      <c r="DD116" s="16">
        <f>IF(ISNA(VLOOKUP(A116,'Données projet'!$A$139:$I$159,6,0)),0%,VLOOKUP(A116,'Données projet'!$A$139:$I$159,6,0)*VLOOKUP('Données projet'!$B$13,Paramètres!$A$1:$I$89,7,0))</f>
        <v>8.6000000000000007E-2</v>
      </c>
      <c r="DE116" s="16">
        <f>IF(ISNA(VLOOKUP(A116,'Données projet'!$A$139:$I$159,7,0)),0%,VLOOKUP(A116,'Données projet'!$A$139:$I$159,7,0))</f>
        <v>0.1</v>
      </c>
      <c r="DF116" s="21">
        <f>EXP(-LN(2)/35)*DF115+(1-EXP(-LN(2)/35))/(LN(2)/35)*DB116*DC116*VLOOKUP('Données projet'!$B$13,Paramètres!$A$1:$I$89,3,0)*0.475*44/12</f>
        <v>20.298924938867547</v>
      </c>
      <c r="DG116" s="21">
        <f>EXP(-LN(2)/25)*DG115+(1-EXP(-LN(2)/25))/(LN(2)/25)*Calculateur!DB116*Calculateur!DD116*VLOOKUP('Données projet'!$B$13,Paramètres!$A$1:$I$89,3,0)*0.475*44/12</f>
        <v>25.890972983600676</v>
      </c>
      <c r="DH116" s="21">
        <f>EXP(-LN(2)/2)*DH115+(1-EXP(-LN(2)/2))/(LN(2)/2)*DB116*DE116*VLOOKUP('Données projet'!$B$13,Paramètres!$A$1:$I$89,3,0)*0.475*44/12</f>
        <v>3.9667257906936912</v>
      </c>
      <c r="DI116" s="22">
        <f t="shared" si="69"/>
        <v>50.156623713161913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>
        <f>VLOOKUP(A116,'Données projet'!$A$165:$I$185,2,0)</f>
        <v>293.89999999999998</v>
      </c>
      <c r="DM116" s="12">
        <f>VLOOKUP(A116,'Données projet'!$A$165:$I$185,9,0)</f>
        <v>6.8811111111111085</v>
      </c>
      <c r="DN116" s="12">
        <f t="array" ref="DN116">INDEX(DM:DM,MIN(IF(ISNUMBER(DM116:DM312),ROW(DM116:DM312),"")))</f>
        <v>6.8811111111111085</v>
      </c>
      <c r="DO116" s="12">
        <f>IF('Données projet'!$A$166&gt;35,DO115+DN116-DW115,IF(A116&lt;'Données projet'!$A$166,$DL$205^A116,IF(A116='Données projet'!$A$166,'Données projet'!$B$166,DO115+DN116-DW115)))</f>
        <v>293.89999999999986</v>
      </c>
      <c r="DP116" s="17">
        <f>DO116*VLOOKUP('Données projet'!$B$14,Paramètres!$A$1:$I$89,3,0)*VLOOKUP('Données projet'!$B$14,Paramètres!$A$1:$I$89,5,0)</f>
        <v>316.3539599999998</v>
      </c>
      <c r="DQ116" s="13">
        <f t="shared" si="97"/>
        <v>74.594218922311867</v>
      </c>
      <c r="DR116" s="20">
        <f t="shared" si="70"/>
        <v>680.90141162302621</v>
      </c>
      <c r="DS116" s="59">
        <f t="shared" si="71"/>
        <v>961.54671775191377</v>
      </c>
      <c r="DT116" s="59">
        <f ca="1">AVERAGE(OFFSET($DS$3,0,0,'Données projet'!$E$14+1,1))-AVERAGE(OFFSET($H$3,0,0,'Données projet'!$E$14+1,1))</f>
        <v>610.05768948788375</v>
      </c>
      <c r="DU116" s="59">
        <f t="shared" si="98"/>
        <v>295.23928902444845</v>
      </c>
      <c r="DV116" s="15">
        <f>IF(ISNA(VLOOKUP(A116,'Données projet'!$A$165:$I$185,3,0)),0,VLOOKUP(A116,'Données projet'!$A$165:$I$185,3,0))</f>
        <v>7</v>
      </c>
      <c r="DW116" s="15">
        <f>IF(ISNA(VLOOKUP(A116,'Données projet'!$A$165:$I$185,4,0)),0,VLOOKUP(A116,'Données projet'!$A$165:$I$185,4,0))</f>
        <v>41.639999999999986</v>
      </c>
      <c r="DX116" s="16">
        <f>IF(ISNA(VLOOKUP(A116,'Données projet'!$A$165:$I$185,5,0)),0%,VLOOKUP(A116,'Données projet'!$A$165:$I$185,5,0)*VLOOKUP('Données projet'!$B$14,Paramètres!$A$1:$I$89,7,0))</f>
        <v>0.15049999999999999</v>
      </c>
      <c r="DY116" s="16">
        <f>IF(ISNA(VLOOKUP(A116,'Données projet'!$A$165:$I$185,6,0)),0%,VLOOKUP(A116,'Données projet'!$A$165:$I$185,6,0)*VLOOKUP('Données projet'!$B$14,Paramètres!$A$1:$I$89,7,0))</f>
        <v>8.6000000000000007E-2</v>
      </c>
      <c r="DZ116" s="16">
        <f>IF(ISNA(VLOOKUP(A116,'Données projet'!$A$165:$I$185,7,0)),0%,VLOOKUP(A116,'Données projet'!$A$165:$I$185,7,0))</f>
        <v>0.1</v>
      </c>
      <c r="EA116" s="21">
        <f>EXP(-LN(2)/35)*EA115+(1-EXP(-LN(2)/35))/(LN(2)/35)*DW116*DX116*VLOOKUP('Données projet'!$B$14,Paramètres!$A$1:$I$89,3,0)*0.475*44/12</f>
        <v>22.59073904486872</v>
      </c>
      <c r="EB116" s="21">
        <f>EXP(-LN(2)/25)*EB115+(1-EXP(-LN(2)/25))/(LN(2)/25)*Calculateur!DW116*Calculateur!DY116*VLOOKUP('Données projet'!$B$14,Paramètres!$A$1:$I$89,3,0)*0.475*44/12</f>
        <v>28.814147352716876</v>
      </c>
      <c r="EC116" s="21">
        <f>EXP(-LN(2)/2)*EC115+(1-EXP(-LN(2)/2))/(LN(2)/2)*DW116*DZ116*VLOOKUP('Données projet'!$B$14,Paramètres!$A$1:$I$89,3,0)*0.475*44/12</f>
        <v>4.4145819283526544</v>
      </c>
      <c r="ED116" s="22">
        <f t="shared" si="72"/>
        <v>55.819468325938253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424.56</v>
      </c>
      <c r="L117" s="12">
        <f>VLOOKUP(A117,'Données projet'!$A$35:$I$55,9,0)</f>
        <v>8.8449999999999989</v>
      </c>
      <c r="M117" s="12">
        <f t="array" ref="M117">INDEX(L:L,MIN(IF(ISNUMBER(L117:L313),ROW(L117:L313),"")))</f>
        <v>8.8449999999999989</v>
      </c>
      <c r="N117" s="13">
        <f>IF('Données projet'!$A$36&gt;35,N116+M117-V116,IF(A117&lt;'Données projet'!$A$36,$K$205^A117,IF(A117='Données projet'!$A$36,'Données projet'!$B$36,N116+M117-V116)))</f>
        <v>424.56000000000074</v>
      </c>
      <c r="O117" s="13">
        <f>N117*VLOOKUP('Données projet'!$B$9,Paramètres!$A$1:$I$89,3,0)*VLOOKUP('Données projet'!$B$9,Paramètres!$A$1:$I$89,5,0)</f>
        <v>384.14188800000068</v>
      </c>
      <c r="P117" s="13">
        <f t="shared" si="87"/>
        <v>88.554146462646884</v>
      </c>
      <c r="Q117" s="20">
        <f t="shared" si="107"/>
        <v>823.27892668911102</v>
      </c>
      <c r="R117" s="59">
        <f t="shared" si="55"/>
        <v>1104.1443417238165</v>
      </c>
      <c r="S117" s="59">
        <f ca="1">AVERAGE(OFFSET($R$3,0,0,'Données projet'!$E$9+1,1))-AVERAGE(OFFSET($H$3,0,0,'Données projet'!$E$9+1,1))</f>
        <v>681.47578137804555</v>
      </c>
      <c r="T117" s="59">
        <f t="shared" si="88"/>
        <v>300.88511065995885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61.860000000000014</v>
      </c>
      <c r="W117" s="16">
        <f>IF(ISNA(VLOOKUP(A117,'Données projet'!$A$35:$I$55,5,0)),0%,VLOOKUP(A117,'Données projet'!$A$35:$I$55,5,0)*VLOOKUP('Données projet'!$B$9,Paramètres!$A$1:$I$89,7,0))</f>
        <v>0.15049999999999999</v>
      </c>
      <c r="X117" s="16">
        <f>IF(ISNA(VLOOKUP(A117,'Données projet'!$A$35:$I$55,6,0)),0%,VLOOKUP(A117,'Données projet'!$A$35:$I$55,6,0)*VLOOKUP('Données projet'!$B$9,Paramètres!$A$1:$I$89,7,0))</f>
        <v>8.6000000000000007E-2</v>
      </c>
      <c r="Y117" s="16">
        <f>IF(ISNA(VLOOKUP(A117,'Données projet'!$A$35:$I$55,7,0)),0%,VLOOKUP(A117,'Données projet'!$A$35:$I$55,7,0))</f>
        <v>0.1</v>
      </c>
      <c r="Z117" s="21">
        <f>EXP(-LN(2)/35)*Z116+(1-EXP(-LN(2)/35))/(LN(2)/35)*V117*W117*VLOOKUP('Données projet'!$B$9,Paramètres!$A$1:$I$89,3,0)*0.475*44/12</f>
        <v>36.461382647651561</v>
      </c>
      <c r="AA117" s="21">
        <f>EXP(-LN(2)/25)*AA116+(1-EXP(-LN(2)/25))/(LN(2)/25)*Calculateur!V117*Calculateur!X117*VLOOKUP('Données projet'!$B$9,Paramètres!$A$1:$I$89,3,0)*0.475*44/12</f>
        <v>25.780876368276925</v>
      </c>
      <c r="AB117" s="21">
        <f>EXP(-LN(2)/2)*AB116+(1-EXP(-LN(2)/2))/(LN(2)/2)*V117*Y117*VLOOKUP('Données projet'!$B$9,Paramètres!$A$1:$I$89,3,0)*0.475*44/12</f>
        <v>5.4631172440400739</v>
      </c>
      <c r="AC117" s="22">
        <f t="shared" si="57"/>
        <v>67.70537625996856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-8.8675733422860506E-14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217.53602321474159</v>
      </c>
      <c r="AO117" s="59">
        <f t="shared" si="90"/>
        <v>215.75909414893025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11.305530615940961</v>
      </c>
      <c r="AV117" s="21">
        <f>EXP(-LN(2)/25)*AV116+(1-EXP(-LN(2)/25))/(LN(2)/25)*Calculateur!AQ117*Calculateur!AS117*VLOOKUP('Données projet'!$B$10,Paramètres!$A$1:$I$89,3,0)*0.475*44/12</f>
        <v>7.7933259343065151</v>
      </c>
      <c r="AW117" s="21">
        <f>EXP(-LN(2)/2)*AW116+(1-EXP(-LN(2)/2))/(LN(2)/2)*AQ117*AT117*VLOOKUP('Données projet'!$B$10,Paramètres!$A$1:$I$89,3,0)*0.475*44/12</f>
        <v>6.5658329249885479E-6</v>
      </c>
      <c r="AX117" s="21">
        <f t="shared" si="60"/>
        <v>19.098863116080402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-1.7053025658242404E-13</v>
      </c>
      <c r="BE117" s="13">
        <f>BD117*VLOOKUP('Données projet'!$B$11,Paramètres!$A$1:$I$89,3,0)*VLOOKUP('Données projet'!$B$11,Paramètres!$A$1:$I$89,5,0)</f>
        <v>-1.1439169611549005E-13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281.67293577289729</v>
      </c>
      <c r="BJ117" s="59">
        <f t="shared" si="92"/>
        <v>272.44904846480154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17.468031551469387</v>
      </c>
      <c r="BQ117" s="21">
        <f>EXP(-LN(2)/25)*BQ116+(1-EXP(-LN(2)/25))/(LN(2)/25)*Calculateur!BL117*Calculateur!BN117*VLOOKUP('Données projet'!$B$11,Paramètres!$A$1:$I$89,3,0)*0.475*44/12</f>
        <v>13.914727116615513</v>
      </c>
      <c r="BR117" s="21">
        <f>EXP(-LN(2)/2)*BR116+(1-EXP(-LN(2)/2))/(LN(2)/2)*BL117*BO117*VLOOKUP('Données projet'!$B$11,Paramètres!$A$1:$I$89,3,0)*0.475*44/12</f>
        <v>3.3436753243464912E-4</v>
      </c>
      <c r="BS117" s="22">
        <f t="shared" si="63"/>
        <v>31.383093035617335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-1.7053025658242404E-13</v>
      </c>
      <c r="BZ117" s="13">
        <f>BY117*VLOOKUP('Données projet'!$B$12,Paramètres!$A$1:$I$89,3,0)*VLOOKUP('Données projet'!$B$12,Paramètres!$A$1:$I$89,5,0)</f>
        <v>-1.4897523215040567E-13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348.77506423101278</v>
      </c>
      <c r="CE117" s="59">
        <f t="shared" si="94"/>
        <v>336.13747591329548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22.749064346099662</v>
      </c>
      <c r="CL117" s="21">
        <f>EXP(-LN(2)/25)*CL116+(1-EXP(-LN(2)/25))/(LN(2)/25)*Calculateur!CG117*Calculateur!CI117*VLOOKUP('Données projet'!$B$12,Paramètres!$A$1:$I$89,3,0)*0.475*44/12</f>
        <v>18.121505082103923</v>
      </c>
      <c r="CM117" s="21">
        <f>EXP(-LN(2)/2)*CM116+(1-EXP(-LN(2)/2))/(LN(2)/2)*CG117*CJ117*VLOOKUP('Données projet'!$B$12,Paramètres!$A$1:$I$89,3,0)*0.475*44/12</f>
        <v>4.3545539107768321E-4</v>
      </c>
      <c r="CN117" s="22">
        <f t="shared" si="66"/>
        <v>40.871004883594658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7.0011111111111104</v>
      </c>
      <c r="CT117" s="12">
        <f>IF('Données projet'!$A$140&gt;35,CT116+CS117-DB116,IF(A117&lt;'Données projet'!$A$140,$CQ$205^A117,IF(A117='Données projet'!$A$140,'Données projet'!$B$140,CT116+CS117-DB116)))</f>
        <v>259.26111111111101</v>
      </c>
      <c r="CU117" s="17">
        <f>CT117*VLOOKUP('Données projet'!$B$13,Paramètres!$A$1:$I$89,3,0)*VLOOKUP('Données projet'!$B$13,Paramètres!$A$1:$I$89,5,0)</f>
        <v>250.75734666666656</v>
      </c>
      <c r="CV117" s="13">
        <f t="shared" si="95"/>
        <v>60.748086681617018</v>
      </c>
      <c r="CW117" s="20">
        <f t="shared" si="67"/>
        <v>542.53862974826052</v>
      </c>
      <c r="CX117" s="59">
        <f t="shared" si="68"/>
        <v>823.40404478296591</v>
      </c>
      <c r="CY117" s="59">
        <f ca="1">AVERAGE(OFFSET($CX$3,0,0,'Données projet'!$E$13+1,1))-AVERAGE(OFFSET($H$3,0,0,'Données projet'!$E$13+1,1))</f>
        <v>557.48193674339791</v>
      </c>
      <c r="CZ117" s="59">
        <f t="shared" si="96"/>
        <v>271.51396593253048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19.900875401938034</v>
      </c>
      <c r="DG117" s="21">
        <f>EXP(-LN(2)/25)*DG116+(1-EXP(-LN(2)/25))/(LN(2)/25)*Calculateur!DB117*Calculateur!DD117*VLOOKUP('Données projet'!$B$13,Paramètres!$A$1:$I$89,3,0)*0.475*44/12</f>
        <v>25.182982965817022</v>
      </c>
      <c r="DH117" s="21">
        <f>EXP(-LN(2)/2)*DH116+(1-EXP(-LN(2)/2))/(LN(2)/2)*DB117*DE117*VLOOKUP('Données projet'!$B$13,Paramètres!$A$1:$I$89,3,0)*0.475*44/12</f>
        <v>2.8048987057070787</v>
      </c>
      <c r="DI117" s="22">
        <f t="shared" si="69"/>
        <v>47.888757073462138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7.0011111111111104</v>
      </c>
      <c r="DO117" s="12">
        <f>IF('Données projet'!$A$166&gt;35,DO116+DN117-DW116,IF(A117&lt;'Données projet'!$A$166,$DL$205^A117,IF(A117='Données projet'!$A$166,'Données projet'!$B$166,DO116+DN117-DW116)))</f>
        <v>259.26111111111101</v>
      </c>
      <c r="DP117" s="17">
        <f>DO117*VLOOKUP('Données projet'!$B$14,Paramètres!$A$1:$I$89,3,0)*VLOOKUP('Données projet'!$B$14,Paramètres!$A$1:$I$89,5,0)</f>
        <v>279.06865999999985</v>
      </c>
      <c r="DQ117" s="13">
        <f t="shared" si="97"/>
        <v>66.77015181768509</v>
      </c>
      <c r="DR117" s="20">
        <f t="shared" si="70"/>
        <v>602.33593058246788</v>
      </c>
      <c r="DS117" s="59">
        <f t="shared" si="71"/>
        <v>883.20134561717327</v>
      </c>
      <c r="DT117" s="59">
        <f ca="1">AVERAGE(OFFSET($DS$3,0,0,'Données projet'!$E$14+1,1))-AVERAGE(OFFSET($H$3,0,0,'Données projet'!$E$14+1,1))</f>
        <v>610.05768948788375</v>
      </c>
      <c r="DU117" s="59">
        <f t="shared" si="98"/>
        <v>295.23928902444845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22.1477484311891</v>
      </c>
      <c r="EB117" s="21">
        <f>EXP(-LN(2)/25)*EB116+(1-EXP(-LN(2)/25))/(LN(2)/25)*Calculateur!DW117*Calculateur!DY117*VLOOKUP('Données projet'!$B$14,Paramètres!$A$1:$I$89,3,0)*0.475*44/12</f>
        <v>28.026222978086679</v>
      </c>
      <c r="EC117" s="21">
        <f>EXP(-LN(2)/2)*EC116+(1-EXP(-LN(2)/2))/(LN(2)/2)*DW117*DZ117*VLOOKUP('Données projet'!$B$14,Paramètres!$A$1:$I$89,3,0)*0.475*44/12</f>
        <v>3.1215808176417474</v>
      </c>
      <c r="ED117" s="22">
        <f t="shared" si="72"/>
        <v>53.295552226917529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8.9160000000000021</v>
      </c>
      <c r="N118" s="13">
        <f>IF('Données projet'!$A$36&gt;35,N117+M118-V117,IF(A118&lt;'Données projet'!$A$36,$K$205^A118,IF(A118='Données projet'!$A$36,'Données projet'!$B$36,N117+M118-V117)))</f>
        <v>371.61600000000072</v>
      </c>
      <c r="O118" s="13">
        <f>N118*VLOOKUP('Données projet'!$B$9,Paramètres!$A$1:$I$89,3,0)*VLOOKUP('Données projet'!$B$9,Paramètres!$A$1:$I$89,5,0)</f>
        <v>336.23815680000064</v>
      </c>
      <c r="P118" s="13">
        <f t="shared" si="87"/>
        <v>78.722223243612518</v>
      </c>
      <c r="Q118" s="20">
        <f t="shared" si="107"/>
        <v>722.72266190929292</v>
      </c>
      <c r="R118" s="59">
        <f t="shared" si="55"/>
        <v>1003.8043674523901</v>
      </c>
      <c r="S118" s="59">
        <f ca="1">AVERAGE(OFFSET($R$3,0,0,'Données projet'!$E$9+1,1))-AVERAGE(OFFSET($H$3,0,0,'Données projet'!$E$9+1,1))</f>
        <v>681.47578137804555</v>
      </c>
      <c r="T118" s="59">
        <f t="shared" si="88"/>
        <v>300.88511065995885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35.746397173178586</v>
      </c>
      <c r="AA118" s="21">
        <f>EXP(-LN(2)/25)*AA117+(1-EXP(-LN(2)/25))/(LN(2)/25)*Calculateur!V118*Calculateur!X118*VLOOKUP('Données projet'!$B$9,Paramètres!$A$1:$I$89,3,0)*0.475*44/12</f>
        <v>25.075896948229026</v>
      </c>
      <c r="AB118" s="21">
        <f>EXP(-LN(2)/2)*AB117+(1-EXP(-LN(2)/2))/(LN(2)/2)*V118*Y118*VLOOKUP('Données projet'!$B$9,Paramètres!$A$1:$I$89,3,0)*0.475*44/12</f>
        <v>3.8630072496778993</v>
      </c>
      <c r="AC118" s="22">
        <f t="shared" si="57"/>
        <v>64.685301371085501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-8.8675733422860506E-14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217.53602321474159</v>
      </c>
      <c r="AO118" s="59">
        <f t="shared" si="90"/>
        <v>215.75909414893025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11.083836056255143</v>
      </c>
      <c r="AV118" s="21">
        <f>EXP(-LN(2)/25)*AV117+(1-EXP(-LN(2)/25))/(LN(2)/25)*Calculateur!AQ118*Calculateur!AS118*VLOOKUP('Données projet'!$B$10,Paramètres!$A$1:$I$89,3,0)*0.475*44/12</f>
        <v>7.5802170267997049</v>
      </c>
      <c r="AW118" s="21">
        <f>EXP(-LN(2)/2)*AW117+(1-EXP(-LN(2)/2))/(LN(2)/2)*AQ118*AT118*VLOOKUP('Données projet'!$B$10,Paramètres!$A$1:$I$89,3,0)*0.475*44/12</f>
        <v>4.6427449853973064E-6</v>
      </c>
      <c r="AX118" s="21">
        <f t="shared" si="60"/>
        <v>18.664057725799832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-1.7053025658242404E-13</v>
      </c>
      <c r="BE118" s="13">
        <f>BD118*VLOOKUP('Données projet'!$B$11,Paramètres!$A$1:$I$89,3,0)*VLOOKUP('Données projet'!$B$11,Paramètres!$A$1:$I$89,5,0)</f>
        <v>-1.1439169611549005E-13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281.67293577289729</v>
      </c>
      <c r="BJ118" s="59">
        <f t="shared" si="92"/>
        <v>272.44904846480154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17.125494107192281</v>
      </c>
      <c r="BQ118" s="21">
        <f>EXP(-LN(2)/25)*BQ117+(1-EXP(-LN(2)/25))/(LN(2)/25)*Calculateur!BL118*Calculateur!BN118*VLOOKUP('Données projet'!$B$11,Paramètres!$A$1:$I$89,3,0)*0.475*44/12</f>
        <v>13.534228171867966</v>
      </c>
      <c r="BR118" s="21">
        <f>EXP(-LN(2)/2)*BR117+(1-EXP(-LN(2)/2))/(LN(2)/2)*BL118*BO118*VLOOKUP('Données projet'!$B$11,Paramètres!$A$1:$I$89,3,0)*0.475*44/12</f>
        <v>2.3643354959315327E-4</v>
      </c>
      <c r="BS118" s="22">
        <f t="shared" si="63"/>
        <v>30.659958712609839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-1.7053025658242404E-13</v>
      </c>
      <c r="BZ118" s="13">
        <f>BY118*VLOOKUP('Données projet'!$B$12,Paramètres!$A$1:$I$89,3,0)*VLOOKUP('Données projet'!$B$12,Paramètres!$A$1:$I$89,5,0)</f>
        <v>-1.4897523215040567E-13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348.77506423101278</v>
      </c>
      <c r="CE118" s="59">
        <f t="shared" si="94"/>
        <v>336.13747591329548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22.3029690698318</v>
      </c>
      <c r="CL118" s="21">
        <f>EXP(-LN(2)/25)*CL117+(1-EXP(-LN(2)/25))/(LN(2)/25)*Calculateur!CG118*Calculateur!CI118*VLOOKUP('Données projet'!$B$12,Paramètres!$A$1:$I$89,3,0)*0.475*44/12</f>
        <v>17.625971572665257</v>
      </c>
      <c r="CM118" s="21">
        <f>EXP(-LN(2)/2)*CM117+(1-EXP(-LN(2)/2))/(LN(2)/2)*CG118*CJ118*VLOOKUP('Données projet'!$B$12,Paramètres!$A$1:$I$89,3,0)*0.475*44/12</f>
        <v>3.0791345993526982E-4</v>
      </c>
      <c r="CN118" s="22">
        <f t="shared" si="66"/>
        <v>39.929248555956988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7.0011111111111104</v>
      </c>
      <c r="CT118" s="12">
        <f>IF('Données projet'!$A$140&gt;35,CT117+CS118-DB117,IF(A118&lt;'Données projet'!$A$140,$CQ$205^A118,IF(A118='Données projet'!$A$140,'Données projet'!$B$140,CT117+CS118-DB117)))</f>
        <v>266.26222222222214</v>
      </c>
      <c r="CU118" s="17">
        <f>CT118*VLOOKUP('Données projet'!$B$13,Paramètres!$A$1:$I$89,3,0)*VLOOKUP('Données projet'!$B$13,Paramètres!$A$1:$I$89,5,0)</f>
        <v>257.52882133333327</v>
      </c>
      <c r="CV118" s="13">
        <f t="shared" si="95"/>
        <v>62.195330109146276</v>
      </c>
      <c r="CW118" s="20">
        <f t="shared" si="67"/>
        <v>556.85289709565188</v>
      </c>
      <c r="CX118" s="59">
        <f t="shared" si="68"/>
        <v>837.93460263874908</v>
      </c>
      <c r="CY118" s="59">
        <f ca="1">AVERAGE(OFFSET($CX$3,0,0,'Données projet'!$E$13+1,1))-AVERAGE(OFFSET($H$3,0,0,'Données projet'!$E$13+1,1))</f>
        <v>557.48193674339791</v>
      </c>
      <c r="CZ118" s="59">
        <f t="shared" si="96"/>
        <v>271.51396593253048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19.510631373641463</v>
      </c>
      <c r="DG118" s="21">
        <f>EXP(-LN(2)/25)*DG117+(1-EXP(-LN(2)/25))/(LN(2)/25)*Calculateur!DB118*Calculateur!DD118*VLOOKUP('Données projet'!$B$13,Paramètres!$A$1:$I$89,3,0)*0.475*44/12</f>
        <v>24.494352972301236</v>
      </c>
      <c r="DH118" s="21">
        <f>EXP(-LN(2)/2)*DH117+(1-EXP(-LN(2)/2))/(LN(2)/2)*DB118*DE118*VLOOKUP('Données projet'!$B$13,Paramètres!$A$1:$I$89,3,0)*0.475*44/12</f>
        <v>1.9833628953468458</v>
      </c>
      <c r="DI118" s="22">
        <f t="shared" si="69"/>
        <v>45.988347241289546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7.0011111111111104</v>
      </c>
      <c r="DO118" s="12">
        <f>IF('Données projet'!$A$166&gt;35,DO117+DN118-DW117,IF(A118&lt;'Données projet'!$A$166,$DL$205^A118,IF(A118='Données projet'!$A$166,'Données projet'!$B$166,DO117+DN118-DW117)))</f>
        <v>266.26222222222214</v>
      </c>
      <c r="DP118" s="17">
        <f>DO118*VLOOKUP('Données projet'!$B$14,Paramètres!$A$1:$I$89,3,0)*VLOOKUP('Données projet'!$B$14,Paramètres!$A$1:$I$89,5,0)</f>
        <v>286.60465599999986</v>
      </c>
      <c r="DQ118" s="13">
        <f t="shared" si="97"/>
        <v>68.360863042546129</v>
      </c>
      <c r="DR118" s="20">
        <f t="shared" si="70"/>
        <v>618.23161233243434</v>
      </c>
      <c r="DS118" s="59">
        <f t="shared" si="71"/>
        <v>899.31331787553154</v>
      </c>
      <c r="DT118" s="59">
        <f ca="1">AVERAGE(OFFSET($DS$3,0,0,'Données projet'!$E$14+1,1))-AVERAGE(OFFSET($H$3,0,0,'Données projet'!$E$14+1,1))</f>
        <v>610.05768948788375</v>
      </c>
      <c r="DU118" s="59">
        <f t="shared" si="98"/>
        <v>295.23928902444845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21.713444593246141</v>
      </c>
      <c r="EB118" s="21">
        <f>EXP(-LN(2)/25)*EB117+(1-EXP(-LN(2)/25))/(LN(2)/25)*Calculateur!DW118*Calculateur!DY118*VLOOKUP('Données projet'!$B$14,Paramètres!$A$1:$I$89,3,0)*0.475*44/12</f>
        <v>27.259844436915888</v>
      </c>
      <c r="EC118" s="21">
        <f>EXP(-LN(2)/2)*EC117+(1-EXP(-LN(2)/2))/(LN(2)/2)*DW118*DZ118*VLOOKUP('Données projet'!$B$14,Paramètres!$A$1:$I$89,3,0)*0.475*44/12</f>
        <v>2.2072909641763272</v>
      </c>
      <c r="ED118" s="22">
        <f t="shared" si="72"/>
        <v>51.180579994338359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8.9160000000000021</v>
      </c>
      <c r="N119" s="13">
        <f>IF('Données projet'!$A$36&gt;35,N118+M119-V118,IF(A119&lt;'Données projet'!$A$36,$K$205^A119,IF(A119='Données projet'!$A$36,'Données projet'!$B$36,N118+M119-V118)))</f>
        <v>380.53200000000072</v>
      </c>
      <c r="O119" s="13">
        <f>N119*VLOOKUP('Données projet'!$B$9,Paramètres!$A$1:$I$89,3,0)*VLOOKUP('Données projet'!$B$9,Paramètres!$A$1:$I$89,5,0)</f>
        <v>344.30535360000061</v>
      </c>
      <c r="P119" s="13">
        <f t="shared" si="87"/>
        <v>80.388807253544201</v>
      </c>
      <c r="Q119" s="20">
        <f t="shared" si="107"/>
        <v>739.67566348659057</v>
      </c>
      <c r="R119" s="59">
        <f t="shared" si="55"/>
        <v>1020.9699073813121</v>
      </c>
      <c r="S119" s="59">
        <f ca="1">AVERAGE(OFFSET($R$3,0,0,'Données projet'!$E$9+1,1))-AVERAGE(OFFSET($H$3,0,0,'Données projet'!$E$9+1,1))</f>
        <v>681.47578137804555</v>
      </c>
      <c r="T119" s="59">
        <f t="shared" si="88"/>
        <v>300.88511065995885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35.045432127761948</v>
      </c>
      <c r="AA119" s="21">
        <f>EXP(-LN(2)/25)*AA118+(1-EXP(-LN(2)/25))/(LN(2)/25)*Calculateur!V119*Calculateur!X119*VLOOKUP('Données projet'!$B$9,Paramètres!$A$1:$I$89,3,0)*0.475*44/12</f>
        <v>24.390195227495596</v>
      </c>
      <c r="AB119" s="21">
        <f>EXP(-LN(2)/2)*AB118+(1-EXP(-LN(2)/2))/(LN(2)/2)*V119*Y119*VLOOKUP('Données projet'!$B$9,Paramètres!$A$1:$I$89,3,0)*0.475*44/12</f>
        <v>2.7315586220200374</v>
      </c>
      <c r="AC119" s="22">
        <f t="shared" si="57"/>
        <v>62.167185977277583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-8.8675733422860506E-14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217.53602321474159</v>
      </c>
      <c r="AO119" s="59">
        <f t="shared" si="90"/>
        <v>215.75909414893025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10.866488791664432</v>
      </c>
      <c r="AV119" s="21">
        <f>EXP(-LN(2)/25)*AV118+(1-EXP(-LN(2)/25))/(LN(2)/25)*Calculateur!AQ119*Calculateur!AS119*VLOOKUP('Données projet'!$B$10,Paramètres!$A$1:$I$89,3,0)*0.475*44/12</f>
        <v>7.372935593575578</v>
      </c>
      <c r="AW119" s="21">
        <f>EXP(-LN(2)/2)*AW118+(1-EXP(-LN(2)/2))/(LN(2)/2)*AQ119*AT119*VLOOKUP('Données projet'!$B$10,Paramètres!$A$1:$I$89,3,0)*0.475*44/12</f>
        <v>3.2829164624942739E-6</v>
      </c>
      <c r="AX119" s="21">
        <f t="shared" si="60"/>
        <v>18.239427668156473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-1.7053025658242404E-13</v>
      </c>
      <c r="BE119" s="13">
        <f>BD119*VLOOKUP('Données projet'!$B$11,Paramètres!$A$1:$I$89,3,0)*VLOOKUP('Données projet'!$B$11,Paramètres!$A$1:$I$89,5,0)</f>
        <v>-1.1439169611549005E-13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281.67293577289729</v>
      </c>
      <c r="BJ119" s="59">
        <f t="shared" si="92"/>
        <v>272.44904846480154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16.789673613270235</v>
      </c>
      <c r="BQ119" s="21">
        <f>EXP(-LN(2)/25)*BQ118+(1-EXP(-LN(2)/25))/(LN(2)/25)*Calculateur!BL119*Calculateur!BN119*VLOOKUP('Données projet'!$B$11,Paramètres!$A$1:$I$89,3,0)*0.475*44/12</f>
        <v>13.16413399077411</v>
      </c>
      <c r="BR119" s="21">
        <f>EXP(-LN(2)/2)*BR118+(1-EXP(-LN(2)/2))/(LN(2)/2)*BL119*BO119*VLOOKUP('Données projet'!$B$11,Paramètres!$A$1:$I$89,3,0)*0.475*44/12</f>
        <v>1.6718376621732456E-4</v>
      </c>
      <c r="BS119" s="22">
        <f t="shared" si="63"/>
        <v>29.953974787810559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-1.7053025658242404E-13</v>
      </c>
      <c r="BZ119" s="13">
        <f>BY119*VLOOKUP('Données projet'!$B$12,Paramètres!$A$1:$I$89,3,0)*VLOOKUP('Données projet'!$B$12,Paramètres!$A$1:$I$89,5,0)</f>
        <v>-1.4897523215040567E-13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348.77506423101278</v>
      </c>
      <c r="CE119" s="59">
        <f t="shared" si="94"/>
        <v>336.13747591329548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21.865621449840301</v>
      </c>
      <c r="CL119" s="21">
        <f>EXP(-LN(2)/25)*CL118+(1-EXP(-LN(2)/25))/(LN(2)/25)*Calculateur!CG119*Calculateur!CI119*VLOOKUP('Données projet'!$B$12,Paramètres!$A$1:$I$89,3,0)*0.475*44/12</f>
        <v>17.143988453101166</v>
      </c>
      <c r="CM119" s="21">
        <f>EXP(-LN(2)/2)*CM118+(1-EXP(-LN(2)/2))/(LN(2)/2)*CG119*CJ119*VLOOKUP('Données projet'!$B$12,Paramètres!$A$1:$I$89,3,0)*0.475*44/12</f>
        <v>2.1772769553884161E-4</v>
      </c>
      <c r="CN119" s="22">
        <f t="shared" si="66"/>
        <v>39.009827630637005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7.0011111111111104</v>
      </c>
      <c r="CT119" s="12">
        <f>IF('Données projet'!$A$140&gt;35,CT118+CS119-DB118,IF(A119&lt;'Données projet'!$A$140,$CQ$205^A119,IF(A119='Données projet'!$A$140,'Données projet'!$B$140,CT118+CS119-DB118)))</f>
        <v>273.26333333333326</v>
      </c>
      <c r="CU119" s="17">
        <f>CT119*VLOOKUP('Données projet'!$B$13,Paramètres!$A$1:$I$89,3,0)*VLOOKUP('Données projet'!$B$13,Paramètres!$A$1:$I$89,5,0)</f>
        <v>264.30029599999995</v>
      </c>
      <c r="CV119" s="13">
        <f t="shared" si="95"/>
        <v>63.638150297391014</v>
      </c>
      <c r="CW119" s="20">
        <f t="shared" si="67"/>
        <v>571.15946063462252</v>
      </c>
      <c r="CX119" s="59">
        <f t="shared" si="68"/>
        <v>852.45370452934401</v>
      </c>
      <c r="CY119" s="59">
        <f ca="1">AVERAGE(OFFSET($CX$3,0,0,'Données projet'!$E$13+1,1))-AVERAGE(OFFSET($H$3,0,0,'Données projet'!$E$13+1,1))</f>
        <v>557.48193674339791</v>
      </c>
      <c r="CZ119" s="59">
        <f t="shared" si="96"/>
        <v>271.51396593253048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19.128039792714432</v>
      </c>
      <c r="DG119" s="21">
        <f>EXP(-LN(2)/25)*DG118+(1-EXP(-LN(2)/25))/(LN(2)/25)*Calculateur!DB119*Calculateur!DD119*VLOOKUP('Données projet'!$B$13,Paramètres!$A$1:$I$89,3,0)*0.475*44/12</f>
        <v>23.824553602171619</v>
      </c>
      <c r="DH119" s="21">
        <f>EXP(-LN(2)/2)*DH118+(1-EXP(-LN(2)/2))/(LN(2)/2)*DB119*DE119*VLOOKUP('Données projet'!$B$13,Paramètres!$A$1:$I$89,3,0)*0.475*44/12</f>
        <v>1.4024493528535396</v>
      </c>
      <c r="DI119" s="22">
        <f t="shared" si="69"/>
        <v>44.355042747739589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7.0011111111111104</v>
      </c>
      <c r="DO119" s="12">
        <f>IF('Données projet'!$A$166&gt;35,DO118+DN119-DW118,IF(A119&lt;'Données projet'!$A$166,$DL$205^A119,IF(A119='Données projet'!$A$166,'Données projet'!$B$166,DO118+DN119-DW118)))</f>
        <v>273.26333333333326</v>
      </c>
      <c r="DP119" s="17">
        <f>DO119*VLOOKUP('Données projet'!$B$14,Paramètres!$A$1:$I$89,3,0)*VLOOKUP('Données projet'!$B$14,Paramètres!$A$1:$I$89,5,0)</f>
        <v>294.14065199999987</v>
      </c>
      <c r="DQ119" s="13">
        <f t="shared" si="97"/>
        <v>69.946712544599123</v>
      </c>
      <c r="DR119" s="20">
        <f t="shared" si="70"/>
        <v>634.11882658184322</v>
      </c>
      <c r="DS119" s="59">
        <f t="shared" si="71"/>
        <v>915.41307047656471</v>
      </c>
      <c r="DT119" s="59">
        <f ca="1">AVERAGE(OFFSET($DS$3,0,0,'Données projet'!$E$14+1,1))-AVERAGE(OFFSET($H$3,0,0,'Données projet'!$E$14+1,1))</f>
        <v>610.05768948788375</v>
      </c>
      <c r="DU119" s="59">
        <f t="shared" si="98"/>
        <v>295.23928902444845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21.28765718866606</v>
      </c>
      <c r="EB119" s="21">
        <f>EXP(-LN(2)/25)*EB118+(1-EXP(-LN(2)/25))/(LN(2)/25)*Calculateur!DW119*Calculateur!DY119*VLOOKUP('Données projet'!$B$14,Paramètres!$A$1:$I$89,3,0)*0.475*44/12</f>
        <v>26.514422557255507</v>
      </c>
      <c r="EC119" s="21">
        <f>EXP(-LN(2)/2)*EC118+(1-EXP(-LN(2)/2))/(LN(2)/2)*DW119*DZ119*VLOOKUP('Données projet'!$B$14,Paramètres!$A$1:$I$89,3,0)*0.475*44/12</f>
        <v>1.5607904088208737</v>
      </c>
      <c r="ED119" s="22">
        <f t="shared" si="72"/>
        <v>49.362870154742438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8.9160000000000021</v>
      </c>
      <c r="N120" s="13">
        <f>IF('Données projet'!$A$36&gt;35,N119+M120-V119,IF(A120&lt;'Données projet'!$A$36,$K$205^A120,IF(A120='Données projet'!$A$36,'Données projet'!$B$36,N119+M120-V119)))</f>
        <v>389.44800000000072</v>
      </c>
      <c r="O120" s="13">
        <f>N120*VLOOKUP('Données projet'!$B$9,Paramètres!$A$1:$I$89,3,0)*VLOOKUP('Données projet'!$B$9,Paramètres!$A$1:$I$89,5,0)</f>
        <v>352.37255040000065</v>
      </c>
      <c r="P120" s="13">
        <f t="shared" si="87"/>
        <v>82.050851753476593</v>
      </c>
      <c r="Q120" s="20">
        <f t="shared" si="107"/>
        <v>756.62075875063954</v>
      </c>
      <c r="R120" s="59">
        <f t="shared" si="55"/>
        <v>1038.1238539317492</v>
      </c>
      <c r="S120" s="59">
        <f ca="1">AVERAGE(OFFSET($R$3,0,0,'Données projet'!$E$9+1,1))-AVERAGE(OFFSET($H$3,0,0,'Données projet'!$E$9+1,1))</f>
        <v>681.47578137804555</v>
      </c>
      <c r="T120" s="59">
        <f t="shared" si="88"/>
        <v>300.88511065995885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34.358212579339472</v>
      </c>
      <c r="AA120" s="21">
        <f>EXP(-LN(2)/25)*AA119+(1-EXP(-LN(2)/25))/(LN(2)/25)*Calculateur!V120*Calculateur!X120*VLOOKUP('Données projet'!$B$9,Paramètres!$A$1:$I$89,3,0)*0.475*44/12</f>
        <v>23.723244056375105</v>
      </c>
      <c r="AB120" s="21">
        <f>EXP(-LN(2)/2)*AB119+(1-EXP(-LN(2)/2))/(LN(2)/2)*V120*Y120*VLOOKUP('Données projet'!$B$9,Paramètres!$A$1:$I$89,3,0)*0.475*44/12</f>
        <v>1.9315036248389501</v>
      </c>
      <c r="AC120" s="22">
        <f t="shared" si="57"/>
        <v>60.012960260553527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-8.8675733422860506E-14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217.53602321474159</v>
      </c>
      <c r="AO120" s="59">
        <f t="shared" si="90"/>
        <v>215.75909414893025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10.653403574363605</v>
      </c>
      <c r="AV120" s="21">
        <f>EXP(-LN(2)/25)*AV119+(1-EXP(-LN(2)/25))/(LN(2)/25)*Calculateur!AQ120*Calculateur!AS120*VLOOKUP('Données projet'!$B$10,Paramètres!$A$1:$I$89,3,0)*0.475*44/12</f>
        <v>7.1713222820434224</v>
      </c>
      <c r="AW120" s="21">
        <f>EXP(-LN(2)/2)*AW119+(1-EXP(-LN(2)/2))/(LN(2)/2)*AQ120*AT120*VLOOKUP('Données projet'!$B$10,Paramètres!$A$1:$I$89,3,0)*0.475*44/12</f>
        <v>2.3213724926986532E-6</v>
      </c>
      <c r="AX120" s="21">
        <f t="shared" si="60"/>
        <v>17.824728177779519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-1.7053025658242404E-13</v>
      </c>
      <c r="BE120" s="13">
        <f>BD120*VLOOKUP('Données projet'!$B$11,Paramètres!$A$1:$I$89,3,0)*VLOOKUP('Données projet'!$B$11,Paramètres!$A$1:$I$89,5,0)</f>
        <v>-1.1439169611549005E-13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281.67293577289729</v>
      </c>
      <c r="BJ120" s="59">
        <f t="shared" si="92"/>
        <v>272.44904846480154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16.460438354403724</v>
      </c>
      <c r="BQ120" s="21">
        <f>EXP(-LN(2)/25)*BQ119+(1-EXP(-LN(2)/25))/(LN(2)/25)*Calculateur!BL120*Calculateur!BN120*VLOOKUP('Données projet'!$B$11,Paramètres!$A$1:$I$89,3,0)*0.475*44/12</f>
        <v>12.804160054524672</v>
      </c>
      <c r="BR120" s="21">
        <f>EXP(-LN(2)/2)*BR119+(1-EXP(-LN(2)/2))/(LN(2)/2)*BL120*BO120*VLOOKUP('Données projet'!$B$11,Paramètres!$A$1:$I$89,3,0)*0.475*44/12</f>
        <v>1.1821677479657664E-4</v>
      </c>
      <c r="BS120" s="22">
        <f t="shared" si="63"/>
        <v>29.264716625703194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-1.7053025658242404E-13</v>
      </c>
      <c r="BZ120" s="13">
        <f>BY120*VLOOKUP('Données projet'!$B$12,Paramètres!$A$1:$I$89,3,0)*VLOOKUP('Données projet'!$B$12,Paramètres!$A$1:$I$89,5,0)</f>
        <v>-1.4897523215040567E-13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348.77506423101278</v>
      </c>
      <c r="CE120" s="59">
        <f t="shared" si="94"/>
        <v>336.13747591329548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21.436849949921125</v>
      </c>
      <c r="CL120" s="21">
        <f>EXP(-LN(2)/25)*CL119+(1-EXP(-LN(2)/25))/(LN(2)/25)*Calculateur!CG120*Calculateur!CI120*VLOOKUP('Données projet'!$B$12,Paramètres!$A$1:$I$89,3,0)*0.475*44/12</f>
        <v>16.675185187287944</v>
      </c>
      <c r="CM120" s="21">
        <f>EXP(-LN(2)/2)*CM119+(1-EXP(-LN(2)/2))/(LN(2)/2)*CG120*CJ120*VLOOKUP('Données projet'!$B$12,Paramètres!$A$1:$I$89,3,0)*0.475*44/12</f>
        <v>1.5395672996763491E-4</v>
      </c>
      <c r="CN120" s="22">
        <f t="shared" si="66"/>
        <v>38.112189093939037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7.0011111111111104</v>
      </c>
      <c r="CT120" s="12">
        <f>IF('Données projet'!$A$140&gt;35,CT119+CS120-DB119,IF(A120&lt;'Données projet'!$A$140,$CQ$205^A120,IF(A120='Données projet'!$A$140,'Données projet'!$B$140,CT119+CS120-DB119)))</f>
        <v>280.26444444444439</v>
      </c>
      <c r="CU120" s="17">
        <f>CT120*VLOOKUP('Données projet'!$B$13,Paramètres!$A$1:$I$89,3,0)*VLOOKUP('Données projet'!$B$13,Paramètres!$A$1:$I$89,5,0)</f>
        <v>271.07177066666662</v>
      </c>
      <c r="CV120" s="13">
        <f t="shared" si="95"/>
        <v>65.076673601984467</v>
      </c>
      <c r="CW120" s="20">
        <f t="shared" si="67"/>
        <v>585.45854043456723</v>
      </c>
      <c r="CX120" s="59">
        <f t="shared" si="68"/>
        <v>866.96163561567687</v>
      </c>
      <c r="CY120" s="59">
        <f ca="1">AVERAGE(OFFSET($CX$3,0,0,'Données projet'!$E$13+1,1))-AVERAGE(OFFSET($H$3,0,0,'Données projet'!$E$13+1,1))</f>
        <v>557.48193674339791</v>
      </c>
      <c r="CZ120" s="59">
        <f t="shared" si="96"/>
        <v>271.51396593253048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18.752950599331559</v>
      </c>
      <c r="DG120" s="21">
        <f>EXP(-LN(2)/25)*DG119+(1-EXP(-LN(2)/25))/(LN(2)/25)*Calculateur!DB120*Calculateur!DD120*VLOOKUP('Données projet'!$B$13,Paramètres!$A$1:$I$89,3,0)*0.475*44/12</f>
        <v>23.173069931041415</v>
      </c>
      <c r="DH120" s="21">
        <f>EXP(-LN(2)/2)*DH119+(1-EXP(-LN(2)/2))/(LN(2)/2)*DB120*DE120*VLOOKUP('Données projet'!$B$13,Paramètres!$A$1:$I$89,3,0)*0.475*44/12</f>
        <v>0.99168144767342303</v>
      </c>
      <c r="DI120" s="22">
        <f t="shared" si="69"/>
        <v>42.917701978046395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7.0011111111111104</v>
      </c>
      <c r="DO120" s="12">
        <f>IF('Données projet'!$A$166&gt;35,DO119+DN120-DW119,IF(A120&lt;'Données projet'!$A$166,$DL$205^A120,IF(A120='Données projet'!$A$166,'Données projet'!$B$166,DO119+DN120-DW119)))</f>
        <v>280.26444444444439</v>
      </c>
      <c r="DP120" s="17">
        <f>DO120*VLOOKUP('Données projet'!$B$14,Paramètres!$A$1:$I$89,3,0)*VLOOKUP('Données projet'!$B$14,Paramètres!$A$1:$I$89,5,0)</f>
        <v>301.67664799999994</v>
      </c>
      <c r="DQ120" s="13">
        <f t="shared" si="97"/>
        <v>71.5278392053348</v>
      </c>
      <c r="DR120" s="20">
        <f t="shared" si="70"/>
        <v>649.99781521595798</v>
      </c>
      <c r="DS120" s="59">
        <f t="shared" si="71"/>
        <v>931.50091039706763</v>
      </c>
      <c r="DT120" s="59">
        <f ca="1">AVERAGE(OFFSET($DS$3,0,0,'Données projet'!$E$14+1,1))-AVERAGE(OFFSET($H$3,0,0,'Données projet'!$E$14+1,1))</f>
        <v>610.05768948788375</v>
      </c>
      <c r="DU120" s="59">
        <f t="shared" si="98"/>
        <v>295.23928902444845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20.87021921538512</v>
      </c>
      <c r="EB120" s="21">
        <f>EXP(-LN(2)/25)*EB119+(1-EXP(-LN(2)/25))/(LN(2)/25)*Calculateur!DW120*Calculateur!DY120*VLOOKUP('Données projet'!$B$14,Paramètres!$A$1:$I$89,3,0)*0.475*44/12</f>
        <v>25.789384278094474</v>
      </c>
      <c r="EC120" s="21">
        <f>EXP(-LN(2)/2)*EC119+(1-EXP(-LN(2)/2))/(LN(2)/2)*DW120*DZ120*VLOOKUP('Données projet'!$B$14,Paramètres!$A$1:$I$89,3,0)*0.475*44/12</f>
        <v>1.1036454820881636</v>
      </c>
      <c r="ED120" s="22">
        <f t="shared" si="72"/>
        <v>47.763248975567755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8.9160000000000021</v>
      </c>
      <c r="N121" s="13">
        <f>IF('Données projet'!$A$36&gt;35,N120+M121-V120,IF(A121&lt;'Données projet'!$A$36,$K$205^A121,IF(A121='Données projet'!$A$36,'Données projet'!$B$36,N120+M121-V120)))</f>
        <v>398.36400000000071</v>
      </c>
      <c r="O121" s="13">
        <f>N121*VLOOKUP('Données projet'!$B$9,Paramètres!$A$1:$I$89,3,0)*VLOOKUP('Données projet'!$B$9,Paramètres!$A$1:$I$89,5,0)</f>
        <v>360.43974720000062</v>
      </c>
      <c r="P121" s="13">
        <f t="shared" si="87"/>
        <v>83.708472633827739</v>
      </c>
      <c r="Q121" s="20">
        <f t="shared" si="107"/>
        <v>773.55814954391769</v>
      </c>
      <c r="R121" s="59">
        <f t="shared" si="55"/>
        <v>1055.2664729085182</v>
      </c>
      <c r="S121" s="59">
        <f ca="1">AVERAGE(OFFSET($R$3,0,0,'Données projet'!$E$9+1,1))-AVERAGE(OFFSET($H$3,0,0,'Données projet'!$E$9+1,1))</f>
        <v>681.47578137804555</v>
      </c>
      <c r="T121" s="59">
        <f t="shared" si="88"/>
        <v>300.88511065995885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33.684468987099024</v>
      </c>
      <c r="AA121" s="21">
        <f>EXP(-LN(2)/25)*AA120+(1-EXP(-LN(2)/25))/(LN(2)/25)*Calculateur!V121*Calculateur!X121*VLOOKUP('Données projet'!$B$9,Paramètres!$A$1:$I$89,3,0)*0.475*44/12</f>
        <v>23.074530700102343</v>
      </c>
      <c r="AB121" s="21">
        <f>EXP(-LN(2)/2)*AB120+(1-EXP(-LN(2)/2))/(LN(2)/2)*V121*Y121*VLOOKUP('Données projet'!$B$9,Paramètres!$A$1:$I$89,3,0)*0.475*44/12</f>
        <v>1.3657793110100189</v>
      </c>
      <c r="AC121" s="22">
        <f t="shared" si="57"/>
        <v>58.124778998211383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-8.8675733422860506E-14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217.53602321474159</v>
      </c>
      <c r="AO121" s="59">
        <f t="shared" si="90"/>
        <v>215.75909414893025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10.444496828204898</v>
      </c>
      <c r="AV121" s="21">
        <f>EXP(-LN(2)/25)*AV120+(1-EXP(-LN(2)/25))/(LN(2)/25)*Calculateur!AQ121*Calculateur!AS121*VLOOKUP('Données projet'!$B$10,Paramètres!$A$1:$I$89,3,0)*0.475*44/12</f>
        <v>6.9752220971174967</v>
      </c>
      <c r="AW121" s="21">
        <f>EXP(-LN(2)/2)*AW120+(1-EXP(-LN(2)/2))/(LN(2)/2)*AQ121*AT121*VLOOKUP('Données projet'!$B$10,Paramètres!$A$1:$I$89,3,0)*0.475*44/12</f>
        <v>1.641458231247137E-6</v>
      </c>
      <c r="AX121" s="21">
        <f t="shared" si="60"/>
        <v>17.419720566780622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-1.7053025658242404E-13</v>
      </c>
      <c r="BE121" s="13">
        <f>BD121*VLOOKUP('Données projet'!$B$11,Paramètres!$A$1:$I$89,3,0)*VLOOKUP('Données projet'!$B$11,Paramètres!$A$1:$I$89,5,0)</f>
        <v>-1.1439169611549005E-13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281.67293577289729</v>
      </c>
      <c r="BJ121" s="59">
        <f t="shared" si="92"/>
        <v>272.44904846480154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16.137659198149908</v>
      </c>
      <c r="BQ121" s="21">
        <f>EXP(-LN(2)/25)*BQ120+(1-EXP(-LN(2)/25))/(LN(2)/25)*Calculateur!BL121*Calculateur!BN121*VLOOKUP('Données projet'!$B$11,Paramètres!$A$1:$I$89,3,0)*0.475*44/12</f>
        <v>12.454029624492183</v>
      </c>
      <c r="BR121" s="21">
        <f>EXP(-LN(2)/2)*BR120+(1-EXP(-LN(2)/2))/(LN(2)/2)*BL121*BO121*VLOOKUP('Données projet'!$B$11,Paramètres!$A$1:$I$89,3,0)*0.475*44/12</f>
        <v>8.3591883108662281E-5</v>
      </c>
      <c r="BS121" s="22">
        <f t="shared" si="63"/>
        <v>28.591772414525199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-1.7053025658242404E-13</v>
      </c>
      <c r="BZ121" s="13">
        <f>BY121*VLOOKUP('Données projet'!$B$12,Paramètres!$A$1:$I$89,3,0)*VLOOKUP('Données projet'!$B$12,Paramètres!$A$1:$I$89,5,0)</f>
        <v>-1.4897523215040567E-13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348.77506423101278</v>
      </c>
      <c r="CE121" s="59">
        <f t="shared" si="94"/>
        <v>336.13747591329548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21.016486397590572</v>
      </c>
      <c r="CL121" s="21">
        <f>EXP(-LN(2)/25)*CL120+(1-EXP(-LN(2)/25))/(LN(2)/25)*Calculateur!CG121*Calculateur!CI121*VLOOKUP('Données projet'!$B$12,Paramètres!$A$1:$I$89,3,0)*0.475*44/12</f>
        <v>16.219201371431677</v>
      </c>
      <c r="CM121" s="21">
        <f>EXP(-LN(2)/2)*CM120+(1-EXP(-LN(2)/2))/(LN(2)/2)*CG121*CJ121*VLOOKUP('Données projet'!$B$12,Paramètres!$A$1:$I$89,3,0)*0.475*44/12</f>
        <v>1.088638477694208E-4</v>
      </c>
      <c r="CN121" s="22">
        <f t="shared" si="66"/>
        <v>37.23579663287002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7.0011111111111104</v>
      </c>
      <c r="CT121" s="12">
        <f>IF('Données projet'!$A$140&gt;35,CT120+CS121-DB120,IF(A121&lt;'Données projet'!$A$140,$CQ$205^A121,IF(A121='Données projet'!$A$140,'Données projet'!$B$140,CT120+CS121-DB120)))</f>
        <v>287.26555555555552</v>
      </c>
      <c r="CU121" s="17">
        <f>CT121*VLOOKUP('Données projet'!$B$13,Paramètres!$A$1:$I$89,3,0)*VLOOKUP('Données projet'!$B$13,Paramètres!$A$1:$I$89,5,0)</f>
        <v>277.8432453333333</v>
      </c>
      <c r="CV121" s="13">
        <f t="shared" si="95"/>
        <v>66.511019705942104</v>
      </c>
      <c r="CW121" s="20">
        <f t="shared" si="67"/>
        <v>599.75034494340457</v>
      </c>
      <c r="CX121" s="59">
        <f t="shared" si="68"/>
        <v>881.45866830800492</v>
      </c>
      <c r="CY121" s="59">
        <f ca="1">AVERAGE(OFFSET($CX$3,0,0,'Données projet'!$E$13+1,1))-AVERAGE(OFFSET($H$3,0,0,'Données projet'!$E$13+1,1))</f>
        <v>557.48193674339791</v>
      </c>
      <c r="CZ121" s="59">
        <f t="shared" si="96"/>
        <v>271.51396593253048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18.385216676249108</v>
      </c>
      <c r="DG121" s="21">
        <f>EXP(-LN(2)/25)*DG120+(1-EXP(-LN(2)/25))/(LN(2)/25)*Calculateur!DB121*Calculateur!DD121*VLOOKUP('Données projet'!$B$13,Paramètres!$A$1:$I$89,3,0)*0.475*44/12</f>
        <v>22.539401115158302</v>
      </c>
      <c r="DH121" s="21">
        <f>EXP(-LN(2)/2)*DH120+(1-EXP(-LN(2)/2))/(LN(2)/2)*DB121*DE121*VLOOKUP('Données projet'!$B$13,Paramètres!$A$1:$I$89,3,0)*0.475*44/12</f>
        <v>0.70122467642676989</v>
      </c>
      <c r="DI121" s="22">
        <f t="shared" si="69"/>
        <v>41.625842467834183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7.0011111111111104</v>
      </c>
      <c r="DO121" s="12">
        <f>IF('Données projet'!$A$166&gt;35,DO120+DN121-DW120,IF(A121&lt;'Données projet'!$A$166,$DL$205^A121,IF(A121='Données projet'!$A$166,'Données projet'!$B$166,DO120+DN121-DW120)))</f>
        <v>287.26555555555552</v>
      </c>
      <c r="DP121" s="17">
        <f>DO121*VLOOKUP('Données projet'!$B$14,Paramètres!$A$1:$I$89,3,0)*VLOOKUP('Données projet'!$B$14,Paramètres!$A$1:$I$89,5,0)</f>
        <v>309.21264399999995</v>
      </c>
      <c r="DQ121" s="13">
        <f t="shared" si="97"/>
        <v>73.104374572157113</v>
      </c>
      <c r="DR121" s="20">
        <f t="shared" si="70"/>
        <v>665.86880734650686</v>
      </c>
      <c r="DS121" s="59">
        <f t="shared" si="71"/>
        <v>947.5771307111072</v>
      </c>
      <c r="DT121" s="59">
        <f ca="1">AVERAGE(OFFSET($DS$3,0,0,'Données projet'!$E$14+1,1))-AVERAGE(OFFSET($H$3,0,0,'Données projet'!$E$14+1,1))</f>
        <v>610.05768948788375</v>
      </c>
      <c r="DU121" s="59">
        <f t="shared" si="98"/>
        <v>295.23928902444845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20.460966946148197</v>
      </c>
      <c r="EB121" s="21">
        <f>EXP(-LN(2)/25)*EB120+(1-EXP(-LN(2)/25))/(LN(2)/25)*Calculateur!DW121*Calculateur!DY121*VLOOKUP('Données projet'!$B$14,Paramètres!$A$1:$I$89,3,0)*0.475*44/12</f>
        <v>25.084172208805203</v>
      </c>
      <c r="EC121" s="21">
        <f>EXP(-LN(2)/2)*EC120+(1-EXP(-LN(2)/2))/(LN(2)/2)*DW121*DZ121*VLOOKUP('Données projet'!$B$14,Paramètres!$A$1:$I$89,3,0)*0.475*44/12</f>
        <v>0.78039520441043686</v>
      </c>
      <c r="ED121" s="22">
        <f t="shared" si="72"/>
        <v>46.325534359363843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8.9160000000000021</v>
      </c>
      <c r="N122" s="13">
        <f>IF('Données projet'!$A$36&gt;35,N121+M122-V121,IF(A122&lt;'Données projet'!$A$36,$K$205^A122,IF(A122='Données projet'!$A$36,'Données projet'!$B$36,N121+M122-V121)))</f>
        <v>407.28000000000071</v>
      </c>
      <c r="O122" s="13">
        <f>N122*VLOOKUP('Données projet'!$B$9,Paramètres!$A$1:$I$89,3,0)*VLOOKUP('Données projet'!$B$9,Paramètres!$A$1:$I$89,5,0)</f>
        <v>368.5069440000006</v>
      </c>
      <c r="P122" s="13">
        <f t="shared" si="87"/>
        <v>85.361780301252097</v>
      </c>
      <c r="Q122" s="20">
        <f t="shared" si="107"/>
        <v>790.48802815801503</v>
      </c>
      <c r="R122" s="59">
        <f t="shared" si="55"/>
        <v>1072.3980194559442</v>
      </c>
      <c r="S122" s="59">
        <f ca="1">AVERAGE(OFFSET($R$3,0,0,'Données projet'!$E$9+1,1))-AVERAGE(OFFSET($H$3,0,0,'Données projet'!$E$9+1,1))</f>
        <v>681.47578137804555</v>
      </c>
      <c r="T122" s="59">
        <f t="shared" si="88"/>
        <v>300.88511065995885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33.023937095759393</v>
      </c>
      <c r="AA122" s="21">
        <f>EXP(-LN(2)/25)*AA121+(1-EXP(-LN(2)/25))/(LN(2)/25)*Calculateur!V122*Calculateur!X122*VLOOKUP('Données projet'!$B$9,Paramètres!$A$1:$I$89,3,0)*0.475*44/12</f>
        <v>22.443556444671213</v>
      </c>
      <c r="AB122" s="21">
        <f>EXP(-LN(2)/2)*AB121+(1-EXP(-LN(2)/2))/(LN(2)/2)*V122*Y122*VLOOKUP('Données projet'!$B$9,Paramètres!$A$1:$I$89,3,0)*0.475*44/12</f>
        <v>0.96575181241947516</v>
      </c>
      <c r="AC122" s="22">
        <f t="shared" si="57"/>
        <v>56.433245352850086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-8.8675733422860506E-14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217.53602321474159</v>
      </c>
      <c r="AO122" s="59">
        <f t="shared" si="90"/>
        <v>215.75909414893025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10.239686615917829</v>
      </c>
      <c r="AV122" s="21">
        <f>EXP(-LN(2)/25)*AV121+(1-EXP(-LN(2)/25))/(LN(2)/25)*Calculateur!AQ122*Calculateur!AS122*VLOOKUP('Données projet'!$B$10,Paramètres!$A$1:$I$89,3,0)*0.475*44/12</f>
        <v>6.7844842820608307</v>
      </c>
      <c r="AW122" s="21">
        <f>EXP(-LN(2)/2)*AW121+(1-EXP(-LN(2)/2))/(LN(2)/2)*AQ122*AT122*VLOOKUP('Données projet'!$B$10,Paramètres!$A$1:$I$89,3,0)*0.475*44/12</f>
        <v>1.1606862463493266E-6</v>
      </c>
      <c r="AX122" s="21">
        <f t="shared" si="60"/>
        <v>17.024172058664906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-1.7053025658242404E-13</v>
      </c>
      <c r="BE122" s="13">
        <f>BD122*VLOOKUP('Données projet'!$B$11,Paramètres!$A$1:$I$89,3,0)*VLOOKUP('Données projet'!$B$11,Paramètres!$A$1:$I$89,5,0)</f>
        <v>-1.1439169611549005E-13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281.67293577289729</v>
      </c>
      <c r="BJ122" s="59">
        <f t="shared" si="92"/>
        <v>272.44904846480154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15.821209544274383</v>
      </c>
      <c r="BQ122" s="21">
        <f>EXP(-LN(2)/25)*BQ121+(1-EXP(-LN(2)/25))/(LN(2)/25)*Calculateur!BL122*Calculateur!BN122*VLOOKUP('Données projet'!$B$11,Paramètres!$A$1:$I$89,3,0)*0.475*44/12</f>
        <v>12.113473529481491</v>
      </c>
      <c r="BR122" s="21">
        <f>EXP(-LN(2)/2)*BR121+(1-EXP(-LN(2)/2))/(LN(2)/2)*BL122*BO122*VLOOKUP('Données projet'!$B$11,Paramètres!$A$1:$I$89,3,0)*0.475*44/12</f>
        <v>5.9108387398288318E-5</v>
      </c>
      <c r="BS122" s="22">
        <f t="shared" si="63"/>
        <v>27.934742182143271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-1.7053025658242404E-13</v>
      </c>
      <c r="BZ122" s="13">
        <f>BY122*VLOOKUP('Données projet'!$B$12,Paramètres!$A$1:$I$89,3,0)*VLOOKUP('Données projet'!$B$12,Paramètres!$A$1:$I$89,5,0)</f>
        <v>-1.4897523215040567E-13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348.77506423101278</v>
      </c>
      <c r="CE122" s="59">
        <f t="shared" si="94"/>
        <v>336.13747591329548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20.604365918124774</v>
      </c>
      <c r="CL122" s="21">
        <f>EXP(-LN(2)/25)*CL121+(1-EXP(-LN(2)/25))/(LN(2)/25)*Calculateur!CG122*Calculateur!CI122*VLOOKUP('Données projet'!$B$12,Paramètres!$A$1:$I$89,3,0)*0.475*44/12</f>
        <v>15.775686456999146</v>
      </c>
      <c r="CM122" s="21">
        <f>EXP(-LN(2)/2)*CM121+(1-EXP(-LN(2)/2))/(LN(2)/2)*CG122*CJ122*VLOOKUP('Données projet'!$B$12,Paramètres!$A$1:$I$89,3,0)*0.475*44/12</f>
        <v>7.6978364983817455E-5</v>
      </c>
      <c r="CN122" s="22">
        <f t="shared" si="66"/>
        <v>36.380129353488911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7.0011111111111104</v>
      </c>
      <c r="CT122" s="12">
        <f>IF('Données projet'!$A$140&gt;35,CT121+CS122-DB121,IF(A122&lt;'Données projet'!$A$140,$CQ$205^A122,IF(A122='Données projet'!$A$140,'Données projet'!$B$140,CT121+CS122-DB121)))</f>
        <v>294.26666666666665</v>
      </c>
      <c r="CU122" s="17">
        <f>CT122*VLOOKUP('Données projet'!$B$13,Paramètres!$A$1:$I$89,3,0)*VLOOKUP('Données projet'!$B$13,Paramètres!$A$1:$I$89,5,0)</f>
        <v>284.61471999999998</v>
      </c>
      <c r="CV122" s="13">
        <f t="shared" si="95"/>
        <v>67.941302125940567</v>
      </c>
      <c r="CW122" s="20">
        <f t="shared" si="67"/>
        <v>614.03507186934644</v>
      </c>
      <c r="CX122" s="59">
        <f t="shared" si="68"/>
        <v>895.94506316727552</v>
      </c>
      <c r="CY122" s="59">
        <f ca="1">AVERAGE(OFFSET($CX$3,0,0,'Données projet'!$E$13+1,1))-AVERAGE(OFFSET($H$3,0,0,'Données projet'!$E$13+1,1))</f>
        <v>557.48193674339791</v>
      </c>
      <c r="CZ122" s="59">
        <f t="shared" si="96"/>
        <v>271.51396593253048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18.024693791102756</v>
      </c>
      <c r="DG122" s="21">
        <f>EXP(-LN(2)/25)*DG121+(1-EXP(-LN(2)/25))/(LN(2)/25)*Calculateur!DB122*Calculateur!DD122*VLOOKUP('Données projet'!$B$13,Paramètres!$A$1:$I$89,3,0)*0.475*44/12</f>
        <v>21.923060006368708</v>
      </c>
      <c r="DH122" s="21">
        <f>EXP(-LN(2)/2)*DH121+(1-EXP(-LN(2)/2))/(LN(2)/2)*DB122*DE122*VLOOKUP('Données projet'!$B$13,Paramètres!$A$1:$I$89,3,0)*0.475*44/12</f>
        <v>0.49584072383671157</v>
      </c>
      <c r="DI122" s="22">
        <f t="shared" si="69"/>
        <v>40.443594521308178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7.0011111111111104</v>
      </c>
      <c r="DO122" s="12">
        <f>IF('Données projet'!$A$166&gt;35,DO121+DN122-DW121,IF(A122&lt;'Données projet'!$A$166,$DL$205^A122,IF(A122='Données projet'!$A$166,'Données projet'!$B$166,DO121+DN122-DW121)))</f>
        <v>294.26666666666665</v>
      </c>
      <c r="DP122" s="17">
        <f>DO122*VLOOKUP('Données projet'!$B$14,Paramètres!$A$1:$I$89,3,0)*VLOOKUP('Données projet'!$B$14,Paramètres!$A$1:$I$89,5,0)</f>
        <v>316.74863999999997</v>
      </c>
      <c r="DQ122" s="13">
        <f t="shared" si="97"/>
        <v>74.67644341485142</v>
      </c>
      <c r="DR122" s="20">
        <f t="shared" si="70"/>
        <v>681.7320202808661</v>
      </c>
      <c r="DS122" s="59">
        <f t="shared" si="71"/>
        <v>963.64201157879529</v>
      </c>
      <c r="DT122" s="59">
        <f ca="1">AVERAGE(OFFSET($DS$3,0,0,'Données projet'!$E$14+1,1))-AVERAGE(OFFSET($H$3,0,0,'Données projet'!$E$14+1,1))</f>
        <v>610.05768948788375</v>
      </c>
      <c r="DU122" s="59">
        <f t="shared" si="98"/>
        <v>295.23928902444845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20.059739864291775</v>
      </c>
      <c r="EB122" s="21">
        <f>EXP(-LN(2)/25)*EB121+(1-EXP(-LN(2)/25))/(LN(2)/25)*Calculateur!DW122*Calculateur!DY122*VLOOKUP('Données projet'!$B$14,Paramètres!$A$1:$I$89,3,0)*0.475*44/12</f>
        <v>24.398244200636139</v>
      </c>
      <c r="EC122" s="21">
        <f>EXP(-LN(2)/2)*EC121+(1-EXP(-LN(2)/2))/(LN(2)/2)*DW122*DZ122*VLOOKUP('Données projet'!$B$14,Paramètres!$A$1:$I$89,3,0)*0.475*44/12</f>
        <v>0.5518227410440818</v>
      </c>
      <c r="ED122" s="22">
        <f t="shared" si="72"/>
        <v>45.009806805971998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8.9160000000000021</v>
      </c>
      <c r="N123" s="13">
        <f>IF('Données projet'!$A$36&gt;35,N122+M123-V122,IF(A123&lt;'Données projet'!$A$36,$K$205^A123,IF(A123='Données projet'!$A$36,'Données projet'!$B$36,N122+M123-V122)))</f>
        <v>416.19600000000071</v>
      </c>
      <c r="O123" s="13">
        <f>N123*VLOOKUP('Données projet'!$B$9,Paramètres!$A$1:$I$89,3,0)*VLOOKUP('Données projet'!$B$9,Paramètres!$A$1:$I$89,5,0)</f>
        <v>376.57414080000063</v>
      </c>
      <c r="P123" s="13">
        <f t="shared" si="87"/>
        <v>87.010880052402811</v>
      </c>
      <c r="Q123" s="20">
        <f t="shared" si="107"/>
        <v>807.41057798460258</v>
      </c>
      <c r="R123" s="59">
        <f t="shared" si="55"/>
        <v>1089.5187387280791</v>
      </c>
      <c r="S123" s="59">
        <f ca="1">AVERAGE(OFFSET($R$3,0,0,'Données projet'!$E$9+1,1))-AVERAGE(OFFSET($H$3,0,0,'Données projet'!$E$9+1,1))</f>
        <v>681.47578137804555</v>
      </c>
      <c r="T123" s="59">
        <f t="shared" si="88"/>
        <v>300.88511065995885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32.37635783192426</v>
      </c>
      <c r="AA123" s="21">
        <f>EXP(-LN(2)/25)*AA122+(1-EXP(-LN(2)/25))/(LN(2)/25)*Calculateur!V123*Calculateur!X123*VLOOKUP('Données projet'!$B$9,Paramètres!$A$1:$I$89,3,0)*0.475*44/12</f>
        <v>21.829836213436341</v>
      </c>
      <c r="AB123" s="21">
        <f>EXP(-LN(2)/2)*AB122+(1-EXP(-LN(2)/2))/(LN(2)/2)*V123*Y123*VLOOKUP('Données projet'!$B$9,Paramètres!$A$1:$I$89,3,0)*0.475*44/12</f>
        <v>0.68288965550500957</v>
      </c>
      <c r="AC123" s="22">
        <f t="shared" si="57"/>
        <v>54.889083700865612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-8.8675733422860506E-14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217.53602321474159</v>
      </c>
      <c r="AO123" s="59">
        <f t="shared" si="90"/>
        <v>215.75909414893025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10.038892606971816</v>
      </c>
      <c r="AV123" s="21">
        <f>EXP(-LN(2)/25)*AV122+(1-EXP(-LN(2)/25))/(LN(2)/25)*Calculateur!AQ123*Calculateur!AS123*VLOOKUP('Données projet'!$B$10,Paramètres!$A$1:$I$89,3,0)*0.475*44/12</f>
        <v>6.5989622025873551</v>
      </c>
      <c r="AW123" s="21">
        <f>EXP(-LN(2)/2)*AW122+(1-EXP(-LN(2)/2))/(LN(2)/2)*AQ123*AT123*VLOOKUP('Données projet'!$B$10,Paramètres!$A$1:$I$89,3,0)*0.475*44/12</f>
        <v>8.2072911562356849E-7</v>
      </c>
      <c r="AX123" s="21">
        <f t="shared" si="60"/>
        <v>16.637855630288289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-1.7053025658242404E-13</v>
      </c>
      <c r="BE123" s="13">
        <f>BD123*VLOOKUP('Données projet'!$B$11,Paramètres!$A$1:$I$89,3,0)*VLOOKUP('Données projet'!$B$11,Paramètres!$A$1:$I$89,5,0)</f>
        <v>-1.1439169611549005E-13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281.67293577289729</v>
      </c>
      <c r="BJ123" s="59">
        <f t="shared" si="92"/>
        <v>272.44904846480154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15.510965275096128</v>
      </c>
      <c r="BQ123" s="21">
        <f>EXP(-LN(2)/25)*BQ122+(1-EXP(-LN(2)/25))/(LN(2)/25)*Calculateur!BL123*Calculateur!BN123*VLOOKUP('Données projet'!$B$11,Paramètres!$A$1:$I$89,3,0)*0.475*44/12</f>
        <v>11.782229958797933</v>
      </c>
      <c r="BR123" s="21">
        <f>EXP(-LN(2)/2)*BR122+(1-EXP(-LN(2)/2))/(LN(2)/2)*BL123*BO123*VLOOKUP('Données projet'!$B$11,Paramètres!$A$1:$I$89,3,0)*0.475*44/12</f>
        <v>4.179594155433114E-5</v>
      </c>
      <c r="BS123" s="22">
        <f t="shared" si="63"/>
        <v>27.293237029835616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-1.7053025658242404E-13</v>
      </c>
      <c r="BZ123" s="13">
        <f>BY123*VLOOKUP('Données projet'!$B$12,Paramètres!$A$1:$I$89,3,0)*VLOOKUP('Données projet'!$B$12,Paramètres!$A$1:$I$89,5,0)</f>
        <v>-1.4897523215040567E-13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348.77506423101278</v>
      </c>
      <c r="CE123" s="59">
        <f t="shared" si="94"/>
        <v>336.13747591329548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20.200326869892628</v>
      </c>
      <c r="CL123" s="21">
        <f>EXP(-LN(2)/25)*CL122+(1-EXP(-LN(2)/25))/(LN(2)/25)*Calculateur!CG123*Calculateur!CI123*VLOOKUP('Données projet'!$B$12,Paramètres!$A$1:$I$89,3,0)*0.475*44/12</f>
        <v>15.34429948122521</v>
      </c>
      <c r="CM123" s="21">
        <f>EXP(-LN(2)/2)*CM122+(1-EXP(-LN(2)/2))/(LN(2)/2)*CG123*CJ123*VLOOKUP('Données projet'!$B$12,Paramètres!$A$1:$I$89,3,0)*0.475*44/12</f>
        <v>5.4431923884710402E-5</v>
      </c>
      <c r="CN123" s="22">
        <f t="shared" si="66"/>
        <v>35.544680783041727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7.0011111111111104</v>
      </c>
      <c r="CT123" s="12">
        <f>IF('Données projet'!$A$140&gt;35,CT122+CS123-DB122,IF(A123&lt;'Données projet'!$A$140,$CQ$205^A123,IF(A123='Données projet'!$A$140,'Données projet'!$B$140,CT122+CS123-DB122)))</f>
        <v>301.26777777777778</v>
      </c>
      <c r="CU123" s="17">
        <f>CT123*VLOOKUP('Données projet'!$B$13,Paramètres!$A$1:$I$89,3,0)*VLOOKUP('Données projet'!$B$13,Paramètres!$A$1:$I$89,5,0)</f>
        <v>291.38619466666665</v>
      </c>
      <c r="CV123" s="13">
        <f t="shared" si="95"/>
        <v>69.367628669059272</v>
      </c>
      <c r="CW123" s="20">
        <f t="shared" si="67"/>
        <v>628.31290897638928</v>
      </c>
      <c r="CX123" s="59">
        <f t="shared" si="68"/>
        <v>910.42106971986595</v>
      </c>
      <c r="CY123" s="59">
        <f ca="1">AVERAGE(OFFSET($CX$3,0,0,'Données projet'!$E$13+1,1))-AVERAGE(OFFSET($H$3,0,0,'Données projet'!$E$13+1,1))</f>
        <v>557.48193674339791</v>
      </c>
      <c r="CZ123" s="59">
        <f t="shared" si="96"/>
        <v>271.51396593253048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17.671240539836877</v>
      </c>
      <c r="DG123" s="21">
        <f>EXP(-LN(2)/25)*DG122+(1-EXP(-LN(2)/25))/(LN(2)/25)*Calculateur!DB123*Calculateur!DD123*VLOOKUP('Données projet'!$B$13,Paramètres!$A$1:$I$89,3,0)*0.475*44/12</f>
        <v>21.323572777610934</v>
      </c>
      <c r="DH123" s="21">
        <f>EXP(-LN(2)/2)*DH122+(1-EXP(-LN(2)/2))/(LN(2)/2)*DB123*DE123*VLOOKUP('Données projet'!$B$13,Paramètres!$A$1:$I$89,3,0)*0.475*44/12</f>
        <v>0.350612338213385</v>
      </c>
      <c r="DI123" s="22">
        <f t="shared" si="69"/>
        <v>39.345425655661195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7.0011111111111104</v>
      </c>
      <c r="DO123" s="12">
        <f>IF('Données projet'!$A$166&gt;35,DO122+DN123-DW122,IF(A123&lt;'Données projet'!$A$166,$DL$205^A123,IF(A123='Données projet'!$A$166,'Données projet'!$B$166,DO122+DN123-DW122)))</f>
        <v>301.26777777777778</v>
      </c>
      <c r="DP123" s="17">
        <f>DO123*VLOOKUP('Données projet'!$B$14,Paramètres!$A$1:$I$89,3,0)*VLOOKUP('Données projet'!$B$14,Paramètres!$A$1:$I$89,5,0)</f>
        <v>324.28463599999998</v>
      </c>
      <c r="DQ123" s="13">
        <f t="shared" si="97"/>
        <v>76.244164227603363</v>
      </c>
      <c r="DR123" s="20">
        <f t="shared" si="70"/>
        <v>697.58766039640921</v>
      </c>
      <c r="DS123" s="59">
        <f t="shared" si="71"/>
        <v>979.69582113988577</v>
      </c>
      <c r="DT123" s="59">
        <f ca="1">AVERAGE(OFFSET($DS$3,0,0,'Données projet'!$E$14+1,1))-AVERAGE(OFFSET($H$3,0,0,'Données projet'!$E$14+1,1))</f>
        <v>610.05768948788375</v>
      </c>
      <c r="DU123" s="59">
        <f t="shared" si="98"/>
        <v>295.23928902444845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19.666380600786201</v>
      </c>
      <c r="EB123" s="21">
        <f>EXP(-LN(2)/25)*EB122+(1-EXP(-LN(2)/25))/(LN(2)/25)*Calculateur!DW123*Calculateur!DY123*VLOOKUP('Données projet'!$B$14,Paramètres!$A$1:$I$89,3,0)*0.475*44/12</f>
        <v>23.731072929921844</v>
      </c>
      <c r="EC123" s="21">
        <f>EXP(-LN(2)/2)*EC122+(1-EXP(-LN(2)/2))/(LN(2)/2)*DW123*DZ123*VLOOKUP('Données projet'!$B$14,Paramètres!$A$1:$I$89,3,0)*0.475*44/12</f>
        <v>0.39019760220521843</v>
      </c>
      <c r="ED123" s="22">
        <f t="shared" si="72"/>
        <v>43.787651132913268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8.9160000000000021</v>
      </c>
      <c r="N124" s="13">
        <f>IF('Données projet'!$A$36&gt;35,N123+M124-V123,IF(A124&lt;'Données projet'!$A$36,$K$205^A124,IF(A124='Données projet'!$A$36,'Données projet'!$B$36,N123+M124-V123)))</f>
        <v>425.11200000000071</v>
      </c>
      <c r="O124" s="13">
        <f>N124*VLOOKUP('Données projet'!$B$9,Paramètres!$A$1:$I$89,3,0)*VLOOKUP('Données projet'!$B$9,Paramètres!$A$1:$I$89,5,0)</f>
        <v>384.64133760000061</v>
      </c>
      <c r="P124" s="13">
        <f t="shared" si="87"/>
        <v>88.65587241476193</v>
      </c>
      <c r="Q124" s="20">
        <f t="shared" si="107"/>
        <v>824.32597410904464</v>
      </c>
      <c r="R124" s="59">
        <f t="shared" si="55"/>
        <v>1106.6288665012289</v>
      </c>
      <c r="S124" s="59">
        <f ca="1">AVERAGE(OFFSET($R$3,0,0,'Données projet'!$E$9+1,1))-AVERAGE(OFFSET($H$3,0,0,'Données projet'!$E$9+1,1))</f>
        <v>681.47578137804555</v>
      </c>
      <c r="T124" s="59">
        <f t="shared" si="88"/>
        <v>300.88511065995885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31.741477202468587</v>
      </c>
      <c r="AA124" s="21">
        <f>EXP(-LN(2)/25)*AA123+(1-EXP(-LN(2)/25))/(LN(2)/25)*Calculateur!V124*Calculateur!X124*VLOOKUP('Données projet'!$B$9,Paramètres!$A$1:$I$89,3,0)*0.475*44/12</f>
        <v>21.232898194198729</v>
      </c>
      <c r="AB124" s="21">
        <f>EXP(-LN(2)/2)*AB123+(1-EXP(-LN(2)/2))/(LN(2)/2)*V124*Y124*VLOOKUP('Données projet'!$B$9,Paramètres!$A$1:$I$89,3,0)*0.475*44/12</f>
        <v>0.48287590620973764</v>
      </c>
      <c r="AC124" s="22">
        <f t="shared" si="57"/>
        <v>53.457251302877047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-8.8675733422860506E-14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217.53602321474159</v>
      </c>
      <c r="AO124" s="59">
        <f t="shared" si="90"/>
        <v>215.75909414893025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9.84203604606898</v>
      </c>
      <c r="AV124" s="21">
        <f>EXP(-LN(2)/25)*AV123+(1-EXP(-LN(2)/25))/(LN(2)/25)*Calculateur!AQ124*Calculateur!AS124*VLOOKUP('Données projet'!$B$10,Paramètres!$A$1:$I$89,3,0)*0.475*44/12</f>
        <v>6.4185132341332638</v>
      </c>
      <c r="AW124" s="21">
        <f>EXP(-LN(2)/2)*AW123+(1-EXP(-LN(2)/2))/(LN(2)/2)*AQ124*AT124*VLOOKUP('Données projet'!$B$10,Paramètres!$A$1:$I$89,3,0)*0.475*44/12</f>
        <v>5.803431231746633E-7</v>
      </c>
      <c r="AX124" s="21">
        <f t="shared" si="60"/>
        <v>16.260549860545368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-1.7053025658242404E-13</v>
      </c>
      <c r="BE124" s="13">
        <f>BD124*VLOOKUP('Données projet'!$B$11,Paramètres!$A$1:$I$89,3,0)*VLOOKUP('Données projet'!$B$11,Paramètres!$A$1:$I$89,5,0)</f>
        <v>-1.1439169611549005E-13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281.67293577289729</v>
      </c>
      <c r="BJ124" s="59">
        <f t="shared" si="92"/>
        <v>272.44904846480154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15.206804706806139</v>
      </c>
      <c r="BQ124" s="21">
        <f>EXP(-LN(2)/25)*BQ123+(1-EXP(-LN(2)/25))/(LN(2)/25)*Calculateur!BL124*Calculateur!BN124*VLOOKUP('Données projet'!$B$11,Paramètres!$A$1:$I$89,3,0)*0.475*44/12</f>
        <v>11.460044260974058</v>
      </c>
      <c r="BR124" s="21">
        <f>EXP(-LN(2)/2)*BR123+(1-EXP(-LN(2)/2))/(LN(2)/2)*BL124*BO124*VLOOKUP('Données projet'!$B$11,Paramètres!$A$1:$I$89,3,0)*0.475*44/12</f>
        <v>2.9554193699144159E-5</v>
      </c>
      <c r="BS124" s="22">
        <f t="shared" si="63"/>
        <v>26.666878521973896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-1.7053025658242404E-13</v>
      </c>
      <c r="BZ124" s="13">
        <f>BY124*VLOOKUP('Données projet'!$B$12,Paramètres!$A$1:$I$89,3,0)*VLOOKUP('Données projet'!$B$12,Paramètres!$A$1:$I$89,5,0)</f>
        <v>-1.4897523215040567E-13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348.77506423101278</v>
      </c>
      <c r="CE124" s="59">
        <f t="shared" si="94"/>
        <v>336.13747591329548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19.804210780956829</v>
      </c>
      <c r="CL124" s="21">
        <f>EXP(-LN(2)/25)*CL123+(1-EXP(-LN(2)/25))/(LN(2)/25)*Calculateur!CG124*Calculateur!CI124*VLOOKUP('Données projet'!$B$12,Paramètres!$A$1:$I$89,3,0)*0.475*44/12</f>
        <v>14.924708804989468</v>
      </c>
      <c r="CM124" s="21">
        <f>EXP(-LN(2)/2)*CM123+(1-EXP(-LN(2)/2))/(LN(2)/2)*CG124*CJ124*VLOOKUP('Données projet'!$B$12,Paramètres!$A$1:$I$89,3,0)*0.475*44/12</f>
        <v>3.8489182491908727E-5</v>
      </c>
      <c r="CN124" s="22">
        <f t="shared" si="66"/>
        <v>34.728958075128794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7.0011111111111104</v>
      </c>
      <c r="CT124" s="12">
        <f>IF('Données projet'!$A$140&gt;35,CT123+CS124-DB123,IF(A124&lt;'Données projet'!$A$140,$CQ$205^A124,IF(A124='Données projet'!$A$140,'Données projet'!$B$140,CT123+CS124-DB123)))</f>
        <v>308.26888888888891</v>
      </c>
      <c r="CU124" s="17">
        <f>CT124*VLOOKUP('Données projet'!$B$13,Paramètres!$A$1:$I$89,3,0)*VLOOKUP('Données projet'!$B$13,Paramètres!$A$1:$I$89,5,0)</f>
        <v>298.15766933333333</v>
      </c>
      <c r="CV124" s="13">
        <f t="shared" si="95"/>
        <v>70.790101845868477</v>
      </c>
      <c r="CW124" s="20">
        <f t="shared" si="67"/>
        <v>642.58403480377649</v>
      </c>
      <c r="CX124" s="59">
        <f t="shared" si="68"/>
        <v>924.88692719596088</v>
      </c>
      <c r="CY124" s="59">
        <f ca="1">AVERAGE(OFFSET($CX$3,0,0,'Données projet'!$E$13+1,1))-AVERAGE(OFFSET($H$3,0,0,'Données projet'!$E$13+1,1))</f>
        <v>557.48193674339791</v>
      </c>
      <c r="CZ124" s="59">
        <f t="shared" si="96"/>
        <v>271.51396593253048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17.324718291243126</v>
      </c>
      <c r="DG124" s="21">
        <f>EXP(-LN(2)/25)*DG123+(1-EXP(-LN(2)/25))/(LN(2)/25)*Calculateur!DB124*Calculateur!DD124*VLOOKUP('Données projet'!$B$13,Paramètres!$A$1:$I$89,3,0)*0.475*44/12</f>
        <v>20.740478558649208</v>
      </c>
      <c r="DH124" s="21">
        <f>EXP(-LN(2)/2)*DH123+(1-EXP(-LN(2)/2))/(LN(2)/2)*DB124*DE124*VLOOKUP('Données projet'!$B$13,Paramètres!$A$1:$I$89,3,0)*0.475*44/12</f>
        <v>0.24792036191835584</v>
      </c>
      <c r="DI124" s="22">
        <f t="shared" si="69"/>
        <v>38.313117211810685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7.0011111111111104</v>
      </c>
      <c r="DO124" s="12">
        <f>IF('Données projet'!$A$166&gt;35,DO123+DN124-DW123,IF(A124&lt;'Données projet'!$A$166,$DL$205^A124,IF(A124='Données projet'!$A$166,'Données projet'!$B$166,DO123+DN124-DW123)))</f>
        <v>308.26888888888891</v>
      </c>
      <c r="DP124" s="17">
        <f>DO124*VLOOKUP('Données projet'!$B$14,Paramètres!$A$1:$I$89,3,0)*VLOOKUP('Données projet'!$B$14,Paramètres!$A$1:$I$89,5,0)</f>
        <v>331.82063199999999</v>
      </c>
      <c r="DQ124" s="13">
        <f t="shared" si="97"/>
        <v>77.807649683037084</v>
      </c>
      <c r="DR124" s="20">
        <f t="shared" si="70"/>
        <v>713.43592393128949</v>
      </c>
      <c r="DS124" s="59">
        <f t="shared" si="71"/>
        <v>995.73881632347388</v>
      </c>
      <c r="DT124" s="59">
        <f ca="1">AVERAGE(OFFSET($DS$3,0,0,'Données projet'!$E$14+1,1))-AVERAGE(OFFSET($H$3,0,0,'Données projet'!$E$14+1,1))</f>
        <v>610.05768948788375</v>
      </c>
      <c r="DU124" s="59">
        <f t="shared" si="98"/>
        <v>295.23928902444845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19.280734872512511</v>
      </c>
      <c r="EB124" s="21">
        <f>EXP(-LN(2)/25)*EB123+(1-EXP(-LN(2)/25))/(LN(2)/25)*Calculateur!DW124*Calculateur!DY124*VLOOKUP('Données projet'!$B$14,Paramètres!$A$1:$I$89,3,0)*0.475*44/12</f>
        <v>23.082145492690245</v>
      </c>
      <c r="EC124" s="21">
        <f>EXP(-LN(2)/2)*EC123+(1-EXP(-LN(2)/2))/(LN(2)/2)*DW124*DZ124*VLOOKUP('Données projet'!$B$14,Paramètres!$A$1:$I$89,3,0)*0.475*44/12</f>
        <v>0.2759113705220409</v>
      </c>
      <c r="ED124" s="22">
        <f t="shared" si="72"/>
        <v>42.638791735724794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8.9160000000000021</v>
      </c>
      <c r="N125" s="13">
        <f>IF('Données projet'!$A$36&gt;35,N124+M125-V124,IF(A125&lt;'Données projet'!$A$36,$K$205^A125,IF(A125='Données projet'!$A$36,'Données projet'!$B$36,N124+M125-V124)))</f>
        <v>434.0280000000007</v>
      </c>
      <c r="O125" s="13">
        <f>N125*VLOOKUP('Données projet'!$B$9,Paramètres!$A$1:$I$89,3,0)*VLOOKUP('Données projet'!$B$9,Paramètres!$A$1:$I$89,5,0)</f>
        <v>392.70853440000059</v>
      </c>
      <c r="P125" s="13">
        <f t="shared" si="87"/>
        <v>90.296853458070288</v>
      </c>
      <c r="Q125" s="20">
        <f t="shared" si="107"/>
        <v>841.23438385280679</v>
      </c>
      <c r="R125" s="59">
        <f t="shared" si="55"/>
        <v>1123.7286297349485</v>
      </c>
      <c r="S125" s="59">
        <f ca="1">AVERAGE(OFFSET($R$3,0,0,'Données projet'!$E$9+1,1))-AVERAGE(OFFSET($H$3,0,0,'Données projet'!$E$9+1,1))</f>
        <v>681.47578137804555</v>
      </c>
      <c r="T125" s="59">
        <f t="shared" si="88"/>
        <v>300.88511065995885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31.11904619491759</v>
      </c>
      <c r="AA125" s="21">
        <f>EXP(-LN(2)/25)*AA124+(1-EXP(-LN(2)/25))/(LN(2)/25)*Calculateur!V125*Calculateur!X125*VLOOKUP('Données projet'!$B$9,Paramètres!$A$1:$I$89,3,0)*0.475*44/12</f>
        <v>20.652283476488776</v>
      </c>
      <c r="AB125" s="21">
        <f>EXP(-LN(2)/2)*AB124+(1-EXP(-LN(2)/2))/(LN(2)/2)*V125*Y125*VLOOKUP('Données projet'!$B$9,Paramètres!$A$1:$I$89,3,0)*0.475*44/12</f>
        <v>0.34144482775250484</v>
      </c>
      <c r="AC125" s="22">
        <f t="shared" si="57"/>
        <v>52.112774499158867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-8.8675733422860506E-14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217.53602321474159</v>
      </c>
      <c r="AO125" s="59">
        <f t="shared" si="90"/>
        <v>215.75909414893025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9.6490397222548037</v>
      </c>
      <c r="AV125" s="21">
        <f>EXP(-LN(2)/25)*AV124+(1-EXP(-LN(2)/25))/(LN(2)/25)*Calculateur!AQ125*Calculateur!AS125*VLOOKUP('Données projet'!$B$10,Paramètres!$A$1:$I$89,3,0)*0.475*44/12</f>
        <v>6.2429986522109484</v>
      </c>
      <c r="AW125" s="21">
        <f>EXP(-LN(2)/2)*AW124+(1-EXP(-LN(2)/2))/(LN(2)/2)*AQ125*AT125*VLOOKUP('Données projet'!$B$10,Paramètres!$A$1:$I$89,3,0)*0.475*44/12</f>
        <v>4.1036455781178424E-7</v>
      </c>
      <c r="AX125" s="21">
        <f t="shared" si="60"/>
        <v>15.89203878483031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-1.7053025658242404E-13</v>
      </c>
      <c r="BE125" s="13">
        <f>BD125*VLOOKUP('Données projet'!$B$11,Paramètres!$A$1:$I$89,3,0)*VLOOKUP('Données projet'!$B$11,Paramètres!$A$1:$I$89,5,0)</f>
        <v>-1.1439169611549005E-13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281.67293577289729</v>
      </c>
      <c r="BJ125" s="59">
        <f t="shared" si="92"/>
        <v>272.44904846480154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14.908608541740689</v>
      </c>
      <c r="BQ125" s="21">
        <f>EXP(-LN(2)/25)*BQ124+(1-EXP(-LN(2)/25))/(LN(2)/25)*Calculateur!BL125*Calculateur!BN125*VLOOKUP('Données projet'!$B$11,Paramètres!$A$1:$I$89,3,0)*0.475*44/12</f>
        <v>11.146668748000188</v>
      </c>
      <c r="BR125" s="21">
        <f>EXP(-LN(2)/2)*BR124+(1-EXP(-LN(2)/2))/(LN(2)/2)*BL125*BO125*VLOOKUP('Données projet'!$B$11,Paramètres!$A$1:$I$89,3,0)*0.475*44/12</f>
        <v>2.089797077716557E-5</v>
      </c>
      <c r="BS125" s="22">
        <f t="shared" si="63"/>
        <v>26.055298187711657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-1.7053025658242404E-13</v>
      </c>
      <c r="BZ125" s="13">
        <f>BY125*VLOOKUP('Données projet'!$B$12,Paramètres!$A$1:$I$89,3,0)*VLOOKUP('Données projet'!$B$12,Paramètres!$A$1:$I$89,5,0)</f>
        <v>-1.4897523215040567E-13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348.77506423101278</v>
      </c>
      <c r="CE125" s="59">
        <f t="shared" si="94"/>
        <v>336.13747591329548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19.415862286918102</v>
      </c>
      <c r="CL125" s="21">
        <f>EXP(-LN(2)/25)*CL124+(1-EXP(-LN(2)/25))/(LN(2)/25)*Calculateur!CG125*Calculateur!CI125*VLOOKUP('Données projet'!$B$12,Paramètres!$A$1:$I$89,3,0)*0.475*44/12</f>
        <v>14.516591857860705</v>
      </c>
      <c r="CM125" s="21">
        <f>EXP(-LN(2)/2)*CM124+(1-EXP(-LN(2)/2))/(LN(2)/2)*CG125*CJ125*VLOOKUP('Données projet'!$B$12,Paramètres!$A$1:$I$89,3,0)*0.475*44/12</f>
        <v>2.7215961942355201E-5</v>
      </c>
      <c r="CN125" s="22">
        <f t="shared" si="66"/>
        <v>33.932481360740752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>
        <f>VLOOKUP(A125,'Données projet'!$A$139:$I$159,2,0)</f>
        <v>315.27</v>
      </c>
      <c r="CR125" s="12">
        <f>VLOOKUP(A125,'Données projet'!$A$139:$I$159,9,0)</f>
        <v>7.0011111111111104</v>
      </c>
      <c r="CS125" s="12">
        <f t="array" ref="CS125">INDEX(CR:CR,MIN(IF(ISNUMBER(CR125:CR321),ROW(CR125:CR321),"")))</f>
        <v>7.0011111111111104</v>
      </c>
      <c r="CT125" s="12">
        <f>IF('Données projet'!$A$140&gt;35,CT124+CS125-DB124,IF(A125&lt;'Données projet'!$A$140,$CQ$205^A125,IF(A125='Données projet'!$A$140,'Données projet'!$B$140,CT124+CS125-DB124)))</f>
        <v>315.27000000000004</v>
      </c>
      <c r="CU125" s="17">
        <f>CT125*VLOOKUP('Données projet'!$B$13,Paramètres!$A$1:$I$89,3,0)*VLOOKUP('Données projet'!$B$13,Paramètres!$A$1:$I$89,5,0)</f>
        <v>304.92914400000006</v>
      </c>
      <c r="CV125" s="13">
        <f t="shared" si="95"/>
        <v>72.20881924493338</v>
      </c>
      <c r="CW125" s="20">
        <f t="shared" si="67"/>
        <v>656.84861931825901</v>
      </c>
      <c r="CX125" s="59">
        <f t="shared" si="68"/>
        <v>939.34286520040087</v>
      </c>
      <c r="CY125" s="59">
        <f ca="1">AVERAGE(OFFSET($CX$3,0,0,'Données projet'!$E$13+1,1))-AVERAGE(OFFSET($H$3,0,0,'Données projet'!$E$13+1,1))</f>
        <v>557.48193674339791</v>
      </c>
      <c r="CZ125" s="59">
        <f t="shared" si="96"/>
        <v>271.51396593253048</v>
      </c>
      <c r="DA125" s="15">
        <f>IF(ISNA(VLOOKUP(A125,'Données projet'!$A$139:$I$159,3,0)),0,VLOOKUP(A125,'Données projet'!$A$139:$I$159,3,0))</f>
        <v>8</v>
      </c>
      <c r="DB125" s="15">
        <f>IF(ISNA(VLOOKUP(A125,'Données projet'!$A$139:$I$159,4,0)),0,VLOOKUP(A125,'Données projet'!$A$139:$I$159,4,0))</f>
        <v>45.829999999999984</v>
      </c>
      <c r="DC125" s="16">
        <f>IF(ISNA(VLOOKUP(A125,'Données projet'!$A$139:$I$159,5,0)),0%,VLOOKUP(A125,'Données projet'!$A$139:$I$159,5,0)*VLOOKUP('Données projet'!$B$13,Paramètres!$A$1:$I$89,7,0))</f>
        <v>0.15049999999999999</v>
      </c>
      <c r="DD125" s="16">
        <f>IF(ISNA(VLOOKUP(A125,'Données projet'!$A$139:$I$159,6,0)),0%,VLOOKUP(A125,'Données projet'!$A$139:$I$159,6,0)*VLOOKUP('Données projet'!$B$13,Paramètres!$A$1:$I$89,7,0))</f>
        <v>8.6000000000000007E-2</v>
      </c>
      <c r="DE125" s="16">
        <f>IF(ISNA(VLOOKUP(A125,'Données projet'!$A$139:$I$159,7,0)),0%,VLOOKUP(A125,'Données projet'!$A$139:$I$159,7,0))</f>
        <v>0.1</v>
      </c>
      <c r="DF125" s="21">
        <f>EXP(-LN(2)/35)*DF124+(1-EXP(-LN(2)/35))/(LN(2)/35)*DB125*DC125*VLOOKUP('Données projet'!$B$13,Paramètres!$A$1:$I$89,3,0)*0.475*44/12</f>
        <v>24.359782784759499</v>
      </c>
      <c r="DG125" s="21">
        <f>EXP(-LN(2)/25)*DG124+(1-EXP(-LN(2)/25))/(LN(2)/25)*Calculateur!DB125*Calculateur!DD125*VLOOKUP('Données projet'!$B$13,Paramètres!$A$1:$I$89,3,0)*0.475*44/12</f>
        <v>24.370902960295656</v>
      </c>
      <c r="DH125" s="21">
        <f>EXP(-LN(2)/2)*DH124+(1-EXP(-LN(2)/2))/(LN(2)/2)*DB125*DE125*VLOOKUP('Données projet'!$B$13,Paramètres!$A$1:$I$89,3,0)*0.475*44/12</f>
        <v>4.3576567884751078</v>
      </c>
      <c r="DI125" s="22">
        <f t="shared" si="69"/>
        <v>53.088342533530266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>
        <f>VLOOKUP(A125,'Données projet'!$A$165:$I$185,2,0)</f>
        <v>315.27</v>
      </c>
      <c r="DM125" s="12">
        <f>VLOOKUP(A125,'Données projet'!$A$165:$I$185,9,0)</f>
        <v>7.0011111111111104</v>
      </c>
      <c r="DN125" s="12">
        <f t="array" ref="DN125">INDEX(DM:DM,MIN(IF(ISNUMBER(DM125:DM321),ROW(DM125:DM321),"")))</f>
        <v>7.0011111111111104</v>
      </c>
      <c r="DO125" s="12">
        <f>IF('Données projet'!$A$166&gt;35,DO124+DN125-DW124,IF(A125&lt;'Données projet'!$A$166,$DL$205^A125,IF(A125='Données projet'!$A$166,'Données projet'!$B$166,DO124+DN125-DW124)))</f>
        <v>315.27000000000004</v>
      </c>
      <c r="DP125" s="17">
        <f>DO125*VLOOKUP('Données projet'!$B$14,Paramètres!$A$1:$I$89,3,0)*VLOOKUP('Données projet'!$B$14,Paramètres!$A$1:$I$89,5,0)</f>
        <v>339.35662800000006</v>
      </c>
      <c r="DQ125" s="13">
        <f t="shared" si="97"/>
        <v>79.367007043844566</v>
      </c>
      <c r="DR125" s="20">
        <f t="shared" si="70"/>
        <v>729.27699770136269</v>
      </c>
      <c r="DS125" s="59">
        <f t="shared" si="71"/>
        <v>1011.7712435835044</v>
      </c>
      <c r="DT125" s="59">
        <f ca="1">AVERAGE(OFFSET($DS$3,0,0,'Données projet'!$E$14+1,1))-AVERAGE(OFFSET($H$3,0,0,'Données projet'!$E$14+1,1))</f>
        <v>610.05768948788375</v>
      </c>
      <c r="DU125" s="59">
        <f t="shared" si="98"/>
        <v>295.23928902444845</v>
      </c>
      <c r="DV125" s="15">
        <f>IF(ISNA(VLOOKUP(A125,'Données projet'!$A$165:$I$185,3,0)),0,VLOOKUP(A125,'Données projet'!$A$165:$I$185,3,0))</f>
        <v>8</v>
      </c>
      <c r="DW125" s="15">
        <f>IF(ISNA(VLOOKUP(A125,'Données projet'!$A$165:$I$185,4,0)),0,VLOOKUP(A125,'Données projet'!$A$165:$I$185,4,0))</f>
        <v>45.829999999999984</v>
      </c>
      <c r="DX125" s="16">
        <f>IF(ISNA(VLOOKUP(A125,'Données projet'!$A$165:$I$185,5,0)),0%,VLOOKUP(A125,'Données projet'!$A$165:$I$185,5,0)*VLOOKUP('Données projet'!$B$14,Paramètres!$A$1:$I$89,7,0))</f>
        <v>0.15049999999999999</v>
      </c>
      <c r="DY125" s="16">
        <f>IF(ISNA(VLOOKUP(A125,'Données projet'!$A$165:$I$185,6,0)),0%,VLOOKUP(A125,'Données projet'!$A$165:$I$185,6,0)*VLOOKUP('Données projet'!$B$14,Paramètres!$A$1:$I$89,7,0))</f>
        <v>8.6000000000000007E-2</v>
      </c>
      <c r="DZ125" s="16">
        <f>IF(ISNA(VLOOKUP(A125,'Données projet'!$A$165:$I$185,7,0)),0%,VLOOKUP(A125,'Données projet'!$A$165:$I$185,7,0))</f>
        <v>0.1</v>
      </c>
      <c r="EA125" s="21">
        <f>EXP(-LN(2)/35)*EA124+(1-EXP(-LN(2)/35))/(LN(2)/35)*DW125*DX125*VLOOKUP('Données projet'!$B$14,Paramètres!$A$1:$I$89,3,0)*0.475*44/12</f>
        <v>27.110080841103311</v>
      </c>
      <c r="EB125" s="21">
        <f>EXP(-LN(2)/25)*EB124+(1-EXP(-LN(2)/25))/(LN(2)/25)*Calculateur!DW125*Calculateur!DY125*VLOOKUP('Données projet'!$B$14,Paramètres!$A$1:$I$89,3,0)*0.475*44/12</f>
        <v>27.122456520329031</v>
      </c>
      <c r="EC125" s="21">
        <f>EXP(-LN(2)/2)*EC124+(1-EXP(-LN(2)/2))/(LN(2)/2)*DW125*DZ125*VLOOKUP('Données projet'!$B$14,Paramètres!$A$1:$I$89,3,0)*0.475*44/12</f>
        <v>4.849650296851328</v>
      </c>
      <c r="ED125" s="22">
        <f t="shared" si="72"/>
        <v>59.082187658283672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8.9160000000000021</v>
      </c>
      <c r="N126" s="13">
        <f>IF('Données projet'!$A$36&gt;35,N125+M126-V125,IF(A126&lt;'Données projet'!$A$36,$K$205^A126,IF(A126='Données projet'!$A$36,'Données projet'!$B$36,N125+M126-V125)))</f>
        <v>442.9440000000007</v>
      </c>
      <c r="O126" s="13">
        <f>N126*VLOOKUP('Données projet'!$B$9,Paramètres!$A$1:$I$89,3,0)*VLOOKUP('Données projet'!$B$9,Paramètres!$A$1:$I$89,5,0)</f>
        <v>400.77573120000062</v>
      </c>
      <c r="P126" s="13">
        <f t="shared" si="87"/>
        <v>91.933915079444887</v>
      </c>
      <c r="Q126" s="20">
        <f t="shared" si="107"/>
        <v>858.13596727003414</v>
      </c>
      <c r="R126" s="59">
        <f t="shared" si="55"/>
        <v>1140.8182470868849</v>
      </c>
      <c r="S126" s="59">
        <f ca="1">AVERAGE(OFFSET($R$3,0,0,'Données projet'!$E$9+1,1))-AVERAGE(OFFSET($H$3,0,0,'Données projet'!$E$9+1,1))</f>
        <v>681.47578137804555</v>
      </c>
      <c r="T126" s="59">
        <f t="shared" si="88"/>
        <v>300.88511065995885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30.508820679779241</v>
      </c>
      <c r="AA126" s="21">
        <f>EXP(-LN(2)/25)*AA125+(1-EXP(-LN(2)/25))/(LN(2)/25)*Calculateur!V126*Calculateur!X126*VLOOKUP('Données projet'!$B$9,Paramètres!$A$1:$I$89,3,0)*0.475*44/12</f>
        <v>20.087545698767805</v>
      </c>
      <c r="AB126" s="21">
        <f>EXP(-LN(2)/2)*AB125+(1-EXP(-LN(2)/2))/(LN(2)/2)*V126*Y126*VLOOKUP('Données projet'!$B$9,Paramètres!$A$1:$I$89,3,0)*0.475*44/12</f>
        <v>0.24143795310486887</v>
      </c>
      <c r="AC126" s="22">
        <f t="shared" si="57"/>
        <v>50.837804331651917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-8.8675733422860506E-14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217.53602321474159</v>
      </c>
      <c r="AO126" s="59">
        <f t="shared" si="90"/>
        <v>215.75909414893025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9.4598279386344899</v>
      </c>
      <c r="AV126" s="21">
        <f>EXP(-LN(2)/25)*AV125+(1-EXP(-LN(2)/25))/(LN(2)/25)*Calculateur!AQ126*Calculateur!AS126*VLOOKUP('Données projet'!$B$10,Paramètres!$A$1:$I$89,3,0)*0.475*44/12</f>
        <v>6.0722835257612093</v>
      </c>
      <c r="AW126" s="21">
        <f>EXP(-LN(2)/2)*AW125+(1-EXP(-LN(2)/2))/(LN(2)/2)*AQ126*AT126*VLOOKUP('Données projet'!$B$10,Paramètres!$A$1:$I$89,3,0)*0.475*44/12</f>
        <v>2.9017156158733165E-7</v>
      </c>
      <c r="AX126" s="21">
        <f t="shared" si="60"/>
        <v>15.532111754567261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-1.7053025658242404E-13</v>
      </c>
      <c r="BE126" s="13">
        <f>BD126*VLOOKUP('Données projet'!$B$11,Paramètres!$A$1:$I$89,3,0)*VLOOKUP('Données projet'!$B$11,Paramètres!$A$1:$I$89,5,0)</f>
        <v>-1.1439169611549005E-13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281.67293577289729</v>
      </c>
      <c r="BJ126" s="59">
        <f t="shared" si="92"/>
        <v>272.44904846480154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14.61625982159047</v>
      </c>
      <c r="BQ126" s="21">
        <f>EXP(-LN(2)/25)*BQ125+(1-EXP(-LN(2)/25))/(LN(2)/25)*Calculateur!BL126*Calculateur!BN126*VLOOKUP('Données projet'!$B$11,Paramètres!$A$1:$I$89,3,0)*0.475*44/12</f>
        <v>10.84186250490829</v>
      </c>
      <c r="BR126" s="21">
        <f>EXP(-LN(2)/2)*BR125+(1-EXP(-LN(2)/2))/(LN(2)/2)*BL126*BO126*VLOOKUP('Données projet'!$B$11,Paramètres!$A$1:$I$89,3,0)*0.475*44/12</f>
        <v>1.477709684957208E-5</v>
      </c>
      <c r="BS126" s="22">
        <f t="shared" si="63"/>
        <v>25.458137103595611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-1.7053025658242404E-13</v>
      </c>
      <c r="BZ126" s="13">
        <f>BY126*VLOOKUP('Données projet'!$B$12,Paramètres!$A$1:$I$89,3,0)*VLOOKUP('Données projet'!$B$12,Paramètres!$A$1:$I$89,5,0)</f>
        <v>-1.4897523215040567E-13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348.77506423101278</v>
      </c>
      <c r="CE126" s="59">
        <f t="shared" si="94"/>
        <v>336.13747591329548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19.035129069978282</v>
      </c>
      <c r="CL126" s="21">
        <f>EXP(-LN(2)/25)*CL125+(1-EXP(-LN(2)/25))/(LN(2)/25)*Calculateur!CG126*Calculateur!CI126*VLOOKUP('Données projet'!$B$12,Paramètres!$A$1:$I$89,3,0)*0.475*44/12</f>
        <v>14.119634890113117</v>
      </c>
      <c r="CM126" s="21">
        <f>EXP(-LN(2)/2)*CM125+(1-EXP(-LN(2)/2))/(LN(2)/2)*CG126*CJ126*VLOOKUP('Données projet'!$B$12,Paramètres!$A$1:$I$89,3,0)*0.475*44/12</f>
        <v>1.9244591245954364E-5</v>
      </c>
      <c r="CN126" s="22">
        <f t="shared" si="66"/>
        <v>33.154783204682644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7.1129999999999995</v>
      </c>
      <c r="CT126" s="12">
        <f>IF('Données projet'!$A$140&gt;35,CT125+CS126-DB125,IF(A126&lt;'Données projet'!$A$140,$CQ$205^A126,IF(A126='Données projet'!$A$140,'Données projet'!$B$140,CT125+CS126-DB125)))</f>
        <v>276.55300000000005</v>
      </c>
      <c r="CU126" s="17">
        <f>CT126*VLOOKUP('Données projet'!$B$13,Paramètres!$A$1:$I$89,3,0)*VLOOKUP('Données projet'!$B$13,Paramètres!$A$1:$I$89,5,0)</f>
        <v>267.48206160000007</v>
      </c>
      <c r="CV126" s="13">
        <f t="shared" si="95"/>
        <v>64.314608166975702</v>
      </c>
      <c r="CW126" s="20">
        <f t="shared" si="67"/>
        <v>577.87919984414941</v>
      </c>
      <c r="CX126" s="59">
        <f t="shared" si="68"/>
        <v>860.56147966100002</v>
      </c>
      <c r="CY126" s="59">
        <f ca="1">AVERAGE(OFFSET($CX$3,0,0,'Données projet'!$E$13+1,1))-AVERAGE(OFFSET($H$3,0,0,'Données projet'!$E$13+1,1))</f>
        <v>557.48193674339791</v>
      </c>
      <c r="CZ126" s="59">
        <f t="shared" si="96"/>
        <v>271.51396593253048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23.882102302350759</v>
      </c>
      <c r="DG126" s="21">
        <f>EXP(-LN(2)/25)*DG125+(1-EXP(-LN(2)/25))/(LN(2)/25)*Calculateur!DB126*Calculateur!DD126*VLOOKUP('Données projet'!$B$13,Paramètres!$A$1:$I$89,3,0)*0.475*44/12</f>
        <v>23.704479337236286</v>
      </c>
      <c r="DH126" s="21">
        <f>EXP(-LN(2)/2)*DH125+(1-EXP(-LN(2)/2))/(LN(2)/2)*DB126*DE126*VLOOKUP('Données projet'!$B$13,Paramètres!$A$1:$I$89,3,0)*0.475*44/12</f>
        <v>3.0813286652143419</v>
      </c>
      <c r="DI126" s="22">
        <f t="shared" si="69"/>
        <v>50.667910304801389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7.1129999999999995</v>
      </c>
      <c r="DO126" s="12">
        <f>IF('Données projet'!$A$166&gt;35,DO125+DN126-DW125,IF(A126&lt;'Données projet'!$A$166,$DL$205^A126,IF(A126='Données projet'!$A$166,'Données projet'!$B$166,DO125+DN126-DW125)))</f>
        <v>276.55300000000005</v>
      </c>
      <c r="DP126" s="17">
        <f>DO126*VLOOKUP('Données projet'!$B$14,Paramètres!$A$1:$I$89,3,0)*VLOOKUP('Données projet'!$B$14,Paramètres!$A$1:$I$89,5,0)</f>
        <v>297.68164920000009</v>
      </c>
      <c r="DQ126" s="13">
        <f t="shared" si="97"/>
        <v>70.69022887766765</v>
      </c>
      <c r="DR126" s="20">
        <f t="shared" si="70"/>
        <v>641.58102098527127</v>
      </c>
      <c r="DS126" s="59">
        <f t="shared" si="71"/>
        <v>924.26330080212188</v>
      </c>
      <c r="DT126" s="59">
        <f ca="1">AVERAGE(OFFSET($DS$3,0,0,'Données projet'!$E$14+1,1))-AVERAGE(OFFSET($H$3,0,0,'Données projet'!$E$14+1,1))</f>
        <v>610.05768948788375</v>
      </c>
      <c r="DU126" s="59">
        <f t="shared" si="98"/>
        <v>295.23928902444845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26.578468691325842</v>
      </c>
      <c r="EB126" s="21">
        <f>EXP(-LN(2)/25)*EB125+(1-EXP(-LN(2)/25))/(LN(2)/25)*Calculateur!DW126*Calculateur!DY126*VLOOKUP('Données projet'!$B$14,Paramètres!$A$1:$I$89,3,0)*0.475*44/12</f>
        <v>26.380791520472634</v>
      </c>
      <c r="EC126" s="21">
        <f>EXP(-LN(2)/2)*EC125+(1-EXP(-LN(2)/2))/(LN(2)/2)*DW126*DZ126*VLOOKUP('Données projet'!$B$14,Paramètres!$A$1:$I$89,3,0)*0.475*44/12</f>
        <v>3.4292206112869272</v>
      </c>
      <c r="ED126" s="22">
        <f t="shared" si="72"/>
        <v>56.388480823085409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451.86</v>
      </c>
      <c r="L127" s="12">
        <f>VLOOKUP(A127,'Données projet'!$A$35:$I$55,9,0)</f>
        <v>8.9160000000000021</v>
      </c>
      <c r="M127" s="12">
        <f t="array" ref="M127">INDEX(L:L,MIN(IF(ISNUMBER(L127:L323),ROW(L127:L323),"")))</f>
        <v>8.9160000000000021</v>
      </c>
      <c r="N127" s="13">
        <f>IF('Données projet'!$A$36&gt;35,N126+M127-V126,IF(A127&lt;'Données projet'!$A$36,$K$205^A127,IF(A127='Données projet'!$A$36,'Données projet'!$B$36,N126+M127-V126)))</f>
        <v>451.8600000000007</v>
      </c>
      <c r="O127" s="13">
        <f>N127*VLOOKUP('Données projet'!$B$9,Paramètres!$A$1:$I$89,3,0)*VLOOKUP('Données projet'!$B$9,Paramètres!$A$1:$I$89,5,0)</f>
        <v>408.84292800000065</v>
      </c>
      <c r="P127" s="13">
        <f t="shared" si="87"/>
        <v>93.567145264891295</v>
      </c>
      <c r="Q127" s="20">
        <f t="shared" si="107"/>
        <v>875.03087760302014</v>
      </c>
      <c r="R127" s="59">
        <f t="shared" si="55"/>
        <v>1157.8979293861935</v>
      </c>
      <c r="S127" s="59">
        <f ca="1">AVERAGE(OFFSET($R$3,0,0,'Données projet'!$E$9+1,1))-AVERAGE(OFFSET($H$3,0,0,'Données projet'!$E$9+1,1))</f>
        <v>681.47578137804555</v>
      </c>
      <c r="T127" s="59">
        <f t="shared" si="88"/>
        <v>300.88511065995885</v>
      </c>
      <c r="U127" s="15">
        <f>IF(ISNA(VLOOKUP(A127,'Données projet'!$A$35:$I$55,3,0)),0,VLOOKUP(A127,'Données projet'!$A$35:$I$55,3,0))</f>
        <v>10</v>
      </c>
      <c r="V127" s="15">
        <f>IF(ISNA(VLOOKUP(A127,'Données projet'!$A$35:$I$55,4,0)),0,VLOOKUP(A127,'Données projet'!$A$35:$I$55,4,0))</f>
        <v>57.81</v>
      </c>
      <c r="W127" s="16">
        <f>IF(ISNA(VLOOKUP(A127,'Données projet'!$A$35:$I$55,5,0)),0%,VLOOKUP(A127,'Données projet'!$A$35:$I$55,5,0)*VLOOKUP('Données projet'!$B$9,Paramètres!$A$1:$I$89,7,0))</f>
        <v>0.15049999999999999</v>
      </c>
      <c r="X127" s="16">
        <f>IF(ISNA(VLOOKUP(A127,'Données projet'!$A$35:$I$55,6,0)),0%,VLOOKUP(A127,'Données projet'!$A$35:$I$55,6,0)*VLOOKUP('Données projet'!$B$9,Paramètres!$A$1:$I$89,7,0))</f>
        <v>8.6000000000000007E-2</v>
      </c>
      <c r="Y127" s="16">
        <f>IF(ISNA(VLOOKUP(A127,'Données projet'!$A$35:$I$55,7,0)),0%,VLOOKUP(A127,'Données projet'!$A$35:$I$55,7,0))</f>
        <v>0.1</v>
      </c>
      <c r="Z127" s="21">
        <f>EXP(-LN(2)/35)*Z126+(1-EXP(-LN(2)/35))/(LN(2)/35)*V127*W127*VLOOKUP('Données projet'!$B$9,Paramètres!$A$1:$I$89,3,0)*0.475*44/12</f>
        <v>38.612963922572</v>
      </c>
      <c r="AA127" s="21">
        <f>EXP(-LN(2)/25)*AA126+(1-EXP(-LN(2)/25))/(LN(2)/25)*Calculateur!V127*Calculateur!X127*VLOOKUP('Données projet'!$B$9,Paramètres!$A$1:$I$89,3,0)*0.475*44/12</f>
        <v>24.491472381184234</v>
      </c>
      <c r="AB127" s="21">
        <f>EXP(-LN(2)/2)*AB126+(1-EXP(-LN(2)/2))/(LN(2)/2)*V127*Y127*VLOOKUP('Données projet'!$B$9,Paramètres!$A$1:$I$89,3,0)*0.475*44/12</f>
        <v>5.1059803375246293</v>
      </c>
      <c r="AC127" s="22">
        <f t="shared" si="57"/>
        <v>68.210416641280858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-8.8675733422860506E-14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217.53602321474159</v>
      </c>
      <c r="AO127" s="59">
        <f t="shared" si="90"/>
        <v>215.75909414893025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9.2743264826831773</v>
      </c>
      <c r="AV127" s="21">
        <f>EXP(-LN(2)/25)*AV126+(1-EXP(-LN(2)/25))/(LN(2)/25)*Calculateur!AQ127*Calculateur!AS127*VLOOKUP('Données projet'!$B$10,Paramètres!$A$1:$I$89,3,0)*0.475*44/12</f>
        <v>5.9062366134217568</v>
      </c>
      <c r="AW127" s="21">
        <f>EXP(-LN(2)/2)*AW126+(1-EXP(-LN(2)/2))/(LN(2)/2)*AQ127*AT127*VLOOKUP('Données projet'!$B$10,Paramètres!$A$1:$I$89,3,0)*0.475*44/12</f>
        <v>2.0518227890589212E-7</v>
      </c>
      <c r="AX127" s="21">
        <f t="shared" si="60"/>
        <v>15.180563301287211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-1.7053025658242404E-13</v>
      </c>
      <c r="BE127" s="13">
        <f>BD127*VLOOKUP('Données projet'!$B$11,Paramètres!$A$1:$I$89,3,0)*VLOOKUP('Données projet'!$B$11,Paramètres!$A$1:$I$89,5,0)</f>
        <v>-1.1439169611549005E-13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281.67293577289729</v>
      </c>
      <c r="BJ127" s="59">
        <f t="shared" si="92"/>
        <v>272.44904846480154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14.329643881527286</v>
      </c>
      <c r="BQ127" s="21">
        <f>EXP(-LN(2)/25)*BQ126+(1-EXP(-LN(2)/25))/(LN(2)/25)*Calculateur!BL127*Calculateur!BN127*VLOOKUP('Données projet'!$B$11,Paramètres!$A$1:$I$89,3,0)*0.475*44/12</f>
        <v>10.545391204562803</v>
      </c>
      <c r="BR127" s="21">
        <f>EXP(-LN(2)/2)*BR126+(1-EXP(-LN(2)/2))/(LN(2)/2)*BL127*BO127*VLOOKUP('Données projet'!$B$11,Paramètres!$A$1:$I$89,3,0)*0.475*44/12</f>
        <v>1.0448985388582785E-5</v>
      </c>
      <c r="BS127" s="22">
        <f t="shared" si="63"/>
        <v>24.875045535075476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-1.7053025658242404E-13</v>
      </c>
      <c r="BZ127" s="13">
        <f>BY127*VLOOKUP('Données projet'!$B$12,Paramètres!$A$1:$I$89,3,0)*VLOOKUP('Données projet'!$B$12,Paramètres!$A$1:$I$89,5,0)</f>
        <v>-1.4897523215040567E-13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348.77506423101278</v>
      </c>
      <c r="CE127" s="59">
        <f t="shared" si="94"/>
        <v>336.13747591329548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18.66186179919832</v>
      </c>
      <c r="CL127" s="21">
        <f>EXP(-LN(2)/25)*CL126+(1-EXP(-LN(2)/25))/(LN(2)/25)*Calculateur!CG127*Calculateur!CI127*VLOOKUP('Données projet'!$B$12,Paramètres!$A$1:$I$89,3,0)*0.475*44/12</f>
        <v>13.733532731523646</v>
      </c>
      <c r="CM127" s="21">
        <f>EXP(-LN(2)/2)*CM126+(1-EXP(-LN(2)/2))/(LN(2)/2)*CG127*CJ127*VLOOKUP('Données projet'!$B$12,Paramètres!$A$1:$I$89,3,0)*0.475*44/12</f>
        <v>1.36079809711776E-5</v>
      </c>
      <c r="CN127" s="22">
        <f t="shared" si="66"/>
        <v>32.395408138702933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7.1129999999999995</v>
      </c>
      <c r="CT127" s="12">
        <f>IF('Données projet'!$A$140&gt;35,CT126+CS127-DB126,IF(A127&lt;'Données projet'!$A$140,$CQ$205^A127,IF(A127='Données projet'!$A$140,'Données projet'!$B$140,CT126+CS127-DB126)))</f>
        <v>283.66600000000005</v>
      </c>
      <c r="CU127" s="17">
        <f>CT127*VLOOKUP('Données projet'!$B$13,Paramètres!$A$1:$I$89,3,0)*VLOOKUP('Données projet'!$B$13,Paramètres!$A$1:$I$89,5,0)</f>
        <v>274.36175520000006</v>
      </c>
      <c r="CV127" s="13">
        <f t="shared" si="95"/>
        <v>65.7740786926813</v>
      </c>
      <c r="CW127" s="20">
        <f t="shared" si="67"/>
        <v>592.4032440297533</v>
      </c>
      <c r="CX127" s="59">
        <f t="shared" si="68"/>
        <v>875.27029581292663</v>
      </c>
      <c r="CY127" s="59">
        <f ca="1">AVERAGE(OFFSET($CX$3,0,0,'Données projet'!$E$13+1,1))-AVERAGE(OFFSET($H$3,0,0,'Données projet'!$E$13+1,1))</f>
        <v>557.48193674339791</v>
      </c>
      <c r="CZ127" s="59">
        <f t="shared" si="96"/>
        <v>271.51396593253048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23.413788842845729</v>
      </c>
      <c r="DG127" s="21">
        <f>EXP(-LN(2)/25)*DG126+(1-EXP(-LN(2)/25))/(LN(2)/25)*Calculateur!DB127*Calculateur!DD127*VLOOKUP('Données projet'!$B$13,Paramètres!$A$1:$I$89,3,0)*0.475*44/12</f>
        <v>23.05627910319517</v>
      </c>
      <c r="DH127" s="21">
        <f>EXP(-LN(2)/2)*DH126+(1-EXP(-LN(2)/2))/(LN(2)/2)*DB127*DE127*VLOOKUP('Données projet'!$B$13,Paramètres!$A$1:$I$89,3,0)*0.475*44/12</f>
        <v>2.1788283942375544</v>
      </c>
      <c r="DI127" s="22">
        <f t="shared" si="69"/>
        <v>48.648896340278455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7.1129999999999995</v>
      </c>
      <c r="DO127" s="12">
        <f>IF('Données projet'!$A$166&gt;35,DO126+DN127-DW126,IF(A127&lt;'Données projet'!$A$166,$DL$205^A127,IF(A127='Données projet'!$A$166,'Données projet'!$B$166,DO126+DN127-DW126)))</f>
        <v>283.66600000000005</v>
      </c>
      <c r="DP127" s="17">
        <f>DO127*VLOOKUP('Données projet'!$B$14,Paramètres!$A$1:$I$89,3,0)*VLOOKUP('Données projet'!$B$14,Paramètres!$A$1:$I$89,5,0)</f>
        <v>305.33808240000002</v>
      </c>
      <c r="DQ127" s="13">
        <f t="shared" si="97"/>
        <v>72.29437929454464</v>
      </c>
      <c r="DR127" s="20">
        <f t="shared" si="70"/>
        <v>657.70987078466521</v>
      </c>
      <c r="DS127" s="59">
        <f t="shared" si="71"/>
        <v>940.57692256783855</v>
      </c>
      <c r="DT127" s="59">
        <f ca="1">AVERAGE(OFFSET($DS$3,0,0,'Données projet'!$E$14+1,1))-AVERAGE(OFFSET($H$3,0,0,'Données projet'!$E$14+1,1))</f>
        <v>610.05768948788375</v>
      </c>
      <c r="DU127" s="59">
        <f t="shared" si="98"/>
        <v>295.23928902444845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26.057281131554113</v>
      </c>
      <c r="EB127" s="21">
        <f>EXP(-LN(2)/25)*EB126+(1-EXP(-LN(2)/25))/(LN(2)/25)*Calculateur!DW127*Calculateur!DY127*VLOOKUP('Données projet'!$B$14,Paramètres!$A$1:$I$89,3,0)*0.475*44/12</f>
        <v>25.659407389039778</v>
      </c>
      <c r="EC127" s="21">
        <f>EXP(-LN(2)/2)*EC126+(1-EXP(-LN(2)/2))/(LN(2)/2)*DW127*DZ127*VLOOKUP('Données projet'!$B$14,Paramètres!$A$1:$I$89,3,0)*0.475*44/12</f>
        <v>2.424825148425664</v>
      </c>
      <c r="ED127" s="22">
        <f t="shared" si="72"/>
        <v>54.141513669019552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9.0229999999999961</v>
      </c>
      <c r="N128" s="13">
        <f>IF('Données projet'!$A$36&gt;35,N127+M128-V127,IF(A128&lt;'Données projet'!$A$36,$K$205^A128,IF(A128='Données projet'!$A$36,'Données projet'!$B$36,N127+M128-V127)))</f>
        <v>403.07300000000072</v>
      </c>
      <c r="O128" s="13">
        <f>N128*VLOOKUP('Données projet'!$B$9,Paramètres!$A$1:$I$89,3,0)*VLOOKUP('Données projet'!$B$9,Paramètres!$A$1:$I$89,5,0)</f>
        <v>364.70045040000065</v>
      </c>
      <c r="P128" s="13">
        <f t="shared" si="87"/>
        <v>84.582200429685614</v>
      </c>
      <c r="Q128" s="20">
        <f t="shared" si="107"/>
        <v>782.50061686170341</v>
      </c>
      <c r="R128" s="59">
        <f t="shared" si="55"/>
        <v>1065.5492352306719</v>
      </c>
      <c r="S128" s="59">
        <f ca="1">AVERAGE(OFFSET($R$3,0,0,'Données projet'!$E$9+1,1))-AVERAGE(OFFSET($H$3,0,0,'Données projet'!$E$9+1,1))</f>
        <v>681.47578137804555</v>
      </c>
      <c r="T128" s="59">
        <f t="shared" si="88"/>
        <v>300.88511065995885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37.855787251632833</v>
      </c>
      <c r="AA128" s="21">
        <f>EXP(-LN(2)/25)*AA127+(1-EXP(-LN(2)/25))/(LN(2)/25)*Calculateur!V128*Calculateur!X128*VLOOKUP('Données projet'!$B$9,Paramètres!$A$1:$I$89,3,0)*0.475*44/12</f>
        <v>23.821751780970196</v>
      </c>
      <c r="AB128" s="21">
        <f>EXP(-LN(2)/2)*AB127+(1-EXP(-LN(2)/2))/(LN(2)/2)*V128*Y128*VLOOKUP('Données projet'!$B$9,Paramètres!$A$1:$I$89,3,0)*0.475*44/12</f>
        <v>3.6104733212688425</v>
      </c>
      <c r="AC128" s="22">
        <f t="shared" si="57"/>
        <v>65.288012353871878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-8.8675733422860506E-14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217.53602321474159</v>
      </c>
      <c r="AO128" s="59">
        <f t="shared" si="90"/>
        <v>215.75909414893025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9.0924625971383541</v>
      </c>
      <c r="AV128" s="21">
        <f>EXP(-LN(2)/25)*AV127+(1-EXP(-LN(2)/25))/(LN(2)/25)*Calculateur!AQ128*Calculateur!AS128*VLOOKUP('Données projet'!$B$10,Paramètres!$A$1:$I$89,3,0)*0.475*44/12</f>
        <v>5.7447302626322543</v>
      </c>
      <c r="AW128" s="21">
        <f>EXP(-LN(2)/2)*AW127+(1-EXP(-LN(2)/2))/(LN(2)/2)*AQ128*AT128*VLOOKUP('Données projet'!$B$10,Paramètres!$A$1:$I$89,3,0)*0.475*44/12</f>
        <v>1.4508578079366582E-7</v>
      </c>
      <c r="AX128" s="21">
        <f t="shared" si="60"/>
        <v>14.83719300485639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-1.7053025658242404E-13</v>
      </c>
      <c r="BE128" s="13">
        <f>BD128*VLOOKUP('Données projet'!$B$11,Paramètres!$A$1:$I$89,3,0)*VLOOKUP('Données projet'!$B$11,Paramètres!$A$1:$I$89,5,0)</f>
        <v>-1.1439169611549005E-13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281.67293577289729</v>
      </c>
      <c r="BJ128" s="59">
        <f t="shared" si="92"/>
        <v>272.44904846480154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14.048648305230278</v>
      </c>
      <c r="BQ128" s="21">
        <f>EXP(-LN(2)/25)*BQ127+(1-EXP(-LN(2)/25))/(LN(2)/25)*Calculateur!BL128*Calculateur!BN128*VLOOKUP('Données projet'!$B$11,Paramètres!$A$1:$I$89,3,0)*0.475*44/12</f>
        <v>10.25702692751601</v>
      </c>
      <c r="BR128" s="21">
        <f>EXP(-LN(2)/2)*BR127+(1-EXP(-LN(2)/2))/(LN(2)/2)*BL128*BO128*VLOOKUP('Données projet'!$B$11,Paramètres!$A$1:$I$89,3,0)*0.475*44/12</f>
        <v>7.3885484247860398E-6</v>
      </c>
      <c r="BS128" s="22">
        <f t="shared" si="63"/>
        <v>24.305682621294714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-1.7053025658242404E-13</v>
      </c>
      <c r="BZ128" s="13">
        <f>BY128*VLOOKUP('Données projet'!$B$12,Paramètres!$A$1:$I$89,3,0)*VLOOKUP('Données projet'!$B$12,Paramètres!$A$1:$I$89,5,0)</f>
        <v>-1.4897523215040567E-13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348.77506423101278</v>
      </c>
      <c r="CE128" s="59">
        <f t="shared" si="94"/>
        <v>336.13747591329548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18.2959140719278</v>
      </c>
      <c r="CL128" s="21">
        <f>EXP(-LN(2)/25)*CL127+(1-EXP(-LN(2)/25))/(LN(2)/25)*Calculateur!CG128*Calculateur!CI128*VLOOKUP('Données projet'!$B$12,Paramètres!$A$1:$I$89,3,0)*0.475*44/12</f>
        <v>13.357988556765033</v>
      </c>
      <c r="CM128" s="21">
        <f>EXP(-LN(2)/2)*CM127+(1-EXP(-LN(2)/2))/(LN(2)/2)*CG128*CJ128*VLOOKUP('Données projet'!$B$12,Paramètres!$A$1:$I$89,3,0)*0.475*44/12</f>
        <v>9.6222956229771819E-6</v>
      </c>
      <c r="CN128" s="22">
        <f t="shared" si="66"/>
        <v>31.653912250988455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7.1129999999999995</v>
      </c>
      <c r="CT128" s="12">
        <f>IF('Données projet'!$A$140&gt;35,CT127+CS128-DB127,IF(A128&lt;'Données projet'!$A$140,$CQ$205^A128,IF(A128='Données projet'!$A$140,'Données projet'!$B$140,CT127+CS128-DB127)))</f>
        <v>290.77900000000005</v>
      </c>
      <c r="CU128" s="17">
        <f>CT128*VLOOKUP('Données projet'!$B$13,Paramètres!$A$1:$I$89,3,0)*VLOOKUP('Données projet'!$B$13,Paramètres!$A$1:$I$89,5,0)</f>
        <v>281.24144880000006</v>
      </c>
      <c r="CV128" s="13">
        <f t="shared" si="95"/>
        <v>67.2292951125862</v>
      </c>
      <c r="CW128" s="20">
        <f t="shared" si="67"/>
        <v>606.91987898108778</v>
      </c>
      <c r="CX128" s="59">
        <f t="shared" si="68"/>
        <v>889.96849735005628</v>
      </c>
      <c r="CY128" s="59">
        <f ca="1">AVERAGE(OFFSET($CX$3,0,0,'Données projet'!$E$13+1,1))-AVERAGE(OFFSET($H$3,0,0,'Données projet'!$E$13+1,1))</f>
        <v>557.48193674339791</v>
      </c>
      <c r="CZ128" s="59">
        <f t="shared" si="96"/>
        <v>271.51396593253048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22.954658724638588</v>
      </c>
      <c r="DG128" s="21">
        <f>EXP(-LN(2)/25)*DG127+(1-EXP(-LN(2)/25))/(LN(2)/25)*Calculateur!DB128*Calculateur!DD128*VLOOKUP('Données projet'!$B$13,Paramètres!$A$1:$I$89,3,0)*0.475*44/12</f>
        <v>22.425803938641277</v>
      </c>
      <c r="DH128" s="21">
        <f>EXP(-LN(2)/2)*DH127+(1-EXP(-LN(2)/2))/(LN(2)/2)*DB128*DE128*VLOOKUP('Données projet'!$B$13,Paramètres!$A$1:$I$89,3,0)*0.475*44/12</f>
        <v>1.5406643326071712</v>
      </c>
      <c r="DI128" s="22">
        <f t="shared" si="69"/>
        <v>46.921126995887036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7.1129999999999995</v>
      </c>
      <c r="DO128" s="12">
        <f>IF('Données projet'!$A$166&gt;35,DO127+DN128-DW127,IF(A128&lt;'Données projet'!$A$166,$DL$205^A128,IF(A128='Données projet'!$A$166,'Données projet'!$B$166,DO127+DN128-DW127)))</f>
        <v>290.77900000000005</v>
      </c>
      <c r="DP128" s="17">
        <f>DO128*VLOOKUP('Données projet'!$B$14,Paramètres!$A$1:$I$89,3,0)*VLOOKUP('Données projet'!$B$14,Paramètres!$A$1:$I$89,5,0)</f>
        <v>312.99451560000006</v>
      </c>
      <c r="DQ128" s="13">
        <f t="shared" si="97"/>
        <v>73.89385388859867</v>
      </c>
      <c r="DR128" s="20">
        <f t="shared" si="70"/>
        <v>673.83057685930942</v>
      </c>
      <c r="DS128" s="59">
        <f t="shared" si="71"/>
        <v>956.87919522827792</v>
      </c>
      <c r="DT128" s="59">
        <f ca="1">AVERAGE(OFFSET($DS$3,0,0,'Données projet'!$E$14+1,1))-AVERAGE(OFFSET($H$3,0,0,'Données projet'!$E$14+1,1))</f>
        <v>610.05768948788375</v>
      </c>
      <c r="DU128" s="59">
        <f t="shared" si="98"/>
        <v>295.23928902444845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25.546313741936487</v>
      </c>
      <c r="EB128" s="21">
        <f>EXP(-LN(2)/25)*EB127+(1-EXP(-LN(2)/25))/(LN(2)/25)*Calculateur!DW128*Calculateur!DY128*VLOOKUP('Données projet'!$B$14,Paramètres!$A$1:$I$89,3,0)*0.475*44/12</f>
        <v>24.957749544616895</v>
      </c>
      <c r="EC128" s="21">
        <f>EXP(-LN(2)/2)*EC127+(1-EXP(-LN(2)/2))/(LN(2)/2)*DW128*DZ128*VLOOKUP('Données projet'!$B$14,Paramètres!$A$1:$I$89,3,0)*0.475*44/12</f>
        <v>1.7146103056434636</v>
      </c>
      <c r="ED128" s="22">
        <f t="shared" si="72"/>
        <v>52.218673592196843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9.0229999999999961</v>
      </c>
      <c r="N129" s="13">
        <f>IF('Données projet'!$A$36&gt;35,N128+M129-V128,IF(A129&lt;'Données projet'!$A$36,$K$205^A129,IF(A129='Données projet'!$A$36,'Données projet'!$B$36,N128+M129-V128)))</f>
        <v>412.09600000000069</v>
      </c>
      <c r="O129" s="13">
        <f>N129*VLOOKUP('Données projet'!$B$9,Paramètres!$A$1:$I$89,3,0)*VLOOKUP('Données projet'!$B$9,Paramètres!$A$1:$I$89,5,0)</f>
        <v>372.86446080000059</v>
      </c>
      <c r="P129" s="13">
        <f t="shared" si="87"/>
        <v>86.253061792690659</v>
      </c>
      <c r="Q129" s="20">
        <f t="shared" si="107"/>
        <v>799.62968518227046</v>
      </c>
      <c r="R129" s="59">
        <f t="shared" si="55"/>
        <v>1082.8567203626926</v>
      </c>
      <c r="S129" s="59">
        <f ca="1">AVERAGE(OFFSET($R$3,0,0,'Données projet'!$E$9+1,1))-AVERAGE(OFFSET($H$3,0,0,'Données projet'!$E$9+1,1))</f>
        <v>681.47578137804555</v>
      </c>
      <c r="T129" s="59">
        <f t="shared" si="88"/>
        <v>300.88511065995885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37.113458353378611</v>
      </c>
      <c r="AA129" s="21">
        <f>EXP(-LN(2)/25)*AA128+(1-EXP(-LN(2)/25))/(LN(2)/25)*Calculateur!V129*Calculateur!X129*VLOOKUP('Données projet'!$B$9,Paramètres!$A$1:$I$89,3,0)*0.475*44/12</f>
        <v>23.170344725788084</v>
      </c>
      <c r="AB129" s="21">
        <f>EXP(-LN(2)/2)*AB128+(1-EXP(-LN(2)/2))/(LN(2)/2)*V129*Y129*VLOOKUP('Données projet'!$B$9,Paramètres!$A$1:$I$89,3,0)*0.475*44/12</f>
        <v>2.5529901687623151</v>
      </c>
      <c r="AC129" s="22">
        <f t="shared" si="57"/>
        <v>62.836793247929009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-8.8675733422860506E-14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217.53602321474159</v>
      </c>
      <c r="AO129" s="59">
        <f t="shared" si="90"/>
        <v>215.75909414893025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8.9141649514630483</v>
      </c>
      <c r="AV129" s="21">
        <f>EXP(-LN(2)/25)*AV128+(1-EXP(-LN(2)/25))/(LN(2)/25)*Calculateur!AQ129*Calculateur!AS129*VLOOKUP('Données projet'!$B$10,Paramètres!$A$1:$I$89,3,0)*0.475*44/12</f>
        <v>5.5876403114983404</v>
      </c>
      <c r="AW129" s="21">
        <f>EXP(-LN(2)/2)*AW128+(1-EXP(-LN(2)/2))/(LN(2)/2)*AQ129*AT129*VLOOKUP('Données projet'!$B$10,Paramètres!$A$1:$I$89,3,0)*0.475*44/12</f>
        <v>1.0259113945294606E-7</v>
      </c>
      <c r="AX129" s="21">
        <f t="shared" si="60"/>
        <v>14.501805365552528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-1.7053025658242404E-13</v>
      </c>
      <c r="BE129" s="13">
        <f>BD129*VLOOKUP('Données projet'!$B$11,Paramètres!$A$1:$I$89,3,0)*VLOOKUP('Données projet'!$B$11,Paramètres!$A$1:$I$89,5,0)</f>
        <v>-1.1439169611549005E-13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281.67293577289729</v>
      </c>
      <c r="BJ129" s="59">
        <f t="shared" si="92"/>
        <v>272.44904846480154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13.773162880794077</v>
      </c>
      <c r="BQ129" s="21">
        <f>EXP(-LN(2)/25)*BQ128+(1-EXP(-LN(2)/25))/(LN(2)/25)*Calculateur!BL129*Calculateur!BN129*VLOOKUP('Données projet'!$B$11,Paramètres!$A$1:$I$89,3,0)*0.475*44/12</f>
        <v>9.9765479867894822</v>
      </c>
      <c r="BR129" s="21">
        <f>EXP(-LN(2)/2)*BR128+(1-EXP(-LN(2)/2))/(LN(2)/2)*BL129*BO129*VLOOKUP('Données projet'!$B$11,Paramètres!$A$1:$I$89,3,0)*0.475*44/12</f>
        <v>5.2244926942913926E-6</v>
      </c>
      <c r="BS129" s="22">
        <f t="shared" si="63"/>
        <v>23.749716092076252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-1.7053025658242404E-13</v>
      </c>
      <c r="BZ129" s="13">
        <f>BY129*VLOOKUP('Données projet'!$B$12,Paramètres!$A$1:$I$89,3,0)*VLOOKUP('Données projet'!$B$12,Paramètres!$A$1:$I$89,5,0)</f>
        <v>-1.4897523215040567E-13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348.77506423101278</v>
      </c>
      <c r="CE129" s="59">
        <f t="shared" si="94"/>
        <v>336.13747591329548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17.937142356382981</v>
      </c>
      <c r="CL129" s="21">
        <f>EXP(-LN(2)/25)*CL128+(1-EXP(-LN(2)/25))/(LN(2)/25)*Calculateur!CG129*Calculateur!CI129*VLOOKUP('Données projet'!$B$12,Paramètres!$A$1:$I$89,3,0)*0.475*44/12</f>
        <v>12.992713657214205</v>
      </c>
      <c r="CM129" s="21">
        <f>EXP(-LN(2)/2)*CM128+(1-EXP(-LN(2)/2))/(LN(2)/2)*CG129*CJ129*VLOOKUP('Données projet'!$B$12,Paramètres!$A$1:$I$89,3,0)*0.475*44/12</f>
        <v>6.8039904855888002E-6</v>
      </c>
      <c r="CN129" s="22">
        <f t="shared" si="66"/>
        <v>30.929862817587672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7.1129999999999995</v>
      </c>
      <c r="CT129" s="12">
        <f>IF('Données projet'!$A$140&gt;35,CT128+CS129-DB128,IF(A129&lt;'Données projet'!$A$140,$CQ$205^A129,IF(A129='Données projet'!$A$140,'Données projet'!$B$140,CT128+CS129-DB128)))</f>
        <v>297.89200000000005</v>
      </c>
      <c r="CU129" s="17">
        <f>CT129*VLOOKUP('Données projet'!$B$13,Paramètres!$A$1:$I$89,3,0)*VLOOKUP('Données projet'!$B$13,Paramètres!$A$1:$I$89,5,0)</f>
        <v>288.12114240000005</v>
      </c>
      <c r="CV129" s="13">
        <f t="shared" si="95"/>
        <v>68.680373461245836</v>
      </c>
      <c r="CW129" s="20">
        <f t="shared" si="67"/>
        <v>621.42930679167</v>
      </c>
      <c r="CX129" s="59">
        <f t="shared" si="68"/>
        <v>904.65634197209215</v>
      </c>
      <c r="CY129" s="59">
        <f ca="1">AVERAGE(OFFSET($CX$3,0,0,'Données projet'!$E$13+1,1))-AVERAGE(OFFSET($H$3,0,0,'Données projet'!$E$13+1,1))</f>
        <v>557.48193674339791</v>
      </c>
      <c r="CZ129" s="59">
        <f t="shared" si="96"/>
        <v>271.51396593253048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22.504531868007767</v>
      </c>
      <c r="DG129" s="21">
        <f>EXP(-LN(2)/25)*DG128+(1-EXP(-LN(2)/25))/(LN(2)/25)*Calculateur!DB129*Calculateur!DD129*VLOOKUP('Données projet'!$B$13,Paramètres!$A$1:$I$89,3,0)*0.475*44/12</f>
        <v>21.812569150617357</v>
      </c>
      <c r="DH129" s="21">
        <f>EXP(-LN(2)/2)*DH128+(1-EXP(-LN(2)/2))/(LN(2)/2)*DB129*DE129*VLOOKUP('Données projet'!$B$13,Paramètres!$A$1:$I$89,3,0)*0.475*44/12</f>
        <v>1.0894141971187774</v>
      </c>
      <c r="DI129" s="22">
        <f t="shared" si="69"/>
        <v>45.406515215743902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7.1129999999999995</v>
      </c>
      <c r="DO129" s="12">
        <f>IF('Données projet'!$A$166&gt;35,DO128+DN129-DW128,IF(A129&lt;'Données projet'!$A$166,$DL$205^A129,IF(A129='Données projet'!$A$166,'Données projet'!$B$166,DO128+DN129-DW128)))</f>
        <v>297.89200000000005</v>
      </c>
      <c r="DP129" s="17">
        <f>DO129*VLOOKUP('Données projet'!$B$14,Paramètres!$A$1:$I$89,3,0)*VLOOKUP('Données projet'!$B$14,Paramètres!$A$1:$I$89,5,0)</f>
        <v>320.65094880000004</v>
      </c>
      <c r="DQ129" s="13">
        <f t="shared" si="97"/>
        <v>75.488780197095551</v>
      </c>
      <c r="DR129" s="20">
        <f t="shared" si="70"/>
        <v>689.94336133660818</v>
      </c>
      <c r="DS129" s="59">
        <f t="shared" si="71"/>
        <v>973.17039651703044</v>
      </c>
      <c r="DT129" s="59">
        <f ca="1">AVERAGE(OFFSET($DS$3,0,0,'Données projet'!$E$14+1,1))-AVERAGE(OFFSET($H$3,0,0,'Données projet'!$E$14+1,1))</f>
        <v>610.05768948788375</v>
      </c>
      <c r="DU129" s="59">
        <f t="shared" si="98"/>
        <v>295.23928902444845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25.04536611116993</v>
      </c>
      <c r="EB129" s="21">
        <f>EXP(-LN(2)/25)*EB128+(1-EXP(-LN(2)/25))/(LN(2)/25)*Calculateur!DW129*Calculateur!DY129*VLOOKUP('Données projet'!$B$14,Paramètres!$A$1:$I$89,3,0)*0.475*44/12</f>
        <v>24.275278570848339</v>
      </c>
      <c r="EC129" s="21">
        <f>EXP(-LN(2)/2)*EC128+(1-EXP(-LN(2)/2))/(LN(2)/2)*DW129*DZ129*VLOOKUP('Données projet'!$B$14,Paramètres!$A$1:$I$89,3,0)*0.475*44/12</f>
        <v>1.212412574212832</v>
      </c>
      <c r="ED129" s="22">
        <f t="shared" si="72"/>
        <v>50.533057256231103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9.0229999999999961</v>
      </c>
      <c r="N130" s="13">
        <f>IF('Données projet'!$A$36&gt;35,N129+M130-V129,IF(A130&lt;'Données projet'!$A$36,$K$205^A130,IF(A130='Données projet'!$A$36,'Données projet'!$B$36,N129+M130-V129)))</f>
        <v>421.11900000000071</v>
      </c>
      <c r="O130" s="13">
        <f>N130*VLOOKUP('Données projet'!$B$9,Paramètres!$A$1:$I$89,3,0)*VLOOKUP('Données projet'!$B$9,Paramètres!$A$1:$I$89,5,0)</f>
        <v>381.02847120000064</v>
      </c>
      <c r="P130" s="13">
        <f t="shared" si="87"/>
        <v>87.919669823283783</v>
      </c>
      <c r="Q130" s="20">
        <f t="shared" si="107"/>
        <v>816.75134561555353</v>
      </c>
      <c r="R130" s="59">
        <f t="shared" si="55"/>
        <v>1100.153702474631</v>
      </c>
      <c r="S130" s="59">
        <f ca="1">AVERAGE(OFFSET($R$3,0,0,'Données projet'!$E$9+1,1))-AVERAGE(OFFSET($H$3,0,0,'Données projet'!$E$9+1,1))</f>
        <v>681.47578137804555</v>
      </c>
      <c r="T130" s="59">
        <f t="shared" si="88"/>
        <v>300.88511065995885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36.385686072043235</v>
      </c>
      <c r="AA130" s="21">
        <f>EXP(-LN(2)/25)*AA129+(1-EXP(-LN(2)/25))/(LN(2)/25)*Calculateur!V130*Calculateur!X130*VLOOKUP('Données projet'!$B$9,Paramètres!$A$1:$I$89,3,0)*0.475*44/12</f>
        <v>22.536750430785936</v>
      </c>
      <c r="AB130" s="21">
        <f>EXP(-LN(2)/2)*AB129+(1-EXP(-LN(2)/2))/(LN(2)/2)*V130*Y130*VLOOKUP('Données projet'!$B$9,Paramètres!$A$1:$I$89,3,0)*0.475*44/12</f>
        <v>1.8052366606344215</v>
      </c>
      <c r="AC130" s="22">
        <f t="shared" si="57"/>
        <v>60.727673163463592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-8.8675733422860506E-14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217.53602321474159</v>
      </c>
      <c r="AO130" s="59">
        <f t="shared" si="90"/>
        <v>215.75909414893025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8.7393636138686084</v>
      </c>
      <c r="AV130" s="21">
        <f>EXP(-LN(2)/25)*AV129+(1-EXP(-LN(2)/25))/(LN(2)/25)*Calculateur!AQ130*Calculateur!AS130*VLOOKUP('Données projet'!$B$10,Paramètres!$A$1:$I$89,3,0)*0.475*44/12</f>
        <v>5.4348459933391853</v>
      </c>
      <c r="AW130" s="21">
        <f>EXP(-LN(2)/2)*AW129+(1-EXP(-LN(2)/2))/(LN(2)/2)*AQ130*AT130*VLOOKUP('Données projet'!$B$10,Paramètres!$A$1:$I$89,3,0)*0.475*44/12</f>
        <v>7.2542890396832912E-8</v>
      </c>
      <c r="AX130" s="21">
        <f t="shared" si="60"/>
        <v>14.174209679750684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-1.7053025658242404E-13</v>
      </c>
      <c r="BE130" s="13">
        <f>BD130*VLOOKUP('Données projet'!$B$11,Paramètres!$A$1:$I$89,3,0)*VLOOKUP('Données projet'!$B$11,Paramètres!$A$1:$I$89,5,0)</f>
        <v>-1.1439169611549005E-13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281.67293577289729</v>
      </c>
      <c r="BJ130" s="59">
        <f t="shared" si="92"/>
        <v>272.44904846480154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13.503079557501552</v>
      </c>
      <c r="BQ130" s="21">
        <f>EXP(-LN(2)/25)*BQ129+(1-EXP(-LN(2)/25))/(LN(2)/25)*Calculateur!BL130*Calculateur!BN130*VLOOKUP('Données projet'!$B$11,Paramètres!$A$1:$I$89,3,0)*0.475*44/12</f>
        <v>9.7037387574468674</v>
      </c>
      <c r="BR130" s="21">
        <f>EXP(-LN(2)/2)*BR129+(1-EXP(-LN(2)/2))/(LN(2)/2)*BL130*BO130*VLOOKUP('Données projet'!$B$11,Paramètres!$A$1:$I$89,3,0)*0.475*44/12</f>
        <v>3.6942742123930199E-6</v>
      </c>
      <c r="BS130" s="22">
        <f t="shared" si="63"/>
        <v>23.206822009222634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-1.7053025658242404E-13</v>
      </c>
      <c r="BZ130" s="13">
        <f>BY130*VLOOKUP('Données projet'!$B$12,Paramètres!$A$1:$I$89,3,0)*VLOOKUP('Données projet'!$B$12,Paramètres!$A$1:$I$89,5,0)</f>
        <v>-1.4897523215040567E-13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348.77506423101278</v>
      </c>
      <c r="CE130" s="59">
        <f t="shared" si="94"/>
        <v>336.13747591329548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17.585405935350856</v>
      </c>
      <c r="CL130" s="21">
        <f>EXP(-LN(2)/25)*CL129+(1-EXP(-LN(2)/25))/(LN(2)/25)*Calculateur!CG130*Calculateur!CI130*VLOOKUP('Données projet'!$B$12,Paramètres!$A$1:$I$89,3,0)*0.475*44/12</f>
        <v>12.637427219000566</v>
      </c>
      <c r="CM130" s="21">
        <f>EXP(-LN(2)/2)*CM129+(1-EXP(-LN(2)/2))/(LN(2)/2)*CG130*CJ130*VLOOKUP('Données projet'!$B$12,Paramètres!$A$1:$I$89,3,0)*0.475*44/12</f>
        <v>4.8111478114885909E-6</v>
      </c>
      <c r="CN130" s="22">
        <f t="shared" si="66"/>
        <v>30.222837965499231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7.1129999999999995</v>
      </c>
      <c r="CT130" s="12">
        <f>IF('Données projet'!$A$140&gt;35,CT129+CS130-DB129,IF(A130&lt;'Données projet'!$A$140,$CQ$205^A130,IF(A130='Données projet'!$A$140,'Données projet'!$B$140,CT129+CS130-DB129)))</f>
        <v>305.00500000000005</v>
      </c>
      <c r="CU130" s="17">
        <f>CT130*VLOOKUP('Données projet'!$B$13,Paramètres!$A$1:$I$89,3,0)*VLOOKUP('Données projet'!$B$13,Paramètres!$A$1:$I$89,5,0)</f>
        <v>295.00083600000005</v>
      </c>
      <c r="CV130" s="13">
        <f t="shared" si="95"/>
        <v>70.127423915882019</v>
      </c>
      <c r="CW130" s="20">
        <f t="shared" si="67"/>
        <v>635.93171935349449</v>
      </c>
      <c r="CX130" s="59">
        <f t="shared" si="68"/>
        <v>919.33407621257197</v>
      </c>
      <c r="CY130" s="59">
        <f ca="1">AVERAGE(OFFSET($CX$3,0,0,'Données projet'!$E$13+1,1))-AVERAGE(OFFSET($H$3,0,0,'Données projet'!$E$13+1,1))</f>
        <v>557.48193674339791</v>
      </c>
      <c r="CZ130" s="59">
        <f t="shared" si="96"/>
        <v>271.51396593253048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22.063231724485203</v>
      </c>
      <c r="DG130" s="21">
        <f>EXP(-LN(2)/25)*DG129+(1-EXP(-LN(2)/25))/(LN(2)/25)*Calculateur!DB130*Calculateur!DD130*VLOOKUP('Données projet'!$B$13,Paramètres!$A$1:$I$89,3,0)*0.475*44/12</f>
        <v>21.216103300120565</v>
      </c>
      <c r="DH130" s="21">
        <f>EXP(-LN(2)/2)*DH129+(1-EXP(-LN(2)/2))/(LN(2)/2)*DB130*DE130*VLOOKUP('Données projet'!$B$13,Paramètres!$A$1:$I$89,3,0)*0.475*44/12</f>
        <v>0.7703321663035857</v>
      </c>
      <c r="DI130" s="22">
        <f t="shared" si="69"/>
        <v>44.049667190909354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7.1129999999999995</v>
      </c>
      <c r="DO130" s="12">
        <f>IF('Données projet'!$A$166&gt;35,DO129+DN130-DW129,IF(A130&lt;'Données projet'!$A$166,$DL$205^A130,IF(A130='Données projet'!$A$166,'Données projet'!$B$166,DO129+DN130-DW129)))</f>
        <v>305.00500000000005</v>
      </c>
      <c r="DP130" s="17">
        <f>DO130*VLOOKUP('Données projet'!$B$14,Paramètres!$A$1:$I$89,3,0)*VLOOKUP('Données projet'!$B$14,Paramètres!$A$1:$I$89,5,0)</f>
        <v>328.30738200000008</v>
      </c>
      <c r="DQ130" s="13">
        <f t="shared" si="97"/>
        <v>77.079279319319767</v>
      </c>
      <c r="DR130" s="20">
        <f t="shared" si="70"/>
        <v>706.04843513114872</v>
      </c>
      <c r="DS130" s="59">
        <f t="shared" si="71"/>
        <v>989.45079199022621</v>
      </c>
      <c r="DT130" s="59">
        <f ca="1">AVERAGE(OFFSET($DS$3,0,0,'Données projet'!$E$14+1,1))-AVERAGE(OFFSET($H$3,0,0,'Données projet'!$E$14+1,1))</f>
        <v>610.05768948788375</v>
      </c>
      <c r="DU130" s="59">
        <f t="shared" si="98"/>
        <v>295.23928902444845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24.554241757894818</v>
      </c>
      <c r="EB130" s="21">
        <f>EXP(-LN(2)/25)*EB129+(1-EXP(-LN(2)/25))/(LN(2)/25)*Calculateur!DW130*Calculateur!DY130*VLOOKUP('Données projet'!$B$14,Paramètres!$A$1:$I$89,3,0)*0.475*44/12</f>
        <v>23.611469801747074</v>
      </c>
      <c r="EC130" s="21">
        <f>EXP(-LN(2)/2)*EC129+(1-EXP(-LN(2)/2))/(LN(2)/2)*DW130*DZ130*VLOOKUP('Données projet'!$B$14,Paramètres!$A$1:$I$89,3,0)*0.475*44/12</f>
        <v>0.85730515282173181</v>
      </c>
      <c r="ED130" s="22">
        <f t="shared" si="72"/>
        <v>49.023016712463622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9.0229999999999961</v>
      </c>
      <c r="N131" s="13">
        <f>IF('Données projet'!$A$36&gt;35,N130+M131-V130,IF(A131&lt;'Données projet'!$A$36,$K$205^A131,IF(A131='Données projet'!$A$36,'Données projet'!$B$36,N130+M131-V130)))</f>
        <v>430.14200000000073</v>
      </c>
      <c r="O131" s="13">
        <f>N131*VLOOKUP('Données projet'!$B$9,Paramètres!$A$1:$I$89,3,0)*VLOOKUP('Données projet'!$B$9,Paramètres!$A$1:$I$89,5,0)</f>
        <v>389.19248160000063</v>
      </c>
      <c r="P131" s="13">
        <f t="shared" si="87"/>
        <v>89.582126151232899</v>
      </c>
      <c r="Q131" s="20">
        <f t="shared" ref="Q131:Q153" si="108">(O131+P131)*0.475*44/12</f>
        <v>833.86577516673162</v>
      </c>
      <c r="R131" s="59">
        <f t="shared" ref="R131:R194" si="109">Q131+(I131+J131)*44/12</f>
        <v>1117.4404122653002</v>
      </c>
      <c r="S131" s="59">
        <f ca="1">AVERAGE(OFFSET($R$3,0,0,'Données projet'!$E$9+1,1))-AVERAGE(OFFSET($H$3,0,0,'Données projet'!$E$9+1,1))</f>
        <v>681.47578137804555</v>
      </c>
      <c r="T131" s="59">
        <f t="shared" si="88"/>
        <v>300.88511065995885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35.672184961247588</v>
      </c>
      <c r="AA131" s="21">
        <f>EXP(-LN(2)/25)*AA130+(1-EXP(-LN(2)/25))/(LN(2)/25)*Calculateur!V131*Calculateur!X131*VLOOKUP('Données projet'!$B$9,Paramètres!$A$1:$I$89,3,0)*0.475*44/12</f>
        <v>21.920481805099897</v>
      </c>
      <c r="AB131" s="21">
        <f>EXP(-LN(2)/2)*AB130+(1-EXP(-LN(2)/2))/(LN(2)/2)*V131*Y131*VLOOKUP('Données projet'!$B$9,Paramètres!$A$1:$I$89,3,0)*0.475*44/12</f>
        <v>1.2764950843811578</v>
      </c>
      <c r="AC131" s="22">
        <f t="shared" si="57"/>
        <v>58.869161850728645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-8.8675733422860506E-14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217.53602321474159</v>
      </c>
      <c r="AO131" s="59">
        <f t="shared" si="90"/>
        <v>215.75909414893025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8.5679900238861073</v>
      </c>
      <c r="AV131" s="21">
        <f>EXP(-LN(2)/25)*AV130+(1-EXP(-LN(2)/25))/(LN(2)/25)*Calculateur!AQ131*Calculateur!AS131*VLOOKUP('Données projet'!$B$10,Paramètres!$A$1:$I$89,3,0)*0.475*44/12</f>
        <v>5.286229843845196</v>
      </c>
      <c r="AW131" s="21">
        <f>EXP(-LN(2)/2)*AW130+(1-EXP(-LN(2)/2))/(LN(2)/2)*AQ131*AT131*VLOOKUP('Données projet'!$B$10,Paramètres!$A$1:$I$89,3,0)*0.475*44/12</f>
        <v>5.129556972647303E-8</v>
      </c>
      <c r="AX131" s="21">
        <f t="shared" si="60"/>
        <v>13.854219919026873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-1.7053025658242404E-13</v>
      </c>
      <c r="BE131" s="13">
        <f>BD131*VLOOKUP('Données projet'!$B$11,Paramètres!$A$1:$I$89,3,0)*VLOOKUP('Données projet'!$B$11,Paramètres!$A$1:$I$89,5,0)</f>
        <v>-1.1439169611549005E-13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281.67293577289729</v>
      </c>
      <c r="BJ131" s="59">
        <f t="shared" si="92"/>
        <v>272.44904846480154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13.238292403444232</v>
      </c>
      <c r="BQ131" s="21">
        <f>EXP(-LN(2)/25)*BQ130+(1-EXP(-LN(2)/25))/(LN(2)/25)*Calculateur!BL131*Calculateur!BN131*VLOOKUP('Données projet'!$B$11,Paramètres!$A$1:$I$89,3,0)*0.475*44/12</f>
        <v>9.4383895108270401</v>
      </c>
      <c r="BR131" s="21">
        <f>EXP(-LN(2)/2)*BR130+(1-EXP(-LN(2)/2))/(LN(2)/2)*BL131*BO131*VLOOKUP('Données projet'!$B$11,Paramètres!$A$1:$I$89,3,0)*0.475*44/12</f>
        <v>2.6122463471456963E-6</v>
      </c>
      <c r="BS131" s="22">
        <f t="shared" si="63"/>
        <v>22.676684526517619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-1.7053025658242404E-13</v>
      </c>
      <c r="BZ131" s="13">
        <f>BY131*VLOOKUP('Données projet'!$B$12,Paramètres!$A$1:$I$89,3,0)*VLOOKUP('Données projet'!$B$12,Paramètres!$A$1:$I$89,5,0)</f>
        <v>-1.4897523215040567E-13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348.77506423101278</v>
      </c>
      <c r="CE131" s="59">
        <f t="shared" si="94"/>
        <v>336.13747591329548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17.240566850997137</v>
      </c>
      <c r="CL131" s="21">
        <f>EXP(-LN(2)/25)*CL130+(1-EXP(-LN(2)/25))/(LN(2)/25)*Calculateur!CG131*Calculateur!CI131*VLOOKUP('Données projet'!$B$12,Paramètres!$A$1:$I$89,3,0)*0.475*44/12</f>
        <v>12.29185610712358</v>
      </c>
      <c r="CM131" s="21">
        <f>EXP(-LN(2)/2)*CM130+(1-EXP(-LN(2)/2))/(LN(2)/2)*CG131*CJ131*VLOOKUP('Données projet'!$B$12,Paramètres!$A$1:$I$89,3,0)*0.475*44/12</f>
        <v>3.4019952427944001E-6</v>
      </c>
      <c r="CN131" s="22">
        <f t="shared" si="66"/>
        <v>29.532426360115963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7.1129999999999995</v>
      </c>
      <c r="CT131" s="12">
        <f>IF('Données projet'!$A$140&gt;35,CT130+CS131-DB130,IF(A131&lt;'Données projet'!$A$140,$CQ$205^A131,IF(A131='Données projet'!$A$140,'Données projet'!$B$140,CT130+CS131-DB130)))</f>
        <v>312.11800000000005</v>
      </c>
      <c r="CU131" s="17">
        <f>CT131*VLOOKUP('Données projet'!$B$13,Paramètres!$A$1:$I$89,3,0)*VLOOKUP('Données projet'!$B$13,Paramètres!$A$1:$I$89,5,0)</f>
        <v>301.88052960000005</v>
      </c>
      <c r="CV131" s="13">
        <f t="shared" si="95"/>
        <v>71.570551221656345</v>
      </c>
      <c r="CW131" s="20">
        <f t="shared" si="67"/>
        <v>650.42729909771822</v>
      </c>
      <c r="CX131" s="59">
        <f t="shared" si="68"/>
        <v>934.00193619628681</v>
      </c>
      <c r="CY131" s="59">
        <f ca="1">AVERAGE(OFFSET($CX$3,0,0,'Données projet'!$E$13+1,1))-AVERAGE(OFFSET($H$3,0,0,'Données projet'!$E$13+1,1))</f>
        <v>557.48193674339791</v>
      </c>
      <c r="CZ131" s="59">
        <f t="shared" si="96"/>
        <v>271.51396593253048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21.630585207610608</v>
      </c>
      <c r="DG131" s="21">
        <f>EXP(-LN(2)/25)*DG130+(1-EXP(-LN(2)/25))/(LN(2)/25)*Calculateur!DB131*Calculateur!DD131*VLOOKUP('Données projet'!$B$13,Paramètres!$A$1:$I$89,3,0)*0.475*44/12</f>
        <v>20.635947839672387</v>
      </c>
      <c r="DH131" s="21">
        <f>EXP(-LN(2)/2)*DH130+(1-EXP(-LN(2)/2))/(LN(2)/2)*DB131*DE131*VLOOKUP('Données projet'!$B$13,Paramètres!$A$1:$I$89,3,0)*0.475*44/12</f>
        <v>0.5447070985593887</v>
      </c>
      <c r="DI131" s="22">
        <f t="shared" si="69"/>
        <v>42.811240145842376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7.1129999999999995</v>
      </c>
      <c r="DO131" s="12">
        <f>IF('Données projet'!$A$166&gt;35,DO130+DN131-DW130,IF(A131&lt;'Données projet'!$A$166,$DL$205^A131,IF(A131='Données projet'!$A$166,'Données projet'!$B$166,DO130+DN131-DW130)))</f>
        <v>312.11800000000005</v>
      </c>
      <c r="DP131" s="17">
        <f>DO131*VLOOKUP('Données projet'!$B$14,Paramètres!$A$1:$I$89,3,0)*VLOOKUP('Données projet'!$B$14,Paramètres!$A$1:$I$89,5,0)</f>
        <v>335.9638152</v>
      </c>
      <c r="DQ131" s="13">
        <f t="shared" si="97"/>
        <v>78.665466384005597</v>
      </c>
      <c r="DR131" s="20">
        <f t="shared" si="70"/>
        <v>722.1459987588097</v>
      </c>
      <c r="DS131" s="59">
        <f t="shared" si="71"/>
        <v>1005.7206358573783</v>
      </c>
      <c r="DT131" s="59">
        <f ca="1">AVERAGE(OFFSET($DS$3,0,0,'Données projet'!$E$14+1,1))-AVERAGE(OFFSET($H$3,0,0,'Données projet'!$E$14+1,1))</f>
        <v>610.05768948788375</v>
      </c>
      <c r="DU131" s="59">
        <f t="shared" si="98"/>
        <v>295.23928902444845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24.072748053631155</v>
      </c>
      <c r="EB131" s="21">
        <f>EXP(-LN(2)/25)*EB130+(1-EXP(-LN(2)/25))/(LN(2)/25)*Calculateur!DW131*Calculateur!DY131*VLOOKUP('Données projet'!$B$14,Paramètres!$A$1:$I$89,3,0)*0.475*44/12</f>
        <v>22.965812918345069</v>
      </c>
      <c r="EC131" s="21">
        <f>EXP(-LN(2)/2)*EC130+(1-EXP(-LN(2)/2))/(LN(2)/2)*DW131*DZ131*VLOOKUP('Données projet'!$B$14,Paramètres!$A$1:$I$89,3,0)*0.475*44/12</f>
        <v>0.606206287106416</v>
      </c>
      <c r="ED131" s="22">
        <f t="shared" si="72"/>
        <v>47.644767259082641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9.0229999999999961</v>
      </c>
      <c r="N132" s="13">
        <f>IF('Données projet'!$A$36&gt;35,N131+M132-V131,IF(A132&lt;'Données projet'!$A$36,$K$205^A132,IF(A132='Données projet'!$A$36,'Données projet'!$B$36,N131+M132-V131)))</f>
        <v>439.16500000000076</v>
      </c>
      <c r="O132" s="13">
        <f>N132*VLOOKUP('Données projet'!$B$9,Paramètres!$A$1:$I$89,3,0)*VLOOKUP('Données projet'!$B$9,Paramètres!$A$1:$I$89,5,0)</f>
        <v>397.35649200000069</v>
      </c>
      <c r="P132" s="13">
        <f t="shared" si="87"/>
        <v>91.240527898934658</v>
      </c>
      <c r="Q132" s="20">
        <f t="shared" si="108"/>
        <v>850.97314299064567</v>
      </c>
      <c r="R132" s="59">
        <f t="shared" si="109"/>
        <v>1134.717071651711</v>
      </c>
      <c r="S132" s="59">
        <f ca="1">AVERAGE(OFFSET($R$3,0,0,'Données projet'!$E$9+1,1))-AVERAGE(OFFSET($H$3,0,0,'Données projet'!$E$9+1,1))</f>
        <v>681.47578137804555</v>
      </c>
      <c r="T132" s="59">
        <f t="shared" si="88"/>
        <v>300.88511065995885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34.972675172041939</v>
      </c>
      <c r="AA132" s="21">
        <f>EXP(-LN(2)/25)*AA131+(1-EXP(-LN(2)/25))/(LN(2)/25)*Calculateur!V132*Calculateur!X132*VLOOKUP('Données projet'!$B$9,Paramètres!$A$1:$I$89,3,0)*0.475*44/12</f>
        <v>21.321065077391403</v>
      </c>
      <c r="AB132" s="21">
        <f>EXP(-LN(2)/2)*AB131+(1-EXP(-LN(2)/2))/(LN(2)/2)*V132*Y132*VLOOKUP('Données projet'!$B$9,Paramètres!$A$1:$I$89,3,0)*0.475*44/12</f>
        <v>0.90261833031721095</v>
      </c>
      <c r="AC132" s="22">
        <f t="shared" ref="AC132:AC153" si="111">SUM(Z132:AB132)</f>
        <v>57.196358579750552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-8.8675733422860506E-14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217.53602321474159</v>
      </c>
      <c r="AO132" s="59">
        <f t="shared" si="90"/>
        <v>215.75909414893025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8.3999769654755951</v>
      </c>
      <c r="AV132" s="21">
        <f>EXP(-LN(2)/25)*AV131+(1-EXP(-LN(2)/25))/(LN(2)/25)*Calculateur!AQ132*Calculateur!AS132*VLOOKUP('Données projet'!$B$10,Paramètres!$A$1:$I$89,3,0)*0.475*44/12</f>
        <v>5.1416776107745035</v>
      </c>
      <c r="AW132" s="21">
        <f>EXP(-LN(2)/2)*AW131+(1-EXP(-LN(2)/2))/(LN(2)/2)*AQ132*AT132*VLOOKUP('Données projet'!$B$10,Paramètres!$A$1:$I$89,3,0)*0.475*44/12</f>
        <v>3.6271445198416456E-8</v>
      </c>
      <c r="AX132" s="21">
        <f t="shared" ref="AX132:AX153" si="114">SUM(AU132:AW132)</f>
        <v>13.541654612521544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-1.7053025658242404E-13</v>
      </c>
      <c r="BE132" s="13">
        <f>BD132*VLOOKUP('Données projet'!$B$11,Paramètres!$A$1:$I$89,3,0)*VLOOKUP('Données projet'!$B$11,Paramètres!$A$1:$I$89,5,0)</f>
        <v>-1.1439169611549005E-13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281.67293577289729</v>
      </c>
      <c r="BJ132" s="59">
        <f t="shared" si="92"/>
        <v>272.44904846480154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12.978697563973761</v>
      </c>
      <c r="BQ132" s="21">
        <f>EXP(-LN(2)/25)*BQ131+(1-EXP(-LN(2)/25))/(LN(2)/25)*Calculateur!BL132*Calculateur!BN132*VLOOKUP('Données projet'!$B$11,Paramètres!$A$1:$I$89,3,0)*0.475*44/12</f>
        <v>9.1802962533101429</v>
      </c>
      <c r="BR132" s="21">
        <f>EXP(-LN(2)/2)*BR131+(1-EXP(-LN(2)/2))/(LN(2)/2)*BL132*BO132*VLOOKUP('Données projet'!$B$11,Paramètres!$A$1:$I$89,3,0)*0.475*44/12</f>
        <v>1.8471371061965099E-6</v>
      </c>
      <c r="BS132" s="22">
        <f t="shared" ref="BS132:BS153" si="117">SUM(BP132:BR132)</f>
        <v>22.15899566442101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-1.7053025658242404E-13</v>
      </c>
      <c r="BZ132" s="13">
        <f>BY132*VLOOKUP('Données projet'!$B$12,Paramètres!$A$1:$I$89,3,0)*VLOOKUP('Données projet'!$B$12,Paramètres!$A$1:$I$89,5,0)</f>
        <v>-1.4897523215040567E-13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348.77506423101278</v>
      </c>
      <c r="CE132" s="59">
        <f t="shared" si="94"/>
        <v>336.13747591329548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16.902489850756524</v>
      </c>
      <c r="CL132" s="21">
        <f>EXP(-LN(2)/25)*CL131+(1-EXP(-LN(2)/25))/(LN(2)/25)*Calculateur!CG132*Calculateur!CI132*VLOOKUP('Données projet'!$B$12,Paramètres!$A$1:$I$89,3,0)*0.475*44/12</f>
        <v>11.955734655473666</v>
      </c>
      <c r="CM132" s="21">
        <f>EXP(-LN(2)/2)*CM131+(1-EXP(-LN(2)/2))/(LN(2)/2)*CG132*CJ132*VLOOKUP('Données projet'!$B$12,Paramètres!$A$1:$I$89,3,0)*0.475*44/12</f>
        <v>2.4055739057442955E-6</v>
      </c>
      <c r="CN132" s="22">
        <f t="shared" ref="CN132:CN153" si="120">SUM(CK132:CM132)</f>
        <v>28.858226911804095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7.1129999999999995</v>
      </c>
      <c r="CT132" s="12">
        <f>IF('Données projet'!$A$140&gt;35,CT131+CS132-DB131,IF(A132&lt;'Données projet'!$A$140,$CQ$205^A132,IF(A132='Données projet'!$A$140,'Données projet'!$B$140,CT131+CS132-DB131)))</f>
        <v>319.23100000000005</v>
      </c>
      <c r="CU132" s="17">
        <f>CT132*VLOOKUP('Données projet'!$B$13,Paramètres!$A$1:$I$89,3,0)*VLOOKUP('Données projet'!$B$13,Paramètres!$A$1:$I$89,5,0)</f>
        <v>308.7602232000001</v>
      </c>
      <c r="CV132" s="13">
        <f t="shared" si="95"/>
        <v>73.009855077083458</v>
      </c>
      <c r="CW132" s="20">
        <f t="shared" ref="CW132:CW153" si="121">(CU132+CV132)*0.475*44/12</f>
        <v>664.91621966592049</v>
      </c>
      <c r="CX132" s="59">
        <f t="shared" ref="CX132:CX195" si="122">CW132+(CO132+CP132)*44/12</f>
        <v>948.66014832698579</v>
      </c>
      <c r="CY132" s="59">
        <f ca="1">AVERAGE(OFFSET($CX$3,0,0,'Données projet'!$E$13+1,1))-AVERAGE(OFFSET($H$3,0,0,'Données projet'!$E$13+1,1))</f>
        <v>557.48193674339791</v>
      </c>
      <c r="CZ132" s="59">
        <f t="shared" si="96"/>
        <v>271.51396593253048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21.206422625043604</v>
      </c>
      <c r="DG132" s="21">
        <f>EXP(-LN(2)/25)*DG131+(1-EXP(-LN(2)/25))/(LN(2)/25)*Calculateur!DB132*Calculateur!DD132*VLOOKUP('Données projet'!$B$13,Paramètres!$A$1:$I$89,3,0)*0.475*44/12</f>
        <v>20.071656760799211</v>
      </c>
      <c r="DH132" s="21">
        <f>EXP(-LN(2)/2)*DH131+(1-EXP(-LN(2)/2))/(LN(2)/2)*DB132*DE132*VLOOKUP('Données projet'!$B$13,Paramètres!$A$1:$I$89,3,0)*0.475*44/12</f>
        <v>0.38516608315179285</v>
      </c>
      <c r="DI132" s="22">
        <f t="shared" ref="DI132:DI153" si="123">SUM(DF132:DH132)</f>
        <v>41.66324546899461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7.1129999999999995</v>
      </c>
      <c r="DO132" s="12">
        <f>IF('Données projet'!$A$166&gt;35,DO131+DN132-DW131,IF(A132&lt;'Données projet'!$A$166,$DL$205^A132,IF(A132='Données projet'!$A$166,'Données projet'!$B$166,DO131+DN132-DW131)))</f>
        <v>319.23100000000005</v>
      </c>
      <c r="DP132" s="17">
        <f>DO132*VLOOKUP('Données projet'!$B$14,Paramètres!$A$1:$I$89,3,0)*VLOOKUP('Données projet'!$B$14,Paramètres!$A$1:$I$89,5,0)</f>
        <v>343.62024840000004</v>
      </c>
      <c r="DQ132" s="13">
        <f t="shared" si="97"/>
        <v>80.247450972957736</v>
      </c>
      <c r="DR132" s="20">
        <f t="shared" ref="DR132:DR153" si="124">(DP132+DQ132)*0.475*44/12</f>
        <v>738.23624307456794</v>
      </c>
      <c r="DS132" s="59">
        <f t="shared" ref="DS132:DS195" si="125">DR132+(DJ132+DK132)*44/12</f>
        <v>1021.9801717356333</v>
      </c>
      <c r="DT132" s="59">
        <f ca="1">AVERAGE(OFFSET($DS$3,0,0,'Données projet'!$E$14+1,1))-AVERAGE(OFFSET($H$3,0,0,'Données projet'!$E$14+1,1))</f>
        <v>610.05768948788375</v>
      </c>
      <c r="DU132" s="59">
        <f t="shared" si="98"/>
        <v>295.23928902444845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23.600696147225943</v>
      </c>
      <c r="EB132" s="21">
        <f>EXP(-LN(2)/25)*EB131+(1-EXP(-LN(2)/25))/(LN(2)/25)*Calculateur!DW132*Calculateur!DY132*VLOOKUP('Données projet'!$B$14,Paramètres!$A$1:$I$89,3,0)*0.475*44/12</f>
        <v>22.33781155637331</v>
      </c>
      <c r="EC132" s="21">
        <f>EXP(-LN(2)/2)*EC131+(1-EXP(-LN(2)/2))/(LN(2)/2)*DW132*DZ132*VLOOKUP('Données projet'!$B$14,Paramètres!$A$1:$I$89,3,0)*0.475*44/12</f>
        <v>0.4286525764108659</v>
      </c>
      <c r="ED132" s="22">
        <f t="shared" ref="ED132:ED153" si="126">SUM(EA132:EC132)</f>
        <v>46.367160280010125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9.0229999999999961</v>
      </c>
      <c r="N133" s="13">
        <f>IF('Données projet'!$A$36&gt;35,N132+M133-V132,IF(A133&lt;'Données projet'!$A$36,$K$205^A133,IF(A133='Données projet'!$A$36,'Données projet'!$B$36,N132+M133-V132)))</f>
        <v>448.18800000000078</v>
      </c>
      <c r="O133" s="13">
        <f>N133*VLOOKUP('Données projet'!$B$9,Paramètres!$A$1:$I$89,3,0)*VLOOKUP('Données projet'!$B$9,Paramètres!$A$1:$I$89,5,0)</f>
        <v>405.52050240000068</v>
      </c>
      <c r="P133" s="13">
        <f t="shared" ref="P133:P196" si="141">EXP(-1.0587+0.8836*LN(O133)+0.284)</f>
        <v>92.894967969753338</v>
      </c>
      <c r="Q133" s="20">
        <f t="shared" si="108"/>
        <v>868.07361089398819</v>
      </c>
      <c r="R133" s="59">
        <f t="shared" si="109"/>
        <v>1151.9838942874203</v>
      </c>
      <c r="S133" s="59">
        <f ca="1">AVERAGE(OFFSET($R$3,0,0,'Données projet'!$E$9+1,1))-AVERAGE(OFFSET($H$3,0,0,'Données projet'!$E$9+1,1))</f>
        <v>681.47578137804555</v>
      </c>
      <c r="T133" s="59">
        <f t="shared" ref="T133:T196" si="142">$T$3</f>
        <v>300.88511065995885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34.286882343143766</v>
      </c>
      <c r="AA133" s="21">
        <f>EXP(-LN(2)/25)*AA132+(1-EXP(-LN(2)/25))/(LN(2)/25)*Calculateur!V133*Calculateur!X133*VLOOKUP('Données projet'!$B$9,Paramètres!$A$1:$I$89,3,0)*0.475*44/12</f>
        <v>20.738039431624053</v>
      </c>
      <c r="AB133" s="21">
        <f>EXP(-LN(2)/2)*AB132+(1-EXP(-LN(2)/2))/(LN(2)/2)*V133*Y133*VLOOKUP('Données projet'!$B$9,Paramètres!$A$1:$I$89,3,0)*0.475*44/12</f>
        <v>0.638247542190579</v>
      </c>
      <c r="AC133" s="22">
        <f t="shared" si="111"/>
        <v>55.663169316958395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-8.8675733422860506E-14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217.53602321474159</v>
      </c>
      <c r="AO133" s="59">
        <f t="shared" ref="AO133:AO196" si="144">$AO$3</f>
        <v>215.75909414893025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8.2352585406626666</v>
      </c>
      <c r="AV133" s="21">
        <f>EXP(-LN(2)/25)*AV132+(1-EXP(-LN(2)/25))/(LN(2)/25)*Calculateur!AQ133*Calculateur!AS133*VLOOKUP('Données projet'!$B$10,Paramètres!$A$1:$I$89,3,0)*0.475*44/12</f>
        <v>5.0010781661188002</v>
      </c>
      <c r="AW133" s="21">
        <f>EXP(-LN(2)/2)*AW132+(1-EXP(-LN(2)/2))/(LN(2)/2)*AQ133*AT133*VLOOKUP('Données projet'!$B$10,Paramètres!$A$1:$I$89,3,0)*0.475*44/12</f>
        <v>2.5647784863236515E-8</v>
      </c>
      <c r="AX133" s="21">
        <f t="shared" si="114"/>
        <v>13.236336732429251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-1.7053025658242404E-13</v>
      </c>
      <c r="BE133" s="13">
        <f>BD133*VLOOKUP('Données projet'!$B$11,Paramètres!$A$1:$I$89,3,0)*VLOOKUP('Données projet'!$B$11,Paramètres!$A$1:$I$89,5,0)</f>
        <v>-1.1439169611549005E-13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281.67293577289729</v>
      </c>
      <c r="BJ133" s="59">
        <f t="shared" ref="BJ133:BJ196" si="146">$BJ$3</f>
        <v>272.44904846480154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12.724193220968086</v>
      </c>
      <c r="BQ133" s="21">
        <f>EXP(-LN(2)/25)*BQ132+(1-EXP(-LN(2)/25))/(LN(2)/25)*Calculateur!BL133*Calculateur!BN133*VLOOKUP('Données projet'!$B$11,Paramètres!$A$1:$I$89,3,0)*0.475*44/12</f>
        <v>8.9292605694925786</v>
      </c>
      <c r="BR133" s="21">
        <f>EXP(-LN(2)/2)*BR132+(1-EXP(-LN(2)/2))/(LN(2)/2)*BL133*BO133*VLOOKUP('Données projet'!$B$11,Paramètres!$A$1:$I$89,3,0)*0.475*44/12</f>
        <v>1.3061231735728481E-6</v>
      </c>
      <c r="BS133" s="22">
        <f t="shared" si="117"/>
        <v>21.653455096583841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-1.7053025658242404E-13</v>
      </c>
      <c r="BZ133" s="13">
        <f>BY133*VLOOKUP('Données projet'!$B$12,Paramètres!$A$1:$I$89,3,0)*VLOOKUP('Données projet'!$B$12,Paramètres!$A$1:$I$89,5,0)</f>
        <v>-1.4897523215040567E-13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348.77506423101278</v>
      </c>
      <c r="CE133" s="59">
        <f t="shared" ref="CE133:CE196" si="148">$CE$3</f>
        <v>336.13747591329548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16.571042334284019</v>
      </c>
      <c r="CL133" s="21">
        <f>EXP(-LN(2)/25)*CL132+(1-EXP(-LN(2)/25))/(LN(2)/25)*Calculateur!CG133*Calculateur!CI133*VLOOKUP('Données projet'!$B$12,Paramètres!$A$1:$I$89,3,0)*0.475*44/12</f>
        <v>11.628804462594978</v>
      </c>
      <c r="CM133" s="21">
        <f>EXP(-LN(2)/2)*CM132+(1-EXP(-LN(2)/2))/(LN(2)/2)*CG133*CJ133*VLOOKUP('Données projet'!$B$12,Paramètres!$A$1:$I$89,3,0)*0.475*44/12</f>
        <v>1.7009976213972001E-6</v>
      </c>
      <c r="CN133" s="22">
        <f t="shared" si="120"/>
        <v>28.199848497876619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7.1129999999999995</v>
      </c>
      <c r="CT133" s="12">
        <f>IF('Données projet'!$A$140&gt;35,CT132+CS133-DB132,IF(A133&lt;'Données projet'!$A$140,$CQ$205^A133,IF(A133='Données projet'!$A$140,'Données projet'!$B$140,CT132+CS133-DB132)))</f>
        <v>326.34400000000005</v>
      </c>
      <c r="CU133" s="17">
        <f>CT133*VLOOKUP('Données projet'!$B$13,Paramètres!$A$1:$I$89,3,0)*VLOOKUP('Données projet'!$B$13,Paramètres!$A$1:$I$89,5,0)</f>
        <v>315.63991680000004</v>
      </c>
      <c r="CV133" s="13">
        <f t="shared" ref="CV133:CV153" si="149">EXP(-1.0587+0.8836*LN(CU133)+0.284)</f>
        <v>74.445430484125623</v>
      </c>
      <c r="CW133" s="20">
        <f t="shared" si="121"/>
        <v>679.39864651985215</v>
      </c>
      <c r="CX133" s="59">
        <f t="shared" si="122"/>
        <v>963.30892991328426</v>
      </c>
      <c r="CY133" s="59">
        <f ca="1">AVERAGE(OFFSET($CX$3,0,0,'Données projet'!$E$13+1,1))-AVERAGE(OFFSET($H$3,0,0,'Données projet'!$E$13+1,1))</f>
        <v>557.48193674339791</v>
      </c>
      <c r="CZ133" s="59">
        <f t="shared" ref="CZ133:CZ196" si="150">$CZ$3</f>
        <v>271.51396593253048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20.790577612007112</v>
      </c>
      <c r="DG133" s="21">
        <f>EXP(-LN(2)/25)*DG132+(1-EXP(-LN(2)/25))/(LN(2)/25)*Calculateur!DB133*Calculateur!DD133*VLOOKUP('Données projet'!$B$13,Paramètres!$A$1:$I$89,3,0)*0.475*44/12</f>
        <v>19.522796251152602</v>
      </c>
      <c r="DH133" s="21">
        <f>EXP(-LN(2)/2)*DH132+(1-EXP(-LN(2)/2))/(LN(2)/2)*DB133*DE133*VLOOKUP('Données projet'!$B$13,Paramètres!$A$1:$I$89,3,0)*0.475*44/12</f>
        <v>0.27235354927969435</v>
      </c>
      <c r="DI133" s="22">
        <f t="shared" si="123"/>
        <v>40.585727412439404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7.1129999999999995</v>
      </c>
      <c r="DO133" s="12">
        <f>IF('Données projet'!$A$166&gt;35,DO132+DN133-DW132,IF(A133&lt;'Données projet'!$A$166,$DL$205^A133,IF(A133='Données projet'!$A$166,'Données projet'!$B$166,DO132+DN133-DW132)))</f>
        <v>326.34400000000005</v>
      </c>
      <c r="DP133" s="17">
        <f>DO133*VLOOKUP('Données projet'!$B$14,Paramètres!$A$1:$I$89,3,0)*VLOOKUP('Données projet'!$B$14,Paramètres!$A$1:$I$89,5,0)</f>
        <v>351.27668160000002</v>
      </c>
      <c r="DQ133" s="13">
        <f t="shared" ref="DQ133:DQ153" si="151">EXP(-1.0587+0.8836*LN(DP133)+0.284)</f>
        <v>81.825337505850683</v>
      </c>
      <c r="DR133" s="20">
        <f t="shared" si="124"/>
        <v>754.31934994268988</v>
      </c>
      <c r="DS133" s="59">
        <f t="shared" si="125"/>
        <v>1038.2296333361219</v>
      </c>
      <c r="DT133" s="59">
        <f ca="1">AVERAGE(OFFSET($DS$3,0,0,'Données projet'!$E$14+1,1))-AVERAGE(OFFSET($H$3,0,0,'Données projet'!$E$14+1,1))</f>
        <v>610.05768948788375</v>
      </c>
      <c r="DU133" s="59">
        <f t="shared" ref="DU133:DU196" si="152">$DU$3</f>
        <v>295.23928902444845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23.137900890782102</v>
      </c>
      <c r="EB133" s="21">
        <f>EXP(-LN(2)/25)*EB132+(1-EXP(-LN(2)/25))/(LN(2)/25)*Calculateur!DW133*Calculateur!DY133*VLOOKUP('Données projet'!$B$14,Paramètres!$A$1:$I$89,3,0)*0.475*44/12</f>
        <v>21.726982924669827</v>
      </c>
      <c r="EC133" s="21">
        <f>EXP(-LN(2)/2)*EC132+(1-EXP(-LN(2)/2))/(LN(2)/2)*DW133*DZ133*VLOOKUP('Données projet'!$B$14,Paramètres!$A$1:$I$89,3,0)*0.475*44/12</f>
        <v>0.303103143553208</v>
      </c>
      <c r="ED133" s="22">
        <f t="shared" si="126"/>
        <v>45.167986959005141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9.0229999999999961</v>
      </c>
      <c r="N134" s="13">
        <f>IF('Données projet'!$A$36&gt;35,N133+M134-V133,IF(A134&lt;'Données projet'!$A$36,$K$205^A134,IF(A134='Données projet'!$A$36,'Données projet'!$B$36,N133+M134-V133)))</f>
        <v>457.21100000000081</v>
      </c>
      <c r="O134" s="13">
        <f>N134*VLOOKUP('Données projet'!$B$9,Paramètres!$A$1:$I$89,3,0)*VLOOKUP('Données projet'!$B$9,Paramètres!$A$1:$I$89,5,0)</f>
        <v>413.68451280000073</v>
      </c>
      <c r="P134" s="13">
        <f t="shared" si="141"/>
        <v>94.545535312483779</v>
      </c>
      <c r="Q134" s="20">
        <f t="shared" si="108"/>
        <v>885.16733379591051</v>
      </c>
      <c r="R134" s="59">
        <f t="shared" si="109"/>
        <v>1169.2410860390162</v>
      </c>
      <c r="S134" s="59">
        <f ca="1">AVERAGE(OFFSET($R$3,0,0,'Données projet'!$E$9+1,1))-AVERAGE(OFFSET($H$3,0,0,'Données projet'!$E$9+1,1))</f>
        <v>681.47578137804555</v>
      </c>
      <c r="T134" s="59">
        <f t="shared" si="142"/>
        <v>300.88511065995885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33.614537493327965</v>
      </c>
      <c r="AA134" s="21">
        <f>EXP(-LN(2)/25)*AA133+(1-EXP(-LN(2)/25))/(LN(2)/25)*Calculateur!V134*Calculateur!X134*VLOOKUP('Données projet'!$B$9,Paramètres!$A$1:$I$89,3,0)*0.475*44/12</f>
        <v>20.170956652800196</v>
      </c>
      <c r="AB134" s="21">
        <f>EXP(-LN(2)/2)*AB133+(1-EXP(-LN(2)/2))/(LN(2)/2)*V134*Y134*VLOOKUP('Données projet'!$B$9,Paramètres!$A$1:$I$89,3,0)*0.475*44/12</f>
        <v>0.45130916515860553</v>
      </c>
      <c r="AC134" s="22">
        <f t="shared" si="111"/>
        <v>54.236803311286764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-8.8675733422860506E-14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217.53602321474159</v>
      </c>
      <c r="AO134" s="59">
        <f t="shared" si="144"/>
        <v>215.75909414893025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8.0737701436920002</v>
      </c>
      <c r="AV134" s="21">
        <f>EXP(-LN(2)/25)*AV133+(1-EXP(-LN(2)/25))/(LN(2)/25)*Calculateur!AQ134*Calculateur!AS134*VLOOKUP('Données projet'!$B$10,Paramètres!$A$1:$I$89,3,0)*0.475*44/12</f>
        <v>4.8643234206710106</v>
      </c>
      <c r="AW134" s="21">
        <f>EXP(-LN(2)/2)*AW133+(1-EXP(-LN(2)/2))/(LN(2)/2)*AQ134*AT134*VLOOKUP('Données projet'!$B$10,Paramètres!$A$1:$I$89,3,0)*0.475*44/12</f>
        <v>1.8135722599208228E-8</v>
      </c>
      <c r="AX134" s="21">
        <f t="shared" si="114"/>
        <v>12.938093582498734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-1.7053025658242404E-13</v>
      </c>
      <c r="BE134" s="13">
        <f>BD134*VLOOKUP('Données projet'!$B$11,Paramètres!$A$1:$I$89,3,0)*VLOOKUP('Données projet'!$B$11,Paramètres!$A$1:$I$89,5,0)</f>
        <v>-1.1439169611549005E-13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281.67293577289729</v>
      </c>
      <c r="BJ134" s="59">
        <f t="shared" si="146"/>
        <v>272.44904846480154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12.474679552896433</v>
      </c>
      <c r="BQ134" s="21">
        <f>EXP(-LN(2)/25)*BQ133+(1-EXP(-LN(2)/25))/(LN(2)/25)*Calculateur!BL134*Calculateur!BN134*VLOOKUP('Données projet'!$B$11,Paramètres!$A$1:$I$89,3,0)*0.475*44/12</f>
        <v>8.6850894696503982</v>
      </c>
      <c r="BR134" s="21">
        <f>EXP(-LN(2)/2)*BR133+(1-EXP(-LN(2)/2))/(LN(2)/2)*BL134*BO134*VLOOKUP('Données projet'!$B$11,Paramètres!$A$1:$I$89,3,0)*0.475*44/12</f>
        <v>9.2356855309825497E-7</v>
      </c>
      <c r="BS134" s="22">
        <f t="shared" si="117"/>
        <v>21.159769946115386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-1.7053025658242404E-13</v>
      </c>
      <c r="BZ134" s="13">
        <f>BY134*VLOOKUP('Données projet'!$B$12,Paramètres!$A$1:$I$89,3,0)*VLOOKUP('Données projet'!$B$12,Paramètres!$A$1:$I$89,5,0)</f>
        <v>-1.4897523215040567E-13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348.77506423101278</v>
      </c>
      <c r="CE134" s="59">
        <f t="shared" si="148"/>
        <v>336.13747591329548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16.246094301446519</v>
      </c>
      <c r="CL134" s="21">
        <f>EXP(-LN(2)/25)*CL133+(1-EXP(-LN(2)/25))/(LN(2)/25)*Calculateur!CG134*Calculateur!CI134*VLOOKUP('Données projet'!$B$12,Paramètres!$A$1:$I$89,3,0)*0.475*44/12</f>
        <v>11.310814193033069</v>
      </c>
      <c r="CM134" s="21">
        <f>EXP(-LN(2)/2)*CM133+(1-EXP(-LN(2)/2))/(LN(2)/2)*CG134*CJ134*VLOOKUP('Données projet'!$B$12,Paramètres!$A$1:$I$89,3,0)*0.475*44/12</f>
        <v>1.2027869528721477E-6</v>
      </c>
      <c r="CN134" s="22">
        <f t="shared" si="120"/>
        <v>27.556909697266541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7.1129999999999995</v>
      </c>
      <c r="CT134" s="12">
        <f>IF('Données projet'!$A$140&gt;35,CT133+CS134-DB133,IF(A134&lt;'Données projet'!$A$140,$CQ$205^A134,IF(A134='Données projet'!$A$140,'Données projet'!$B$140,CT133+CS134-DB133)))</f>
        <v>333.45700000000005</v>
      </c>
      <c r="CU134" s="17">
        <f>CT134*VLOOKUP('Données projet'!$B$13,Paramètres!$A$1:$I$89,3,0)*VLOOKUP('Données projet'!$B$13,Paramètres!$A$1:$I$89,5,0)</f>
        <v>322.51961040000003</v>
      </c>
      <c r="CV134" s="13">
        <f t="shared" si="149"/>
        <v>75.877368066903443</v>
      </c>
      <c r="CW134" s="20">
        <f t="shared" si="121"/>
        <v>693.87473749652361</v>
      </c>
      <c r="CX134" s="59">
        <f t="shared" si="122"/>
        <v>977.94848973962939</v>
      </c>
      <c r="CY134" s="59">
        <f ca="1">AVERAGE(OFFSET($CX$3,0,0,'Données projet'!$E$13+1,1))-AVERAGE(OFFSET($H$3,0,0,'Données projet'!$E$13+1,1))</f>
        <v>557.48193674339791</v>
      </c>
      <c r="CZ134" s="59">
        <f t="shared" si="150"/>
        <v>271.51396593253048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20.382887066035853</v>
      </c>
      <c r="DG134" s="21">
        <f>EXP(-LN(2)/25)*DG133+(1-EXP(-LN(2)/25))/(LN(2)/25)*Calculateur!DB134*Calculateur!DD134*VLOOKUP('Données projet'!$B$13,Paramètres!$A$1:$I$89,3,0)*0.475*44/12</f>
        <v>18.988944361005601</v>
      </c>
      <c r="DH134" s="21">
        <f>EXP(-LN(2)/2)*DH133+(1-EXP(-LN(2)/2))/(LN(2)/2)*DB134*DE134*VLOOKUP('Données projet'!$B$13,Paramètres!$A$1:$I$89,3,0)*0.475*44/12</f>
        <v>0.19258304157589642</v>
      </c>
      <c r="DI134" s="22">
        <f t="shared" si="123"/>
        <v>39.56441446861735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7.1129999999999995</v>
      </c>
      <c r="DO134" s="12">
        <f>IF('Données projet'!$A$166&gt;35,DO133+DN134-DW133,IF(A134&lt;'Données projet'!$A$166,$DL$205^A134,IF(A134='Données projet'!$A$166,'Données projet'!$B$166,DO133+DN134-DW133)))</f>
        <v>333.45700000000005</v>
      </c>
      <c r="DP134" s="17">
        <f>DO134*VLOOKUP('Données projet'!$B$14,Paramètres!$A$1:$I$89,3,0)*VLOOKUP('Données projet'!$B$14,Paramètres!$A$1:$I$89,5,0)</f>
        <v>358.93311480000006</v>
      </c>
      <c r="DQ134" s="13">
        <f t="shared" si="151"/>
        <v>83.399225590534357</v>
      </c>
      <c r="DR134" s="20">
        <f t="shared" si="124"/>
        <v>770.39549284684733</v>
      </c>
      <c r="DS134" s="59">
        <f t="shared" si="125"/>
        <v>1054.4692450899531</v>
      </c>
      <c r="DT134" s="59">
        <f ca="1">AVERAGE(OFFSET($DS$3,0,0,'Données projet'!$E$14+1,1))-AVERAGE(OFFSET($H$3,0,0,'Données projet'!$E$14+1,1))</f>
        <v>610.05768948788375</v>
      </c>
      <c r="DU134" s="59">
        <f t="shared" si="152"/>
        <v>295.23928902444845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22.684180767039894</v>
      </c>
      <c r="EB134" s="21">
        <f>EXP(-LN(2)/25)*EB133+(1-EXP(-LN(2)/25))/(LN(2)/25)*Calculateur!DW134*Calculateur!DY134*VLOOKUP('Données projet'!$B$14,Paramètres!$A$1:$I$89,3,0)*0.475*44/12</f>
        <v>21.132857434022355</v>
      </c>
      <c r="EC134" s="21">
        <f>EXP(-LN(2)/2)*EC133+(1-EXP(-LN(2)/2))/(LN(2)/2)*DW134*DZ134*VLOOKUP('Données projet'!$B$14,Paramètres!$A$1:$I$89,3,0)*0.475*44/12</f>
        <v>0.21432628820543295</v>
      </c>
      <c r="ED134" s="22">
        <f t="shared" si="126"/>
        <v>44.031364489267681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9.0229999999999961</v>
      </c>
      <c r="N135" s="13">
        <f>IF('Données projet'!$A$36&gt;35,N134+M135-V134,IF(A135&lt;'Données projet'!$A$36,$K$205^A135,IF(A135='Données projet'!$A$36,'Données projet'!$B$36,N134+M135-V134)))</f>
        <v>466.23400000000083</v>
      </c>
      <c r="O135" s="13">
        <f>N135*VLOOKUP('Données projet'!$B$9,Paramètres!$A$1:$I$89,3,0)*VLOOKUP('Données projet'!$B$9,Paramètres!$A$1:$I$89,5,0)</f>
        <v>421.84852320000078</v>
      </c>
      <c r="P135" s="13">
        <f t="shared" si="141"/>
        <v>96.192315164348642</v>
      </c>
      <c r="Q135" s="20">
        <f t="shared" si="108"/>
        <v>902.2544601512418</v>
      </c>
      <c r="R135" s="59">
        <f t="shared" si="109"/>
        <v>1186.488845424941</v>
      </c>
      <c r="S135" s="59">
        <f ca="1">AVERAGE(OFFSET($R$3,0,0,'Données projet'!$E$9+1,1))-AVERAGE(OFFSET($H$3,0,0,'Données projet'!$E$9+1,1))</f>
        <v>681.47578137804555</v>
      </c>
      <c r="T135" s="59">
        <f t="shared" si="142"/>
        <v>300.88511065995885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32.955376915927189</v>
      </c>
      <c r="AA135" s="21">
        <f>EXP(-LN(2)/25)*AA134+(1-EXP(-LN(2)/25))/(LN(2)/25)*Calculateur!V135*Calculateur!X135*VLOOKUP('Données projet'!$B$9,Paramètres!$A$1:$I$89,3,0)*0.475*44/12</f>
        <v>19.619380782384866</v>
      </c>
      <c r="AB135" s="21">
        <f>EXP(-LN(2)/2)*AB134+(1-EXP(-LN(2)/2))/(LN(2)/2)*V135*Y135*VLOOKUP('Données projet'!$B$9,Paramètres!$A$1:$I$89,3,0)*0.475*44/12</f>
        <v>0.31912377109528955</v>
      </c>
      <c r="AC135" s="22">
        <f t="shared" si="111"/>
        <v>52.893881469407347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-8.8675733422860506E-14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217.53602321474159</v>
      </c>
      <c r="AO135" s="59">
        <f t="shared" si="144"/>
        <v>215.75909414893025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7.9154484356877326</v>
      </c>
      <c r="AV135" s="21">
        <f>EXP(-LN(2)/25)*AV134+(1-EXP(-LN(2)/25))/(LN(2)/25)*Calculateur!AQ135*Calculateur!AS135*VLOOKUP('Données projet'!$B$10,Paramètres!$A$1:$I$89,3,0)*0.475*44/12</f>
        <v>4.7313082409291107</v>
      </c>
      <c r="AW135" s="21">
        <f>EXP(-LN(2)/2)*AW134+(1-EXP(-LN(2)/2))/(LN(2)/2)*AQ135*AT135*VLOOKUP('Données projet'!$B$10,Paramètres!$A$1:$I$89,3,0)*0.475*44/12</f>
        <v>1.2823892431618258E-8</v>
      </c>
      <c r="AX135" s="21">
        <f t="shared" si="114"/>
        <v>12.646756689440735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-1.7053025658242404E-13</v>
      </c>
      <c r="BE135" s="13">
        <f>BD135*VLOOKUP('Données projet'!$B$11,Paramètres!$A$1:$I$89,3,0)*VLOOKUP('Données projet'!$B$11,Paramètres!$A$1:$I$89,5,0)</f>
        <v>-1.1439169611549005E-13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281.67293577289729</v>
      </c>
      <c r="BJ135" s="59">
        <f t="shared" si="146"/>
        <v>272.44904846480154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12.230058695667354</v>
      </c>
      <c r="BQ135" s="21">
        <f>EXP(-LN(2)/25)*BQ134+(1-EXP(-LN(2)/25))/(LN(2)/25)*Calculateur!BL135*Calculateur!BN135*VLOOKUP('Données projet'!$B$11,Paramètres!$A$1:$I$89,3,0)*0.475*44/12</f>
        <v>8.4475952413738025</v>
      </c>
      <c r="BR135" s="21">
        <f>EXP(-LN(2)/2)*BR134+(1-EXP(-LN(2)/2))/(LN(2)/2)*BL135*BO135*VLOOKUP('Données projet'!$B$11,Paramètres!$A$1:$I$89,3,0)*0.475*44/12</f>
        <v>6.5306158678642407E-7</v>
      </c>
      <c r="BS135" s="22">
        <f t="shared" si="117"/>
        <v>20.677654590102744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-1.7053025658242404E-13</v>
      </c>
      <c r="BZ135" s="13">
        <f>BY135*VLOOKUP('Données projet'!$B$12,Paramètres!$A$1:$I$89,3,0)*VLOOKUP('Données projet'!$B$12,Paramètres!$A$1:$I$89,5,0)</f>
        <v>-1.4897523215040567E-13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348.77506423101278</v>
      </c>
      <c r="CE135" s="59">
        <f t="shared" si="148"/>
        <v>336.13747591329548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15.92751830133423</v>
      </c>
      <c r="CL135" s="21">
        <f>EXP(-LN(2)/25)*CL134+(1-EXP(-LN(2)/25))/(LN(2)/25)*Calculateur!CG135*Calculateur!CI135*VLOOKUP('Données projet'!$B$12,Paramètres!$A$1:$I$89,3,0)*0.475*44/12</f>
        <v>11.001519384114713</v>
      </c>
      <c r="CM135" s="21">
        <f>EXP(-LN(2)/2)*CM134+(1-EXP(-LN(2)/2))/(LN(2)/2)*CG135*CJ135*VLOOKUP('Données projet'!$B$12,Paramètres!$A$1:$I$89,3,0)*0.475*44/12</f>
        <v>8.5049881069860003E-7</v>
      </c>
      <c r="CN135" s="22">
        <f t="shared" si="120"/>
        <v>26.929038535947754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>
        <f>VLOOKUP(A135,'Données projet'!$A$139:$I$159,2,0)</f>
        <v>340.57</v>
      </c>
      <c r="CR135" s="12">
        <f>VLOOKUP(A135,'Données projet'!$A$139:$I$159,9,0)</f>
        <v>7.1129999999999995</v>
      </c>
      <c r="CS135" s="12">
        <f t="array" ref="CS135">INDEX(CR:CR,MIN(IF(ISNUMBER(CR135:CR331),ROW(CR135:CR331),"")))</f>
        <v>7.1129999999999995</v>
      </c>
      <c r="CT135" s="12">
        <f>IF('Données projet'!$A$140&gt;35,CT134+CS135-DB134,IF(A135&lt;'Données projet'!$A$140,$CQ$205^A135,IF(A135='Données projet'!$A$140,'Données projet'!$B$140,CT134+CS135-DB134)))</f>
        <v>340.57000000000005</v>
      </c>
      <c r="CU135" s="17">
        <f>CT135*VLOOKUP('Données projet'!$B$13,Paramètres!$A$1:$I$89,3,0)*VLOOKUP('Données projet'!$B$13,Paramètres!$A$1:$I$89,5,0)</f>
        <v>329.39930400000009</v>
      </c>
      <c r="CV135" s="13">
        <f t="shared" si="149"/>
        <v>77.305754362445725</v>
      </c>
      <c r="CW135" s="20">
        <f t="shared" si="121"/>
        <v>708.3446433145931</v>
      </c>
      <c r="CX135" s="59">
        <f t="shared" si="122"/>
        <v>992.5790285882922</v>
      </c>
      <c r="CY135" s="59">
        <f ca="1">AVERAGE(OFFSET($CX$3,0,0,'Données projet'!$E$13+1,1))-AVERAGE(OFFSET($H$3,0,0,'Données projet'!$E$13+1,1))</f>
        <v>557.48193674339791</v>
      </c>
      <c r="CZ135" s="59">
        <f t="shared" si="150"/>
        <v>271.51396593253048</v>
      </c>
      <c r="DA135" s="15">
        <f>IF(ISNA(VLOOKUP(A135,'Données projet'!$A$139:$I$159,3,0)),0,VLOOKUP(A135,'Données projet'!$A$139:$I$159,3,0))</f>
        <v>9</v>
      </c>
      <c r="DB135" s="15">
        <f>IF(ISNA(VLOOKUP(A135,'Données projet'!$A$139:$I$159,4,0)),0,VLOOKUP(A135,'Données projet'!$A$139:$I$159,4,0))</f>
        <v>48.699999999999989</v>
      </c>
      <c r="DC135" s="16">
        <f>IF(ISNA(VLOOKUP(A135,'Données projet'!$A$139:$I$159,5,0)),0%,VLOOKUP(A135,'Données projet'!$A$139:$I$159,5,0)*VLOOKUP('Données projet'!$B$13,Paramètres!$A$1:$I$89,7,0))</f>
        <v>0.15049999999999999</v>
      </c>
      <c r="DD135" s="16">
        <f>IF(ISNA(VLOOKUP(A135,'Données projet'!$A$139:$I$159,6,0)),0%,VLOOKUP(A135,'Données projet'!$A$139:$I$159,6,0)*VLOOKUP('Données projet'!$B$13,Paramètres!$A$1:$I$89,7,0))</f>
        <v>8.6000000000000007E-2</v>
      </c>
      <c r="DE135" s="16">
        <f>IF(ISNA(VLOOKUP(A135,'Données projet'!$A$139:$I$159,7,0)),0%,VLOOKUP(A135,'Données projet'!$A$139:$I$159,7,0))</f>
        <v>0.1</v>
      </c>
      <c r="DF135" s="21">
        <f>EXP(-LN(2)/35)*DF134+(1-EXP(-LN(2)/35))/(LN(2)/35)*DB135*DC135*VLOOKUP('Données projet'!$B$13,Paramètres!$A$1:$I$89,3,0)*0.475*44/12</f>
        <v>27.819812367333899</v>
      </c>
      <c r="DG135" s="21">
        <f>EXP(-LN(2)/25)*DG134+(1-EXP(-LN(2)/25))/(LN(2)/25)*Calculateur!DB135*Calculateur!DD135*VLOOKUP('Données projet'!$B$13,Paramètres!$A$1:$I$89,3,0)*0.475*44/12</f>
        <v>22.930128119066591</v>
      </c>
      <c r="DH135" s="21">
        <f>EXP(-LN(2)/2)*DH134+(1-EXP(-LN(2)/2))/(LN(2)/2)*DB135*DE135*VLOOKUP('Données projet'!$B$13,Paramètres!$A$1:$I$89,3,0)*0.475*44/12</f>
        <v>4.5804376335366808</v>
      </c>
      <c r="DI135" s="22">
        <f t="shared" si="123"/>
        <v>55.330378119937173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>
        <f>VLOOKUP(A135,'Données projet'!$A$165:$I$185,2,0)</f>
        <v>340.57</v>
      </c>
      <c r="DM135" s="12">
        <f>VLOOKUP(A135,'Données projet'!$A$165:$I$185,9,0)</f>
        <v>7.1129999999999995</v>
      </c>
      <c r="DN135" s="12">
        <f t="array" ref="DN135">INDEX(DM:DM,MIN(IF(ISNUMBER(DM135:DM331),ROW(DM135:DM331),"")))</f>
        <v>7.1129999999999995</v>
      </c>
      <c r="DO135" s="12">
        <f>IF('Données projet'!$A$166&gt;35,DO134+DN135-DW134,IF(A135&lt;'Données projet'!$A$166,$DL$205^A135,IF(A135='Données projet'!$A$166,'Données projet'!$B$166,DO134+DN135-DW134)))</f>
        <v>340.57000000000005</v>
      </c>
      <c r="DP135" s="17">
        <f>DO135*VLOOKUP('Données projet'!$B$14,Paramètres!$A$1:$I$89,3,0)*VLOOKUP('Données projet'!$B$14,Paramètres!$A$1:$I$89,5,0)</f>
        <v>366.58954800000004</v>
      </c>
      <c r="DQ135" s="13">
        <f t="shared" si="151"/>
        <v>84.969210342605976</v>
      </c>
      <c r="DR135" s="20">
        <f t="shared" si="124"/>
        <v>786.46483744670547</v>
      </c>
      <c r="DS135" s="59">
        <f t="shared" si="125"/>
        <v>1070.6992227204046</v>
      </c>
      <c r="DT135" s="59">
        <f ca="1">AVERAGE(OFFSET($DS$3,0,0,'Données projet'!$E$14+1,1))-AVERAGE(OFFSET($H$3,0,0,'Données projet'!$E$14+1,1))</f>
        <v>610.05768948788375</v>
      </c>
      <c r="DU135" s="59">
        <f t="shared" si="152"/>
        <v>295.23928902444845</v>
      </c>
      <c r="DV135" s="15">
        <f>IF(ISNA(VLOOKUP(A135,'Données projet'!$A$165:$I$185,3,0)),0,VLOOKUP(A135,'Données projet'!$A$165:$I$185,3,0))</f>
        <v>9</v>
      </c>
      <c r="DW135" s="15">
        <f>IF(ISNA(VLOOKUP(A135,'Données projet'!$A$165:$I$185,4,0)),0,VLOOKUP(A135,'Données projet'!$A$165:$I$185,4,0))</f>
        <v>48.699999999999989</v>
      </c>
      <c r="DX135" s="16">
        <f>IF(ISNA(VLOOKUP(A135,'Données projet'!$A$165:$I$185,5,0)),0%,VLOOKUP(A135,'Données projet'!$A$165:$I$185,5,0)*VLOOKUP('Données projet'!$B$14,Paramètres!$A$1:$I$89,7,0))</f>
        <v>0.15049999999999999</v>
      </c>
      <c r="DY135" s="16">
        <f>IF(ISNA(VLOOKUP(A135,'Données projet'!$A$165:$I$185,6,0)),0%,VLOOKUP(A135,'Données projet'!$A$165:$I$185,6,0)*VLOOKUP('Données projet'!$B$14,Paramètres!$A$1:$I$89,7,0))</f>
        <v>8.6000000000000007E-2</v>
      </c>
      <c r="DZ135" s="16">
        <f>IF(ISNA(VLOOKUP(A135,'Données projet'!$A$165:$I$185,7,0)),0%,VLOOKUP(A135,'Données projet'!$A$165:$I$185,7,0))</f>
        <v>0.1</v>
      </c>
      <c r="EA135" s="21">
        <f>EXP(-LN(2)/35)*EA134+(1-EXP(-LN(2)/35))/(LN(2)/35)*DW135*DX135*VLOOKUP('Données projet'!$B$14,Paramètres!$A$1:$I$89,3,0)*0.475*44/12</f>
        <v>30.960758924936101</v>
      </c>
      <c r="EB135" s="21">
        <f>EXP(-LN(2)/25)*EB134+(1-EXP(-LN(2)/25))/(LN(2)/25)*Calculateur!DW135*Calculateur!DY135*VLOOKUP('Données projet'!$B$14,Paramètres!$A$1:$I$89,3,0)*0.475*44/12</f>
        <v>25.519013551864425</v>
      </c>
      <c r="EC135" s="21">
        <f>EXP(-LN(2)/2)*EC134+(1-EXP(-LN(2)/2))/(LN(2)/2)*DW135*DZ135*VLOOKUP('Données projet'!$B$14,Paramètres!$A$1:$I$89,3,0)*0.475*44/12</f>
        <v>5.0975838179682418</v>
      </c>
      <c r="ED135" s="22">
        <f t="shared" si="126"/>
        <v>61.577356294768769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9.0229999999999961</v>
      </c>
      <c r="N136" s="13">
        <f>IF('Données projet'!$A$36&gt;35,N135+M136-V135,IF(A136&lt;'Données projet'!$A$36,$K$205^A136,IF(A136='Données projet'!$A$36,'Données projet'!$B$36,N135+M136-V135)))</f>
        <v>475.25700000000086</v>
      </c>
      <c r="O136" s="13">
        <f>N136*VLOOKUP('Données projet'!$B$9,Paramètres!$A$1:$I$89,3,0)*VLOOKUP('Données projet'!$B$9,Paramètres!$A$1:$I$89,5,0)</f>
        <v>430.01253360000078</v>
      </c>
      <c r="P136" s="13">
        <f t="shared" si="141"/>
        <v>97.835389274652726</v>
      </c>
      <c r="Q136" s="20">
        <f t="shared" si="108"/>
        <v>919.33513234002146</v>
      </c>
      <c r="R136" s="59">
        <f t="shared" si="109"/>
        <v>1203.7273640203548</v>
      </c>
      <c r="S136" s="59">
        <f ca="1">AVERAGE(OFFSET($R$3,0,0,'Données projet'!$E$9+1,1))-AVERAGE(OFFSET($H$3,0,0,'Données projet'!$E$9+1,1))</f>
        <v>681.47578137804555</v>
      </c>
      <c r="T136" s="59">
        <f t="shared" si="142"/>
        <v>300.88511065995885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32.309142075400985</v>
      </c>
      <c r="AA136" s="21">
        <f>EXP(-LN(2)/25)*AA135+(1-EXP(-LN(2)/25))/(LN(2)/25)*Calculateur!V136*Calculateur!X136*VLOOKUP('Données projet'!$B$9,Paramètres!$A$1:$I$89,3,0)*0.475*44/12</f>
        <v>19.082887783152156</v>
      </c>
      <c r="AB136" s="21">
        <f>EXP(-LN(2)/2)*AB135+(1-EXP(-LN(2)/2))/(LN(2)/2)*V136*Y136*VLOOKUP('Données projet'!$B$9,Paramètres!$A$1:$I$89,3,0)*0.475*44/12</f>
        <v>0.22565458257930279</v>
      </c>
      <c r="AC136" s="22">
        <f t="shared" si="111"/>
        <v>51.617684441132447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-8.8675733422860506E-14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217.53602321474159</v>
      </c>
      <c r="AO136" s="59">
        <f t="shared" si="144"/>
        <v>215.75909414893025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7.760231319810722</v>
      </c>
      <c r="AV136" s="21">
        <f>EXP(-LN(2)/25)*AV135+(1-EXP(-LN(2)/25))/(LN(2)/25)*Calculateur!AQ136*Calculateur!AS136*VLOOKUP('Données projet'!$B$10,Paramètres!$A$1:$I$89,3,0)*0.475*44/12</f>
        <v>4.6019303682722175</v>
      </c>
      <c r="AW136" s="21">
        <f>EXP(-LN(2)/2)*AW135+(1-EXP(-LN(2)/2))/(LN(2)/2)*AQ136*AT136*VLOOKUP('Données projet'!$B$10,Paramètres!$A$1:$I$89,3,0)*0.475*44/12</f>
        <v>9.067861299604114E-9</v>
      </c>
      <c r="AX136" s="21">
        <f t="shared" si="114"/>
        <v>12.3621616971508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-1.7053025658242404E-13</v>
      </c>
      <c r="BE136" s="13">
        <f>BD136*VLOOKUP('Données projet'!$B$11,Paramètres!$A$1:$I$89,3,0)*VLOOKUP('Données projet'!$B$11,Paramètres!$A$1:$I$89,5,0)</f>
        <v>-1.1439169611549005E-13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281.67293577289729</v>
      </c>
      <c r="BJ136" s="59">
        <f t="shared" si="146"/>
        <v>272.44904846480154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11.990234704244548</v>
      </c>
      <c r="BQ136" s="21">
        <f>EXP(-LN(2)/25)*BQ135+(1-EXP(-LN(2)/25))/(LN(2)/25)*Calculateur!BL136*Calculateur!BN136*VLOOKUP('Données projet'!$B$11,Paramètres!$A$1:$I$89,3,0)*0.475*44/12</f>
        <v>8.2165953052587088</v>
      </c>
      <c r="BR136" s="21">
        <f>EXP(-LN(2)/2)*BR135+(1-EXP(-LN(2)/2))/(LN(2)/2)*BL136*BO136*VLOOKUP('Données projet'!$B$11,Paramètres!$A$1:$I$89,3,0)*0.475*44/12</f>
        <v>4.6178427654912749E-7</v>
      </c>
      <c r="BS136" s="22">
        <f t="shared" si="117"/>
        <v>20.206830471287532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-1.7053025658242404E-13</v>
      </c>
      <c r="BZ136" s="13">
        <f>BY136*VLOOKUP('Données projet'!$B$12,Paramètres!$A$1:$I$89,3,0)*VLOOKUP('Données projet'!$B$12,Paramètres!$A$1:$I$89,5,0)</f>
        <v>-1.4897523215040567E-13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348.77506423101278</v>
      </c>
      <c r="CE136" s="59">
        <f t="shared" si="148"/>
        <v>336.13747591329548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15.61518938227197</v>
      </c>
      <c r="CL136" s="21">
        <f>EXP(-LN(2)/25)*CL135+(1-EXP(-LN(2)/25))/(LN(2)/25)*Calculateur!CG136*Calculateur!CI136*VLOOKUP('Données projet'!$B$12,Paramètres!$A$1:$I$89,3,0)*0.475*44/12</f>
        <v>10.700682258011337</v>
      </c>
      <c r="CM136" s="21">
        <f>EXP(-LN(2)/2)*CM135+(1-EXP(-LN(2)/2))/(LN(2)/2)*CG136*CJ136*VLOOKUP('Données projet'!$B$12,Paramètres!$A$1:$I$89,3,0)*0.475*44/12</f>
        <v>6.0139347643607387E-7</v>
      </c>
      <c r="CN136" s="22">
        <f t="shared" si="120"/>
        <v>26.315872241676782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7.3375000000000012</v>
      </c>
      <c r="CT136" s="12">
        <f>IF('Données projet'!$A$140&gt;35,CT135+CS136-DB135,IF(A136&lt;'Données projet'!$A$140,$CQ$205^A136,IF(A136='Données projet'!$A$140,'Données projet'!$B$140,CT135+CS136-DB135)))</f>
        <v>299.20750000000004</v>
      </c>
      <c r="CU136" s="17">
        <f>CT136*VLOOKUP('Données projet'!$B$13,Paramètres!$A$1:$I$89,3,0)*VLOOKUP('Données projet'!$B$13,Paramètres!$A$1:$I$89,5,0)</f>
        <v>289.39349400000003</v>
      </c>
      <c r="CV136" s="13">
        <f t="shared" si="149"/>
        <v>68.948295794590706</v>
      </c>
      <c r="CW136" s="20">
        <f t="shared" si="121"/>
        <v>624.1119505589121</v>
      </c>
      <c r="CX136" s="59">
        <f t="shared" si="122"/>
        <v>908.50418223924544</v>
      </c>
      <c r="CY136" s="59">
        <f ca="1">AVERAGE(OFFSET($CX$3,0,0,'Données projet'!$E$13+1,1))-AVERAGE(OFFSET($H$3,0,0,'Données projet'!$E$13+1,1))</f>
        <v>557.48193674339791</v>
      </c>
      <c r="CZ136" s="59">
        <f t="shared" si="150"/>
        <v>271.51396593253048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27.274282815220534</v>
      </c>
      <c r="DG136" s="21">
        <f>EXP(-LN(2)/25)*DG135+(1-EXP(-LN(2)/25))/(LN(2)/25)*Calculateur!DB136*Calculateur!DD136*VLOOKUP('Données projet'!$B$13,Paramètres!$A$1:$I$89,3,0)*0.475*44/12</f>
        <v>22.303102559807684</v>
      </c>
      <c r="DH136" s="21">
        <f>EXP(-LN(2)/2)*DH135+(1-EXP(-LN(2)/2))/(LN(2)/2)*DB136*DE136*VLOOKUP('Données projet'!$B$13,Paramètres!$A$1:$I$89,3,0)*0.475*44/12</f>
        <v>3.2388585114758497</v>
      </c>
      <c r="DI136" s="22">
        <f t="shared" si="123"/>
        <v>52.816243886504061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7.3375000000000012</v>
      </c>
      <c r="DO136" s="12">
        <f>IF('Données projet'!$A$166&gt;35,DO135+DN136-DW135,IF(A136&lt;'Données projet'!$A$166,$DL$205^A136,IF(A136='Données projet'!$A$166,'Données projet'!$B$166,DO135+DN136-DW135)))</f>
        <v>299.20750000000004</v>
      </c>
      <c r="DP136" s="17">
        <f>DO136*VLOOKUP('Données projet'!$B$14,Paramètres!$A$1:$I$89,3,0)*VLOOKUP('Données projet'!$B$14,Paramètres!$A$1:$I$89,5,0)</f>
        <v>322.06695300000001</v>
      </c>
      <c r="DQ136" s="13">
        <f t="shared" si="151"/>
        <v>75.78326214459365</v>
      </c>
      <c r="DR136" s="20">
        <f t="shared" si="124"/>
        <v>692.92245804350057</v>
      </c>
      <c r="DS136" s="59">
        <f t="shared" si="125"/>
        <v>977.31468972383391</v>
      </c>
      <c r="DT136" s="59">
        <f ca="1">AVERAGE(OFFSET($DS$3,0,0,'Données projet'!$E$14+1,1))-AVERAGE(OFFSET($H$3,0,0,'Données projet'!$E$14+1,1))</f>
        <v>610.05768948788375</v>
      </c>
      <c r="DU136" s="59">
        <f t="shared" si="152"/>
        <v>295.23928902444845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30.35363732661639</v>
      </c>
      <c r="EB136" s="21">
        <f>EXP(-LN(2)/25)*EB135+(1-EXP(-LN(2)/25))/(LN(2)/25)*Calculateur!DW136*Calculateur!DY136*VLOOKUP('Données projet'!$B$14,Paramètres!$A$1:$I$89,3,0)*0.475*44/12</f>
        <v>24.821194784302094</v>
      </c>
      <c r="EC136" s="21">
        <f>EXP(-LN(2)/2)*EC135+(1-EXP(-LN(2)/2))/(LN(2)/2)*DW136*DZ136*VLOOKUP('Données projet'!$B$14,Paramètres!$A$1:$I$89,3,0)*0.475*44/12</f>
        <v>3.6045360853521551</v>
      </c>
      <c r="ED136" s="22">
        <f t="shared" si="126"/>
        <v>58.779368196270639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484.28</v>
      </c>
      <c r="L137" s="12">
        <f>VLOOKUP(A137,'Données projet'!$A$35:$I$55,9,0)</f>
        <v>9.0229999999999961</v>
      </c>
      <c r="M137" s="12">
        <f t="array" ref="M137">INDEX(L:L,MIN(IF(ISNUMBER(L137:L333),ROW(L137:L333),"")))</f>
        <v>9.0229999999999961</v>
      </c>
      <c r="N137" s="13">
        <f>IF('Données projet'!$A$36&gt;35,N136+M137-V136,IF(A137&lt;'Données projet'!$A$36,$K$205^A137,IF(A137='Données projet'!$A$36,'Données projet'!$B$36,N136+M137-V136)))</f>
        <v>484.28000000000088</v>
      </c>
      <c r="O137" s="13">
        <f>N137*VLOOKUP('Données projet'!$B$9,Paramètres!$A$1:$I$89,3,0)*VLOOKUP('Données projet'!$B$9,Paramètres!$A$1:$I$89,5,0)</f>
        <v>438.17654400000077</v>
      </c>
      <c r="P137" s="13">
        <f t="shared" si="141"/>
        <v>99.474836110972063</v>
      </c>
      <c r="Q137" s="20">
        <f t="shared" si="108"/>
        <v>936.40948702661092</v>
      </c>
      <c r="R137" s="59">
        <f t="shared" si="109"/>
        <v>1220.9568268313151</v>
      </c>
      <c r="S137" s="59">
        <f ca="1">AVERAGE(OFFSET($R$3,0,0,'Données projet'!$E$9+1,1))-AVERAGE(OFFSET($H$3,0,0,'Données projet'!$E$9+1,1))</f>
        <v>681.47578137804555</v>
      </c>
      <c r="T137" s="59">
        <f t="shared" si="142"/>
        <v>300.88511065995885</v>
      </c>
      <c r="U137" s="15">
        <f>IF(ISNA(VLOOKUP(A137,'Données projet'!$A$35:$I$55,3,0)),0,VLOOKUP(A137,'Données projet'!$A$35:$I$55,3,0))</f>
        <v>11</v>
      </c>
      <c r="V137" s="15">
        <f>IF(ISNA(VLOOKUP(A137,'Données projet'!$A$35:$I$55,4,0)),0,VLOOKUP(A137,'Données projet'!$A$35:$I$55,4,0))</f>
        <v>60.779999999999973</v>
      </c>
      <c r="W137" s="16">
        <f>IF(ISNA(VLOOKUP(A137,'Données projet'!$A$35:$I$55,5,0)),0%,VLOOKUP(A137,'Données projet'!$A$35:$I$55,5,0)*VLOOKUP('Données projet'!$B$9,Paramètres!$A$1:$I$89,7,0))</f>
        <v>0.215</v>
      </c>
      <c r="X137" s="16">
        <f>IF(ISNA(VLOOKUP(A137,'Données projet'!$A$35:$I$55,6,0)),0%,VLOOKUP(A137,'Données projet'!$A$35:$I$55,6,0)*VLOOKUP('Données projet'!$B$9,Paramètres!$A$1:$I$89,7,0))</f>
        <v>8.6000000000000007E-2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44.746279842031008</v>
      </c>
      <c r="AA137" s="21">
        <f>EXP(-LN(2)/25)*AA136+(1-EXP(-LN(2)/25))/(LN(2)/25)*Calculateur!V137*Calculateur!X137*VLOOKUP('Données projet'!$B$9,Paramètres!$A$1:$I$89,3,0)*0.475*44/12</f>
        <v>23.768759616615345</v>
      </c>
      <c r="AB137" s="21">
        <f>EXP(-LN(2)/2)*AB136+(1-EXP(-LN(2)/2))/(LN(2)/2)*V137*Y137*VLOOKUP('Données projet'!$B$9,Paramètres!$A$1:$I$89,3,0)*0.475*44/12</f>
        <v>0.15956188554764478</v>
      </c>
      <c r="AC137" s="22">
        <f t="shared" si="111"/>
        <v>68.674601344194002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-8.8675733422860506E-14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217.53602321474159</v>
      </c>
      <c r="AO137" s="59">
        <f t="shared" si="144"/>
        <v>215.75909414893025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7.6080579169029665</v>
      </c>
      <c r="AV137" s="21">
        <f>EXP(-LN(2)/25)*AV136+(1-EXP(-LN(2)/25))/(LN(2)/25)*Calculateur!AQ137*Calculateur!AS137*VLOOKUP('Données projet'!$B$10,Paramètres!$A$1:$I$89,3,0)*0.475*44/12</f>
        <v>4.4760903403468131</v>
      </c>
      <c r="AW137" s="21">
        <f>EXP(-LN(2)/2)*AW136+(1-EXP(-LN(2)/2))/(LN(2)/2)*AQ137*AT137*VLOOKUP('Données projet'!$B$10,Paramètres!$A$1:$I$89,3,0)*0.475*44/12</f>
        <v>6.4119462158091288E-9</v>
      </c>
      <c r="AX137" s="21">
        <f t="shared" si="114"/>
        <v>12.084148263661726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-1.7053025658242404E-13</v>
      </c>
      <c r="BE137" s="13">
        <f>BD137*VLOOKUP('Données projet'!$B$11,Paramètres!$A$1:$I$89,3,0)*VLOOKUP('Données projet'!$B$11,Paramètres!$A$1:$I$89,5,0)</f>
        <v>-1.1439169611549005E-13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281.67293577289729</v>
      </c>
      <c r="BJ137" s="59">
        <f t="shared" si="146"/>
        <v>272.44904846480154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11.755113515015351</v>
      </c>
      <c r="BQ137" s="21">
        <f>EXP(-LN(2)/25)*BQ136+(1-EXP(-LN(2)/25))/(LN(2)/25)*Calculateur!BL137*Calculateur!BN137*VLOOKUP('Données projet'!$B$11,Paramètres!$A$1:$I$89,3,0)*0.475*44/12</f>
        <v>7.9919120745444419</v>
      </c>
      <c r="BR137" s="21">
        <f>EXP(-LN(2)/2)*BR136+(1-EXP(-LN(2)/2))/(LN(2)/2)*BL137*BO137*VLOOKUP('Données projet'!$B$11,Paramètres!$A$1:$I$89,3,0)*0.475*44/12</f>
        <v>3.2653079339321203E-7</v>
      </c>
      <c r="BS137" s="22">
        <f t="shared" si="117"/>
        <v>19.747025916090585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-1.7053025658242404E-13</v>
      </c>
      <c r="BZ137" s="13">
        <f>BY137*VLOOKUP('Données projet'!$B$12,Paramètres!$A$1:$I$89,3,0)*VLOOKUP('Données projet'!$B$12,Paramètres!$A$1:$I$89,5,0)</f>
        <v>-1.4897523215040567E-13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348.77506423101278</v>
      </c>
      <c r="CE137" s="59">
        <f t="shared" si="148"/>
        <v>336.13747591329548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15.30898504281069</v>
      </c>
      <c r="CL137" s="21">
        <f>EXP(-LN(2)/25)*CL136+(1-EXP(-LN(2)/25))/(LN(2)/25)*Calculateur!CG137*Calculateur!CI137*VLOOKUP('Données projet'!$B$12,Paramètres!$A$1:$I$89,3,0)*0.475*44/12</f>
        <v>10.408071538941593</v>
      </c>
      <c r="CM137" s="21">
        <f>EXP(-LN(2)/2)*CM136+(1-EXP(-LN(2)/2))/(LN(2)/2)*CG137*CJ137*VLOOKUP('Données projet'!$B$12,Paramètres!$A$1:$I$89,3,0)*0.475*44/12</f>
        <v>4.2524940534930001E-7</v>
      </c>
      <c r="CN137" s="22">
        <f t="shared" si="120"/>
        <v>25.717057007001685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7.3375000000000012</v>
      </c>
      <c r="CT137" s="12">
        <f>IF('Données projet'!$A$140&gt;35,CT136+CS137-DB136,IF(A137&lt;'Données projet'!$A$140,$CQ$205^A137,IF(A137='Données projet'!$A$140,'Données projet'!$B$140,CT136+CS137-DB136)))</f>
        <v>306.54500000000002</v>
      </c>
      <c r="CU137" s="17">
        <f>CT137*VLOOKUP('Données projet'!$B$13,Paramètres!$A$1:$I$89,3,0)*VLOOKUP('Données projet'!$B$13,Paramètres!$A$1:$I$89,5,0)</f>
        <v>296.49032400000004</v>
      </c>
      <c r="CV137" s="13">
        <f t="shared" si="149"/>
        <v>70.44019741922979</v>
      </c>
      <c r="CW137" s="20">
        <f t="shared" si="121"/>
        <v>639.07065813849192</v>
      </c>
      <c r="CX137" s="59">
        <f t="shared" si="122"/>
        <v>923.6179979431962</v>
      </c>
      <c r="CY137" s="59">
        <f ca="1">AVERAGE(OFFSET($CX$3,0,0,'Données projet'!$E$13+1,1))-AVERAGE(OFFSET($H$3,0,0,'Données projet'!$E$13+1,1))</f>
        <v>557.48193674339791</v>
      </c>
      <c r="CZ137" s="59">
        <f t="shared" si="150"/>
        <v>271.51396593253048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26.739450764883941</v>
      </c>
      <c r="DG137" s="21">
        <f>EXP(-LN(2)/25)*DG136+(1-EXP(-LN(2)/25))/(LN(2)/25)*Calculateur!DB137*Calculateur!DD137*VLOOKUP('Données projet'!$B$13,Paramètres!$A$1:$I$89,3,0)*0.475*44/12</f>
        <v>21.693223047440554</v>
      </c>
      <c r="DH137" s="21">
        <f>EXP(-LN(2)/2)*DH136+(1-EXP(-LN(2)/2))/(LN(2)/2)*DB137*DE137*VLOOKUP('Données projet'!$B$13,Paramètres!$A$1:$I$89,3,0)*0.475*44/12</f>
        <v>2.2902188167683408</v>
      </c>
      <c r="DI137" s="22">
        <f t="shared" si="123"/>
        <v>50.722892629092833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7.3375000000000012</v>
      </c>
      <c r="DO137" s="12">
        <f>IF('Données projet'!$A$166&gt;35,DO136+DN137-DW136,IF(A137&lt;'Données projet'!$A$166,$DL$205^A137,IF(A137='Données projet'!$A$166,'Données projet'!$B$166,DO136+DN137-DW136)))</f>
        <v>306.54500000000002</v>
      </c>
      <c r="DP137" s="17">
        <f>DO137*VLOOKUP('Données projet'!$B$14,Paramètres!$A$1:$I$89,3,0)*VLOOKUP('Données projet'!$B$14,Paramètres!$A$1:$I$89,5,0)</f>
        <v>329.96503800000005</v>
      </c>
      <c r="DQ137" s="13">
        <f t="shared" si="151"/>
        <v>77.423058612526617</v>
      </c>
      <c r="DR137" s="20">
        <f t="shared" si="124"/>
        <v>709.53426826681732</v>
      </c>
      <c r="DS137" s="59">
        <f t="shared" si="125"/>
        <v>994.0816080715216</v>
      </c>
      <c r="DT137" s="59">
        <f ca="1">AVERAGE(OFFSET($DS$3,0,0,'Données projet'!$E$14+1,1))-AVERAGE(OFFSET($H$3,0,0,'Données projet'!$E$14+1,1))</f>
        <v>610.05768948788375</v>
      </c>
      <c r="DU137" s="59">
        <f t="shared" si="152"/>
        <v>295.23928902444845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29.758421012532118</v>
      </c>
      <c r="EB137" s="21">
        <f>EXP(-LN(2)/25)*EB136+(1-EXP(-LN(2)/25))/(LN(2)/25)*Calculateur!DW137*Calculateur!DY137*VLOOKUP('Données projet'!$B$14,Paramètres!$A$1:$I$89,3,0)*0.475*44/12</f>
        <v>24.14245790763545</v>
      </c>
      <c r="EC137" s="21">
        <f>EXP(-LN(2)/2)*EC136+(1-EXP(-LN(2)/2))/(LN(2)/2)*DW137*DZ137*VLOOKUP('Données projet'!$B$14,Paramètres!$A$1:$I$89,3,0)*0.475*44/12</f>
        <v>2.5487919089841209</v>
      </c>
      <c r="ED137" s="22">
        <f t="shared" si="126"/>
        <v>56.449670829151692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9.1440000000000055</v>
      </c>
      <c r="N138" s="13">
        <f>IF('Données projet'!$A$36&gt;35,N137+M138-V137,IF(A138&lt;'Données projet'!$A$36,$K$205^A138,IF(A138='Données projet'!$A$36,'Données projet'!$B$36,N137+M138-V137)))</f>
        <v>432.64400000000091</v>
      </c>
      <c r="O138" s="13">
        <f>N138*VLOOKUP('Données projet'!$B$9,Paramètres!$A$1:$I$89,3,0)*VLOOKUP('Données projet'!$B$9,Paramètres!$A$1:$I$89,5,0)</f>
        <v>391.45629120000086</v>
      </c>
      <c r="P138" s="13">
        <f t="shared" si="141"/>
        <v>90.042388870129827</v>
      </c>
      <c r="Q138" s="20">
        <f t="shared" si="108"/>
        <v>838.6102011221443</v>
      </c>
      <c r="R138" s="59">
        <f t="shared" si="109"/>
        <v>1123.3099582720315</v>
      </c>
      <c r="S138" s="59">
        <f ca="1">AVERAGE(OFFSET($R$3,0,0,'Données projet'!$E$9+1,1))-AVERAGE(OFFSET($H$3,0,0,'Données projet'!$E$9+1,1))</f>
        <v>681.47578137804555</v>
      </c>
      <c r="T138" s="59">
        <f t="shared" si="142"/>
        <v>300.88511065995885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43.868832586864571</v>
      </c>
      <c r="AA138" s="21">
        <f>EXP(-LN(2)/25)*AA137+(1-EXP(-LN(2)/25))/(LN(2)/25)*Calculateur!V138*Calculateur!X138*VLOOKUP('Données projet'!$B$9,Paramètres!$A$1:$I$89,3,0)*0.475*44/12</f>
        <v>23.118801634954256</v>
      </c>
      <c r="AB138" s="21">
        <f>EXP(-LN(2)/2)*AB137+(1-EXP(-LN(2)/2))/(LN(2)/2)*V138*Y138*VLOOKUP('Données projet'!$B$9,Paramètres!$A$1:$I$89,3,0)*0.475*44/12</f>
        <v>0.1128272912896514</v>
      </c>
      <c r="AC138" s="22">
        <f t="shared" si="111"/>
        <v>67.100461513108471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-8.8675733422860506E-14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217.53602321474159</v>
      </c>
      <c r="AO138" s="59">
        <f t="shared" si="144"/>
        <v>215.75909414893025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7.4588685416096219</v>
      </c>
      <c r="AV138" s="21">
        <f>EXP(-LN(2)/25)*AV137+(1-EXP(-LN(2)/25))/(LN(2)/25)*Calculateur!AQ138*Calculateur!AS138*VLOOKUP('Données projet'!$B$10,Paramètres!$A$1:$I$89,3,0)*0.475*44/12</f>
        <v>4.3536914146026691</v>
      </c>
      <c r="AW138" s="21">
        <f>EXP(-LN(2)/2)*AW137+(1-EXP(-LN(2)/2))/(LN(2)/2)*AQ138*AT138*VLOOKUP('Données projet'!$B$10,Paramètres!$A$1:$I$89,3,0)*0.475*44/12</f>
        <v>4.533930649802057E-9</v>
      </c>
      <c r="AX138" s="21">
        <f t="shared" si="114"/>
        <v>11.812559960746221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-1.7053025658242404E-13</v>
      </c>
      <c r="BE138" s="13">
        <f>BD138*VLOOKUP('Données projet'!$B$11,Paramètres!$A$1:$I$89,3,0)*VLOOKUP('Données projet'!$B$11,Paramètres!$A$1:$I$89,5,0)</f>
        <v>-1.1439169611549005E-13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281.67293577289729</v>
      </c>
      <c r="BJ138" s="59">
        <f t="shared" si="146"/>
        <v>272.44904846480154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11.524602908897174</v>
      </c>
      <c r="BQ138" s="21">
        <f>EXP(-LN(2)/25)*BQ137+(1-EXP(-LN(2)/25))/(LN(2)/25)*Calculateur!BL138*Calculateur!BN138*VLOOKUP('Données projet'!$B$11,Paramètres!$A$1:$I$89,3,0)*0.475*44/12</f>
        <v>7.7733728185896336</v>
      </c>
      <c r="BR138" s="21">
        <f>EXP(-LN(2)/2)*BR137+(1-EXP(-LN(2)/2))/(LN(2)/2)*BL138*BO138*VLOOKUP('Données projet'!$B$11,Paramètres!$A$1:$I$89,3,0)*0.475*44/12</f>
        <v>2.3089213827456374E-7</v>
      </c>
      <c r="BS138" s="22">
        <f t="shared" si="117"/>
        <v>19.297975958378945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-1.7053025658242404E-13</v>
      </c>
      <c r="BZ138" s="13">
        <f>BY138*VLOOKUP('Données projet'!$B$12,Paramètres!$A$1:$I$89,3,0)*VLOOKUP('Données projet'!$B$12,Paramètres!$A$1:$I$89,5,0)</f>
        <v>-1.4897523215040567E-13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348.77506423101278</v>
      </c>
      <c r="CE138" s="59">
        <f t="shared" si="148"/>
        <v>336.13747591329548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15.008785183680041</v>
      </c>
      <c r="CL138" s="21">
        <f>EXP(-LN(2)/25)*CL137+(1-EXP(-LN(2)/25))/(LN(2)/25)*Calculateur!CG138*Calculateur!CI138*VLOOKUP('Données projet'!$B$12,Paramètres!$A$1:$I$89,3,0)*0.475*44/12</f>
        <v>10.123462275372541</v>
      </c>
      <c r="CM138" s="21">
        <f>EXP(-LN(2)/2)*CM137+(1-EXP(-LN(2)/2))/(LN(2)/2)*CG138*CJ138*VLOOKUP('Données projet'!$B$12,Paramètres!$A$1:$I$89,3,0)*0.475*44/12</f>
        <v>3.0069673821803693E-7</v>
      </c>
      <c r="CN138" s="22">
        <f t="shared" si="120"/>
        <v>25.132247759749319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7.3375000000000012</v>
      </c>
      <c r="CT138" s="12">
        <f>IF('Données projet'!$A$140&gt;35,CT137+CS138-DB137,IF(A138&lt;'Données projet'!$A$140,$CQ$205^A138,IF(A138='Données projet'!$A$140,'Données projet'!$B$140,CT137+CS138-DB137)))</f>
        <v>313.88249999999999</v>
      </c>
      <c r="CU138" s="17">
        <f>CT138*VLOOKUP('Données projet'!$B$13,Paramètres!$A$1:$I$89,3,0)*VLOOKUP('Données projet'!$B$13,Paramètres!$A$1:$I$89,5,0)</f>
        <v>303.587154</v>
      </c>
      <c r="CV138" s="13">
        <f t="shared" si="149"/>
        <v>71.927947725812388</v>
      </c>
      <c r="CW138" s="20">
        <f t="shared" si="121"/>
        <v>654.02213550578983</v>
      </c>
      <c r="CX138" s="59">
        <f t="shared" si="122"/>
        <v>938.72189265567704</v>
      </c>
      <c r="CY138" s="59">
        <f ca="1">AVERAGE(OFFSET($CX$3,0,0,'Données projet'!$E$13+1,1))-AVERAGE(OFFSET($H$3,0,0,'Données projet'!$E$13+1,1))</f>
        <v>557.48193674339791</v>
      </c>
      <c r="CZ138" s="59">
        <f t="shared" si="150"/>
        <v>271.51396593253048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26.215106444839108</v>
      </c>
      <c r="DG138" s="21">
        <f>EXP(-LN(2)/25)*DG137+(1-EXP(-LN(2)/25))/(LN(2)/25)*Calculateur!DB138*Calculateur!DD138*VLOOKUP('Données projet'!$B$13,Paramètres!$A$1:$I$89,3,0)*0.475*44/12</f>
        <v>21.100020722411273</v>
      </c>
      <c r="DH138" s="21">
        <f>EXP(-LN(2)/2)*DH137+(1-EXP(-LN(2)/2))/(LN(2)/2)*DB138*DE138*VLOOKUP('Données projet'!$B$13,Paramètres!$A$1:$I$89,3,0)*0.475*44/12</f>
        <v>1.6194292557379251</v>
      </c>
      <c r="DI138" s="22">
        <f t="shared" si="123"/>
        <v>48.934556422988308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7.3375000000000012</v>
      </c>
      <c r="DO138" s="12">
        <f>IF('Données projet'!$A$166&gt;35,DO137+DN138-DW137,IF(A138&lt;'Données projet'!$A$166,$DL$205^A138,IF(A138='Données projet'!$A$166,'Données projet'!$B$166,DO137+DN138-DW137)))</f>
        <v>313.88249999999999</v>
      </c>
      <c r="DP138" s="17">
        <f>DO138*VLOOKUP('Données projet'!$B$14,Paramètres!$A$1:$I$89,3,0)*VLOOKUP('Données projet'!$B$14,Paramètres!$A$1:$I$89,5,0)</f>
        <v>337.86312299999997</v>
      </c>
      <c r="DQ138" s="13">
        <f t="shared" si="151"/>
        <v>79.058292234911519</v>
      </c>
      <c r="DR138" s="20">
        <f t="shared" si="124"/>
        <v>726.13813153413741</v>
      </c>
      <c r="DS138" s="59">
        <f t="shared" si="125"/>
        <v>1010.8378886840246</v>
      </c>
      <c r="DT138" s="59">
        <f ca="1">AVERAGE(OFFSET($DS$3,0,0,'Données projet'!$E$14+1,1))-AVERAGE(OFFSET($H$3,0,0,'Données projet'!$E$14+1,1))</f>
        <v>610.05768948788375</v>
      </c>
      <c r="DU138" s="59">
        <f t="shared" si="152"/>
        <v>295.23928902444845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29.174876527320933</v>
      </c>
      <c r="EB138" s="21">
        <f>EXP(-LN(2)/25)*EB137+(1-EXP(-LN(2)/25))/(LN(2)/25)*Calculateur!DW138*Calculateur!DY138*VLOOKUP('Données projet'!$B$14,Paramètres!$A$1:$I$89,3,0)*0.475*44/12</f>
        <v>23.482281126554476</v>
      </c>
      <c r="EC138" s="21">
        <f>EXP(-LN(2)/2)*EC137+(1-EXP(-LN(2)/2))/(LN(2)/2)*DW138*DZ138*VLOOKUP('Données projet'!$B$14,Paramètres!$A$1:$I$89,3,0)*0.475*44/12</f>
        <v>1.8022680426760775</v>
      </c>
      <c r="ED138" s="22">
        <f t="shared" si="126"/>
        <v>54.459425696551484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9.1440000000000055</v>
      </c>
      <c r="N139" s="13">
        <f>IF('Données projet'!$A$36&gt;35,N138+M139-V138,IF(A139&lt;'Données projet'!$A$36,$K$205^A139,IF(A139='Données projet'!$A$36,'Données projet'!$B$36,N138+M139-V138)))</f>
        <v>441.78800000000092</v>
      </c>
      <c r="O139" s="13">
        <f>N139*VLOOKUP('Données projet'!$B$9,Paramètres!$A$1:$I$89,3,0)*VLOOKUP('Données projet'!$B$9,Paramètres!$A$1:$I$89,5,0)</f>
        <v>399.72978240000077</v>
      </c>
      <c r="P139" s="13">
        <f t="shared" si="141"/>
        <v>91.721880595341759</v>
      </c>
      <c r="Q139" s="20">
        <f t="shared" si="108"/>
        <v>855.94497971688827</v>
      </c>
      <c r="R139" s="59">
        <f t="shared" si="109"/>
        <v>1140.7945101117734</v>
      </c>
      <c r="S139" s="59">
        <f ca="1">AVERAGE(OFFSET($R$3,0,0,'Données projet'!$E$9+1,1))-AVERAGE(OFFSET($H$3,0,0,'Données projet'!$E$9+1,1))</f>
        <v>681.47578137804555</v>
      </c>
      <c r="T139" s="59">
        <f t="shared" si="142"/>
        <v>300.88511065995885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43.008591537181964</v>
      </c>
      <c r="AA139" s="21">
        <f>EXP(-LN(2)/25)*AA138+(1-EXP(-LN(2)/25))/(LN(2)/25)*Calculateur!V139*Calculateur!X139*VLOOKUP('Données projet'!$B$9,Paramètres!$A$1:$I$89,3,0)*0.475*44/12</f>
        <v>22.486616788481491</v>
      </c>
      <c r="AB139" s="21">
        <f>EXP(-LN(2)/2)*AB138+(1-EXP(-LN(2)/2))/(LN(2)/2)*V139*Y139*VLOOKUP('Données projet'!$B$9,Paramètres!$A$1:$I$89,3,0)*0.475*44/12</f>
        <v>7.9780942773822389E-2</v>
      </c>
      <c r="AC139" s="22">
        <f t="shared" si="111"/>
        <v>65.574989268437278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-8.8675733422860506E-14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217.53602321474159</v>
      </c>
      <c r="AO139" s="59">
        <f t="shared" si="144"/>
        <v>215.75909414893025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7.3126046789692456</v>
      </c>
      <c r="AV139" s="21">
        <f>EXP(-LN(2)/25)*AV138+(1-EXP(-LN(2)/25))/(LN(2)/25)*Calculateur!AQ139*Calculateur!AS139*VLOOKUP('Données projet'!$B$10,Paramètres!$A$1:$I$89,3,0)*0.475*44/12</f>
        <v>4.2346394939196781</v>
      </c>
      <c r="AW139" s="21">
        <f>EXP(-LN(2)/2)*AW138+(1-EXP(-LN(2)/2))/(LN(2)/2)*AQ139*AT139*VLOOKUP('Données projet'!$B$10,Paramètres!$A$1:$I$89,3,0)*0.475*44/12</f>
        <v>3.2059731079045644E-9</v>
      </c>
      <c r="AX139" s="21">
        <f t="shared" si="114"/>
        <v>11.547244176094896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-1.7053025658242404E-13</v>
      </c>
      <c r="BE139" s="13">
        <f>BD139*VLOOKUP('Données projet'!$B$11,Paramètres!$A$1:$I$89,3,0)*VLOOKUP('Données projet'!$B$11,Paramètres!$A$1:$I$89,5,0)</f>
        <v>-1.1439169611549005E-13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281.67293577289729</v>
      </c>
      <c r="BJ139" s="59">
        <f t="shared" si="146"/>
        <v>272.44904846480154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11.298612475167388</v>
      </c>
      <c r="BQ139" s="21">
        <f>EXP(-LN(2)/25)*BQ138+(1-EXP(-LN(2)/25))/(LN(2)/25)*Calculateur!BL139*Calculateur!BN139*VLOOKUP('Données projet'!$B$11,Paramètres!$A$1:$I$89,3,0)*0.475*44/12</f>
        <v>7.5608095300813902</v>
      </c>
      <c r="BR139" s="21">
        <f>EXP(-LN(2)/2)*BR138+(1-EXP(-LN(2)/2))/(LN(2)/2)*BL139*BO139*VLOOKUP('Données projet'!$B$11,Paramètres!$A$1:$I$89,3,0)*0.475*44/12</f>
        <v>1.6326539669660602E-7</v>
      </c>
      <c r="BS139" s="22">
        <f t="shared" si="117"/>
        <v>18.859422168514175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-1.7053025658242404E-13</v>
      </c>
      <c r="BZ139" s="13">
        <f>BY139*VLOOKUP('Données projet'!$B$12,Paramètres!$A$1:$I$89,3,0)*VLOOKUP('Données projet'!$B$12,Paramètres!$A$1:$I$89,5,0)</f>
        <v>-1.4897523215040567E-13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348.77506423101278</v>
      </c>
      <c r="CE139" s="59">
        <f t="shared" si="148"/>
        <v>336.13747591329548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14.714472060683111</v>
      </c>
      <c r="CL139" s="21">
        <f>EXP(-LN(2)/25)*CL138+(1-EXP(-LN(2)/25))/(LN(2)/25)*Calculateur!CG139*Calculateur!CI139*VLOOKUP('Données projet'!$B$12,Paramètres!$A$1:$I$89,3,0)*0.475*44/12</f>
        <v>9.8466356670827349</v>
      </c>
      <c r="CM139" s="21">
        <f>EXP(-LN(2)/2)*CM138+(1-EXP(-LN(2)/2))/(LN(2)/2)*CG139*CJ139*VLOOKUP('Données projet'!$B$12,Paramètres!$A$1:$I$89,3,0)*0.475*44/12</f>
        <v>2.1262470267465001E-7</v>
      </c>
      <c r="CN139" s="22">
        <f t="shared" si="120"/>
        <v>24.561107940390546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7.3375000000000012</v>
      </c>
      <c r="CT139" s="12">
        <f>IF('Données projet'!$A$140&gt;35,CT138+CS139-DB138,IF(A139&lt;'Données projet'!$A$140,$CQ$205^A139,IF(A139='Données projet'!$A$140,'Données projet'!$B$140,CT138+CS139-DB138)))</f>
        <v>321.21999999999997</v>
      </c>
      <c r="CU139" s="17">
        <f>CT139*VLOOKUP('Données projet'!$B$13,Paramètres!$A$1:$I$89,3,0)*VLOOKUP('Données projet'!$B$13,Paramètres!$A$1:$I$89,5,0)</f>
        <v>310.68398400000001</v>
      </c>
      <c r="CV139" s="13">
        <f t="shared" si="149"/>
        <v>73.411654926502464</v>
      </c>
      <c r="CW139" s="20">
        <f t="shared" si="121"/>
        <v>668.96657113032506</v>
      </c>
      <c r="CX139" s="59">
        <f t="shared" si="122"/>
        <v>953.81610152521034</v>
      </c>
      <c r="CY139" s="59">
        <f ca="1">AVERAGE(OFFSET($CX$3,0,0,'Données projet'!$E$13+1,1))-AVERAGE(OFFSET($H$3,0,0,'Données projet'!$E$13+1,1))</f>
        <v>557.48193674339791</v>
      </c>
      <c r="CZ139" s="59">
        <f t="shared" si="150"/>
        <v>271.51396593253048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25.7010441970919</v>
      </c>
      <c r="DG139" s="21">
        <f>EXP(-LN(2)/25)*DG138+(1-EXP(-LN(2)/25))/(LN(2)/25)*Calculateur!DB139*Calculateur!DD139*VLOOKUP('Données projet'!$B$13,Paramètres!$A$1:$I$89,3,0)*0.475*44/12</f>
        <v>20.523039546155072</v>
      </c>
      <c r="DH139" s="21">
        <f>EXP(-LN(2)/2)*DH138+(1-EXP(-LN(2)/2))/(LN(2)/2)*DB139*DE139*VLOOKUP('Données projet'!$B$13,Paramètres!$A$1:$I$89,3,0)*0.475*44/12</f>
        <v>1.1451094083841706</v>
      </c>
      <c r="DI139" s="22">
        <f t="shared" si="123"/>
        <v>47.369193151631144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7.3375000000000012</v>
      </c>
      <c r="DO139" s="12">
        <f>IF('Données projet'!$A$166&gt;35,DO138+DN139-DW138,IF(A139&lt;'Données projet'!$A$166,$DL$205^A139,IF(A139='Données projet'!$A$166,'Données projet'!$B$166,DO138+DN139-DW138)))</f>
        <v>321.21999999999997</v>
      </c>
      <c r="DP139" s="17">
        <f>DO139*VLOOKUP('Données projet'!$B$14,Paramètres!$A$1:$I$89,3,0)*VLOOKUP('Données projet'!$B$14,Paramètres!$A$1:$I$89,5,0)</f>
        <v>345.76120799999995</v>
      </c>
      <c r="DQ139" s="13">
        <f t="shared" si="151"/>
        <v>80.689081951175098</v>
      </c>
      <c r="DR139" s="20">
        <f t="shared" si="124"/>
        <v>742.73425499829648</v>
      </c>
      <c r="DS139" s="59">
        <f t="shared" si="125"/>
        <v>1027.5837853931816</v>
      </c>
      <c r="DT139" s="59">
        <f ca="1">AVERAGE(OFFSET($DS$3,0,0,'Données projet'!$E$14+1,1))-AVERAGE(OFFSET($H$3,0,0,'Données projet'!$E$14+1,1))</f>
        <v>610.05768948788375</v>
      </c>
      <c r="DU139" s="59">
        <f t="shared" si="152"/>
        <v>295.23928902444845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28.60277499353775</v>
      </c>
      <c r="EB139" s="21">
        <f>EXP(-LN(2)/25)*EB138+(1-EXP(-LN(2)/25))/(LN(2)/25)*Calculateur!DW139*Calculateur!DY139*VLOOKUP('Données projet'!$B$14,Paramètres!$A$1:$I$89,3,0)*0.475*44/12</f>
        <v>22.84015691426935</v>
      </c>
      <c r="EC139" s="21">
        <f>EXP(-LN(2)/2)*EC138+(1-EXP(-LN(2)/2))/(LN(2)/2)*DW139*DZ139*VLOOKUP('Données projet'!$B$14,Paramètres!$A$1:$I$89,3,0)*0.475*44/12</f>
        <v>1.2743959544920604</v>
      </c>
      <c r="ED139" s="22">
        <f t="shared" si="126"/>
        <v>52.717327862299157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9.1440000000000055</v>
      </c>
      <c r="N140" s="13">
        <f>IF('Données projet'!$A$36&gt;35,N139+M140-V139,IF(A140&lt;'Données projet'!$A$36,$K$205^A140,IF(A140='Données projet'!$A$36,'Données projet'!$B$36,N139+M140-V139)))</f>
        <v>450.93200000000093</v>
      </c>
      <c r="O140" s="13">
        <f>N140*VLOOKUP('Données projet'!$B$9,Paramètres!$A$1:$I$89,3,0)*VLOOKUP('Données projet'!$B$9,Paramètres!$A$1:$I$89,5,0)</f>
        <v>408.00327360000085</v>
      </c>
      <c r="P140" s="13">
        <f t="shared" si="141"/>
        <v>93.397330631669121</v>
      </c>
      <c r="Q140" s="20">
        <f t="shared" si="108"/>
        <v>873.27271903682515</v>
      </c>
      <c r="R140" s="59">
        <f t="shared" si="109"/>
        <v>1158.2694244457505</v>
      </c>
      <c r="S140" s="59">
        <f ca="1">AVERAGE(OFFSET($R$3,0,0,'Données projet'!$E$9+1,1))-AVERAGE(OFFSET($H$3,0,0,'Données projet'!$E$9+1,1))</f>
        <v>681.47578137804555</v>
      </c>
      <c r="T140" s="59">
        <f t="shared" si="142"/>
        <v>300.88511065995885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42.165219289788404</v>
      </c>
      <c r="AA140" s="21">
        <f>EXP(-LN(2)/25)*AA139+(1-EXP(-LN(2)/25))/(LN(2)/25)*Calculateur!V140*Calculateur!X140*VLOOKUP('Données projet'!$B$9,Paramètres!$A$1:$I$89,3,0)*0.475*44/12</f>
        <v>21.871719069880683</v>
      </c>
      <c r="AB140" s="21">
        <f>EXP(-LN(2)/2)*AB139+(1-EXP(-LN(2)/2))/(LN(2)/2)*V140*Y140*VLOOKUP('Données projet'!$B$9,Paramètres!$A$1:$I$89,3,0)*0.475*44/12</f>
        <v>5.6413645644825698E-2</v>
      </c>
      <c r="AC140" s="22">
        <f t="shared" si="111"/>
        <v>64.093352005313903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-8.8675733422860506E-14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217.53602321474159</v>
      </c>
      <c r="AO140" s="59">
        <f t="shared" si="144"/>
        <v>215.75909414893025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7.1692089614630996</v>
      </c>
      <c r="AV140" s="21">
        <f>EXP(-LN(2)/25)*AV139+(1-EXP(-LN(2)/25))/(LN(2)/25)*Calculateur!AQ140*Calculateur!AS140*VLOOKUP('Données projet'!$B$10,Paramètres!$A$1:$I$89,3,0)*0.475*44/12</f>
        <v>4.1188430542684316</v>
      </c>
      <c r="AW140" s="21">
        <f>EXP(-LN(2)/2)*AW139+(1-EXP(-LN(2)/2))/(LN(2)/2)*AQ140*AT140*VLOOKUP('Données projet'!$B$10,Paramètres!$A$1:$I$89,3,0)*0.475*44/12</f>
        <v>2.2669653249010285E-9</v>
      </c>
      <c r="AX140" s="21">
        <f t="shared" si="114"/>
        <v>11.288052017998496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-1.7053025658242404E-13</v>
      </c>
      <c r="BE140" s="13">
        <f>BD140*VLOOKUP('Données projet'!$B$11,Paramètres!$A$1:$I$89,3,0)*VLOOKUP('Données projet'!$B$11,Paramètres!$A$1:$I$89,5,0)</f>
        <v>-1.1439169611549005E-13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281.67293577289729</v>
      </c>
      <c r="BJ140" s="59">
        <f t="shared" si="146"/>
        <v>272.44904846480154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11.07705357600249</v>
      </c>
      <c r="BQ140" s="21">
        <f>EXP(-LN(2)/25)*BQ139+(1-EXP(-LN(2)/25))/(LN(2)/25)*Calculateur!BL140*Calculateur!BN140*VLOOKUP('Données projet'!$B$11,Paramètres!$A$1:$I$89,3,0)*0.475*44/12</f>
        <v>7.3540587958756216</v>
      </c>
      <c r="BR140" s="21">
        <f>EXP(-LN(2)/2)*BR139+(1-EXP(-LN(2)/2))/(LN(2)/2)*BL140*BO140*VLOOKUP('Données projet'!$B$11,Paramètres!$A$1:$I$89,3,0)*0.475*44/12</f>
        <v>1.1544606913728187E-7</v>
      </c>
      <c r="BS140" s="22">
        <f t="shared" si="117"/>
        <v>18.431112487324182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-1.7053025658242404E-13</v>
      </c>
      <c r="BZ140" s="13">
        <f>BY140*VLOOKUP('Données projet'!$B$12,Paramètres!$A$1:$I$89,3,0)*VLOOKUP('Données projet'!$B$12,Paramètres!$A$1:$I$89,5,0)</f>
        <v>-1.4897523215040567E-13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348.77506423101278</v>
      </c>
      <c r="CE140" s="59">
        <f t="shared" si="148"/>
        <v>336.13747591329548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14.425930238514869</v>
      </c>
      <c r="CL140" s="21">
        <f>EXP(-LN(2)/25)*CL139+(1-EXP(-LN(2)/25))/(LN(2)/25)*Calculateur!CG140*Calculateur!CI140*VLOOKUP('Données projet'!$B$12,Paramètres!$A$1:$I$89,3,0)*0.475*44/12</f>
        <v>9.5773788969542917</v>
      </c>
      <c r="CM140" s="21">
        <f>EXP(-LN(2)/2)*CM139+(1-EXP(-LN(2)/2))/(LN(2)/2)*CG140*CJ140*VLOOKUP('Données projet'!$B$12,Paramètres!$A$1:$I$89,3,0)*0.475*44/12</f>
        <v>1.5034836910901847E-7</v>
      </c>
      <c r="CN140" s="22">
        <f t="shared" si="120"/>
        <v>24.003309285817529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7.3375000000000012</v>
      </c>
      <c r="CT140" s="12">
        <f>IF('Données projet'!$A$140&gt;35,CT139+CS140-DB139,IF(A140&lt;'Données projet'!$A$140,$CQ$205^A140,IF(A140='Données projet'!$A$140,'Données projet'!$B$140,CT139+CS140-DB139)))</f>
        <v>328.55749999999995</v>
      </c>
      <c r="CU140" s="17">
        <f>CT140*VLOOKUP('Données projet'!$B$13,Paramètres!$A$1:$I$89,3,0)*VLOOKUP('Données projet'!$B$13,Paramètres!$A$1:$I$89,5,0)</f>
        <v>317.78081399999996</v>
      </c>
      <c r="CV140" s="13">
        <f t="shared" si="149"/>
        <v>74.891422007628094</v>
      </c>
      <c r="CW140" s="20">
        <f t="shared" si="121"/>
        <v>683.90414437995207</v>
      </c>
      <c r="CX140" s="59">
        <f t="shared" si="122"/>
        <v>968.90084978887739</v>
      </c>
      <c r="CY140" s="59">
        <f ca="1">AVERAGE(OFFSET($CX$3,0,0,'Données projet'!$E$13+1,1))-AVERAGE(OFFSET($H$3,0,0,'Données projet'!$E$13+1,1))</f>
        <v>557.48193674339791</v>
      </c>
      <c r="CZ140" s="59">
        <f t="shared" si="150"/>
        <v>271.51396593253048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25.197062396476003</v>
      </c>
      <c r="DG140" s="21">
        <f>EXP(-LN(2)/25)*DG139+(1-EXP(-LN(2)/25))/(LN(2)/25)*Calculateur!DB140*Calculateur!DD140*VLOOKUP('Données projet'!$B$13,Paramètres!$A$1:$I$89,3,0)*0.475*44/12</f>
        <v>19.961835950505719</v>
      </c>
      <c r="DH140" s="21">
        <f>EXP(-LN(2)/2)*DH139+(1-EXP(-LN(2)/2))/(LN(2)/2)*DB140*DE140*VLOOKUP('Données projet'!$B$13,Paramètres!$A$1:$I$89,3,0)*0.475*44/12</f>
        <v>0.80971462786896264</v>
      </c>
      <c r="DI140" s="22">
        <f t="shared" si="123"/>
        <v>45.968612974850686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7.3375000000000012</v>
      </c>
      <c r="DO140" s="12">
        <f>IF('Données projet'!$A$166&gt;35,DO139+DN140-DW139,IF(A140&lt;'Données projet'!$A$166,$DL$205^A140,IF(A140='Données projet'!$A$166,'Données projet'!$B$166,DO139+DN140-DW139)))</f>
        <v>328.55749999999995</v>
      </c>
      <c r="DP140" s="17">
        <f>DO140*VLOOKUP('Données projet'!$B$14,Paramètres!$A$1:$I$89,3,0)*VLOOKUP('Données projet'!$B$14,Paramètres!$A$1:$I$89,5,0)</f>
        <v>353.65929299999993</v>
      </c>
      <c r="DQ140" s="13">
        <f t="shared" si="151"/>
        <v>82.315540956862023</v>
      </c>
      <c r="DR140" s="20">
        <f t="shared" si="124"/>
        <v>759.32283580820115</v>
      </c>
      <c r="DS140" s="59">
        <f t="shared" si="125"/>
        <v>1044.3195412171265</v>
      </c>
      <c r="DT140" s="59">
        <f ca="1">AVERAGE(OFFSET($DS$3,0,0,'Données projet'!$E$14+1,1))-AVERAGE(OFFSET($H$3,0,0,'Données projet'!$E$14+1,1))</f>
        <v>610.05768948788375</v>
      </c>
      <c r="DU140" s="59">
        <f t="shared" si="152"/>
        <v>295.23928902444845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28.041892021884575</v>
      </c>
      <c r="EB140" s="21">
        <f>EXP(-LN(2)/25)*EB139+(1-EXP(-LN(2)/25))/(LN(2)/25)*Calculateur!DW140*Calculateur!DY140*VLOOKUP('Données projet'!$B$14,Paramètres!$A$1:$I$89,3,0)*0.475*44/12</f>
        <v>22.215591622337005</v>
      </c>
      <c r="EC140" s="21">
        <f>EXP(-LN(2)/2)*EC139+(1-EXP(-LN(2)/2))/(LN(2)/2)*DW140*DZ140*VLOOKUP('Données projet'!$B$14,Paramètres!$A$1:$I$89,3,0)*0.475*44/12</f>
        <v>0.90113402133803877</v>
      </c>
      <c r="ED140" s="22">
        <f t="shared" si="126"/>
        <v>51.158617665559618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9.1440000000000055</v>
      </c>
      <c r="N141" s="13">
        <f>IF('Données projet'!$A$36&gt;35,N140+M141-V140,IF(A141&lt;'Données projet'!$A$36,$K$205^A141,IF(A141='Données projet'!$A$36,'Données projet'!$B$36,N140+M141-V140)))</f>
        <v>460.07600000000093</v>
      </c>
      <c r="O141" s="13">
        <f>N141*VLOOKUP('Données projet'!$B$9,Paramètres!$A$1:$I$89,3,0)*VLOOKUP('Données projet'!$B$9,Paramètres!$A$1:$I$89,5,0)</f>
        <v>416.27676480000082</v>
      </c>
      <c r="P141" s="13">
        <f t="shared" si="141"/>
        <v>95.068830381071379</v>
      </c>
      <c r="Q141" s="20">
        <f t="shared" si="108"/>
        <v>890.5935782737007</v>
      </c>
      <c r="R141" s="59">
        <f t="shared" si="109"/>
        <v>1175.7349055392067</v>
      </c>
      <c r="S141" s="59">
        <f ca="1">AVERAGE(OFFSET($R$3,0,0,'Données projet'!$E$9+1,1))-AVERAGE(OFFSET($H$3,0,0,'Données projet'!$E$9+1,1))</f>
        <v>681.47578137804555</v>
      </c>
      <c r="T141" s="59">
        <f t="shared" si="142"/>
        <v>300.88511065995885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41.338385057759957</v>
      </c>
      <c r="AA141" s="21">
        <f>EXP(-LN(2)/25)*AA140+(1-EXP(-LN(2)/25))/(LN(2)/25)*Calculateur!V141*Calculateur!X141*VLOOKUP('Données projet'!$B$9,Paramètres!$A$1:$I$89,3,0)*0.475*44/12</f>
        <v>21.273635761731079</v>
      </c>
      <c r="AB141" s="21">
        <f>EXP(-LN(2)/2)*AB140+(1-EXP(-LN(2)/2))/(LN(2)/2)*V141*Y141*VLOOKUP('Données projet'!$B$9,Paramètres!$A$1:$I$89,3,0)*0.475*44/12</f>
        <v>3.9890471386911194E-2</v>
      </c>
      <c r="AC141" s="22">
        <f t="shared" si="111"/>
        <v>62.651911290877948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-8.8675733422860506E-14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217.53602321474159</v>
      </c>
      <c r="AO141" s="59">
        <f t="shared" si="144"/>
        <v>215.75909414893025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7.0286251465144982</v>
      </c>
      <c r="AV141" s="21">
        <f>EXP(-LN(2)/25)*AV140+(1-EXP(-LN(2)/25))/(LN(2)/25)*Calculateur!AQ141*Calculateur!AS141*VLOOKUP('Données projet'!$B$10,Paramètres!$A$1:$I$89,3,0)*0.475*44/12</f>
        <v>4.0062130743489188</v>
      </c>
      <c r="AW141" s="21">
        <f>EXP(-LN(2)/2)*AW140+(1-EXP(-LN(2)/2))/(LN(2)/2)*AQ141*AT141*VLOOKUP('Données projet'!$B$10,Paramètres!$A$1:$I$89,3,0)*0.475*44/12</f>
        <v>1.6029865539522822E-9</v>
      </c>
      <c r="AX141" s="21">
        <f t="shared" si="114"/>
        <v>11.034838222466403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-1.7053025658242404E-13</v>
      </c>
      <c r="BE141" s="13">
        <f>BD141*VLOOKUP('Données projet'!$B$11,Paramètres!$A$1:$I$89,3,0)*VLOOKUP('Données projet'!$B$11,Paramètres!$A$1:$I$89,5,0)</f>
        <v>-1.1439169611549005E-13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281.67293577289729</v>
      </c>
      <c r="BJ141" s="59">
        <f t="shared" si="146"/>
        <v>272.44904846480154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10.85983931171263</v>
      </c>
      <c r="BQ141" s="21">
        <f>EXP(-LN(2)/25)*BQ140+(1-EXP(-LN(2)/25))/(LN(2)/25)*Calculateur!BL141*Calculateur!BN141*VLOOKUP('Données projet'!$B$11,Paramètres!$A$1:$I$89,3,0)*0.475*44/12</f>
        <v>7.1529616713692583</v>
      </c>
      <c r="BR141" s="21">
        <f>EXP(-LN(2)/2)*BR140+(1-EXP(-LN(2)/2))/(LN(2)/2)*BL141*BO141*VLOOKUP('Données projet'!$B$11,Paramètres!$A$1:$I$89,3,0)*0.475*44/12</f>
        <v>8.1632698348303009E-8</v>
      </c>
      <c r="BS141" s="22">
        <f t="shared" si="117"/>
        <v>18.012801064714587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-1.7053025658242404E-13</v>
      </c>
      <c r="BZ141" s="13">
        <f>BY141*VLOOKUP('Données projet'!$B$12,Paramètres!$A$1:$I$89,3,0)*VLOOKUP('Données projet'!$B$12,Paramètres!$A$1:$I$89,5,0)</f>
        <v>-1.4897523215040567E-13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348.77506423101278</v>
      </c>
      <c r="CE141" s="59">
        <f t="shared" si="148"/>
        <v>336.13747591329548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14.143046545486214</v>
      </c>
      <c r="CL141" s="21">
        <f>EXP(-LN(2)/25)*CL140+(1-EXP(-LN(2)/25))/(LN(2)/25)*Calculateur!CG141*Calculateur!CI141*VLOOKUP('Données projet'!$B$12,Paramètres!$A$1:$I$89,3,0)*0.475*44/12</f>
        <v>9.3154849673646094</v>
      </c>
      <c r="CM141" s="21">
        <f>EXP(-LN(2)/2)*CM140+(1-EXP(-LN(2)/2))/(LN(2)/2)*CG141*CJ141*VLOOKUP('Données projet'!$B$12,Paramètres!$A$1:$I$89,3,0)*0.475*44/12</f>
        <v>1.06312351337325E-7</v>
      </c>
      <c r="CN141" s="22">
        <f t="shared" si="120"/>
        <v>23.458531619163178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7.3375000000000012</v>
      </c>
      <c r="CT141" s="12">
        <f>IF('Données projet'!$A$140&gt;35,CT140+CS141-DB140,IF(A141&lt;'Données projet'!$A$140,$CQ$205^A141,IF(A141='Données projet'!$A$140,'Données projet'!$B$140,CT140+CS141-DB140)))</f>
        <v>335.89499999999992</v>
      </c>
      <c r="CU141" s="17">
        <f>CT141*VLOOKUP('Données projet'!$B$13,Paramètres!$A$1:$I$89,3,0)*VLOOKUP('Données projet'!$B$13,Paramètres!$A$1:$I$89,5,0)</f>
        <v>324.87764399999998</v>
      </c>
      <c r="CV141" s="13">
        <f t="shared" si="149"/>
        <v>76.367347093032635</v>
      </c>
      <c r="CW141" s="20">
        <f t="shared" si="121"/>
        <v>698.83502615369832</v>
      </c>
      <c r="CX141" s="59">
        <f t="shared" si="122"/>
        <v>983.97635341920432</v>
      </c>
      <c r="CY141" s="59">
        <f ca="1">AVERAGE(OFFSET($CX$3,0,0,'Données projet'!$E$13+1,1))-AVERAGE(OFFSET($H$3,0,0,'Données projet'!$E$13+1,1))</f>
        <v>557.48193674339791</v>
      </c>
      <c r="CZ141" s="59">
        <f t="shared" si="150"/>
        <v>271.51396593253048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24.702963371571638</v>
      </c>
      <c r="DG141" s="21">
        <f>EXP(-LN(2)/25)*DG140+(1-EXP(-LN(2)/25))/(LN(2)/25)*Calculateur!DB141*Calculateur!DD141*VLOOKUP('Données projet'!$B$13,Paramètres!$A$1:$I$89,3,0)*0.475*44/12</f>
        <v>19.41597849669181</v>
      </c>
      <c r="DH141" s="21">
        <f>EXP(-LN(2)/2)*DH140+(1-EXP(-LN(2)/2))/(LN(2)/2)*DB141*DE141*VLOOKUP('Données projet'!$B$13,Paramètres!$A$1:$I$89,3,0)*0.475*44/12</f>
        <v>0.57255470419208532</v>
      </c>
      <c r="DI141" s="22">
        <f t="shared" si="123"/>
        <v>44.691496572455534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7.3375000000000012</v>
      </c>
      <c r="DO141" s="12">
        <f>IF('Données projet'!$A$166&gt;35,DO140+DN141-DW140,IF(A141&lt;'Données projet'!$A$166,$DL$205^A141,IF(A141='Données projet'!$A$166,'Données projet'!$B$166,DO140+DN141-DW140)))</f>
        <v>335.89499999999992</v>
      </c>
      <c r="DP141" s="17">
        <f>DO141*VLOOKUP('Données projet'!$B$14,Paramètres!$A$1:$I$89,3,0)*VLOOKUP('Données projet'!$B$14,Paramètres!$A$1:$I$89,5,0)</f>
        <v>361.55737799999991</v>
      </c>
      <c r="DQ141" s="13">
        <f t="shared" si="151"/>
        <v>83.937777103005814</v>
      </c>
      <c r="DR141" s="20">
        <f t="shared" si="124"/>
        <v>775.90406180440175</v>
      </c>
      <c r="DS141" s="59">
        <f t="shared" si="125"/>
        <v>1061.0453890699077</v>
      </c>
      <c r="DT141" s="59">
        <f ca="1">AVERAGE(OFFSET($DS$3,0,0,'Données projet'!$E$14+1,1))-AVERAGE(OFFSET($H$3,0,0,'Données projet'!$E$14+1,1))</f>
        <v>610.05768948788375</v>
      </c>
      <c r="DU141" s="59">
        <f t="shared" si="152"/>
        <v>295.23928902444845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27.492007623200685</v>
      </c>
      <c r="EB141" s="21">
        <f>EXP(-LN(2)/25)*EB140+(1-EXP(-LN(2)/25))/(LN(2)/25)*Calculateur!DW141*Calculateur!DY141*VLOOKUP('Données projet'!$B$14,Paramètres!$A$1:$I$89,3,0)*0.475*44/12</f>
        <v>21.608105101157012</v>
      </c>
      <c r="EC141" s="21">
        <f>EXP(-LN(2)/2)*EC140+(1-EXP(-LN(2)/2))/(LN(2)/2)*DW141*DZ141*VLOOKUP('Données projet'!$B$14,Paramètres!$A$1:$I$89,3,0)*0.475*44/12</f>
        <v>0.63719797724603022</v>
      </c>
      <c r="ED141" s="22">
        <f t="shared" si="126"/>
        <v>49.737310701603732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9.1440000000000055</v>
      </c>
      <c r="N142" s="13">
        <f>IF('Données projet'!$A$36&gt;35,N141+M142-V141,IF(A142&lt;'Données projet'!$A$36,$K$205^A142,IF(A142='Données projet'!$A$36,'Données projet'!$B$36,N141+M142-V141)))</f>
        <v>469.22000000000094</v>
      </c>
      <c r="O142" s="13">
        <f>N142*VLOOKUP('Données projet'!$B$9,Paramètres!$A$1:$I$89,3,0)*VLOOKUP('Données projet'!$B$9,Paramètres!$A$1:$I$89,5,0)</f>
        <v>424.55025600000084</v>
      </c>
      <c r="P142" s="13">
        <f t="shared" si="141"/>
        <v>96.736467404516418</v>
      </c>
      <c r="Q142" s="20">
        <f t="shared" si="108"/>
        <v>907.90770992953412</v>
      </c>
      <c r="R142" s="59">
        <f t="shared" si="109"/>
        <v>1193.1911501857351</v>
      </c>
      <c r="S142" s="59">
        <f ca="1">AVERAGE(OFFSET($R$3,0,0,'Données projet'!$E$9+1,1))-AVERAGE(OFFSET($H$3,0,0,'Données projet'!$E$9+1,1))</f>
        <v>681.47578137804555</v>
      </c>
      <c r="T142" s="59">
        <f t="shared" si="142"/>
        <v>300.88511065995885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40.527764540702499</v>
      </c>
      <c r="AA142" s="21">
        <f>EXP(-LN(2)/25)*AA141+(1-EXP(-LN(2)/25))/(LN(2)/25)*Calculateur!V142*Calculateur!X142*VLOOKUP('Données projet'!$B$9,Paramètres!$A$1:$I$89,3,0)*0.475*44/12</f>
        <v>20.691907073094658</v>
      </c>
      <c r="AB142" s="21">
        <f>EXP(-LN(2)/2)*AB141+(1-EXP(-LN(2)/2))/(LN(2)/2)*V142*Y142*VLOOKUP('Données projet'!$B$9,Paramètres!$A$1:$I$89,3,0)*0.475*44/12</f>
        <v>2.8206822822412849E-2</v>
      </c>
      <c r="AC142" s="22">
        <f t="shared" si="111"/>
        <v>61.247878436619573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-8.8675733422860506E-14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217.53602321474159</v>
      </c>
      <c r="AO142" s="59">
        <f t="shared" si="144"/>
        <v>215.75909414893025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6.8907980944293783</v>
      </c>
      <c r="AV142" s="21">
        <f>EXP(-LN(2)/25)*AV141+(1-EXP(-LN(2)/25))/(LN(2)/25)*Calculateur!AQ142*Calculateur!AS142*VLOOKUP('Données projet'!$B$10,Paramètres!$A$1:$I$89,3,0)*0.475*44/12</f>
        <v>3.8966629671532584</v>
      </c>
      <c r="AW142" s="21">
        <f>EXP(-LN(2)/2)*AW141+(1-EXP(-LN(2)/2))/(LN(2)/2)*AQ142*AT142*VLOOKUP('Données projet'!$B$10,Paramètres!$A$1:$I$89,3,0)*0.475*44/12</f>
        <v>1.1334826624505142E-9</v>
      </c>
      <c r="AX142" s="21">
        <f t="shared" si="114"/>
        <v>10.787461062716119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-1.7053025658242404E-13</v>
      </c>
      <c r="BE142" s="13">
        <f>BD142*VLOOKUP('Données projet'!$B$11,Paramètres!$A$1:$I$89,3,0)*VLOOKUP('Données projet'!$B$11,Paramètres!$A$1:$I$89,5,0)</f>
        <v>-1.1439169611549005E-13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281.67293577289729</v>
      </c>
      <c r="BJ142" s="59">
        <f t="shared" si="146"/>
        <v>272.44904846480154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10.646884486657875</v>
      </c>
      <c r="BQ142" s="21">
        <f>EXP(-LN(2)/25)*BQ141+(1-EXP(-LN(2)/25))/(LN(2)/25)*Calculateur!BL142*Calculateur!BN142*VLOOKUP('Données projet'!$B$11,Paramètres!$A$1:$I$89,3,0)*0.475*44/12</f>
        <v>6.95736355830776</v>
      </c>
      <c r="BR142" s="21">
        <f>EXP(-LN(2)/2)*BR141+(1-EXP(-LN(2)/2))/(LN(2)/2)*BL142*BO142*VLOOKUP('Données projet'!$B$11,Paramètres!$A$1:$I$89,3,0)*0.475*44/12</f>
        <v>5.7723034568640936E-8</v>
      </c>
      <c r="BS142" s="22">
        <f t="shared" si="117"/>
        <v>17.604248102688672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-1.7053025658242404E-13</v>
      </c>
      <c r="BZ142" s="13">
        <f>BY142*VLOOKUP('Données projet'!$B$12,Paramètres!$A$1:$I$89,3,0)*VLOOKUP('Données projet'!$B$12,Paramètres!$A$1:$I$89,5,0)</f>
        <v>-1.4897523215040567E-13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348.77506423101278</v>
      </c>
      <c r="CE142" s="59">
        <f t="shared" si="148"/>
        <v>336.13747591329548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13.865710029135835</v>
      </c>
      <c r="CL142" s="21">
        <f>EXP(-LN(2)/25)*CL141+(1-EXP(-LN(2)/25))/(LN(2)/25)*Calculateur!CG142*Calculateur!CI142*VLOOKUP('Données projet'!$B$12,Paramètres!$A$1:$I$89,3,0)*0.475*44/12</f>
        <v>9.0607525410519614</v>
      </c>
      <c r="CM142" s="21">
        <f>EXP(-LN(2)/2)*CM141+(1-EXP(-LN(2)/2))/(LN(2)/2)*CG142*CJ142*VLOOKUP('Données projet'!$B$12,Paramètres!$A$1:$I$89,3,0)*0.475*44/12</f>
        <v>7.5174184554509233E-8</v>
      </c>
      <c r="CN142" s="22">
        <f t="shared" si="120"/>
        <v>22.92646264536198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7.3375000000000012</v>
      </c>
      <c r="CT142" s="12">
        <f>IF('Données projet'!$A$140&gt;35,CT141+CS142-DB141,IF(A142&lt;'Données projet'!$A$140,$CQ$205^A142,IF(A142='Données projet'!$A$140,'Données projet'!$B$140,CT141+CS142-DB141)))</f>
        <v>343.2324999999999</v>
      </c>
      <c r="CU142" s="17">
        <f>CT142*VLOOKUP('Données projet'!$B$13,Paramètres!$A$1:$I$89,3,0)*VLOOKUP('Données projet'!$B$13,Paramètres!$A$1:$I$89,5,0)</f>
        <v>331.97447399999993</v>
      </c>
      <c r="CV142" s="13">
        <f t="shared" si="149"/>
        <v>77.839523774781142</v>
      </c>
      <c r="CW142" s="20">
        <f t="shared" si="121"/>
        <v>713.75937945774365</v>
      </c>
      <c r="CX142" s="59">
        <f t="shared" si="122"/>
        <v>999.04281971394448</v>
      </c>
      <c r="CY142" s="59">
        <f ca="1">AVERAGE(OFFSET($CX$3,0,0,'Données projet'!$E$13+1,1))-AVERAGE(OFFSET($H$3,0,0,'Données projet'!$E$13+1,1))</f>
        <v>557.48193674339791</v>
      </c>
      <c r="CZ142" s="59">
        <f t="shared" si="150"/>
        <v>271.51396593253048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24.218553327175002</v>
      </c>
      <c r="DG142" s="21">
        <f>EXP(-LN(2)/25)*DG141+(1-EXP(-LN(2)/25))/(LN(2)/25)*Calculateur!DB142*Calculateur!DD142*VLOOKUP('Données projet'!$B$13,Paramètres!$A$1:$I$89,3,0)*0.475*44/12</f>
        <v>18.885047543657841</v>
      </c>
      <c r="DH142" s="21">
        <f>EXP(-LN(2)/2)*DH141+(1-EXP(-LN(2)/2))/(LN(2)/2)*DB142*DE142*VLOOKUP('Données projet'!$B$13,Paramètres!$A$1:$I$89,3,0)*0.475*44/12</f>
        <v>0.40485731393448132</v>
      </c>
      <c r="DI142" s="22">
        <f t="shared" si="123"/>
        <v>43.508458184767321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7.3375000000000012</v>
      </c>
      <c r="DO142" s="12">
        <f>IF('Données projet'!$A$166&gt;35,DO141+DN142-DW141,IF(A142&lt;'Données projet'!$A$166,$DL$205^A142,IF(A142='Données projet'!$A$166,'Données projet'!$B$166,DO141+DN142-DW141)))</f>
        <v>343.2324999999999</v>
      </c>
      <c r="DP142" s="17">
        <f>DO142*VLOOKUP('Données projet'!$B$14,Paramètres!$A$1:$I$89,3,0)*VLOOKUP('Données projet'!$B$14,Paramètres!$A$1:$I$89,5,0)</f>
        <v>369.45546299999984</v>
      </c>
      <c r="DQ142" s="13">
        <f t="shared" si="151"/>
        <v>85.555893259617946</v>
      </c>
      <c r="DR142" s="20">
        <f t="shared" si="124"/>
        <v>792.47811215216768</v>
      </c>
      <c r="DS142" s="59">
        <f t="shared" si="125"/>
        <v>1077.7615524083685</v>
      </c>
      <c r="DT142" s="59">
        <f ca="1">AVERAGE(OFFSET($DS$3,0,0,'Données projet'!$E$14+1,1))-AVERAGE(OFFSET($H$3,0,0,'Données projet'!$E$14+1,1))</f>
        <v>610.05768948788375</v>
      </c>
      <c r="DU142" s="59">
        <f t="shared" si="152"/>
        <v>295.23928902444845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26.952906122178621</v>
      </c>
      <c r="EB142" s="21">
        <f>EXP(-LN(2)/25)*EB141+(1-EXP(-LN(2)/25))/(LN(2)/25)*Calculateur!DW142*Calculateur!DY142*VLOOKUP('Données projet'!$B$14,Paramètres!$A$1:$I$89,3,0)*0.475*44/12</f>
        <v>21.017230330845013</v>
      </c>
      <c r="EC142" s="21">
        <f>EXP(-LN(2)/2)*EC141+(1-EXP(-LN(2)/2))/(LN(2)/2)*DW142*DZ142*VLOOKUP('Données projet'!$B$14,Paramètres!$A$1:$I$89,3,0)*0.475*44/12</f>
        <v>0.45056701066901939</v>
      </c>
      <c r="ED142" s="22">
        <f t="shared" si="126"/>
        <v>48.420703463692654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9.1440000000000055</v>
      </c>
      <c r="N143" s="13">
        <f>IF('Données projet'!$A$36&gt;35,N142+M143-V142,IF(A143&lt;'Données projet'!$A$36,$K$205^A143,IF(A143='Données projet'!$A$36,'Données projet'!$B$36,N142+M143-V142)))</f>
        <v>478.36400000000094</v>
      </c>
      <c r="O143" s="13">
        <f>N143*VLOOKUP('Données projet'!$B$9,Paramètres!$A$1:$I$89,3,0)*VLOOKUP('Données projet'!$B$9,Paramètres!$A$1:$I$89,5,0)</f>
        <v>432.82374720000081</v>
      </c>
      <c r="P143" s="13">
        <f t="shared" si="141"/>
        <v>98.400325655042849</v>
      </c>
      <c r="Q143" s="20">
        <f t="shared" si="108"/>
        <v>925.21526022253431</v>
      </c>
      <c r="R143" s="59">
        <f t="shared" si="109"/>
        <v>1210.6383481267587</v>
      </c>
      <c r="S143" s="59">
        <f ca="1">AVERAGE(OFFSET($R$3,0,0,'Données projet'!$E$9+1,1))-AVERAGE(OFFSET($H$3,0,0,'Données projet'!$E$9+1,1))</f>
        <v>681.47578137804555</v>
      </c>
      <c r="T143" s="59">
        <f t="shared" si="142"/>
        <v>300.88511065995885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39.733039797554845</v>
      </c>
      <c r="AA143" s="21">
        <f>EXP(-LN(2)/25)*AA142+(1-EXP(-LN(2)/25))/(LN(2)/25)*Calculateur!V143*Calculateur!X143*VLOOKUP('Données projet'!$B$9,Paramètres!$A$1:$I$89,3,0)*0.475*44/12</f>
        <v>20.126085786040782</v>
      </c>
      <c r="AB143" s="21">
        <f>EXP(-LN(2)/2)*AB142+(1-EXP(-LN(2)/2))/(LN(2)/2)*V143*Y143*VLOOKUP('Données projet'!$B$9,Paramètres!$A$1:$I$89,3,0)*0.475*44/12</f>
        <v>1.9945235693455597E-2</v>
      </c>
      <c r="AC143" s="22">
        <f t="shared" si="111"/>
        <v>59.879070819289083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-8.8675733422860506E-14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217.53602321474159</v>
      </c>
      <c r="AO143" s="59">
        <f t="shared" si="144"/>
        <v>215.75909414893025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6.755673746769447</v>
      </c>
      <c r="AV143" s="21">
        <f>EXP(-LN(2)/25)*AV142+(1-EXP(-LN(2)/25))/(LN(2)/25)*Calculateur!AQ143*Calculateur!AS143*VLOOKUP('Données projet'!$B$10,Paramètres!$A$1:$I$89,3,0)*0.475*44/12</f>
        <v>3.7901085133998529</v>
      </c>
      <c r="AW143" s="21">
        <f>EXP(-LN(2)/2)*AW142+(1-EXP(-LN(2)/2))/(LN(2)/2)*AQ143*AT143*VLOOKUP('Données projet'!$B$10,Paramètres!$A$1:$I$89,3,0)*0.475*44/12</f>
        <v>8.014932769761411E-10</v>
      </c>
      <c r="AX143" s="21">
        <f t="shared" si="114"/>
        <v>10.545782260970794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-1.7053025658242404E-13</v>
      </c>
      <c r="BE143" s="13">
        <f>BD143*VLOOKUP('Données projet'!$B$11,Paramètres!$A$1:$I$89,3,0)*VLOOKUP('Données projet'!$B$11,Paramètres!$A$1:$I$89,5,0)</f>
        <v>-1.1439169611549005E-13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281.67293577289729</v>
      </c>
      <c r="BJ143" s="59">
        <f t="shared" si="146"/>
        <v>272.44904846480154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10.438105575832825</v>
      </c>
      <c r="BQ143" s="21">
        <f>EXP(-LN(2)/25)*BQ142+(1-EXP(-LN(2)/25))/(LN(2)/25)*Calculateur!BL143*Calculateur!BN143*VLOOKUP('Données projet'!$B$11,Paramètres!$A$1:$I$89,3,0)*0.475*44/12</f>
        <v>6.7671140859339864</v>
      </c>
      <c r="BR143" s="21">
        <f>EXP(-LN(2)/2)*BR142+(1-EXP(-LN(2)/2))/(LN(2)/2)*BL143*BO143*VLOOKUP('Données projet'!$B$11,Paramètres!$A$1:$I$89,3,0)*0.475*44/12</f>
        <v>4.0816349174151504E-8</v>
      </c>
      <c r="BS143" s="22">
        <f t="shared" si="117"/>
        <v>17.205219702583161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-1.7053025658242404E-13</v>
      </c>
      <c r="BZ143" s="13">
        <f>BY143*VLOOKUP('Données projet'!$B$12,Paramètres!$A$1:$I$89,3,0)*VLOOKUP('Données projet'!$B$12,Paramètres!$A$1:$I$89,5,0)</f>
        <v>-1.4897523215040567E-13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348.77506423101278</v>
      </c>
      <c r="CE143" s="59">
        <f t="shared" si="148"/>
        <v>336.13747591329548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13.593811912712516</v>
      </c>
      <c r="CL143" s="21">
        <f>EXP(-LN(2)/25)*CL142+(1-EXP(-LN(2)/25))/(LN(2)/25)*Calculateur!CG143*Calculateur!CI143*VLOOKUP('Données projet'!$B$12,Paramètres!$A$1:$I$89,3,0)*0.475*44/12</f>
        <v>8.8129857863326286</v>
      </c>
      <c r="CM143" s="21">
        <f>EXP(-LN(2)/2)*CM142+(1-EXP(-LN(2)/2))/(LN(2)/2)*CG143*CJ143*VLOOKUP('Données projet'!$B$12,Paramètres!$A$1:$I$89,3,0)*0.475*44/12</f>
        <v>5.3156175668662502E-8</v>
      </c>
      <c r="CN143" s="22">
        <f t="shared" si="120"/>
        <v>22.406797752201317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7.3375000000000012</v>
      </c>
      <c r="CT143" s="12">
        <f>IF('Données projet'!$A$140&gt;35,CT142+CS143-DB142,IF(A143&lt;'Données projet'!$A$140,$CQ$205^A143,IF(A143='Données projet'!$A$140,'Données projet'!$B$140,CT142+CS143-DB142)))</f>
        <v>350.56999999999988</v>
      </c>
      <c r="CU143" s="17">
        <f>CT143*VLOOKUP('Données projet'!$B$13,Paramètres!$A$1:$I$89,3,0)*VLOOKUP('Données projet'!$B$13,Paramètres!$A$1:$I$89,5,0)</f>
        <v>339.07130399999994</v>
      </c>
      <c r="CV143" s="13">
        <f t="shared" si="149"/>
        <v>79.308041414789827</v>
      </c>
      <c r="CW143" s="20">
        <f t="shared" si="121"/>
        <v>728.67735993075883</v>
      </c>
      <c r="CX143" s="59">
        <f t="shared" si="122"/>
        <v>1014.1004478349832</v>
      </c>
      <c r="CY143" s="59">
        <f ca="1">AVERAGE(OFFSET($CX$3,0,0,'Données projet'!$E$13+1,1))-AVERAGE(OFFSET($H$3,0,0,'Données projet'!$E$13+1,1))</f>
        <v>557.48193674339791</v>
      </c>
      <c r="CZ143" s="59">
        <f t="shared" si="150"/>
        <v>271.51396593253048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23.743642268288031</v>
      </c>
      <c r="DG143" s="21">
        <f>EXP(-LN(2)/25)*DG142+(1-EXP(-LN(2)/25))/(LN(2)/25)*Calculateur!DB143*Calculateur!DD143*VLOOKUP('Données projet'!$B$13,Paramètres!$A$1:$I$89,3,0)*0.475*44/12</f>
        <v>18.36863492545503</v>
      </c>
      <c r="DH143" s="21">
        <f>EXP(-LN(2)/2)*DH142+(1-EXP(-LN(2)/2))/(LN(2)/2)*DB143*DE143*VLOOKUP('Données projet'!$B$13,Paramètres!$A$1:$I$89,3,0)*0.475*44/12</f>
        <v>0.28627735209604266</v>
      </c>
      <c r="DI143" s="22">
        <f t="shared" si="123"/>
        <v>42.398554545839104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7.3375000000000012</v>
      </c>
      <c r="DO143" s="12">
        <f>IF('Données projet'!$A$166&gt;35,DO142+DN143-DW142,IF(A143&lt;'Données projet'!$A$166,$DL$205^A143,IF(A143='Données projet'!$A$166,'Données projet'!$B$166,DO142+DN143-DW142)))</f>
        <v>350.56999999999988</v>
      </c>
      <c r="DP143" s="17">
        <f>DO143*VLOOKUP('Données projet'!$B$14,Paramètres!$A$1:$I$89,3,0)*VLOOKUP('Données projet'!$B$14,Paramètres!$A$1:$I$89,5,0)</f>
        <v>377.35354799999988</v>
      </c>
      <c r="DQ143" s="13">
        <f t="shared" si="151"/>
        <v>87.169987647219557</v>
      </c>
      <c r="DR143" s="20">
        <f t="shared" si="124"/>
        <v>809.04515791890708</v>
      </c>
      <c r="DS143" s="59">
        <f t="shared" si="125"/>
        <v>1094.4682458231314</v>
      </c>
      <c r="DT143" s="59">
        <f ca="1">AVERAGE(OFFSET($DS$3,0,0,'Données projet'!$E$14+1,1))-AVERAGE(OFFSET($H$3,0,0,'Données projet'!$E$14+1,1))</f>
        <v>610.05768948788375</v>
      </c>
      <c r="DU143" s="59">
        <f t="shared" si="152"/>
        <v>295.23928902444845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26.424376072772152</v>
      </c>
      <c r="EB143" s="21">
        <f>EXP(-LN(2)/25)*EB142+(1-EXP(-LN(2)/25))/(LN(2)/25)*Calculateur!DW143*Calculateur!DY143*VLOOKUP('Données projet'!$B$14,Paramètres!$A$1:$I$89,3,0)*0.475*44/12</f>
        <v>20.44251306219995</v>
      </c>
      <c r="EC143" s="21">
        <f>EXP(-LN(2)/2)*EC142+(1-EXP(-LN(2)/2))/(LN(2)/2)*DW143*DZ143*VLOOKUP('Données projet'!$B$14,Paramètres!$A$1:$I$89,3,0)*0.475*44/12</f>
        <v>0.31859898862301511</v>
      </c>
      <c r="ED143" s="22">
        <f t="shared" si="126"/>
        <v>47.185488123595114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9.1440000000000055</v>
      </c>
      <c r="N144" s="13">
        <f>IF('Données projet'!$A$36&gt;35,N143+M144-V143,IF(A144&lt;'Données projet'!$A$36,$K$205^A144,IF(A144='Données projet'!$A$36,'Données projet'!$B$36,N143+M144-V143)))</f>
        <v>487.50800000000095</v>
      </c>
      <c r="O144" s="13">
        <f>N144*VLOOKUP('Données projet'!$B$9,Paramètres!$A$1:$I$89,3,0)*VLOOKUP('Données projet'!$B$9,Paramètres!$A$1:$I$89,5,0)</f>
        <v>441.09723840000083</v>
      </c>
      <c r="P144" s="13">
        <f t="shared" si="141"/>
        <v>100.06048569250036</v>
      </c>
      <c r="Q144" s="20">
        <f t="shared" si="108"/>
        <v>942.51636946110614</v>
      </c>
      <c r="R144" s="59">
        <f t="shared" si="109"/>
        <v>1228.0766824388661</v>
      </c>
      <c r="S144" s="59">
        <f ca="1">AVERAGE(OFFSET($R$3,0,0,'Données projet'!$E$9+1,1))-AVERAGE(OFFSET($H$3,0,0,'Données projet'!$E$9+1,1))</f>
        <v>681.47578137804555</v>
      </c>
      <c r="T144" s="59">
        <f t="shared" si="142"/>
        <v>300.88511065995885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38.953899121886089</v>
      </c>
      <c r="AA144" s="21">
        <f>EXP(-LN(2)/25)*AA143+(1-EXP(-LN(2)/25))/(LN(2)/25)*Calculateur!V144*Calculateur!X144*VLOOKUP('Données projet'!$B$9,Paramètres!$A$1:$I$89,3,0)*0.475*44/12</f>
        <v>19.575736911836646</v>
      </c>
      <c r="AB144" s="21">
        <f>EXP(-LN(2)/2)*AB143+(1-EXP(-LN(2)/2))/(LN(2)/2)*V144*Y144*VLOOKUP('Données projet'!$B$9,Paramètres!$A$1:$I$89,3,0)*0.475*44/12</f>
        <v>1.4103411411206425E-2</v>
      </c>
      <c r="AC144" s="22">
        <f t="shared" si="111"/>
        <v>58.543739445133944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-8.8675733422860506E-14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217.53602321474159</v>
      </c>
      <c r="AO144" s="59">
        <f t="shared" si="144"/>
        <v>215.75909414893025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6.6231991051494123</v>
      </c>
      <c r="AV144" s="21">
        <f>EXP(-LN(2)/25)*AV143+(1-EXP(-LN(2)/25))/(LN(2)/25)*Calculateur!AQ144*Calculateur!AS144*VLOOKUP('Données projet'!$B$10,Paramètres!$A$1:$I$89,3,0)*0.475*44/12</f>
        <v>3.6864677967877895</v>
      </c>
      <c r="AW144" s="21">
        <f>EXP(-LN(2)/2)*AW143+(1-EXP(-LN(2)/2))/(LN(2)/2)*AQ144*AT144*VLOOKUP('Données projet'!$B$10,Paramètres!$A$1:$I$89,3,0)*0.475*44/12</f>
        <v>5.6674133122525712E-10</v>
      </c>
      <c r="AX144" s="21">
        <f t="shared" si="114"/>
        <v>10.309666902503944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-1.7053025658242404E-13</v>
      </c>
      <c r="BE144" s="13">
        <f>BD144*VLOOKUP('Données projet'!$B$11,Paramètres!$A$1:$I$89,3,0)*VLOOKUP('Données projet'!$B$11,Paramètres!$A$1:$I$89,5,0)</f>
        <v>-1.1439169611549005E-13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281.67293577289729</v>
      </c>
      <c r="BJ144" s="59">
        <f t="shared" si="146"/>
        <v>272.44904846480154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10.233420692106494</v>
      </c>
      <c r="BQ144" s="21">
        <f>EXP(-LN(2)/25)*BQ143+(1-EXP(-LN(2)/25))/(LN(2)/25)*Calculateur!BL144*Calculateur!BN144*VLOOKUP('Données projet'!$B$11,Paramètres!$A$1:$I$89,3,0)*0.475*44/12</f>
        <v>6.5820669953870583</v>
      </c>
      <c r="BR144" s="21">
        <f>EXP(-LN(2)/2)*BR143+(1-EXP(-LN(2)/2))/(LN(2)/2)*BL144*BO144*VLOOKUP('Données projet'!$B$11,Paramètres!$A$1:$I$89,3,0)*0.475*44/12</f>
        <v>2.8861517284320468E-8</v>
      </c>
      <c r="BS144" s="22">
        <f t="shared" si="117"/>
        <v>16.815487716355069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-1.7053025658242404E-13</v>
      </c>
      <c r="BZ144" s="13">
        <f>BY144*VLOOKUP('Données projet'!$B$12,Paramètres!$A$1:$I$89,3,0)*VLOOKUP('Données projet'!$B$12,Paramètres!$A$1:$I$89,5,0)</f>
        <v>-1.4897523215040567E-13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348.77506423101278</v>
      </c>
      <c r="CE144" s="59">
        <f t="shared" si="148"/>
        <v>336.13747591329548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13.327245552510782</v>
      </c>
      <c r="CL144" s="21">
        <f>EXP(-LN(2)/25)*CL143+(1-EXP(-LN(2)/25))/(LN(2)/25)*Calculateur!CG144*Calculateur!CI144*VLOOKUP('Données projet'!$B$12,Paramètres!$A$1:$I$89,3,0)*0.475*44/12</f>
        <v>8.5719942265505829</v>
      </c>
      <c r="CM144" s="21">
        <f>EXP(-LN(2)/2)*CM143+(1-EXP(-LN(2)/2))/(LN(2)/2)*CG144*CJ144*VLOOKUP('Données projet'!$B$12,Paramètres!$A$1:$I$89,3,0)*0.475*44/12</f>
        <v>3.7587092277254617E-8</v>
      </c>
      <c r="CN144" s="22">
        <f t="shared" si="120"/>
        <v>21.899239816648457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7.3375000000000012</v>
      </c>
      <c r="CT144" s="12">
        <f>IF('Données projet'!$A$140&gt;35,CT143+CS144-DB143,IF(A144&lt;'Données projet'!$A$140,$CQ$205^A144,IF(A144='Données projet'!$A$140,'Données projet'!$B$140,CT143+CS144-DB143)))</f>
        <v>357.90749999999986</v>
      </c>
      <c r="CU144" s="17">
        <f>CT144*VLOOKUP('Données projet'!$B$13,Paramètres!$A$1:$I$89,3,0)*VLOOKUP('Données projet'!$B$13,Paramètres!$A$1:$I$89,5,0)</f>
        <v>346.1681339999999</v>
      </c>
      <c r="CV144" s="13">
        <f t="shared" si="149"/>
        <v>80.772985420490727</v>
      </c>
      <c r="CW144" s="20">
        <f t="shared" si="121"/>
        <v>743.58911632402123</v>
      </c>
      <c r="CX144" s="59">
        <f t="shared" si="122"/>
        <v>1029.1494293017813</v>
      </c>
      <c r="CY144" s="59">
        <f ca="1">AVERAGE(OFFSET($CX$3,0,0,'Données projet'!$E$13+1,1))-AVERAGE(OFFSET($H$3,0,0,'Données projet'!$E$13+1,1))</f>
        <v>557.48193674339791</v>
      </c>
      <c r="CZ144" s="59">
        <f t="shared" si="150"/>
        <v>271.51396593253048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23.278043925598688</v>
      </c>
      <c r="DG144" s="21">
        <f>EXP(-LN(2)/25)*DG143+(1-EXP(-LN(2)/25))/(LN(2)/25)*Calculateur!DB144*Calculateur!DD144*VLOOKUP('Données projet'!$B$13,Paramètres!$A$1:$I$89,3,0)*0.475*44/12</f>
        <v>17.866343637453934</v>
      </c>
      <c r="DH144" s="21">
        <f>EXP(-LN(2)/2)*DH143+(1-EXP(-LN(2)/2))/(LN(2)/2)*DB144*DE144*VLOOKUP('Données projet'!$B$13,Paramètres!$A$1:$I$89,3,0)*0.475*44/12</f>
        <v>0.20242865696724066</v>
      </c>
      <c r="DI144" s="22">
        <f t="shared" si="123"/>
        <v>41.346816220019861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7.3375000000000012</v>
      </c>
      <c r="DO144" s="12">
        <f>IF('Données projet'!$A$166&gt;35,DO143+DN144-DW143,IF(A144&lt;'Données projet'!$A$166,$DL$205^A144,IF(A144='Données projet'!$A$166,'Données projet'!$B$166,DO143+DN144-DW143)))</f>
        <v>357.90749999999986</v>
      </c>
      <c r="DP144" s="17">
        <f>DO144*VLOOKUP('Données projet'!$B$14,Paramètres!$A$1:$I$89,3,0)*VLOOKUP('Données projet'!$B$14,Paramètres!$A$1:$I$89,5,0)</f>
        <v>385.25163299999986</v>
      </c>
      <c r="DQ144" s="13">
        <f t="shared" si="151"/>
        <v>88.780154139831922</v>
      </c>
      <c r="DR144" s="20">
        <f t="shared" si="124"/>
        <v>825.60536260187348</v>
      </c>
      <c r="DS144" s="59">
        <f t="shared" si="125"/>
        <v>1111.1656755796334</v>
      </c>
      <c r="DT144" s="59">
        <f ca="1">AVERAGE(OFFSET($DS$3,0,0,'Données projet'!$E$14+1,1))-AVERAGE(OFFSET($H$3,0,0,'Données projet'!$E$14+1,1))</f>
        <v>610.05768948788375</v>
      </c>
      <c r="DU144" s="59">
        <f t="shared" si="152"/>
        <v>295.23928902444845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25.906210175263045</v>
      </c>
      <c r="EB144" s="21">
        <f>EXP(-LN(2)/25)*EB143+(1-EXP(-LN(2)/25))/(LN(2)/25)*Calculateur!DW144*Calculateur!DY144*VLOOKUP('Données projet'!$B$14,Paramètres!$A$1:$I$89,3,0)*0.475*44/12</f>
        <v>19.883511467489054</v>
      </c>
      <c r="EC144" s="21">
        <f>EXP(-LN(2)/2)*EC143+(1-EXP(-LN(2)/2))/(LN(2)/2)*DW144*DZ144*VLOOKUP('Données projet'!$B$14,Paramètres!$A$1:$I$89,3,0)*0.475*44/12</f>
        <v>0.22528350533450969</v>
      </c>
      <c r="ED144" s="22">
        <f t="shared" si="126"/>
        <v>46.015005148086608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9.1440000000000055</v>
      </c>
      <c r="N145" s="13">
        <f>IF('Données projet'!$A$36&gt;35,N144+M145-V144,IF(A145&lt;'Données projet'!$A$36,$K$205^A145,IF(A145='Données projet'!$A$36,'Données projet'!$B$36,N144+M145-V144)))</f>
        <v>496.65200000000095</v>
      </c>
      <c r="O145" s="13">
        <f>N145*VLOOKUP('Données projet'!$B$9,Paramètres!$A$1:$I$89,3,0)*VLOOKUP('Données projet'!$B$9,Paramètres!$A$1:$I$89,5,0)</f>
        <v>449.37072960000086</v>
      </c>
      <c r="P145" s="13">
        <f t="shared" si="141"/>
        <v>101.71702488172154</v>
      </c>
      <c r="Q145" s="20">
        <f t="shared" si="108"/>
        <v>959.81117238899981</v>
      </c>
      <c r="R145" s="59">
        <f t="shared" si="109"/>
        <v>1245.5063298920588</v>
      </c>
      <c r="S145" s="59">
        <f ca="1">AVERAGE(OFFSET($R$3,0,0,'Données projet'!$E$9+1,1))-AVERAGE(OFFSET($H$3,0,0,'Données projet'!$E$9+1,1))</f>
        <v>681.47578137804555</v>
      </c>
      <c r="T145" s="59">
        <f t="shared" si="142"/>
        <v>300.88511065995885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38.19003691963831</v>
      </c>
      <c r="AA145" s="21">
        <f>EXP(-LN(2)/25)*AA144+(1-EXP(-LN(2)/25))/(LN(2)/25)*Calculateur!V145*Calculateur!X145*VLOOKUP('Données projet'!$B$9,Paramètres!$A$1:$I$89,3,0)*0.475*44/12</f>
        <v>19.040437356539211</v>
      </c>
      <c r="AB145" s="21">
        <f>EXP(-LN(2)/2)*AB144+(1-EXP(-LN(2)/2))/(LN(2)/2)*V145*Y145*VLOOKUP('Données projet'!$B$9,Paramètres!$A$1:$I$89,3,0)*0.475*44/12</f>
        <v>9.9726178467277986E-3</v>
      </c>
      <c r="AC145" s="22">
        <f t="shared" si="111"/>
        <v>57.240446894024245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-8.8675733422860506E-14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217.53602321474159</v>
      </c>
      <c r="AO145" s="59">
        <f t="shared" si="144"/>
        <v>215.75909414893025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6.4933222104499944</v>
      </c>
      <c r="AV145" s="21">
        <f>EXP(-LN(2)/25)*AV144+(1-EXP(-LN(2)/25))/(LN(2)/25)*Calculateur!AQ145*Calculateur!AS145*VLOOKUP('Données projet'!$B$10,Paramètres!$A$1:$I$89,3,0)*0.475*44/12</f>
        <v>3.5856611410217116</v>
      </c>
      <c r="AW145" s="21">
        <f>EXP(-LN(2)/2)*AW144+(1-EXP(-LN(2)/2))/(LN(2)/2)*AQ145*AT145*VLOOKUP('Données projet'!$B$10,Paramètres!$A$1:$I$89,3,0)*0.475*44/12</f>
        <v>4.0074663848807055E-10</v>
      </c>
      <c r="AX145" s="21">
        <f t="shared" si="114"/>
        <v>10.078983351872452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-1.7053025658242404E-13</v>
      </c>
      <c r="BE145" s="13">
        <f>BD145*VLOOKUP('Données projet'!$B$11,Paramètres!$A$1:$I$89,3,0)*VLOOKUP('Données projet'!$B$11,Paramètres!$A$1:$I$89,5,0)</f>
        <v>-1.1439169611549005E-13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281.67293577289729</v>
      </c>
      <c r="BJ145" s="59">
        <f t="shared" si="146"/>
        <v>272.44904846480154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10.032749554104583</v>
      </c>
      <c r="BQ145" s="21">
        <f>EXP(-LN(2)/25)*BQ144+(1-EXP(-LN(2)/25))/(LN(2)/25)*Calculateur!BL145*Calculateur!BN145*VLOOKUP('Données projet'!$B$11,Paramètres!$A$1:$I$89,3,0)*0.475*44/12</f>
        <v>6.4020800272623397</v>
      </c>
      <c r="BR145" s="21">
        <f>EXP(-LN(2)/2)*BR144+(1-EXP(-LN(2)/2))/(LN(2)/2)*BL145*BO145*VLOOKUP('Données projet'!$B$11,Paramètres!$A$1:$I$89,3,0)*0.475*44/12</f>
        <v>2.0408174587075752E-8</v>
      </c>
      <c r="BS145" s="22">
        <f t="shared" si="117"/>
        <v>16.434829601775096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-1.7053025658242404E-13</v>
      </c>
      <c r="BZ145" s="13">
        <f>BY145*VLOOKUP('Données projet'!$B$12,Paramètres!$A$1:$I$89,3,0)*VLOOKUP('Données projet'!$B$12,Paramètres!$A$1:$I$89,5,0)</f>
        <v>-1.4897523215040567E-13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348.77506423101278</v>
      </c>
      <c r="CE145" s="59">
        <f t="shared" si="148"/>
        <v>336.13747591329548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13.065906396043179</v>
      </c>
      <c r="CL145" s="21">
        <f>EXP(-LN(2)/25)*CL144+(1-EXP(-LN(2)/25))/(LN(2)/25)*Calculateur!CG145*Calculateur!CI145*VLOOKUP('Données projet'!$B$12,Paramètres!$A$1:$I$89,3,0)*0.475*44/12</f>
        <v>8.3375925936439721</v>
      </c>
      <c r="CM145" s="21">
        <f>EXP(-LN(2)/2)*CM144+(1-EXP(-LN(2)/2))/(LN(2)/2)*CG145*CJ145*VLOOKUP('Données projet'!$B$12,Paramètres!$A$1:$I$89,3,0)*0.475*44/12</f>
        <v>2.6578087834331251E-8</v>
      </c>
      <c r="CN145" s="22">
        <f t="shared" si="120"/>
        <v>21.40349901626524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7.3375000000000012</v>
      </c>
      <c r="CT145" s="12">
        <f>IF('Données projet'!$A$140&gt;35,CT144+CS145-DB144,IF(A145&lt;'Données projet'!$A$140,$CQ$205^A145,IF(A145='Données projet'!$A$140,'Données projet'!$B$140,CT144+CS145-DB144)))</f>
        <v>365.24499999999983</v>
      </c>
      <c r="CU145" s="17">
        <f>CT145*VLOOKUP('Données projet'!$B$13,Paramètres!$A$1:$I$89,3,0)*VLOOKUP('Données projet'!$B$13,Paramètres!$A$1:$I$89,5,0)</f>
        <v>353.26496399999985</v>
      </c>
      <c r="CV145" s="13">
        <f t="shared" si="149"/>
        <v>82.234437497251108</v>
      </c>
      <c r="CW145" s="20">
        <f t="shared" si="121"/>
        <v>758.49479094104538</v>
      </c>
      <c r="CX145" s="59">
        <f t="shared" si="122"/>
        <v>1044.1899484441044</v>
      </c>
      <c r="CY145" s="59">
        <f ca="1">AVERAGE(OFFSET($CX$3,0,0,'Données projet'!$E$13+1,1))-AVERAGE(OFFSET($H$3,0,0,'Données projet'!$E$13+1,1))</f>
        <v>557.48193674339791</v>
      </c>
      <c r="CZ145" s="59">
        <f t="shared" si="150"/>
        <v>271.51396593253048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22.821575682422537</v>
      </c>
      <c r="DG145" s="21">
        <f>EXP(-LN(2)/25)*DG144+(1-EXP(-LN(2)/25))/(LN(2)/25)*Calculateur!DB145*Calculateur!DD145*VLOOKUP('Données projet'!$B$13,Paramètres!$A$1:$I$89,3,0)*0.475*44/12</f>
        <v>17.377787531137578</v>
      </c>
      <c r="DH145" s="21">
        <f>EXP(-LN(2)/2)*DH144+(1-EXP(-LN(2)/2))/(LN(2)/2)*DB145*DE145*VLOOKUP('Données projet'!$B$13,Paramètres!$A$1:$I$89,3,0)*0.475*44/12</f>
        <v>0.14313867604802133</v>
      </c>
      <c r="DI145" s="22">
        <f t="shared" si="123"/>
        <v>40.342501889608137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7.3375000000000012</v>
      </c>
      <c r="DO145" s="12">
        <f>IF('Données projet'!$A$166&gt;35,DO144+DN145-DW144,IF(A145&lt;'Données projet'!$A$166,$DL$205^A145,IF(A145='Données projet'!$A$166,'Données projet'!$B$166,DO144+DN145-DW144)))</f>
        <v>365.24499999999983</v>
      </c>
      <c r="DP145" s="17">
        <f>DO145*VLOOKUP('Données projet'!$B$14,Paramètres!$A$1:$I$89,3,0)*VLOOKUP('Données projet'!$B$14,Paramètres!$A$1:$I$89,5,0)</f>
        <v>393.14971799999984</v>
      </c>
      <c r="DQ145" s="13">
        <f t="shared" si="151"/>
        <v>90.386482542420055</v>
      </c>
      <c r="DR145" s="20">
        <f t="shared" si="124"/>
        <v>842.15888261138127</v>
      </c>
      <c r="DS145" s="59">
        <f t="shared" si="125"/>
        <v>1127.8540401144403</v>
      </c>
      <c r="DT145" s="59">
        <f ca="1">AVERAGE(OFFSET($DS$3,0,0,'Données projet'!$E$14+1,1))-AVERAGE(OFFSET($H$3,0,0,'Données projet'!$E$14+1,1))</f>
        <v>610.05768948788375</v>
      </c>
      <c r="DU145" s="59">
        <f t="shared" si="152"/>
        <v>295.23928902444845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25.398205194954102</v>
      </c>
      <c r="EB145" s="21">
        <f>EXP(-LN(2)/25)*EB144+(1-EXP(-LN(2)/25))/(LN(2)/25)*Calculateur!DW145*Calculateur!DY145*VLOOKUP('Données projet'!$B$14,Paramètres!$A$1:$I$89,3,0)*0.475*44/12</f>
        <v>19.339795800782142</v>
      </c>
      <c r="EC145" s="21">
        <f>EXP(-LN(2)/2)*EC144+(1-EXP(-LN(2)/2))/(LN(2)/2)*DW145*DZ145*VLOOKUP('Données projet'!$B$14,Paramètres!$A$1:$I$89,3,0)*0.475*44/12</f>
        <v>0.15929949431150756</v>
      </c>
      <c r="ED145" s="22">
        <f t="shared" si="126"/>
        <v>44.897300490047748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9.1440000000000055</v>
      </c>
      <c r="N146" s="13">
        <f>IF('Données projet'!$A$36&gt;35,N145+M146-V145,IF(A146&lt;'Données projet'!$A$36,$K$205^A146,IF(A146='Données projet'!$A$36,'Données projet'!$B$36,N145+M146-V145)))</f>
        <v>505.79600000000096</v>
      </c>
      <c r="O146" s="13">
        <f>N146*VLOOKUP('Données projet'!$B$9,Paramètres!$A$1:$I$89,3,0)*VLOOKUP('Données projet'!$B$9,Paramètres!$A$1:$I$89,5,0)</f>
        <v>457.64422080000088</v>
      </c>
      <c r="P146" s="13">
        <f t="shared" si="141"/>
        <v>103.37001757568726</v>
      </c>
      <c r="Q146" s="20">
        <f t="shared" si="108"/>
        <v>977.0997985043233</v>
      </c>
      <c r="R146" s="59">
        <f t="shared" si="109"/>
        <v>1262.9274612816348</v>
      </c>
      <c r="S146" s="59">
        <f ca="1">AVERAGE(OFFSET($R$3,0,0,'Données projet'!$E$9+1,1))-AVERAGE(OFFSET($H$3,0,0,'Données projet'!$E$9+1,1))</f>
        <v>681.47578137804555</v>
      </c>
      <c r="T146" s="59">
        <f t="shared" si="142"/>
        <v>300.88511065995885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37.441153589266669</v>
      </c>
      <c r="AA146" s="21">
        <f>EXP(-LN(2)/25)*AA145+(1-EXP(-LN(2)/25))/(LN(2)/25)*Calculateur!V146*Calculateur!X146*VLOOKUP('Données projet'!$B$9,Paramètres!$A$1:$I$89,3,0)*0.475*44/12</f>
        <v>18.519775595731563</v>
      </c>
      <c r="AB146" s="21">
        <f>EXP(-LN(2)/2)*AB145+(1-EXP(-LN(2)/2))/(LN(2)/2)*V146*Y146*VLOOKUP('Données projet'!$B$9,Paramètres!$A$1:$I$89,3,0)*0.475*44/12</f>
        <v>7.0517057056032123E-3</v>
      </c>
      <c r="AC146" s="22">
        <f t="shared" si="111"/>
        <v>55.967980890703842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-8.8675733422860506E-14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217.53602321474159</v>
      </c>
      <c r="AO146" s="59">
        <f t="shared" si="144"/>
        <v>215.75909414893025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6.3659921224385476</v>
      </c>
      <c r="AV146" s="21">
        <f>EXP(-LN(2)/25)*AV145+(1-EXP(-LN(2)/25))/(LN(2)/25)*Calculateur!AQ146*Calculateur!AS146*VLOOKUP('Données projet'!$B$10,Paramètres!$A$1:$I$89,3,0)*0.475*44/12</f>
        <v>3.4876110485587488</v>
      </c>
      <c r="AW146" s="21">
        <f>EXP(-LN(2)/2)*AW145+(1-EXP(-LN(2)/2))/(LN(2)/2)*AQ146*AT146*VLOOKUP('Données projet'!$B$10,Paramètres!$A$1:$I$89,3,0)*0.475*44/12</f>
        <v>2.8337066561262856E-10</v>
      </c>
      <c r="AX146" s="21">
        <f t="shared" si="114"/>
        <v>9.8536031712806675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-1.7053025658242404E-13</v>
      </c>
      <c r="BE146" s="13">
        <f>BD146*VLOOKUP('Données projet'!$B$11,Paramètres!$A$1:$I$89,3,0)*VLOOKUP('Données projet'!$B$11,Paramètres!$A$1:$I$89,5,0)</f>
        <v>-1.1439169611549005E-13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281.67293577289729</v>
      </c>
      <c r="BJ146" s="59">
        <f t="shared" si="146"/>
        <v>272.44904846480154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9.8360134547215825</v>
      </c>
      <c r="BQ146" s="21">
        <f>EXP(-LN(2)/25)*BQ145+(1-EXP(-LN(2)/25))/(LN(2)/25)*Calculateur!BL146*Calculateur!BN146*VLOOKUP('Données projet'!$B$11,Paramètres!$A$1:$I$89,3,0)*0.475*44/12</f>
        <v>6.2270148122460949</v>
      </c>
      <c r="BR146" s="21">
        <f>EXP(-LN(2)/2)*BR145+(1-EXP(-LN(2)/2))/(LN(2)/2)*BL146*BO146*VLOOKUP('Données projet'!$B$11,Paramètres!$A$1:$I$89,3,0)*0.475*44/12</f>
        <v>1.4430758642160234E-8</v>
      </c>
      <c r="BS146" s="22">
        <f t="shared" si="117"/>
        <v>16.063028281398434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-1.7053025658242404E-13</v>
      </c>
      <c r="BZ146" s="13">
        <f>BY146*VLOOKUP('Données projet'!$B$12,Paramètres!$A$1:$I$89,3,0)*VLOOKUP('Données projet'!$B$12,Paramètres!$A$1:$I$89,5,0)</f>
        <v>-1.4897523215040567E-13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348.77506423101278</v>
      </c>
      <c r="CE146" s="59">
        <f t="shared" si="148"/>
        <v>336.13747591329548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12.809691941032758</v>
      </c>
      <c r="CL146" s="21">
        <f>EXP(-LN(2)/25)*CL145+(1-EXP(-LN(2)/25))/(LN(2)/25)*Calculateur!CG146*Calculateur!CI146*VLOOKUP('Données projet'!$B$12,Paramètres!$A$1:$I$89,3,0)*0.475*44/12</f>
        <v>8.1096006857158383</v>
      </c>
      <c r="CM146" s="21">
        <f>EXP(-LN(2)/2)*CM145+(1-EXP(-LN(2)/2))/(LN(2)/2)*CG146*CJ146*VLOOKUP('Données projet'!$B$12,Paramètres!$A$1:$I$89,3,0)*0.475*44/12</f>
        <v>1.8793546138627308E-8</v>
      </c>
      <c r="CN146" s="22">
        <f t="shared" si="120"/>
        <v>20.919292645542143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7.3375000000000012</v>
      </c>
      <c r="CT146" s="12">
        <f>IF('Données projet'!$A$140&gt;35,CT145+CS146-DB145,IF(A146&lt;'Données projet'!$A$140,$CQ$205^A146,IF(A146='Données projet'!$A$140,'Données projet'!$B$140,CT145+CS146-DB145)))</f>
        <v>372.58249999999981</v>
      </c>
      <c r="CU146" s="17">
        <f>CT146*VLOOKUP('Données projet'!$B$13,Paramètres!$A$1:$I$89,3,0)*VLOOKUP('Données projet'!$B$13,Paramètres!$A$1:$I$89,5,0)</f>
        <v>360.3617939999998</v>
      </c>
      <c r="CV146" s="13">
        <f t="shared" si="149"/>
        <v>83.69247587993793</v>
      </c>
      <c r="CW146" s="20">
        <f t="shared" si="121"/>
        <v>773.39452004089162</v>
      </c>
      <c r="CX146" s="59">
        <f t="shared" si="122"/>
        <v>1059.222182818203</v>
      </c>
      <c r="CY146" s="59">
        <f ca="1">AVERAGE(OFFSET($CX$3,0,0,'Données projet'!$E$13+1,1))-AVERAGE(OFFSET($H$3,0,0,'Données projet'!$E$13+1,1))</f>
        <v>557.48193674339791</v>
      </c>
      <c r="CZ146" s="59">
        <f t="shared" si="150"/>
        <v>271.51396593253048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22.374058503076935</v>
      </c>
      <c r="DG146" s="21">
        <f>EXP(-LN(2)/25)*DG145+(1-EXP(-LN(2)/25))/(LN(2)/25)*Calculateur!DB146*Calculateur!DD146*VLOOKUP('Données projet'!$B$13,Paramètres!$A$1:$I$89,3,0)*0.475*44/12</f>
        <v>16.902591017240493</v>
      </c>
      <c r="DH146" s="21">
        <f>EXP(-LN(2)/2)*DH145+(1-EXP(-LN(2)/2))/(LN(2)/2)*DB146*DE146*VLOOKUP('Données projet'!$B$13,Paramètres!$A$1:$I$89,3,0)*0.475*44/12</f>
        <v>0.10121432848362033</v>
      </c>
      <c r="DI146" s="22">
        <f t="shared" si="123"/>
        <v>39.377863848801049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7.3375000000000012</v>
      </c>
      <c r="DO146" s="12">
        <f>IF('Données projet'!$A$166&gt;35,DO145+DN146-DW145,IF(A146&lt;'Données projet'!$A$166,$DL$205^A146,IF(A146='Données projet'!$A$166,'Données projet'!$B$166,DO145+DN146-DW145)))</f>
        <v>372.58249999999981</v>
      </c>
      <c r="DP146" s="17">
        <f>DO146*VLOOKUP('Données projet'!$B$14,Paramètres!$A$1:$I$89,3,0)*VLOOKUP('Données projet'!$B$14,Paramètres!$A$1:$I$89,5,0)</f>
        <v>401.04780299999976</v>
      </c>
      <c r="DQ146" s="13">
        <f t="shared" si="151"/>
        <v>91.989058845411208</v>
      </c>
      <c r="DR146" s="20">
        <f t="shared" si="124"/>
        <v>858.7058677140908</v>
      </c>
      <c r="DS146" s="59">
        <f t="shared" si="125"/>
        <v>1144.5335304914022</v>
      </c>
      <c r="DT146" s="59">
        <f ca="1">AVERAGE(OFFSET($DS$3,0,0,'Données projet'!$E$14+1,1))-AVERAGE(OFFSET($H$3,0,0,'Données projet'!$E$14+1,1))</f>
        <v>610.05768948788375</v>
      </c>
      <c r="DU146" s="59">
        <f t="shared" si="152"/>
        <v>295.23928902444845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24.900161882456576</v>
      </c>
      <c r="EB146" s="21">
        <f>EXP(-LN(2)/25)*EB145+(1-EXP(-LN(2)/25))/(LN(2)/25)*Calculateur!DW146*Calculateur!DY146*VLOOKUP('Données projet'!$B$14,Paramètres!$A$1:$I$89,3,0)*0.475*44/12</f>
        <v>18.810948067574095</v>
      </c>
      <c r="EC146" s="21">
        <f>EXP(-LN(2)/2)*EC145+(1-EXP(-LN(2)/2))/(LN(2)/2)*DW146*DZ146*VLOOKUP('Données projet'!$B$14,Paramètres!$A$1:$I$89,3,0)*0.475*44/12</f>
        <v>0.11264175266725485</v>
      </c>
      <c r="ED146" s="22">
        <f t="shared" si="126"/>
        <v>43.823751702697933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514.94000000000005</v>
      </c>
      <c r="L147" s="12">
        <f>VLOOKUP(A147,'Données projet'!$A$35:$I$55,9,0)</f>
        <v>9.1440000000000055</v>
      </c>
      <c r="M147" s="12">
        <f t="array" ref="M147">INDEX(L:L,MIN(IF(ISNUMBER(L147:L343),ROW(L147:L343),"")))</f>
        <v>9.1440000000000055</v>
      </c>
      <c r="N147" s="13">
        <f>IF('Données projet'!$A$36&gt;35,N146+M147-V146,IF(A147&lt;'Données projet'!$A$36,$K$205^A147,IF(A147='Données projet'!$A$36,'Données projet'!$B$36,N146+M147-V146)))</f>
        <v>514.94000000000096</v>
      </c>
      <c r="O147" s="13">
        <f>N147*VLOOKUP('Données projet'!$B$9,Paramètres!$A$1:$I$89,3,0)*VLOOKUP('Données projet'!$B$9,Paramètres!$A$1:$I$89,5,0)</f>
        <v>465.91771200000085</v>
      </c>
      <c r="P147" s="13">
        <f t="shared" si="141"/>
        <v>105.01953528507198</v>
      </c>
      <c r="Q147" s="20">
        <f t="shared" si="108"/>
        <v>994.38237235483496</v>
      </c>
      <c r="R147" s="59">
        <f t="shared" si="109"/>
        <v>1280.3402417361278</v>
      </c>
      <c r="S147" s="59">
        <f ca="1">AVERAGE(OFFSET($R$3,0,0,'Données projet'!$E$9+1,1))-AVERAGE(OFFSET($H$3,0,0,'Données projet'!$E$9+1,1))</f>
        <v>681.47578137804555</v>
      </c>
      <c r="T147" s="59">
        <f t="shared" si="142"/>
        <v>300.88511065995885</v>
      </c>
      <c r="U147" s="15">
        <f>IF(ISNA(VLOOKUP(A147,'Données projet'!$A$35:$I$55,3,0)),0,VLOOKUP(A147,'Données projet'!$A$35:$I$55,3,0))</f>
        <v>12</v>
      </c>
      <c r="V147" s="15">
        <f>IF(ISNA(VLOOKUP(A147,'Données projet'!$A$35:$I$55,4,0)),0,VLOOKUP(A147,'Données projet'!$A$35:$I$55,4,0))</f>
        <v>61.800000000000068</v>
      </c>
      <c r="W147" s="16">
        <f>IF(ISNA(VLOOKUP(A147,'Données projet'!$A$35:$I$55,5,0)),0%,VLOOKUP(A147,'Données projet'!$A$35:$I$55,5,0)*VLOOKUP('Données projet'!$B$9,Paramètres!$A$1:$I$89,7,0))</f>
        <v>0.215</v>
      </c>
      <c r="X147" s="16">
        <f>IF(ISNA(VLOOKUP(A147,'Données projet'!$A$35:$I$55,6,0)),0%,VLOOKUP(A147,'Données projet'!$A$35:$I$55,6,0)*VLOOKUP('Données projet'!$B$9,Paramètres!$A$1:$I$89,7,0))</f>
        <v>8.6000000000000007E-2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49.997006091476479</v>
      </c>
      <c r="AA147" s="21">
        <f>EXP(-LN(2)/25)*AA146+(1-EXP(-LN(2)/25))/(LN(2)/25)*Calculateur!V147*Calculateur!X147*VLOOKUP('Données projet'!$B$9,Paramètres!$A$1:$I$89,3,0)*0.475*44/12</f>
        <v>23.30844043566745</v>
      </c>
      <c r="AB147" s="21">
        <f>EXP(-LN(2)/2)*AB146+(1-EXP(-LN(2)/2))/(LN(2)/2)*V147*Y147*VLOOKUP('Données projet'!$B$9,Paramètres!$A$1:$I$89,3,0)*0.475*44/12</f>
        <v>4.9863089233638993E-3</v>
      </c>
      <c r="AC147" s="22">
        <f t="shared" si="111"/>
        <v>73.310432836067292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-8.8675733422860506E-14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217.53602321474159</v>
      </c>
      <c r="AO147" s="59">
        <f t="shared" si="144"/>
        <v>215.75909414893025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6.2411588997893208</v>
      </c>
      <c r="AV147" s="21">
        <f>EXP(-LN(2)/25)*AV146+(1-EXP(-LN(2)/25))/(LN(2)/25)*Calculateur!AQ147*Calculateur!AS147*VLOOKUP('Données projet'!$B$10,Paramètres!$A$1:$I$89,3,0)*0.475*44/12</f>
        <v>3.3922421410304158</v>
      </c>
      <c r="AW147" s="21">
        <f>EXP(-LN(2)/2)*AW146+(1-EXP(-LN(2)/2))/(LN(2)/2)*AQ147*AT147*VLOOKUP('Données projet'!$B$10,Paramètres!$A$1:$I$89,3,0)*0.475*44/12</f>
        <v>2.0037331924403528E-10</v>
      </c>
      <c r="AX147" s="21">
        <f t="shared" si="114"/>
        <v>9.6334010410201092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-1.7053025658242404E-13</v>
      </c>
      <c r="BE147" s="13">
        <f>BD147*VLOOKUP('Données projet'!$B$11,Paramètres!$A$1:$I$89,3,0)*VLOOKUP('Données projet'!$B$11,Paramètres!$A$1:$I$89,5,0)</f>
        <v>-1.1439169611549005E-13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281.67293577289729</v>
      </c>
      <c r="BJ147" s="59">
        <f t="shared" si="146"/>
        <v>272.44904846480154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9.6431352302503104</v>
      </c>
      <c r="BQ147" s="21">
        <f>EXP(-LN(2)/25)*BQ146+(1-EXP(-LN(2)/25))/(LN(2)/25)*Calculateur!BL147*Calculateur!BN147*VLOOKUP('Données projet'!$B$11,Paramètres!$A$1:$I$89,3,0)*0.475*44/12</f>
        <v>6.0567367647407488</v>
      </c>
      <c r="BR147" s="21">
        <f>EXP(-LN(2)/2)*BR146+(1-EXP(-LN(2)/2))/(LN(2)/2)*BL147*BO147*VLOOKUP('Données projet'!$B$11,Paramètres!$A$1:$I$89,3,0)*0.475*44/12</f>
        <v>1.0204087293537876E-8</v>
      </c>
      <c r="BS147" s="22">
        <f t="shared" si="117"/>
        <v>15.699872005195147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-1.7053025658242404E-13</v>
      </c>
      <c r="BZ147" s="13">
        <f>BY147*VLOOKUP('Données projet'!$B$12,Paramètres!$A$1:$I$89,3,0)*VLOOKUP('Données projet'!$B$12,Paramètres!$A$1:$I$89,5,0)</f>
        <v>-1.4897523215040567E-13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348.77506423101278</v>
      </c>
      <c r="CE147" s="59">
        <f t="shared" si="148"/>
        <v>336.13747591329548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12.558501695209706</v>
      </c>
      <c r="CL147" s="21">
        <f>EXP(-LN(2)/25)*CL146+(1-EXP(-LN(2)/25))/(LN(2)/25)*Calculateur!CG147*Calculateur!CI147*VLOOKUP('Données projet'!$B$12,Paramètres!$A$1:$I$89,3,0)*0.475*44/12</f>
        <v>7.8878432284995732</v>
      </c>
      <c r="CM147" s="21">
        <f>EXP(-LN(2)/2)*CM146+(1-EXP(-LN(2)/2))/(LN(2)/2)*CG147*CJ147*VLOOKUP('Données projet'!$B$12,Paramètres!$A$1:$I$89,3,0)*0.475*44/12</f>
        <v>1.3289043917165625E-8</v>
      </c>
      <c r="CN147" s="22">
        <f t="shared" si="120"/>
        <v>20.446344936998322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>
        <f>VLOOKUP(A147,'Données projet'!$A$139:$I$159,2,0)</f>
        <v>379.92</v>
      </c>
      <c r="CR147" s="12">
        <f>VLOOKUP(A147,'Données projet'!$A$139:$I$159,9,0)</f>
        <v>7.3375000000000012</v>
      </c>
      <c r="CS147" s="12">
        <f t="array" ref="CS147">INDEX(CR:CR,MIN(IF(ISNUMBER(CR147:CR343),ROW(CR147:CR343),"")))</f>
        <v>7.3375000000000012</v>
      </c>
      <c r="CT147" s="12">
        <f>IF('Données projet'!$A$140&gt;35,CT146+CS147-DB146,IF(A147&lt;'Données projet'!$A$140,$CQ$205^A147,IF(A147='Données projet'!$A$140,'Données projet'!$B$140,CT146+CS147-DB146)))</f>
        <v>379.91999999999979</v>
      </c>
      <c r="CU147" s="17">
        <f>CT147*VLOOKUP('Données projet'!$B$13,Paramètres!$A$1:$I$89,3,0)*VLOOKUP('Données projet'!$B$13,Paramètres!$A$1:$I$89,5,0)</f>
        <v>367.45862399999976</v>
      </c>
      <c r="CV147" s="13">
        <f t="shared" si="149"/>
        <v>85.147175545724309</v>
      </c>
      <c r="CW147" s="20">
        <f t="shared" si="121"/>
        <v>788.28843420880264</v>
      </c>
      <c r="CX147" s="59">
        <f t="shared" si="122"/>
        <v>1074.2463035900955</v>
      </c>
      <c r="CY147" s="59">
        <f ca="1">AVERAGE(OFFSET($CX$3,0,0,'Données projet'!$E$13+1,1))-AVERAGE(OFFSET($H$3,0,0,'Données projet'!$E$13+1,1))</f>
        <v>557.48193674339791</v>
      </c>
      <c r="CZ147" s="59">
        <f t="shared" si="150"/>
        <v>271.51396593253048</v>
      </c>
      <c r="DA147" s="15">
        <f>IF(ISNA(VLOOKUP(A147,'Données projet'!$A$139:$I$159,3,0)),0,VLOOKUP(A147,'Données projet'!$A$139:$I$159,3,0))</f>
        <v>10</v>
      </c>
      <c r="DB147" s="15">
        <f>IF(ISNA(VLOOKUP(A147,'Données projet'!$A$139:$I$159,4,0)),0,VLOOKUP(A147,'Données projet'!$A$139:$I$159,4,0))</f>
        <v>60.949999999999989</v>
      </c>
      <c r="DC147" s="16">
        <f>IF(ISNA(VLOOKUP(A147,'Données projet'!$A$139:$I$159,5,0)),0%,VLOOKUP(A147,'Données projet'!$A$139:$I$159,5,0)*VLOOKUP('Données projet'!$B$13,Paramètres!$A$1:$I$89,7,0))</f>
        <v>0.15049999999999999</v>
      </c>
      <c r="DD147" s="16">
        <f>IF(ISNA(VLOOKUP(A147,'Données projet'!$A$139:$I$159,6,0)),0%,VLOOKUP(A147,'Données projet'!$A$139:$I$159,6,0)*VLOOKUP('Données projet'!$B$13,Paramètres!$A$1:$I$89,7,0))</f>
        <v>8.6000000000000007E-2</v>
      </c>
      <c r="DE147" s="16">
        <f>IF(ISNA(VLOOKUP(A147,'Données projet'!$A$139:$I$159,7,0)),0%,VLOOKUP(A147,'Données projet'!$A$139:$I$159,7,0))</f>
        <v>0.1</v>
      </c>
      <c r="DF147" s="21">
        <f>EXP(-LN(2)/35)*DF146+(1-EXP(-LN(2)/35))/(LN(2)/35)*DB147*DC147*VLOOKUP('Données projet'!$B$13,Paramètres!$A$1:$I$89,3,0)*0.475*44/12</f>
        <v>31.743162186681992</v>
      </c>
      <c r="DG147" s="21">
        <f>EXP(-LN(2)/25)*DG146+(1-EXP(-LN(2)/25))/(LN(2)/25)*Calculateur!DB147*Calculateur!DD147*VLOOKUP('Données projet'!$B$13,Paramètres!$A$1:$I$89,3,0)*0.475*44/12</f>
        <v>22.022804834090849</v>
      </c>
      <c r="DH147" s="21">
        <f>EXP(-LN(2)/2)*DH146+(1-EXP(-LN(2)/2))/(LN(2)/2)*DB147*DE147*VLOOKUP('Données projet'!$B$13,Paramètres!$A$1:$I$89,3,0)*0.475*44/12</f>
        <v>5.6337397558836004</v>
      </c>
      <c r="DI147" s="22">
        <f t="shared" si="123"/>
        <v>59.399706776656444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>
        <f>VLOOKUP(A147,'Données projet'!$A$165:$I$185,2,0)</f>
        <v>379.92</v>
      </c>
      <c r="DM147" s="12">
        <f>VLOOKUP(A147,'Données projet'!$A$165:$I$185,9,0)</f>
        <v>7.3375000000000012</v>
      </c>
      <c r="DN147" s="12">
        <f t="array" ref="DN147">INDEX(DM:DM,MIN(IF(ISNUMBER(DM147:DM343),ROW(DM147:DM343),"")))</f>
        <v>7.3375000000000012</v>
      </c>
      <c r="DO147" s="12">
        <f>IF('Données projet'!$A$166&gt;35,DO146+DN147-DW146,IF(A147&lt;'Données projet'!$A$166,$DL$205^A147,IF(A147='Données projet'!$A$166,'Données projet'!$B$166,DO146+DN147-DW146)))</f>
        <v>379.91999999999979</v>
      </c>
      <c r="DP147" s="17">
        <f>DO147*VLOOKUP('Données projet'!$B$14,Paramètres!$A$1:$I$89,3,0)*VLOOKUP('Données projet'!$B$14,Paramètres!$A$1:$I$89,5,0)</f>
        <v>408.9458879999998</v>
      </c>
      <c r="DQ147" s="13">
        <f t="shared" si="151"/>
        <v>93.587965458598077</v>
      </c>
      <c r="DR147" s="20">
        <f t="shared" si="124"/>
        <v>875.24646144039127</v>
      </c>
      <c r="DS147" s="59">
        <f t="shared" si="125"/>
        <v>1161.2043308216842</v>
      </c>
      <c r="DT147" s="59">
        <f ca="1">AVERAGE(OFFSET($DS$3,0,0,'Données projet'!$E$14+1,1))-AVERAGE(OFFSET($H$3,0,0,'Données projet'!$E$14+1,1))</f>
        <v>610.05768948788375</v>
      </c>
      <c r="DU147" s="59">
        <f t="shared" si="152"/>
        <v>295.23928902444845</v>
      </c>
      <c r="DV147" s="15">
        <f>IF(ISNA(VLOOKUP(A147,'Données projet'!$A$165:$I$185,3,0)),0,VLOOKUP(A147,'Données projet'!$A$165:$I$185,3,0))</f>
        <v>10</v>
      </c>
      <c r="DW147" s="15">
        <f>IF(ISNA(VLOOKUP(A147,'Données projet'!$A$165:$I$185,4,0)),0,VLOOKUP(A147,'Données projet'!$A$165:$I$185,4,0))</f>
        <v>60.949999999999989</v>
      </c>
      <c r="DX147" s="16">
        <f>IF(ISNA(VLOOKUP(A147,'Données projet'!$A$165:$I$185,5,0)),0%,VLOOKUP(A147,'Données projet'!$A$165:$I$185,5,0)*VLOOKUP('Données projet'!$B$14,Paramètres!$A$1:$I$89,7,0))</f>
        <v>0.15049999999999999</v>
      </c>
      <c r="DY147" s="16">
        <f>IF(ISNA(VLOOKUP(A147,'Données projet'!$A$165:$I$185,6,0)),0%,VLOOKUP(A147,'Données projet'!$A$165:$I$185,6,0)*VLOOKUP('Données projet'!$B$14,Paramètres!$A$1:$I$89,7,0))</f>
        <v>8.6000000000000007E-2</v>
      </c>
      <c r="DZ147" s="16">
        <f>IF(ISNA(VLOOKUP(A147,'Données projet'!$A$165:$I$185,7,0)),0%,VLOOKUP(A147,'Données projet'!$A$165:$I$185,7,0))</f>
        <v>0.1</v>
      </c>
      <c r="EA147" s="21">
        <f>EXP(-LN(2)/35)*EA146+(1-EXP(-LN(2)/35))/(LN(2)/35)*DW147*DX147*VLOOKUP('Données projet'!$B$14,Paramètres!$A$1:$I$89,3,0)*0.475*44/12</f>
        <v>35.327067594855755</v>
      </c>
      <c r="EB147" s="21">
        <f>EXP(-LN(2)/25)*EB146+(1-EXP(-LN(2)/25))/(LN(2)/25)*Calculateur!DW147*Calculateur!DY147*VLOOKUP('Données projet'!$B$14,Paramètres!$A$1:$I$89,3,0)*0.475*44/12</f>
        <v>24.509250541165621</v>
      </c>
      <c r="EC147" s="21">
        <f>EXP(-LN(2)/2)*EC146+(1-EXP(-LN(2)/2))/(LN(2)/2)*DW147*DZ147*VLOOKUP('Données projet'!$B$14,Paramètres!$A$1:$I$89,3,0)*0.475*44/12</f>
        <v>6.2698071476769091</v>
      </c>
      <c r="ED147" s="22">
        <f t="shared" si="126"/>
        <v>66.10612528369829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9.3350000000000026</v>
      </c>
      <c r="N148" s="13">
        <f>IF('Données projet'!$A$36&gt;35,N147+M148-V147,IF(A148&lt;'Données projet'!$A$36,$K$205^A148,IF(A148='Données projet'!$A$36,'Données projet'!$B$36,N147+M148-V147)))</f>
        <v>462.47500000000093</v>
      </c>
      <c r="O148" s="13">
        <f>N148*VLOOKUP('Données projet'!$B$9,Paramètres!$A$1:$I$89,3,0)*VLOOKUP('Données projet'!$B$9,Paramètres!$A$1:$I$89,5,0)</f>
        <v>418.44738000000081</v>
      </c>
      <c r="P148" s="13">
        <f t="shared" si="141"/>
        <v>95.506718301246906</v>
      </c>
      <c r="Q148" s="20">
        <f t="shared" si="108"/>
        <v>895.13672120800663</v>
      </c>
      <c r="R148" s="59">
        <f t="shared" si="109"/>
        <v>1181.2225383998002</v>
      </c>
      <c r="S148" s="59">
        <f ca="1">AVERAGE(OFFSET($R$3,0,0,'Données projet'!$E$9+1,1))-AVERAGE(OFFSET($H$3,0,0,'Données projet'!$E$9+1,1))</f>
        <v>681.47578137804555</v>
      </c>
      <c r="T148" s="59">
        <f t="shared" si="142"/>
        <v>300.88511065995885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49.016595297185191</v>
      </c>
      <c r="AA148" s="21">
        <f>EXP(-LN(2)/25)*AA147+(1-EXP(-LN(2)/25))/(LN(2)/25)*Calculateur!V148*Calculateur!X148*VLOOKUP('Données projet'!$B$9,Paramètres!$A$1:$I$89,3,0)*0.475*44/12</f>
        <v>22.671069906216513</v>
      </c>
      <c r="AB148" s="21">
        <f>EXP(-LN(2)/2)*AB147+(1-EXP(-LN(2)/2))/(LN(2)/2)*V148*Y148*VLOOKUP('Données projet'!$B$9,Paramètres!$A$1:$I$89,3,0)*0.475*44/12</f>
        <v>3.5258528528016061E-3</v>
      </c>
      <c r="AC148" s="22">
        <f t="shared" si="111"/>
        <v>71.69119105625451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-8.8675733422860506E-14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217.53602321474159</v>
      </c>
      <c r="AO148" s="59">
        <f t="shared" si="144"/>
        <v>215.75909414893025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6.1187735804954979</v>
      </c>
      <c r="AV148" s="21">
        <f>EXP(-LN(2)/25)*AV147+(1-EXP(-LN(2)/25))/(LN(2)/25)*Calculateur!AQ148*Calculateur!AS148*VLOOKUP('Données projet'!$B$10,Paramètres!$A$1:$I$89,3,0)*0.475*44/12</f>
        <v>3.299481101293678</v>
      </c>
      <c r="AW148" s="21">
        <f>EXP(-LN(2)/2)*AW147+(1-EXP(-LN(2)/2))/(LN(2)/2)*AQ148*AT148*VLOOKUP('Données projet'!$B$10,Paramètres!$A$1:$I$89,3,0)*0.475*44/12</f>
        <v>1.4168533280631428E-10</v>
      </c>
      <c r="AX148" s="21">
        <f t="shared" si="114"/>
        <v>9.4182546819308612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-1.7053025658242404E-13</v>
      </c>
      <c r="BE148" s="13">
        <f>BD148*VLOOKUP('Données projet'!$B$11,Paramètres!$A$1:$I$89,3,0)*VLOOKUP('Données projet'!$B$11,Paramètres!$A$1:$I$89,5,0)</f>
        <v>-1.1439169611549005E-13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281.67293577289729</v>
      </c>
      <c r="BJ148" s="59">
        <f t="shared" si="146"/>
        <v>272.44904846480154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9.4540392301168197</v>
      </c>
      <c r="BQ148" s="21">
        <f>EXP(-LN(2)/25)*BQ147+(1-EXP(-LN(2)/25))/(LN(2)/25)*Calculateur!BL148*Calculateur!BN148*VLOOKUP('Données projet'!$B$11,Paramètres!$A$1:$I$89,3,0)*0.475*44/12</f>
        <v>5.8911149793989699</v>
      </c>
      <c r="BR148" s="21">
        <f>EXP(-LN(2)/2)*BR147+(1-EXP(-LN(2)/2))/(LN(2)/2)*BL148*BO148*VLOOKUP('Données projet'!$B$11,Paramètres!$A$1:$I$89,3,0)*0.475*44/12</f>
        <v>7.215379321080117E-9</v>
      </c>
      <c r="BS148" s="22">
        <f t="shared" si="117"/>
        <v>15.345154216731169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-1.7053025658242404E-13</v>
      </c>
      <c r="BZ148" s="13">
        <f>BY148*VLOOKUP('Données projet'!$B$12,Paramètres!$A$1:$I$89,3,0)*VLOOKUP('Données projet'!$B$12,Paramètres!$A$1:$I$89,5,0)</f>
        <v>-1.4897523215040567E-13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348.77506423101278</v>
      </c>
      <c r="CE148" s="59">
        <f t="shared" si="148"/>
        <v>336.13747591329548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12.312237136896323</v>
      </c>
      <c r="CL148" s="21">
        <f>EXP(-LN(2)/25)*CL147+(1-EXP(-LN(2)/25))/(LN(2)/25)*Calculateur!CG148*Calculateur!CI148*VLOOKUP('Données projet'!$B$12,Paramètres!$A$1:$I$89,3,0)*0.475*44/12</f>
        <v>7.6721497406126051</v>
      </c>
      <c r="CM148" s="21">
        <f>EXP(-LN(2)/2)*CM147+(1-EXP(-LN(2)/2))/(LN(2)/2)*CG148*CJ148*VLOOKUP('Données projet'!$B$12,Paramètres!$A$1:$I$89,3,0)*0.475*44/12</f>
        <v>9.3967730693136542E-9</v>
      </c>
      <c r="CN148" s="22">
        <f t="shared" si="120"/>
        <v>19.9843868869057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7.5191666666666634</v>
      </c>
      <c r="CT148" s="12">
        <f>IF('Données projet'!$A$140&gt;35,CT147+CS148-DB147,IF(A148&lt;'Données projet'!$A$140,$CQ$205^A148,IF(A148='Données projet'!$A$140,'Données projet'!$B$140,CT147+CS148-DB147)))</f>
        <v>326.48916666666645</v>
      </c>
      <c r="CU148" s="17">
        <f>CT148*VLOOKUP('Données projet'!$B$13,Paramètres!$A$1:$I$89,3,0)*VLOOKUP('Données projet'!$B$13,Paramètres!$A$1:$I$89,5,0)</f>
        <v>315.78032199999979</v>
      </c>
      <c r="CV148" s="13">
        <f t="shared" si="149"/>
        <v>74.474690447846996</v>
      </c>
      <c r="CW148" s="20">
        <f t="shared" si="121"/>
        <v>679.69414667999979</v>
      </c>
      <c r="CX148" s="59">
        <f t="shared" si="122"/>
        <v>965.77996387179337</v>
      </c>
      <c r="CY148" s="59">
        <f ca="1">AVERAGE(OFFSET($CX$3,0,0,'Données projet'!$E$13+1,1))-AVERAGE(OFFSET($H$3,0,0,'Données projet'!$E$13+1,1))</f>
        <v>557.48193674339791</v>
      </c>
      <c r="CZ148" s="59">
        <f t="shared" si="150"/>
        <v>271.51396593253048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31.120698137618312</v>
      </c>
      <c r="DG148" s="21">
        <f>EXP(-LN(2)/25)*DG147+(1-EXP(-LN(2)/25))/(LN(2)/25)*Calculateur!DB148*Calculateur!DD148*VLOOKUP('Données projet'!$B$13,Paramètres!$A$1:$I$89,3,0)*0.475*44/12</f>
        <v>21.420590077773664</v>
      </c>
      <c r="DH148" s="21">
        <f>EXP(-LN(2)/2)*DH147+(1-EXP(-LN(2)/2))/(LN(2)/2)*DB148*DE148*VLOOKUP('Données projet'!$B$13,Paramètres!$A$1:$I$89,3,0)*0.475*44/12</f>
        <v>3.9836555848255388</v>
      </c>
      <c r="DI148" s="22">
        <f t="shared" si="123"/>
        <v>56.524943800217514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7.5191666666666634</v>
      </c>
      <c r="DO148" s="12">
        <f>IF('Données projet'!$A$166&gt;35,DO147+DN148-DW147,IF(A148&lt;'Données projet'!$A$166,$DL$205^A148,IF(A148='Données projet'!$A$166,'Données projet'!$B$166,DO147+DN148-DW147)))</f>
        <v>326.48916666666645</v>
      </c>
      <c r="DP148" s="17">
        <f>DO148*VLOOKUP('Données projet'!$B$14,Paramètres!$A$1:$I$89,3,0)*VLOOKUP('Données projet'!$B$14,Paramètres!$A$1:$I$89,5,0)</f>
        <v>351.43293899999975</v>
      </c>
      <c r="DQ148" s="13">
        <f t="shared" si="151"/>
        <v>81.85749806145968</v>
      </c>
      <c r="DR148" s="20">
        <f t="shared" si="124"/>
        <v>754.64751121537518</v>
      </c>
      <c r="DS148" s="59">
        <f t="shared" si="125"/>
        <v>1040.7333284071688</v>
      </c>
      <c r="DT148" s="59">
        <f ca="1">AVERAGE(OFFSET($DS$3,0,0,'Données projet'!$E$14+1,1))-AVERAGE(OFFSET($H$3,0,0,'Données projet'!$E$14+1,1))</f>
        <v>610.05768948788375</v>
      </c>
      <c r="DU148" s="59">
        <f t="shared" si="152"/>
        <v>295.23928902444845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34.634325346704237</v>
      </c>
      <c r="EB148" s="21">
        <f>EXP(-LN(2)/25)*EB147+(1-EXP(-LN(2)/25))/(LN(2)/25)*Calculateur!DW148*Calculateur!DY148*VLOOKUP('Données projet'!$B$14,Paramètres!$A$1:$I$89,3,0)*0.475*44/12</f>
        <v>23.839043796231977</v>
      </c>
      <c r="EC148" s="21">
        <f>EXP(-LN(2)/2)*EC147+(1-EXP(-LN(2)/2))/(LN(2)/2)*DW148*DZ148*VLOOKUP('Données projet'!$B$14,Paramètres!$A$1:$I$89,3,0)*0.475*44/12</f>
        <v>4.4334231508542281</v>
      </c>
      <c r="ED148" s="22">
        <f t="shared" si="126"/>
        <v>62.906792293790446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9.3350000000000026</v>
      </c>
      <c r="N149" s="13">
        <f>IF('Données projet'!$A$36&gt;35,N148+M149-V148,IF(A149&lt;'Données projet'!$A$36,$K$205^A149,IF(A149='Données projet'!$A$36,'Données projet'!$B$36,N148+M149-V148)))</f>
        <v>471.81000000000091</v>
      </c>
      <c r="O149" s="13">
        <f>N149*VLOOKUP('Données projet'!$B$9,Paramètres!$A$1:$I$89,3,0)*VLOOKUP('Données projet'!$B$9,Paramètres!$A$1:$I$89,5,0)</f>
        <v>426.89368800000079</v>
      </c>
      <c r="P149" s="13">
        <f t="shared" si="141"/>
        <v>97.208128358788159</v>
      </c>
      <c r="Q149" s="20">
        <f t="shared" si="108"/>
        <v>912.81066349155742</v>
      </c>
      <c r="R149" s="59">
        <f t="shared" si="109"/>
        <v>1199.022208885388</v>
      </c>
      <c r="S149" s="59">
        <f ca="1">AVERAGE(OFFSET($R$3,0,0,'Données projet'!$E$9+1,1))-AVERAGE(OFFSET($H$3,0,0,'Données projet'!$E$9+1,1))</f>
        <v>681.47578137804555</v>
      </c>
      <c r="T149" s="59">
        <f t="shared" si="142"/>
        <v>300.88511065995885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48.055409760578421</v>
      </c>
      <c r="AA149" s="21">
        <f>EXP(-LN(2)/25)*AA148+(1-EXP(-LN(2)/25))/(LN(2)/25)*Calculateur!V149*Calculateur!X149*VLOOKUP('Données projet'!$B$9,Paramètres!$A$1:$I$89,3,0)*0.475*44/12</f>
        <v>22.051128307411272</v>
      </c>
      <c r="AB149" s="21">
        <f>EXP(-LN(2)/2)*AB148+(1-EXP(-LN(2)/2))/(LN(2)/2)*V149*Y149*VLOOKUP('Données projet'!$B$9,Paramètres!$A$1:$I$89,3,0)*0.475*44/12</f>
        <v>2.4931544616819496E-3</v>
      </c>
      <c r="AC149" s="22">
        <f t="shared" si="111"/>
        <v>70.109031222451364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-8.8675733422860506E-14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217.53602321474159</v>
      </c>
      <c r="AO149" s="59">
        <f t="shared" si="144"/>
        <v>215.75909414893025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5.9987881626653525</v>
      </c>
      <c r="AV149" s="21">
        <f>EXP(-LN(2)/25)*AV148+(1-EXP(-LN(2)/25))/(LN(2)/25)*Calculateur!AQ149*Calculateur!AS149*VLOOKUP('Données projet'!$B$10,Paramètres!$A$1:$I$89,3,0)*0.475*44/12</f>
        <v>3.2092566170666323</v>
      </c>
      <c r="AW149" s="21">
        <f>EXP(-LN(2)/2)*AW148+(1-EXP(-LN(2)/2))/(LN(2)/2)*AQ149*AT149*VLOOKUP('Données projet'!$B$10,Paramètres!$A$1:$I$89,3,0)*0.475*44/12</f>
        <v>1.0018665962201764E-10</v>
      </c>
      <c r="AX149" s="21">
        <f t="shared" si="114"/>
        <v>9.2080447798321714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-1.7053025658242404E-13</v>
      </c>
      <c r="BE149" s="13">
        <f>BD149*VLOOKUP('Données projet'!$B$11,Paramètres!$A$1:$I$89,3,0)*VLOOKUP('Données projet'!$B$11,Paramètres!$A$1:$I$89,5,0)</f>
        <v>-1.1439169611549005E-13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281.67293577289729</v>
      </c>
      <c r="BJ149" s="59">
        <f t="shared" si="146"/>
        <v>272.44904846480154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9.2686512872087743</v>
      </c>
      <c r="BQ149" s="21">
        <f>EXP(-LN(2)/25)*BQ148+(1-EXP(-LN(2)/25))/(LN(2)/25)*Calculateur!BL149*Calculateur!BN149*VLOOKUP('Données projet'!$B$11,Paramètres!$A$1:$I$89,3,0)*0.475*44/12</f>
        <v>5.7300221304870327</v>
      </c>
      <c r="BR149" s="21">
        <f>EXP(-LN(2)/2)*BR148+(1-EXP(-LN(2)/2))/(LN(2)/2)*BL149*BO149*VLOOKUP('Données projet'!$B$11,Paramètres!$A$1:$I$89,3,0)*0.475*44/12</f>
        <v>5.102043646768938E-9</v>
      </c>
      <c r="BS149" s="22">
        <f t="shared" si="117"/>
        <v>14.99867342279785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-1.7053025658242404E-13</v>
      </c>
      <c r="BZ149" s="13">
        <f>BY149*VLOOKUP('Données projet'!$B$12,Paramètres!$A$1:$I$89,3,0)*VLOOKUP('Données projet'!$B$12,Paramètres!$A$1:$I$89,5,0)</f>
        <v>-1.4897523215040567E-13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348.77506423101278</v>
      </c>
      <c r="CE149" s="59">
        <f t="shared" si="148"/>
        <v>336.13747591329548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12.070801676364916</v>
      </c>
      <c r="CL149" s="21">
        <f>EXP(-LN(2)/25)*CL148+(1-EXP(-LN(2)/25))/(LN(2)/25)*Calculateur!CG149*Calculateur!CI149*VLOOKUP('Données projet'!$B$12,Paramètres!$A$1:$I$89,3,0)*0.475*44/12</f>
        <v>7.4623544024947339</v>
      </c>
      <c r="CM149" s="21">
        <f>EXP(-LN(2)/2)*CM148+(1-EXP(-LN(2)/2))/(LN(2)/2)*CG149*CJ149*VLOOKUP('Données projet'!$B$12,Paramètres!$A$1:$I$89,3,0)*0.475*44/12</f>
        <v>6.6445219585828127E-9</v>
      </c>
      <c r="CN149" s="22">
        <f t="shared" si="120"/>
        <v>19.533156085504171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7.5191666666666634</v>
      </c>
      <c r="CT149" s="12">
        <f>IF('Données projet'!$A$140&gt;35,CT148+CS149-DB148,IF(A149&lt;'Données projet'!$A$140,$CQ$205^A149,IF(A149='Données projet'!$A$140,'Données projet'!$B$140,CT148+CS149-DB148)))</f>
        <v>334.0083333333331</v>
      </c>
      <c r="CU149" s="17">
        <f>CT149*VLOOKUP('Données projet'!$B$13,Paramètres!$A$1:$I$89,3,0)*VLOOKUP('Données projet'!$B$13,Paramètres!$A$1:$I$89,5,0)</f>
        <v>323.05285999999978</v>
      </c>
      <c r="CV149" s="13">
        <f t="shared" si="149"/>
        <v>75.988209111509335</v>
      </c>
      <c r="CW149" s="20">
        <f t="shared" si="121"/>
        <v>694.99652870254488</v>
      </c>
      <c r="CX149" s="59">
        <f t="shared" si="122"/>
        <v>981.20807409637553</v>
      </c>
      <c r="CY149" s="59">
        <f ca="1">AVERAGE(OFFSET($CX$3,0,0,'Données projet'!$E$13+1,1))-AVERAGE(OFFSET($H$3,0,0,'Données projet'!$E$13+1,1))</f>
        <v>557.48193674339791</v>
      </c>
      <c r="CZ149" s="59">
        <f t="shared" si="150"/>
        <v>271.51396593253048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30.510440228891188</v>
      </c>
      <c r="DG149" s="21">
        <f>EXP(-LN(2)/25)*DG148+(1-EXP(-LN(2)/25))/(LN(2)/25)*Calculateur!DB149*Calculateur!DD149*VLOOKUP('Données projet'!$B$13,Paramètres!$A$1:$I$89,3,0)*0.475*44/12</f>
        <v>20.834842915637068</v>
      </c>
      <c r="DH149" s="21">
        <f>EXP(-LN(2)/2)*DH148+(1-EXP(-LN(2)/2))/(LN(2)/2)*DB149*DE149*VLOOKUP('Données projet'!$B$13,Paramètres!$A$1:$I$89,3,0)*0.475*44/12</f>
        <v>2.8168698779418007</v>
      </c>
      <c r="DI149" s="22">
        <f t="shared" si="123"/>
        <v>54.162153022470051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7.5191666666666634</v>
      </c>
      <c r="DO149" s="12">
        <f>IF('Données projet'!$A$166&gt;35,DO148+DN149-DW148,IF(A149&lt;'Données projet'!$A$166,$DL$205^A149,IF(A149='Données projet'!$A$166,'Données projet'!$B$166,DO148+DN149-DW148)))</f>
        <v>334.0083333333331</v>
      </c>
      <c r="DP149" s="17">
        <f>DO149*VLOOKUP('Données projet'!$B$14,Paramètres!$A$1:$I$89,3,0)*VLOOKUP('Données projet'!$B$14,Paramètres!$A$1:$I$89,5,0)</f>
        <v>359.52656999999971</v>
      </c>
      <c r="DQ149" s="13">
        <f t="shared" si="151"/>
        <v>83.521054503677831</v>
      </c>
      <c r="DR149" s="20">
        <f t="shared" si="124"/>
        <v>771.64127934390501</v>
      </c>
      <c r="DS149" s="59">
        <f t="shared" si="125"/>
        <v>1057.8528247377358</v>
      </c>
      <c r="DT149" s="59">
        <f ca="1">AVERAGE(OFFSET($DS$3,0,0,'Données projet'!$E$14+1,1))-AVERAGE(OFFSET($H$3,0,0,'Données projet'!$E$14+1,1))</f>
        <v>610.05768948788375</v>
      </c>
      <c r="DU149" s="59">
        <f t="shared" si="152"/>
        <v>295.23928902444845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33.955167351507924</v>
      </c>
      <c r="EB149" s="21">
        <f>EXP(-LN(2)/25)*EB148+(1-EXP(-LN(2)/25))/(LN(2)/25)*Calculateur!DW149*Calculateur!DY149*VLOOKUP('Données projet'!$B$14,Paramètres!$A$1:$I$89,3,0)*0.475*44/12</f>
        <v>23.187163889983186</v>
      </c>
      <c r="EC149" s="21">
        <f>EXP(-LN(2)/2)*EC148+(1-EXP(-LN(2)/2))/(LN(2)/2)*DW149*DZ149*VLOOKUP('Données projet'!$B$14,Paramètres!$A$1:$I$89,3,0)*0.475*44/12</f>
        <v>3.134903573838455</v>
      </c>
      <c r="ED149" s="22">
        <f t="shared" si="126"/>
        <v>60.277234815329564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9.3350000000000026</v>
      </c>
      <c r="N150" s="13">
        <f>IF('Données projet'!$A$36&gt;35,N149+M150-V149,IF(A150&lt;'Données projet'!$A$36,$K$205^A150,IF(A150='Données projet'!$A$36,'Données projet'!$B$36,N149+M150-V149)))</f>
        <v>481.14500000000089</v>
      </c>
      <c r="O150" s="13">
        <f>N150*VLOOKUP('Données projet'!$B$9,Paramètres!$A$1:$I$89,3,0)*VLOOKUP('Données projet'!$B$9,Paramètres!$A$1:$I$89,5,0)</f>
        <v>435.33999600000078</v>
      </c>
      <c r="P150" s="13">
        <f t="shared" si="141"/>
        <v>98.905624251508897</v>
      </c>
      <c r="Q150" s="20">
        <f t="shared" si="108"/>
        <v>930.4777886047126</v>
      </c>
      <c r="R150" s="59">
        <f t="shared" si="109"/>
        <v>1216.812881097361</v>
      </c>
      <c r="S150" s="59">
        <f ca="1">AVERAGE(OFFSET($R$3,0,0,'Données projet'!$E$9+1,1))-AVERAGE(OFFSET($H$3,0,0,'Données projet'!$E$9+1,1))</f>
        <v>681.47578137804555</v>
      </c>
      <c r="T150" s="59">
        <f t="shared" si="142"/>
        <v>300.88511065995885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47.113072486079218</v>
      </c>
      <c r="AA150" s="21">
        <f>EXP(-LN(2)/25)*AA149+(1-EXP(-LN(2)/25))/(LN(2)/25)*Calculateur!V150*Calculateur!X150*VLOOKUP('Données projet'!$B$9,Paramètres!$A$1:$I$89,3,0)*0.475*44/12</f>
        <v>21.448139044226672</v>
      </c>
      <c r="AB150" s="21">
        <f>EXP(-LN(2)/2)*AB149+(1-EXP(-LN(2)/2))/(LN(2)/2)*V150*Y150*VLOOKUP('Données projet'!$B$9,Paramètres!$A$1:$I$89,3,0)*0.475*44/12</f>
        <v>1.7629264264008031E-3</v>
      </c>
      <c r="AC150" s="22">
        <f t="shared" si="111"/>
        <v>68.562974456732277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-8.8675733422860506E-14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217.53602321474159</v>
      </c>
      <c r="AO150" s="59">
        <f t="shared" si="144"/>
        <v>215.75909414893025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5.8811555856949775</v>
      </c>
      <c r="AV150" s="21">
        <f>EXP(-LN(2)/25)*AV149+(1-EXP(-LN(2)/25))/(LN(2)/25)*Calculateur!AQ150*Calculateur!AS150*VLOOKUP('Données projet'!$B$10,Paramètres!$A$1:$I$89,3,0)*0.475*44/12</f>
        <v>3.1214993261054746</v>
      </c>
      <c r="AW150" s="21">
        <f>EXP(-LN(2)/2)*AW149+(1-EXP(-LN(2)/2))/(LN(2)/2)*AQ150*AT150*VLOOKUP('Données projet'!$B$10,Paramètres!$A$1:$I$89,3,0)*0.475*44/12</f>
        <v>7.0842666403157141E-11</v>
      </c>
      <c r="AX150" s="21">
        <f t="shared" si="114"/>
        <v>9.0026549118712946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-1.7053025658242404E-13</v>
      </c>
      <c r="BE150" s="13">
        <f>BD150*VLOOKUP('Données projet'!$B$11,Paramètres!$A$1:$I$89,3,0)*VLOOKUP('Données projet'!$B$11,Paramètres!$A$1:$I$89,5,0)</f>
        <v>-1.1439169611549005E-13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281.67293577289729</v>
      </c>
      <c r="BJ150" s="59">
        <f t="shared" si="146"/>
        <v>272.44904846480154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9.0868986887856771</v>
      </c>
      <c r="BQ150" s="21">
        <f>EXP(-LN(2)/25)*BQ149+(1-EXP(-LN(2)/25))/(LN(2)/25)*Calculateur!BL150*Calculateur!BN150*VLOOKUP('Données projet'!$B$11,Paramètres!$A$1:$I$89,3,0)*0.475*44/12</f>
        <v>5.5733343740000967</v>
      </c>
      <c r="BR150" s="21">
        <f>EXP(-LN(2)/2)*BR149+(1-EXP(-LN(2)/2))/(LN(2)/2)*BL150*BO150*VLOOKUP('Données projet'!$B$11,Paramètres!$A$1:$I$89,3,0)*0.475*44/12</f>
        <v>3.6076896605400585E-9</v>
      </c>
      <c r="BS150" s="22">
        <f t="shared" si="117"/>
        <v>14.660233066393465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-1.7053025658242404E-13</v>
      </c>
      <c r="BZ150" s="13">
        <f>BY150*VLOOKUP('Données projet'!$B$12,Paramètres!$A$1:$I$89,3,0)*VLOOKUP('Données projet'!$B$12,Paramètres!$A$1:$I$89,5,0)</f>
        <v>-1.4897523215040567E-13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348.77506423101278</v>
      </c>
      <c r="CE150" s="59">
        <f t="shared" si="148"/>
        <v>336.13747591329548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11.834100617953439</v>
      </c>
      <c r="CL150" s="21">
        <f>EXP(-LN(2)/25)*CL149+(1-EXP(-LN(2)/25))/(LN(2)/25)*Calculateur!CG150*Calculateur!CI150*VLOOKUP('Données projet'!$B$12,Paramètres!$A$1:$I$89,3,0)*0.475*44/12</f>
        <v>7.2582959289303526</v>
      </c>
      <c r="CM150" s="21">
        <f>EXP(-LN(2)/2)*CM149+(1-EXP(-LN(2)/2))/(LN(2)/2)*CG150*CJ150*VLOOKUP('Données projet'!$B$12,Paramètres!$A$1:$I$89,3,0)*0.475*44/12</f>
        <v>4.6983865346568271E-9</v>
      </c>
      <c r="CN150" s="22">
        <f t="shared" si="120"/>
        <v>19.092396551582176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7.5191666666666634</v>
      </c>
      <c r="CT150" s="12">
        <f>IF('Données projet'!$A$140&gt;35,CT149+CS150-DB149,IF(A150&lt;'Données projet'!$A$140,$CQ$205^A150,IF(A150='Données projet'!$A$140,'Données projet'!$B$140,CT149+CS150-DB149)))</f>
        <v>341.52749999999975</v>
      </c>
      <c r="CU150" s="17">
        <f>CT150*VLOOKUP('Données projet'!$B$13,Paramètres!$A$1:$I$89,3,0)*VLOOKUP('Données projet'!$B$13,Paramètres!$A$1:$I$89,5,0)</f>
        <v>330.32539799999972</v>
      </c>
      <c r="CV150" s="13">
        <f t="shared" si="149"/>
        <v>77.497766609036603</v>
      </c>
      <c r="CW150" s="20">
        <f t="shared" si="121"/>
        <v>710.29201169407168</v>
      </c>
      <c r="CX150" s="59">
        <f t="shared" si="122"/>
        <v>996.62710418672009</v>
      </c>
      <c r="CY150" s="59">
        <f ca="1">AVERAGE(OFFSET($CX$3,0,0,'Données projet'!$E$13+1,1))-AVERAGE(OFFSET($H$3,0,0,'Données projet'!$E$13+1,1))</f>
        <v>557.48193674339791</v>
      </c>
      <c r="CZ150" s="59">
        <f t="shared" si="150"/>
        <v>271.51396593253048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29.912149105533633</v>
      </c>
      <c r="DG150" s="21">
        <f>EXP(-LN(2)/25)*DG149+(1-EXP(-LN(2)/25))/(LN(2)/25)*Calculateur!DB150*Calculateur!DD150*VLOOKUP('Données projet'!$B$13,Paramètres!$A$1:$I$89,3,0)*0.475*44/12</f>
        <v>20.265113040452203</v>
      </c>
      <c r="DH150" s="21">
        <f>EXP(-LN(2)/2)*DH149+(1-EXP(-LN(2)/2))/(LN(2)/2)*DB150*DE150*VLOOKUP('Données projet'!$B$13,Paramètres!$A$1:$I$89,3,0)*0.475*44/12</f>
        <v>1.9918277924127699</v>
      </c>
      <c r="DI150" s="22">
        <f t="shared" si="123"/>
        <v>52.169089938398606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7.5191666666666634</v>
      </c>
      <c r="DO150" s="12">
        <f>IF('Données projet'!$A$166&gt;35,DO149+DN150-DW149,IF(A150&lt;'Données projet'!$A$166,$DL$205^A150,IF(A150='Données projet'!$A$166,'Données projet'!$B$166,DO149+DN150-DW149)))</f>
        <v>341.52749999999975</v>
      </c>
      <c r="DP150" s="17">
        <f>DO150*VLOOKUP('Données projet'!$B$14,Paramètres!$A$1:$I$89,3,0)*VLOOKUP('Données projet'!$B$14,Paramètres!$A$1:$I$89,5,0)</f>
        <v>367.62020099999972</v>
      </c>
      <c r="DQ150" s="13">
        <f t="shared" si="151"/>
        <v>85.180257102365204</v>
      </c>
      <c r="DR150" s="20">
        <f t="shared" si="124"/>
        <v>788.6274645282856</v>
      </c>
      <c r="DS150" s="59">
        <f t="shared" si="125"/>
        <v>1074.9625570209341</v>
      </c>
      <c r="DT150" s="59">
        <f ca="1">AVERAGE(OFFSET($DS$3,0,0,'Données projet'!$E$14+1,1))-AVERAGE(OFFSET($H$3,0,0,'Données projet'!$E$14+1,1))</f>
        <v>610.05768948788375</v>
      </c>
      <c r="DU150" s="59">
        <f t="shared" si="152"/>
        <v>295.23928902444845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33.289327230351937</v>
      </c>
      <c r="EB150" s="21">
        <f>EXP(-LN(2)/25)*EB149+(1-EXP(-LN(2)/25))/(LN(2)/25)*Calculateur!DW150*Calculateur!DY150*VLOOKUP('Données projet'!$B$14,Paramètres!$A$1:$I$89,3,0)*0.475*44/12</f>
        <v>22.55310967405164</v>
      </c>
      <c r="EC150" s="21">
        <f>EXP(-LN(2)/2)*EC149+(1-EXP(-LN(2)/2))/(LN(2)/2)*DW150*DZ150*VLOOKUP('Données projet'!$B$14,Paramètres!$A$1:$I$89,3,0)*0.475*44/12</f>
        <v>2.2167115754271145</v>
      </c>
      <c r="ED150" s="22">
        <f t="shared" si="126"/>
        <v>58.059148479830689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9.3350000000000026</v>
      </c>
      <c r="N151" s="13">
        <f>IF('Données projet'!$A$36&gt;35,N150+M151-V150,IF(A151&lt;'Données projet'!$A$36,$K$205^A151,IF(A151='Données projet'!$A$36,'Données projet'!$B$36,N150+M151-V150)))</f>
        <v>490.48000000000087</v>
      </c>
      <c r="O151" s="13">
        <f>N151*VLOOKUP('Données projet'!$B$9,Paramètres!$A$1:$I$89,3,0)*VLOOKUP('Données projet'!$B$9,Paramètres!$A$1:$I$89,5,0)</f>
        <v>443.78630400000077</v>
      </c>
      <c r="P151" s="13">
        <f t="shared" si="141"/>
        <v>100.59929067522565</v>
      </c>
      <c r="Q151" s="20">
        <f t="shared" si="108"/>
        <v>948.13824405935259</v>
      </c>
      <c r="R151" s="59">
        <f t="shared" si="109"/>
        <v>1234.5947403848643</v>
      </c>
      <c r="S151" s="59">
        <f ca="1">AVERAGE(OFFSET($R$3,0,0,'Données projet'!$E$9+1,1))-AVERAGE(OFFSET($H$3,0,0,'Données projet'!$E$9+1,1))</f>
        <v>681.47578137804555</v>
      </c>
      <c r="T151" s="59">
        <f t="shared" si="142"/>
        <v>300.88511065995885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46.189213870763965</v>
      </c>
      <c r="AA151" s="21">
        <f>EXP(-LN(2)/25)*AA150+(1-EXP(-LN(2)/25))/(LN(2)/25)*Calculateur!V151*Calculateur!X151*VLOOKUP('Données projet'!$B$9,Paramètres!$A$1:$I$89,3,0)*0.475*44/12</f>
        <v>20.861638554153682</v>
      </c>
      <c r="AB151" s="21">
        <f>EXP(-LN(2)/2)*AB150+(1-EXP(-LN(2)/2))/(LN(2)/2)*V151*Y151*VLOOKUP('Données projet'!$B$9,Paramètres!$A$1:$I$89,3,0)*0.475*44/12</f>
        <v>1.2465772308409748E-3</v>
      </c>
      <c r="AC151" s="22">
        <f t="shared" si="111"/>
        <v>67.052099002148495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-8.8675733422860506E-14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217.53602321474159</v>
      </c>
      <c r="AO151" s="59">
        <f t="shared" si="144"/>
        <v>215.75909414893025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5.7658297118102046</v>
      </c>
      <c r="AV151" s="21">
        <f>EXP(-LN(2)/25)*AV150+(1-EXP(-LN(2)/25))/(LN(2)/25)*Calculateur!AQ151*Calculateur!AS151*VLOOKUP('Données projet'!$B$10,Paramètres!$A$1:$I$89,3,0)*0.475*44/12</f>
        <v>3.0361417628806051</v>
      </c>
      <c r="AW151" s="21">
        <f>EXP(-LN(2)/2)*AW150+(1-EXP(-LN(2)/2))/(LN(2)/2)*AQ151*AT151*VLOOKUP('Données projet'!$B$10,Paramètres!$A$1:$I$89,3,0)*0.475*44/12</f>
        <v>5.0093329811008819E-11</v>
      </c>
      <c r="AX151" s="21">
        <f t="shared" si="114"/>
        <v>8.8019714747409026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-1.7053025658242404E-13</v>
      </c>
      <c r="BE151" s="13">
        <f>BD151*VLOOKUP('Données projet'!$B$11,Paramètres!$A$1:$I$89,3,0)*VLOOKUP('Données projet'!$B$11,Paramètres!$A$1:$I$89,5,0)</f>
        <v>-1.1439169611549005E-13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281.67293577289729</v>
      </c>
      <c r="BJ151" s="59">
        <f t="shared" si="146"/>
        <v>272.44904846480154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8.9087101479595177</v>
      </c>
      <c r="BQ151" s="21">
        <f>EXP(-LN(2)/25)*BQ150+(1-EXP(-LN(2)/25))/(LN(2)/25)*Calculateur!BL151*Calculateur!BN151*VLOOKUP('Données projet'!$B$11,Paramètres!$A$1:$I$89,3,0)*0.475*44/12</f>
        <v>5.4209312524541478</v>
      </c>
      <c r="BR151" s="21">
        <f>EXP(-LN(2)/2)*BR150+(1-EXP(-LN(2)/2))/(LN(2)/2)*BL151*BO151*VLOOKUP('Données projet'!$B$11,Paramètres!$A$1:$I$89,3,0)*0.475*44/12</f>
        <v>2.551021823384469E-9</v>
      </c>
      <c r="BS151" s="22">
        <f t="shared" si="117"/>
        <v>14.329641402964688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-1.7053025658242404E-13</v>
      </c>
      <c r="BZ151" s="13">
        <f>BY151*VLOOKUP('Données projet'!$B$12,Paramètres!$A$1:$I$89,3,0)*VLOOKUP('Données projet'!$B$12,Paramètres!$A$1:$I$89,5,0)</f>
        <v>-1.4897523215040567E-13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348.77506423101278</v>
      </c>
      <c r="CE151" s="59">
        <f t="shared" si="148"/>
        <v>336.13747591329548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11.602041122924021</v>
      </c>
      <c r="CL151" s="21">
        <f>EXP(-LN(2)/25)*CL150+(1-EXP(-LN(2)/25))/(LN(2)/25)*Calculateur!CG151*Calculateur!CI151*VLOOKUP('Données projet'!$B$12,Paramètres!$A$1:$I$89,3,0)*0.475*44/12</f>
        <v>7.0598174450565585</v>
      </c>
      <c r="CM151" s="21">
        <f>EXP(-LN(2)/2)*CM150+(1-EXP(-LN(2)/2))/(LN(2)/2)*CG151*CJ151*VLOOKUP('Données projet'!$B$12,Paramètres!$A$1:$I$89,3,0)*0.475*44/12</f>
        <v>3.3222609792914064E-9</v>
      </c>
      <c r="CN151" s="22">
        <f t="shared" si="120"/>
        <v>18.66185857130284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7.5191666666666634</v>
      </c>
      <c r="CT151" s="12">
        <f>IF('Données projet'!$A$140&gt;35,CT150+CS151-DB150,IF(A151&lt;'Données projet'!$A$140,$CQ$205^A151,IF(A151='Données projet'!$A$140,'Données projet'!$B$140,CT150+CS151-DB150)))</f>
        <v>349.0466666666664</v>
      </c>
      <c r="CU151" s="17">
        <f>CT151*VLOOKUP('Données projet'!$B$13,Paramètres!$A$1:$I$89,3,0)*VLOOKUP('Données projet'!$B$13,Paramètres!$A$1:$I$89,5,0)</f>
        <v>337.59793599999972</v>
      </c>
      <c r="CV151" s="13">
        <f t="shared" si="149"/>
        <v>79.003460193077288</v>
      </c>
      <c r="CW151" s="20">
        <f t="shared" si="121"/>
        <v>725.58076503627569</v>
      </c>
      <c r="CX151" s="59">
        <f t="shared" si="122"/>
        <v>1012.0372613617874</v>
      </c>
      <c r="CY151" s="59">
        <f ca="1">AVERAGE(OFFSET($CX$3,0,0,'Données projet'!$E$13+1,1))-AVERAGE(OFFSET($H$3,0,0,'Données projet'!$E$13+1,1))</f>
        <v>557.48193674339791</v>
      </c>
      <c r="CZ151" s="59">
        <f t="shared" si="150"/>
        <v>271.51396593253048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29.325590106183569</v>
      </c>
      <c r="DG151" s="21">
        <f>EXP(-LN(2)/25)*DG150+(1-EXP(-LN(2)/25))/(LN(2)/25)*Calculateur!DB151*Calculateur!DD151*VLOOKUP('Données projet'!$B$13,Paramètres!$A$1:$I$89,3,0)*0.475*44/12</f>
        <v>19.710962458665058</v>
      </c>
      <c r="DH151" s="21">
        <f>EXP(-LN(2)/2)*DH150+(1-EXP(-LN(2)/2))/(LN(2)/2)*DB151*DE151*VLOOKUP('Données projet'!$B$13,Paramètres!$A$1:$I$89,3,0)*0.475*44/12</f>
        <v>1.4084349389709006</v>
      </c>
      <c r="DI151" s="22">
        <f t="shared" si="123"/>
        <v>50.444987503819526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7.5191666666666634</v>
      </c>
      <c r="DO151" s="12">
        <f>IF('Données projet'!$A$166&gt;35,DO150+DN151-DW150,IF(A151&lt;'Données projet'!$A$166,$DL$205^A151,IF(A151='Données projet'!$A$166,'Données projet'!$B$166,DO150+DN151-DW150)))</f>
        <v>349.0466666666664</v>
      </c>
      <c r="DP151" s="17">
        <f>DO151*VLOOKUP('Données projet'!$B$14,Paramètres!$A$1:$I$89,3,0)*VLOOKUP('Données projet'!$B$14,Paramètres!$A$1:$I$89,5,0)</f>
        <v>375.71383199999968</v>
      </c>
      <c r="DQ151" s="13">
        <f t="shared" si="151"/>
        <v>86.835212750996902</v>
      </c>
      <c r="DR151" s="20">
        <f t="shared" si="124"/>
        <v>805.60625294131898</v>
      </c>
      <c r="DS151" s="59">
        <f t="shared" si="125"/>
        <v>1092.0627492668307</v>
      </c>
      <c r="DT151" s="59">
        <f ca="1">AVERAGE(OFFSET($DS$3,0,0,'Données projet'!$E$14+1,1))-AVERAGE(OFFSET($H$3,0,0,'Données projet'!$E$14+1,1))</f>
        <v>610.05768948788375</v>
      </c>
      <c r="DU151" s="59">
        <f t="shared" si="152"/>
        <v>295.23928902444845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32.636543827849444</v>
      </c>
      <c r="EB151" s="21">
        <f>EXP(-LN(2)/25)*EB150+(1-EXP(-LN(2)/25))/(LN(2)/25)*Calculateur!DW151*Calculateur!DY151*VLOOKUP('Données projet'!$B$14,Paramètres!$A$1:$I$89,3,0)*0.475*44/12</f>
        <v>21.936393703998206</v>
      </c>
      <c r="EC151" s="21">
        <f>EXP(-LN(2)/2)*EC150+(1-EXP(-LN(2)/2))/(LN(2)/2)*DW151*DZ151*VLOOKUP('Données projet'!$B$14,Paramètres!$A$1:$I$89,3,0)*0.475*44/12</f>
        <v>1.5674517869192277</v>
      </c>
      <c r="ED151" s="22">
        <f t="shared" si="126"/>
        <v>56.140389318766879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9.3350000000000026</v>
      </c>
      <c r="N152" s="13">
        <f>IF('Données projet'!$A$36&gt;35,N151+M152-V151,IF(A152&lt;'Données projet'!$A$36,$K$205^A152,IF(A152='Données projet'!$A$36,'Données projet'!$B$36,N151+M152-V151)))</f>
        <v>499.81500000000085</v>
      </c>
      <c r="O152" s="13">
        <f>N152*VLOOKUP('Données projet'!$B$9,Paramètres!$A$1:$I$89,3,0)*VLOOKUP('Données projet'!$B$9,Paramètres!$A$1:$I$89,5,0)</f>
        <v>452.2326120000007</v>
      </c>
      <c r="P152" s="13">
        <f t="shared" si="141"/>
        <v>102.28920891735658</v>
      </c>
      <c r="Q152" s="20">
        <f t="shared" si="108"/>
        <v>965.79217143106382</v>
      </c>
      <c r="R152" s="59">
        <f t="shared" si="109"/>
        <v>1252.367965504357</v>
      </c>
      <c r="S152" s="59">
        <f ca="1">AVERAGE(OFFSET($R$3,0,0,'Données projet'!$E$9+1,1))-AVERAGE(OFFSET($H$3,0,0,'Données projet'!$E$9+1,1))</f>
        <v>681.47578137804555</v>
      </c>
      <c r="T152" s="59">
        <f t="shared" si="142"/>
        <v>300.88511065995885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45.283471559396929</v>
      </c>
      <c r="AA152" s="21">
        <f>EXP(-LN(2)/25)*AA151+(1-EXP(-LN(2)/25))/(LN(2)/25)*Calculateur!V152*Calculateur!X152*VLOOKUP('Données projet'!$B$9,Paramètres!$A$1:$I$89,3,0)*0.475*44/12</f>
        <v>20.291175950824456</v>
      </c>
      <c r="AB152" s="21">
        <f>EXP(-LN(2)/2)*AB151+(1-EXP(-LN(2)/2))/(LN(2)/2)*V152*Y152*VLOOKUP('Données projet'!$B$9,Paramètres!$A$1:$I$89,3,0)*0.475*44/12</f>
        <v>8.8146321320040153E-4</v>
      </c>
      <c r="AC152" s="22">
        <f t="shared" si="111"/>
        <v>65.575528973434587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-8.8675733422860506E-14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217.53602321474159</v>
      </c>
      <c r="AO152" s="59">
        <f t="shared" si="144"/>
        <v>215.75909414893025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5.6527653079704745</v>
      </c>
      <c r="AV152" s="21">
        <f>EXP(-LN(2)/25)*AV151+(1-EXP(-LN(2)/25))/(LN(2)/25)*Calculateur!AQ152*Calculateur!AS152*VLOOKUP('Données projet'!$B$10,Paramètres!$A$1:$I$89,3,0)*0.475*44/12</f>
        <v>2.9531183067108788</v>
      </c>
      <c r="AW152" s="21">
        <f>EXP(-LN(2)/2)*AW151+(1-EXP(-LN(2)/2))/(LN(2)/2)*AQ152*AT152*VLOOKUP('Données projet'!$B$10,Paramètres!$A$1:$I$89,3,0)*0.475*44/12</f>
        <v>3.542133320157857E-11</v>
      </c>
      <c r="AX152" s="21">
        <f t="shared" si="114"/>
        <v>8.6058836147167739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-1.7053025658242404E-13</v>
      </c>
      <c r="BE152" s="13">
        <f>BD152*VLOOKUP('Données projet'!$B$11,Paramètres!$A$1:$I$89,3,0)*VLOOKUP('Données projet'!$B$11,Paramètres!$A$1:$I$89,5,0)</f>
        <v>-1.1439169611549005E-13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281.67293577289729</v>
      </c>
      <c r="BJ152" s="59">
        <f t="shared" si="146"/>
        <v>272.44904846480154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8.7340157757346812</v>
      </c>
      <c r="BQ152" s="21">
        <f>EXP(-LN(2)/25)*BQ151+(1-EXP(-LN(2)/25))/(LN(2)/25)*Calculateur!BL152*Calculateur!BN152*VLOOKUP('Données projet'!$B$11,Paramètres!$A$1:$I$89,3,0)*0.475*44/12</f>
        <v>5.272695602281404</v>
      </c>
      <c r="BR152" s="21">
        <f>EXP(-LN(2)/2)*BR151+(1-EXP(-LN(2)/2))/(LN(2)/2)*BL152*BO152*VLOOKUP('Données projet'!$B$11,Paramètres!$A$1:$I$89,3,0)*0.475*44/12</f>
        <v>1.8038448302700292E-9</v>
      </c>
      <c r="BS152" s="22">
        <f t="shared" si="117"/>
        <v>14.006711379819929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-1.7053025658242404E-13</v>
      </c>
      <c r="BZ152" s="13">
        <f>BY152*VLOOKUP('Données projet'!$B$12,Paramètres!$A$1:$I$89,3,0)*VLOOKUP('Données projet'!$B$12,Paramètres!$A$1:$I$89,5,0)</f>
        <v>-1.4897523215040567E-13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348.77506423101278</v>
      </c>
      <c r="CE152" s="59">
        <f t="shared" si="148"/>
        <v>336.13747591329548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11.374532173049815</v>
      </c>
      <c r="CL152" s="21">
        <f>EXP(-LN(2)/25)*CL151+(1-EXP(-LN(2)/25))/(LN(2)/25)*Calculateur!CG152*Calculateur!CI152*VLOOKUP('Données projet'!$B$12,Paramètres!$A$1:$I$89,3,0)*0.475*44/12</f>
        <v>6.8667663657618228</v>
      </c>
      <c r="CM152" s="21">
        <f>EXP(-LN(2)/2)*CM151+(1-EXP(-LN(2)/2))/(LN(2)/2)*CG152*CJ152*VLOOKUP('Données projet'!$B$12,Paramètres!$A$1:$I$89,3,0)*0.475*44/12</f>
        <v>2.3491932673284135E-9</v>
      </c>
      <c r="CN152" s="22">
        <f t="shared" si="120"/>
        <v>18.24129854116083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7.5191666666666634</v>
      </c>
      <c r="CT152" s="12">
        <f>IF('Données projet'!$A$140&gt;35,CT151+CS152-DB151,IF(A152&lt;'Données projet'!$A$140,$CQ$205^A152,IF(A152='Données projet'!$A$140,'Données projet'!$B$140,CT151+CS152-DB151)))</f>
        <v>356.56583333333305</v>
      </c>
      <c r="CU152" s="17">
        <f>CT152*VLOOKUP('Données projet'!$B$13,Paramètres!$A$1:$I$89,3,0)*VLOOKUP('Données projet'!$B$13,Paramètres!$A$1:$I$89,5,0)</f>
        <v>344.87047399999972</v>
      </c>
      <c r="CV152" s="13">
        <f t="shared" si="149"/>
        <v>80.505382686910082</v>
      </c>
      <c r="CW152" s="20">
        <f t="shared" si="121"/>
        <v>740.86295039636786</v>
      </c>
      <c r="CX152" s="59">
        <f t="shared" si="122"/>
        <v>1027.4387444696608</v>
      </c>
      <c r="CY152" s="59">
        <f ca="1">AVERAGE(OFFSET($CX$3,0,0,'Données projet'!$E$13+1,1))-AVERAGE(OFFSET($H$3,0,0,'Données projet'!$E$13+1,1))</f>
        <v>557.48193674339791</v>
      </c>
      <c r="CZ152" s="59">
        <f t="shared" si="150"/>
        <v>271.51396593253048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28.750533171045095</v>
      </c>
      <c r="DG152" s="21">
        <f>EXP(-LN(2)/25)*DG151+(1-EXP(-LN(2)/25))/(LN(2)/25)*Calculateur!DB152*Calculateur!DD152*VLOOKUP('Données projet'!$B$13,Paramètres!$A$1:$I$89,3,0)*0.475*44/12</f>
        <v>19.171965153678396</v>
      </c>
      <c r="DH152" s="21">
        <f>EXP(-LN(2)/2)*DH151+(1-EXP(-LN(2)/2))/(LN(2)/2)*DB152*DE152*VLOOKUP('Données projet'!$B$13,Paramètres!$A$1:$I$89,3,0)*0.475*44/12</f>
        <v>0.99591389620638504</v>
      </c>
      <c r="DI152" s="22">
        <f t="shared" si="123"/>
        <v>48.918412220929874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7.5191666666666634</v>
      </c>
      <c r="DO152" s="12">
        <f>IF('Données projet'!$A$166&gt;35,DO151+DN152-DW151,IF(A152&lt;'Données projet'!$A$166,$DL$205^A152,IF(A152='Données projet'!$A$166,'Données projet'!$B$166,DO151+DN152-DW151)))</f>
        <v>356.56583333333305</v>
      </c>
      <c r="DP152" s="17">
        <f>DO152*VLOOKUP('Données projet'!$B$14,Paramètres!$A$1:$I$89,3,0)*VLOOKUP('Données projet'!$B$14,Paramètres!$A$1:$I$89,5,0)</f>
        <v>383.80746299999964</v>
      </c>
      <c r="DQ152" s="13">
        <f t="shared" si="151"/>
        <v>88.486023474587299</v>
      </c>
      <c r="DR152" s="20">
        <f t="shared" si="124"/>
        <v>822.57782227657208</v>
      </c>
      <c r="DS152" s="59">
        <f t="shared" si="125"/>
        <v>1109.1536163498652</v>
      </c>
      <c r="DT152" s="59">
        <f ca="1">AVERAGE(OFFSET($DS$3,0,0,'Données projet'!$E$14+1,1))-AVERAGE(OFFSET($H$3,0,0,'Données projet'!$E$14+1,1))</f>
        <v>610.05768948788375</v>
      </c>
      <c r="DU152" s="59">
        <f t="shared" si="152"/>
        <v>295.23928902444845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31.996561109711465</v>
      </c>
      <c r="EB152" s="21">
        <f>EXP(-LN(2)/25)*EB151+(1-EXP(-LN(2)/25))/(LN(2)/25)*Calculateur!DW152*Calculateur!DY152*VLOOKUP('Données projet'!$B$14,Paramètres!$A$1:$I$89,3,0)*0.475*44/12</f>
        <v>21.336541864577566</v>
      </c>
      <c r="EC152" s="21">
        <f>EXP(-LN(2)/2)*EC151+(1-EXP(-LN(2)/2))/(LN(2)/2)*DW152*DZ152*VLOOKUP('Données projet'!$B$14,Paramètres!$A$1:$I$89,3,0)*0.475*44/12</f>
        <v>1.1083557877135573</v>
      </c>
      <c r="ED152" s="22">
        <f t="shared" si="126"/>
        <v>54.44145876200259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9.3350000000000026</v>
      </c>
      <c r="N153" s="13">
        <f>IF('Données projet'!$A$36&gt;35,N152+M153-V152,IF(A153&lt;'Données projet'!$A$36,$K$205^A153,IF(A153='Données projet'!$A$36,'Données projet'!$B$36,N152+M153-V152)))</f>
        <v>509.15000000000083</v>
      </c>
      <c r="O153" s="13">
        <f>N153*VLOOKUP('Données projet'!$B$9,Paramètres!$A$1:$I$89,3,0)*VLOOKUP('Données projet'!$B$9,Paramètres!$A$1:$I$89,5,0)</f>
        <v>460.67892000000074</v>
      </c>
      <c r="P153" s="13">
        <f t="shared" si="141"/>
        <v>103.97545705513664</v>
      </c>
      <c r="Q153" s="20">
        <f t="shared" si="108"/>
        <v>983.43970670436431</v>
      </c>
      <c r="R153" s="59">
        <f t="shared" si="109"/>
        <v>1270.1327289762246</v>
      </c>
      <c r="S153" s="59">
        <f ca="1">AVERAGE(OFFSET($R$3,0,0,'Données projet'!$E$9+1,1))-AVERAGE(OFFSET($H$3,0,0,'Données projet'!$E$9+1,1))</f>
        <v>681.47578137804555</v>
      </c>
      <c r="T153" s="59">
        <f t="shared" si="142"/>
        <v>300.88511065995885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44.395490302307536</v>
      </c>
      <c r="AA153" s="21">
        <f>EXP(-LN(2)/25)*AA152+(1-EXP(-LN(2)/25))/(LN(2)/25)*Calculateur!V153*Calculateur!X153*VLOOKUP('Données projet'!$B$9,Paramètres!$A$1:$I$89,3,0)*0.475*44/12</f>
        <v>19.736312677382596</v>
      </c>
      <c r="AB153" s="21">
        <f>EXP(-LN(2)/2)*AB152+(1-EXP(-LN(2)/2))/(LN(2)/2)*V153*Y153*VLOOKUP('Données projet'!$B$9,Paramètres!$A$1:$I$89,3,0)*0.475*44/12</f>
        <v>6.2328861542048741E-4</v>
      </c>
      <c r="AC153" s="22">
        <f t="shared" si="111"/>
        <v>64.132426268305551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-8.8675733422860506E-14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217.53602321474159</v>
      </c>
      <c r="AO153" s="59">
        <f t="shared" si="144"/>
        <v>215.75909414893025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5.5419180281275651</v>
      </c>
      <c r="AV153" s="21">
        <f>EXP(-LN(2)/25)*AV152+(1-EXP(-LN(2)/25))/(LN(2)/25)*Calculateur!AQ153*Calculateur!AS153*VLOOKUP('Données projet'!$B$10,Paramètres!$A$1:$I$89,3,0)*0.475*44/12</f>
        <v>2.8723651313161276</v>
      </c>
      <c r="AW153" s="21">
        <f>EXP(-LN(2)/2)*AW152+(1-EXP(-LN(2)/2))/(LN(2)/2)*AQ153*AT153*VLOOKUP('Données projet'!$B$10,Paramètres!$A$1:$I$89,3,0)*0.475*44/12</f>
        <v>2.5046664905504409E-11</v>
      </c>
      <c r="AX153" s="21">
        <f t="shared" si="114"/>
        <v>8.4142831594687397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-1.7053025658242404E-13</v>
      </c>
      <c r="BE153" s="13">
        <f>BD153*VLOOKUP('Données projet'!$B$11,Paramètres!$A$1:$I$89,3,0)*VLOOKUP('Données projet'!$B$11,Paramètres!$A$1:$I$89,5,0)</f>
        <v>-1.1439169611549005E-13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281.67293577289729</v>
      </c>
      <c r="BJ153" s="59">
        <f t="shared" si="146"/>
        <v>272.44904846480154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8.5627470535961283</v>
      </c>
      <c r="BQ153" s="21">
        <f>EXP(-LN(2)/25)*BQ152+(1-EXP(-LN(2)/25))/(LN(2)/25)*Calculateur!BL153*Calculateur!BN153*VLOOKUP('Données projet'!$B$11,Paramètres!$A$1:$I$89,3,0)*0.475*44/12</f>
        <v>5.1285134637580079</v>
      </c>
      <c r="BR153" s="21">
        <f>EXP(-LN(2)/2)*BR152+(1-EXP(-LN(2)/2))/(LN(2)/2)*BL153*BO153*VLOOKUP('Données projet'!$B$11,Paramètres!$A$1:$I$89,3,0)*0.475*44/12</f>
        <v>1.2755109116922345E-9</v>
      </c>
      <c r="BS153" s="22">
        <f t="shared" si="117"/>
        <v>13.691260518629647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-1.7053025658242404E-13</v>
      </c>
      <c r="BZ153" s="13">
        <f>BY153*VLOOKUP('Données projet'!$B$12,Paramètres!$A$1:$I$89,3,0)*VLOOKUP('Données projet'!$B$12,Paramètres!$A$1:$I$89,5,0)</f>
        <v>-1.4897523215040567E-13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348.77506423101278</v>
      </c>
      <c r="CE153" s="59">
        <f t="shared" si="148"/>
        <v>336.13747591329548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11.151484534915884</v>
      </c>
      <c r="CL153" s="21">
        <f>EXP(-LN(2)/25)*CL152+(1-EXP(-LN(2)/25))/(LN(2)/25)*Calculateur!CG153*Calculateur!CI153*VLOOKUP('Données projet'!$B$12,Paramètres!$A$1:$I$89,3,0)*0.475*44/12</f>
        <v>6.6789942783825165</v>
      </c>
      <c r="CM153" s="21">
        <f>EXP(-LN(2)/2)*CM152+(1-EXP(-LN(2)/2))/(LN(2)/2)*CG153*CJ153*VLOOKUP('Données projet'!$B$12,Paramètres!$A$1:$I$89,3,0)*0.475*44/12</f>
        <v>1.6611304896457032E-9</v>
      </c>
      <c r="CN153" s="22">
        <f t="shared" si="120"/>
        <v>17.83047881495953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7.5191666666666634</v>
      </c>
      <c r="CT153" s="12">
        <f>IF('Données projet'!$A$140&gt;35,CT152+CS153-DB152,IF(A153&lt;'Données projet'!$A$140,$CQ$205^A153,IF(A153='Données projet'!$A$140,'Données projet'!$B$140,CT152+CS153-DB152)))</f>
        <v>364.0849999999997</v>
      </c>
      <c r="CU153" s="17">
        <f>CT153*VLOOKUP('Données projet'!$B$13,Paramètres!$A$1:$I$89,3,0)*VLOOKUP('Données projet'!$B$13,Paramètres!$A$1:$I$89,5,0)</f>
        <v>352.14301199999971</v>
      </c>
      <c r="CV153" s="13">
        <f t="shared" si="149"/>
        <v>82.003622775261761</v>
      </c>
      <c r="CW153" s="20">
        <f t="shared" si="121"/>
        <v>756.13872223358032</v>
      </c>
      <c r="CX153" s="59">
        <f t="shared" si="122"/>
        <v>1042.8317445054406</v>
      </c>
      <c r="CY153" s="59">
        <f ca="1">AVERAGE(OFFSET($CX$3,0,0,'Données projet'!$E$13+1,1))-AVERAGE(OFFSET($H$3,0,0,'Données projet'!$E$13+1,1))</f>
        <v>557.48193674339791</v>
      </c>
      <c r="CZ153" s="59">
        <f t="shared" si="150"/>
        <v>271.51396593253048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28.186752751654591</v>
      </c>
      <c r="DG153" s="21">
        <f>EXP(-LN(2)/25)*DG152+(1-EXP(-LN(2)/25))/(LN(2)/25)*Calculateur!DB153*Calculateur!DD153*VLOOKUP('Données projet'!$B$13,Paramètres!$A$1:$I$89,3,0)*0.475*44/12</f>
        <v>18.647706758341233</v>
      </c>
      <c r="DH153" s="21">
        <f>EXP(-LN(2)/2)*DH152+(1-EXP(-LN(2)/2))/(LN(2)/2)*DB153*DE153*VLOOKUP('Données projet'!$B$13,Paramètres!$A$1:$I$89,3,0)*0.475*44/12</f>
        <v>0.70421746948545039</v>
      </c>
      <c r="DI153" s="22">
        <f t="shared" si="123"/>
        <v>47.538676979481274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7.5191666666666634</v>
      </c>
      <c r="DO153" s="12">
        <f>IF('Données projet'!$A$166&gt;35,DO152+DN153-DW152,IF(A153&lt;'Données projet'!$A$166,$DL$205^A153,IF(A153='Données projet'!$A$166,'Données projet'!$B$166,DO152+DN153-DW152)))</f>
        <v>364.0849999999997</v>
      </c>
      <c r="DP153" s="17">
        <f>DO153*VLOOKUP('Données projet'!$B$14,Paramètres!$A$1:$I$89,3,0)*VLOOKUP('Données projet'!$B$14,Paramètres!$A$1:$I$89,5,0)</f>
        <v>391.90109399999966</v>
      </c>
      <c r="DQ153" s="13">
        <f t="shared" si="151"/>
        <v>90.132786749336674</v>
      </c>
      <c r="DR153" s="20">
        <f t="shared" si="124"/>
        <v>839.54234230509417</v>
      </c>
      <c r="DS153" s="59">
        <f t="shared" si="125"/>
        <v>1126.2353645769545</v>
      </c>
      <c r="DT153" s="59">
        <f ca="1">AVERAGE(OFFSET($DS$3,0,0,'Données projet'!$E$14+1,1))-AVERAGE(OFFSET($H$3,0,0,'Données projet'!$E$14+1,1))</f>
        <v>610.05768948788375</v>
      </c>
      <c r="DU153" s="59">
        <f t="shared" si="152"/>
        <v>295.23928902444845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31.369128062325256</v>
      </c>
      <c r="EB153" s="21">
        <f>EXP(-LN(2)/25)*EB152+(1-EXP(-LN(2)/25))/(LN(2)/25)*Calculateur!DW153*Calculateur!DY153*VLOOKUP('Données projet'!$B$14,Paramètres!$A$1:$I$89,3,0)*0.475*44/12</f>
        <v>20.753093005250722</v>
      </c>
      <c r="EC153" s="21">
        <f>EXP(-LN(2)/2)*EC152+(1-EXP(-LN(2)/2))/(LN(2)/2)*DW153*DZ153*VLOOKUP('Données projet'!$B$14,Paramètres!$A$1:$I$89,3,0)*0.475*44/12</f>
        <v>0.78372589345961385</v>
      </c>
      <c r="ED153" s="22">
        <f t="shared" si="126"/>
        <v>52.905946961035589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9.3350000000000026</v>
      </c>
      <c r="N154" s="13">
        <f>IF('Données projet'!$A$36&gt;35,N153+M154-V153,IF(A154&lt;'Données projet'!$A$36,$K$205^A154,IF(A154='Données projet'!$A$36,'Données projet'!$B$36,N153+M154-V153)))</f>
        <v>518.48500000000081</v>
      </c>
      <c r="O154" s="13">
        <f>N154*VLOOKUP('Données projet'!$B$9,Paramètres!$A$1:$I$89,3,0)*VLOOKUP('Données projet'!$B$9,Paramètres!$A$1:$I$89,5,0)</f>
        <v>469.12522800000067</v>
      </c>
      <c r="P154" s="13">
        <f t="shared" si="141"/>
        <v>105.65811013888603</v>
      </c>
      <c r="Q154" s="20">
        <f t="shared" ref="Q154:Q203" si="162">(O154+P154)*0.475*44/12</f>
        <v>1001.0809805918944</v>
      </c>
      <c r="R154" s="59">
        <f t="shared" si="109"/>
        <v>1287.8891974151597</v>
      </c>
      <c r="S154" s="59">
        <f ca="1">AVERAGE(OFFSET($R$3,0,0,'Données projet'!$E$9+1,1))-AVERAGE(OFFSET($H$3,0,0,'Données projet'!$E$9+1,1))</f>
        <v>681.47578137804555</v>
      </c>
      <c r="T154" s="59">
        <f t="shared" si="142"/>
        <v>300.88511065995885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43.524921816054579</v>
      </c>
      <c r="AA154" s="21">
        <f>EXP(-LN(2)/25)*AA153+(1-EXP(-LN(2)/25))/(LN(2)/25)*Calculateur!V154*Calculateur!X154*VLOOKUP('Données projet'!$B$9,Paramètres!$A$1:$I$89,3,0)*0.475*44/12</f>
        <v>19.196622169331992</v>
      </c>
      <c r="AB154" s="21">
        <f>EXP(-LN(2)/2)*AB153+(1-EXP(-LN(2)/2))/(LN(2)/2)*V154*Y154*VLOOKUP('Données projet'!$B$9,Paramètres!$A$1:$I$89,3,0)*0.475*44/12</f>
        <v>4.4073160660020077E-4</v>
      </c>
      <c r="AC154" s="22">
        <f t="shared" ref="AC154:AC203" si="163">SUM(Z154:AB154)</f>
        <v>62.721984716993177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-8.8675733422860506E-14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217.53602321474159</v>
      </c>
      <c r="AO154" s="59">
        <f t="shared" si="144"/>
        <v>215.75909414893025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5.4332443958322099</v>
      </c>
      <c r="AV154" s="21">
        <f>EXP(-LN(2)/25)*AV153+(1-EXP(-LN(2)/25))/(LN(2)/25)*Calculateur!AQ154*Calculateur!AS154*VLOOKUP('Données projet'!$B$10,Paramètres!$A$1:$I$89,3,0)*0.475*44/12</f>
        <v>2.7938201557491706</v>
      </c>
      <c r="AW154" s="21">
        <f>EXP(-LN(2)/2)*AW153+(1-EXP(-LN(2)/2))/(LN(2)/2)*AQ154*AT154*VLOOKUP('Données projet'!$B$10,Paramètres!$A$1:$I$89,3,0)*0.475*44/12</f>
        <v>1.7710666600789285E-11</v>
      </c>
      <c r="AX154" s="21">
        <f t="shared" ref="AX154:AX203" si="166">SUM(AU154:AW154)</f>
        <v>8.2270645515990903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-1.7053025658242404E-13</v>
      </c>
      <c r="BE154" s="13">
        <f>BD154*VLOOKUP('Données projet'!$B$11,Paramètres!$A$1:$I$89,3,0)*VLOOKUP('Données projet'!$B$11,Paramètres!$A$1:$I$89,5,0)</f>
        <v>-1.1439169611549005E-13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281.67293577289729</v>
      </c>
      <c r="BJ154" s="59">
        <f t="shared" si="146"/>
        <v>272.44904846480154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8.3948368066351069</v>
      </c>
      <c r="BQ154" s="21">
        <f>EXP(-LN(2)/25)*BQ153+(1-EXP(-LN(2)/25))/(LN(2)/25)*Calculateur!BL154*Calculateur!BN154*VLOOKUP('Données projet'!$B$11,Paramètres!$A$1:$I$89,3,0)*0.475*44/12</f>
        <v>4.9882739933947438</v>
      </c>
      <c r="BR154" s="21">
        <f>EXP(-LN(2)/2)*BR153+(1-EXP(-LN(2)/2))/(LN(2)/2)*BL154*BO154*VLOOKUP('Données projet'!$B$11,Paramètres!$A$1:$I$89,3,0)*0.475*44/12</f>
        <v>9.0192241513501462E-10</v>
      </c>
      <c r="BS154" s="22">
        <f t="shared" ref="BS154:BS203" si="169">SUM(BP154:BR154)</f>
        <v>13.383110800931773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-1.7053025658242404E-13</v>
      </c>
      <c r="BZ154" s="13">
        <f>BY154*VLOOKUP('Données projet'!$B$12,Paramètres!$A$1:$I$89,3,0)*VLOOKUP('Données projet'!$B$12,Paramètres!$A$1:$I$89,5,0)</f>
        <v>-1.4897523215040567E-13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348.77506423101278</v>
      </c>
      <c r="CE154" s="59">
        <f t="shared" si="148"/>
        <v>336.13747591329548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10.932810724920135</v>
      </c>
      <c r="CL154" s="21">
        <f>EXP(-LN(2)/25)*CL153+(1-EXP(-LN(2)/25))/(LN(2)/25)*Calculateur!CG154*Calculateur!CI154*VLOOKUP('Données projet'!$B$12,Paramètres!$A$1:$I$89,3,0)*0.475*44/12</f>
        <v>6.4963568286071025</v>
      </c>
      <c r="CM154" s="21">
        <f>EXP(-LN(2)/2)*CM153+(1-EXP(-LN(2)/2))/(LN(2)/2)*CG154*CJ154*VLOOKUP('Données projet'!$B$12,Paramètres!$A$1:$I$89,3,0)*0.475*44/12</f>
        <v>1.1745966336642068E-9</v>
      </c>
      <c r="CN154" s="22">
        <f t="shared" ref="CN154:CN203" si="172">SUM(CK154:CM154)</f>
        <v>17.429167554701834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7.5191666666666634</v>
      </c>
      <c r="CT154" s="12">
        <f>IF('Données projet'!$A$140&gt;35,CT153+CS154-DB153,IF(A154&lt;'Données projet'!$A$140,$CQ$205^A154,IF(A154='Données projet'!$A$140,'Données projet'!$B$140,CT153+CS154-DB153)))</f>
        <v>371.60416666666634</v>
      </c>
      <c r="CU154" s="17">
        <f>CT154*VLOOKUP('Données projet'!$B$13,Paramètres!$A$1:$I$89,3,0)*VLOOKUP('Données projet'!$B$13,Paramètres!$A$1:$I$89,5,0)</f>
        <v>359.41554999999971</v>
      </c>
      <c r="CV154" s="13">
        <f t="shared" ref="CV154:CV203" si="173">EXP(-1.0587+0.8836*LN(CU154)+0.284)</f>
        <v>83.498265270422635</v>
      </c>
      <c r="CW154" s="20">
        <f t="shared" ref="CW154:CW203" si="174">(CU154+CV154)*0.475*44/12</f>
        <v>771.40822826265219</v>
      </c>
      <c r="CX154" s="59">
        <f t="shared" si="122"/>
        <v>1058.2164450859175</v>
      </c>
      <c r="CY154" s="59">
        <f ca="1">AVERAGE(OFFSET($CX$3,0,0,'Données projet'!$E$13+1,1))-AVERAGE(OFFSET($H$3,0,0,'Données projet'!$E$13+1,1))</f>
        <v>557.48193674339791</v>
      </c>
      <c r="CZ154" s="59">
        <f t="shared" si="150"/>
        <v>271.51396593253048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27.634027722416231</v>
      </c>
      <c r="DG154" s="21">
        <f>EXP(-LN(2)/25)*DG153+(1-EXP(-LN(2)/25))/(LN(2)/25)*Calculateur!DB154*Calculateur!DD154*VLOOKUP('Données projet'!$B$13,Paramètres!$A$1:$I$89,3,0)*0.475*44/12</f>
        <v>18.137784236394115</v>
      </c>
      <c r="DH154" s="21">
        <f>EXP(-LN(2)/2)*DH153+(1-EXP(-LN(2)/2))/(LN(2)/2)*DB154*DE154*VLOOKUP('Données projet'!$B$13,Paramètres!$A$1:$I$89,3,0)*0.475*44/12</f>
        <v>0.49795694810319263</v>
      </c>
      <c r="DI154" s="22">
        <f t="shared" ref="DI154:DI203" si="175">SUM(DF154:DH154)</f>
        <v>46.269768906913541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7.5191666666666634</v>
      </c>
      <c r="DO154" s="12">
        <f>IF('Données projet'!$A$166&gt;35,DO153+DN154-DW153,IF(A154&lt;'Données projet'!$A$166,$DL$205^A154,IF(A154='Données projet'!$A$166,'Données projet'!$B$166,DO153+DN154-DW153)))</f>
        <v>371.60416666666634</v>
      </c>
      <c r="DP154" s="17">
        <f>DO154*VLOOKUP('Données projet'!$B$14,Paramètres!$A$1:$I$89,3,0)*VLOOKUP('Données projet'!$B$14,Paramètres!$A$1:$I$89,5,0)</f>
        <v>399.99472499999968</v>
      </c>
      <c r="DQ154" s="13">
        <f t="shared" ref="DQ154:DQ203" si="176">EXP(-1.0587+0.8836*LN(DP154)+0.284)</f>
        <v>91.775595795127657</v>
      </c>
      <c r="DR154" s="20">
        <f t="shared" ref="DR154:DR203" si="177">(DP154+DQ154)*0.475*44/12</f>
        <v>856.49997538484661</v>
      </c>
      <c r="DS154" s="59">
        <f t="shared" si="125"/>
        <v>1143.3081922081119</v>
      </c>
      <c r="DT154" s="59">
        <f ca="1">AVERAGE(OFFSET($DS$3,0,0,'Données projet'!$E$14+1,1))-AVERAGE(OFFSET($H$3,0,0,'Données projet'!$E$14+1,1))</f>
        <v>610.05768948788375</v>
      </c>
      <c r="DU154" s="59">
        <f t="shared" si="152"/>
        <v>295.23928902444845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30.753998594301923</v>
      </c>
      <c r="EB154" s="21">
        <f>EXP(-LN(2)/25)*EB153+(1-EXP(-LN(2)/25))/(LN(2)/25)*Calculateur!DW154*Calculateur!DY154*VLOOKUP('Données projet'!$B$14,Paramètres!$A$1:$I$89,3,0)*0.475*44/12</f>
        <v>20.185598585664412</v>
      </c>
      <c r="EC154" s="21">
        <f>EXP(-LN(2)/2)*EC153+(1-EXP(-LN(2)/2))/(LN(2)/2)*DW154*DZ154*VLOOKUP('Données projet'!$B$14,Paramètres!$A$1:$I$89,3,0)*0.475*44/12</f>
        <v>0.55417789385677863</v>
      </c>
      <c r="ED154" s="22">
        <f t="shared" ref="ED154:ED203" si="178">SUM(EA154:EC154)</f>
        <v>51.493775073823116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9.3350000000000026</v>
      </c>
      <c r="N155" s="13">
        <f>IF('Données projet'!$A$36&gt;35,N154+M155-V154,IF(A155&lt;'Données projet'!$A$36,$K$205^A155,IF(A155='Données projet'!$A$36,'Données projet'!$B$36,N154+M155-V154)))</f>
        <v>527.82000000000085</v>
      </c>
      <c r="O155" s="13">
        <f>N155*VLOOKUP('Données projet'!$B$9,Paramètres!$A$1:$I$89,3,0)*VLOOKUP('Données projet'!$B$9,Paramètres!$A$1:$I$89,5,0)</f>
        <v>477.57153600000072</v>
      </c>
      <c r="P155" s="13">
        <f t="shared" si="141"/>
        <v>107.3372403617045</v>
      </c>
      <c r="Q155" s="20">
        <f t="shared" si="162"/>
        <v>1018.71611882997</v>
      </c>
      <c r="R155" s="59">
        <f t="shared" si="109"/>
        <v>1305.63753183671</v>
      </c>
      <c r="S155" s="59">
        <f ca="1">AVERAGE(OFFSET($R$3,0,0,'Données projet'!$E$9+1,1))-AVERAGE(OFFSET($H$3,0,0,'Données projet'!$E$9+1,1))</f>
        <v>681.47578137804555</v>
      </c>
      <c r="T155" s="59">
        <f t="shared" si="142"/>
        <v>300.88511065995885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42.6714246468227</v>
      </c>
      <c r="AA155" s="21">
        <f>EXP(-LN(2)/25)*AA154+(1-EXP(-LN(2)/25))/(LN(2)/25)*Calculateur!V155*Calculateur!X155*VLOOKUP('Données projet'!$B$9,Paramètres!$A$1:$I$89,3,0)*0.475*44/12</f>
        <v>18.671689526605125</v>
      </c>
      <c r="AB155" s="21">
        <f>EXP(-LN(2)/2)*AB154+(1-EXP(-LN(2)/2))/(LN(2)/2)*V155*Y155*VLOOKUP('Données projet'!$B$9,Paramètres!$A$1:$I$89,3,0)*0.475*44/12</f>
        <v>3.1164430771024371E-4</v>
      </c>
      <c r="AC155" s="22">
        <f t="shared" si="163"/>
        <v>61.343425817735529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-8.8675733422860506E-14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217.53602321474159</v>
      </c>
      <c r="AO155" s="59">
        <f t="shared" si="144"/>
        <v>215.75909414893025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5.3267017871817961</v>
      </c>
      <c r="AV155" s="21">
        <f>EXP(-LN(2)/25)*AV154+(1-EXP(-LN(2)/25))/(LN(2)/25)*Calculateur!AQ155*Calculateur!AS155*VLOOKUP('Données projet'!$B$10,Paramètres!$A$1:$I$89,3,0)*0.475*44/12</f>
        <v>2.7174229966695931</v>
      </c>
      <c r="AW155" s="21">
        <f>EXP(-LN(2)/2)*AW154+(1-EXP(-LN(2)/2))/(LN(2)/2)*AQ155*AT155*VLOOKUP('Données projet'!$B$10,Paramètres!$A$1:$I$89,3,0)*0.475*44/12</f>
        <v>1.2523332452752205E-11</v>
      </c>
      <c r="AX155" s="21">
        <f t="shared" si="166"/>
        <v>8.0441247838639125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-1.7053025658242404E-13</v>
      </c>
      <c r="BE155" s="13">
        <f>BD155*VLOOKUP('Données projet'!$B$11,Paramètres!$A$1:$I$89,3,0)*VLOOKUP('Données projet'!$B$11,Paramètres!$A$1:$I$89,5,0)</f>
        <v>-1.1439169611549005E-13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281.67293577289729</v>
      </c>
      <c r="BJ155" s="59">
        <f t="shared" si="146"/>
        <v>272.44904846480154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8.2302191772018531</v>
      </c>
      <c r="BQ155" s="21">
        <f>EXP(-LN(2)/25)*BQ154+(1-EXP(-LN(2)/25))/(LN(2)/25)*Calculateur!BL155*Calculateur!BN155*VLOOKUP('Données projet'!$B$11,Paramètres!$A$1:$I$89,3,0)*0.475*44/12</f>
        <v>4.8518693787234364</v>
      </c>
      <c r="BR155" s="21">
        <f>EXP(-LN(2)/2)*BR154+(1-EXP(-LN(2)/2))/(LN(2)/2)*BL155*BO155*VLOOKUP('Données projet'!$B$11,Paramètres!$A$1:$I$89,3,0)*0.475*44/12</f>
        <v>6.3775545584611726E-10</v>
      </c>
      <c r="BS155" s="22">
        <f t="shared" si="169"/>
        <v>13.082088556563043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-1.7053025658242404E-13</v>
      </c>
      <c r="BZ155" s="13">
        <f>BY155*VLOOKUP('Données projet'!$B$12,Paramètres!$A$1:$I$89,3,0)*VLOOKUP('Données projet'!$B$12,Paramètres!$A$1:$I$89,5,0)</f>
        <v>-1.4897523215040567E-13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348.77506423101278</v>
      </c>
      <c r="CE155" s="59">
        <f t="shared" si="148"/>
        <v>336.13747591329548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10.718424974960547</v>
      </c>
      <c r="CL155" s="21">
        <f>EXP(-LN(2)/25)*CL154+(1-EXP(-LN(2)/25))/(LN(2)/25)*Calculateur!CG155*Calculateur!CI155*VLOOKUP('Données projet'!$B$12,Paramètres!$A$1:$I$89,3,0)*0.475*44/12</f>
        <v>6.3187136095002829</v>
      </c>
      <c r="CM155" s="21">
        <f>EXP(-LN(2)/2)*CM154+(1-EXP(-LN(2)/2))/(LN(2)/2)*CG155*CJ155*VLOOKUP('Données projet'!$B$12,Paramètres!$A$1:$I$89,3,0)*0.475*44/12</f>
        <v>8.3056524482285159E-10</v>
      </c>
      <c r="CN155" s="22">
        <f t="shared" si="172"/>
        <v>17.037138585291395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7.5191666666666634</v>
      </c>
      <c r="CT155" s="12">
        <f>IF('Données projet'!$A$140&gt;35,CT154+CS155-DB154,IF(A155&lt;'Données projet'!$A$140,$CQ$205^A155,IF(A155='Données projet'!$A$140,'Données projet'!$B$140,CT154+CS155-DB154)))</f>
        <v>379.12333333333299</v>
      </c>
      <c r="CU155" s="17">
        <f>CT155*VLOOKUP('Données projet'!$B$13,Paramètres!$A$1:$I$89,3,0)*VLOOKUP('Données projet'!$B$13,Paramètres!$A$1:$I$89,5,0)</f>
        <v>366.68808799999971</v>
      </c>
      <c r="CV155" s="13">
        <f t="shared" si="173"/>
        <v>84.989391356215521</v>
      </c>
      <c r="CW155" s="20">
        <f t="shared" si="174"/>
        <v>786.67160987874149</v>
      </c>
      <c r="CX155" s="59">
        <f t="shared" si="122"/>
        <v>1073.5930228854813</v>
      </c>
      <c r="CY155" s="59">
        <f ca="1">AVERAGE(OFFSET($CX$3,0,0,'Données projet'!$E$13+1,1))-AVERAGE(OFFSET($H$3,0,0,'Données projet'!$E$13+1,1))</f>
        <v>557.48193674339791</v>
      </c>
      <c r="CZ155" s="59">
        <f t="shared" si="150"/>
        <v>271.51396593253048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27.092141293872256</v>
      </c>
      <c r="DG155" s="21">
        <f>EXP(-LN(2)/25)*DG154+(1-EXP(-LN(2)/25))/(LN(2)/25)*Calculateur!DB155*Calculateur!DD155*VLOOKUP('Données projet'!$B$13,Paramètres!$A$1:$I$89,3,0)*0.475*44/12</f>
        <v>17.641805572625298</v>
      </c>
      <c r="DH155" s="21">
        <f>EXP(-LN(2)/2)*DH154+(1-EXP(-LN(2)/2))/(LN(2)/2)*DB155*DE155*VLOOKUP('Données projet'!$B$13,Paramètres!$A$1:$I$89,3,0)*0.475*44/12</f>
        <v>0.35210873474272525</v>
      </c>
      <c r="DI155" s="22">
        <f t="shared" si="175"/>
        <v>45.086055601240282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7.5191666666666634</v>
      </c>
      <c r="DO155" s="12">
        <f>IF('Données projet'!$A$166&gt;35,DO154+DN155-DW154,IF(A155&lt;'Données projet'!$A$166,$DL$205^A155,IF(A155='Données projet'!$A$166,'Données projet'!$B$166,DO154+DN155-DW154)))</f>
        <v>379.12333333333299</v>
      </c>
      <c r="DP155" s="17">
        <f>DO155*VLOOKUP('Données projet'!$B$14,Paramètres!$A$1:$I$89,3,0)*VLOOKUP('Données projet'!$B$14,Paramètres!$A$1:$I$89,5,0)</f>
        <v>408.08835599999958</v>
      </c>
      <c r="DQ155" s="13">
        <f t="shared" si="176"/>
        <v>93.414539843678753</v>
      </c>
      <c r="DR155" s="20">
        <f t="shared" si="177"/>
        <v>873.45087692773961</v>
      </c>
      <c r="DS155" s="59">
        <f t="shared" si="125"/>
        <v>1160.3722899344796</v>
      </c>
      <c r="DT155" s="59">
        <f ca="1">AVERAGE(OFFSET($DS$3,0,0,'Données projet'!$E$14+1,1))-AVERAGE(OFFSET($H$3,0,0,'Données projet'!$E$14+1,1))</f>
        <v>610.05768948788375</v>
      </c>
      <c r="DU155" s="59">
        <f t="shared" si="152"/>
        <v>295.23928902444845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30.150931439954597</v>
      </c>
      <c r="EB155" s="21">
        <f>EXP(-LN(2)/25)*EB154+(1-EXP(-LN(2)/25))/(LN(2)/25)*Calculateur!DW155*Calculateur!DY155*VLOOKUP('Données projet'!$B$14,Paramètres!$A$1:$I$89,3,0)*0.475*44/12</f>
        <v>19.633622330824924</v>
      </c>
      <c r="EC155" s="21">
        <f>EXP(-LN(2)/2)*EC154+(1-EXP(-LN(2)/2))/(LN(2)/2)*DW155*DZ155*VLOOKUP('Données projet'!$B$14,Paramètres!$A$1:$I$89,3,0)*0.475*44/12</f>
        <v>0.39186294672980693</v>
      </c>
      <c r="ED155" s="22">
        <f t="shared" si="178"/>
        <v>50.176416717509333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9.3350000000000026</v>
      </c>
      <c r="N156" s="13">
        <f>IF('Données projet'!$A$36&gt;35,N155+M156-V155,IF(A156&lt;'Données projet'!$A$36,$K$205^A156,IF(A156='Données projet'!$A$36,'Données projet'!$B$36,N155+M156-V155)))</f>
        <v>537.15500000000088</v>
      </c>
      <c r="O156" s="13">
        <f>N156*VLOOKUP('Données projet'!$B$9,Paramètres!$A$1:$I$89,3,0)*VLOOKUP('Données projet'!$B$9,Paramètres!$A$1:$I$89,5,0)</f>
        <v>486.01784400000076</v>
      </c>
      <c r="P156" s="13">
        <f t="shared" si="141"/>
        <v>109.01291721682281</v>
      </c>
      <c r="Q156" s="20">
        <f t="shared" si="162"/>
        <v>1036.3452424526342</v>
      </c>
      <c r="R156" s="59">
        <f t="shared" si="109"/>
        <v>1323.3778879421343</v>
      </c>
      <c r="S156" s="59">
        <f ca="1">AVERAGE(OFFSET($R$3,0,0,'Données projet'!$E$9+1,1))-AVERAGE(OFFSET($H$3,0,0,'Données projet'!$E$9+1,1))</f>
        <v>681.47578137804555</v>
      </c>
      <c r="T156" s="59">
        <f t="shared" si="142"/>
        <v>300.88511065995885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41.834664036497585</v>
      </c>
      <c r="AA156" s="21">
        <f>EXP(-LN(2)/25)*AA155+(1-EXP(-LN(2)/25))/(LN(2)/25)*Calculateur!V156*Calculateur!X156*VLOOKUP('Données projet'!$B$9,Paramètres!$A$1:$I$89,3,0)*0.475*44/12</f>
        <v>18.161111194598629</v>
      </c>
      <c r="AB156" s="21">
        <f>EXP(-LN(2)/2)*AB155+(1-EXP(-LN(2)/2))/(LN(2)/2)*V156*Y156*VLOOKUP('Données projet'!$B$9,Paramètres!$A$1:$I$89,3,0)*0.475*44/12</f>
        <v>2.2036580330010038E-4</v>
      </c>
      <c r="AC156" s="22">
        <f t="shared" si="163"/>
        <v>59.995995596899519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-8.8675733422860506E-14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217.53602321474159</v>
      </c>
      <c r="AO156" s="59">
        <f t="shared" si="144"/>
        <v>215.75909414893025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5.2222484141024426</v>
      </c>
      <c r="AV156" s="21">
        <f>EXP(-LN(2)/25)*AV155+(1-EXP(-LN(2)/25))/(LN(2)/25)*Calculateur!AQ156*Calculateur!AS156*VLOOKUP('Données projet'!$B$10,Paramètres!$A$1:$I$89,3,0)*0.475*44/12</f>
        <v>2.6431149219225984</v>
      </c>
      <c r="AW156" s="21">
        <f>EXP(-LN(2)/2)*AW155+(1-EXP(-LN(2)/2))/(LN(2)/2)*AQ156*AT156*VLOOKUP('Données projet'!$B$10,Paramètres!$A$1:$I$89,3,0)*0.475*44/12</f>
        <v>8.8553333003946426E-12</v>
      </c>
      <c r="AX156" s="21">
        <f t="shared" si="166"/>
        <v>7.8653633360338961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-1.7053025658242404E-13</v>
      </c>
      <c r="BE156" s="13">
        <f>BD156*VLOOKUP('Données projet'!$B$11,Paramètres!$A$1:$I$89,3,0)*VLOOKUP('Données projet'!$B$11,Paramètres!$A$1:$I$89,5,0)</f>
        <v>-1.1439169611549005E-13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281.67293577289729</v>
      </c>
      <c r="BJ156" s="59">
        <f t="shared" si="146"/>
        <v>272.44904846480154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8.0688295990749452</v>
      </c>
      <c r="BQ156" s="21">
        <f>EXP(-LN(2)/25)*BQ155+(1-EXP(-LN(2)/25))/(LN(2)/25)*Calculateur!BL156*Calculateur!BN156*VLOOKUP('Données projet'!$B$11,Paramètres!$A$1:$I$89,3,0)*0.475*44/12</f>
        <v>4.7191947554135227</v>
      </c>
      <c r="BR156" s="21">
        <f>EXP(-LN(2)/2)*BR155+(1-EXP(-LN(2)/2))/(LN(2)/2)*BL156*BO156*VLOOKUP('Données projet'!$B$11,Paramètres!$A$1:$I$89,3,0)*0.475*44/12</f>
        <v>4.5096120756750731E-10</v>
      </c>
      <c r="BS156" s="22">
        <f t="shared" si="169"/>
        <v>12.788024354939429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-1.7053025658242404E-13</v>
      </c>
      <c r="BZ156" s="13">
        <f>BY156*VLOOKUP('Données projet'!$B$12,Paramètres!$A$1:$I$89,3,0)*VLOOKUP('Données projet'!$B$12,Paramètres!$A$1:$I$89,5,0)</f>
        <v>-1.4897523215040567E-13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348.77506423101278</v>
      </c>
      <c r="CE156" s="59">
        <f t="shared" si="148"/>
        <v>336.13747591329548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10.508243198795272</v>
      </c>
      <c r="CL156" s="21">
        <f>EXP(-LN(2)/25)*CL155+(1-EXP(-LN(2)/25))/(LN(2)/25)*Calculateur!CG156*Calculateur!CI156*VLOOKUP('Données projet'!$B$12,Paramètres!$A$1:$I$89,3,0)*0.475*44/12</f>
        <v>6.1459280535617902</v>
      </c>
      <c r="CM156" s="21">
        <f>EXP(-LN(2)/2)*CM155+(1-EXP(-LN(2)/2))/(LN(2)/2)*CG156*CJ156*VLOOKUP('Données projet'!$B$12,Paramètres!$A$1:$I$89,3,0)*0.475*44/12</f>
        <v>5.8729831683210339E-10</v>
      </c>
      <c r="CN156" s="22">
        <f t="shared" si="172"/>
        <v>16.654171252944362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7.5191666666666634</v>
      </c>
      <c r="CT156" s="12">
        <f>IF('Données projet'!$A$140&gt;35,CT155+CS156-DB155,IF(A156&lt;'Données projet'!$A$140,$CQ$205^A156,IF(A156='Données projet'!$A$140,'Données projet'!$B$140,CT155+CS156-DB155)))</f>
        <v>386.64249999999964</v>
      </c>
      <c r="CU156" s="17">
        <f>CT156*VLOOKUP('Données projet'!$B$13,Paramètres!$A$1:$I$89,3,0)*VLOOKUP('Données projet'!$B$13,Paramètres!$A$1:$I$89,5,0)</f>
        <v>373.96062599999971</v>
      </c>
      <c r="CV156" s="13">
        <f t="shared" si="173"/>
        <v>86.477078812062814</v>
      </c>
      <c r="CW156" s="20">
        <f t="shared" si="174"/>
        <v>801.92900254767562</v>
      </c>
      <c r="CX156" s="59">
        <f t="shared" si="122"/>
        <v>1088.9616480371756</v>
      </c>
      <c r="CY156" s="59">
        <f ca="1">AVERAGE(OFFSET($CX$3,0,0,'Données projet'!$E$13+1,1))-AVERAGE(OFFSET($H$3,0,0,'Données projet'!$E$13+1,1))</f>
        <v>557.48193674339791</v>
      </c>
      <c r="CZ156" s="59">
        <f t="shared" si="150"/>
        <v>271.51396593253048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26.560880927673946</v>
      </c>
      <c r="DG156" s="21">
        <f>EXP(-LN(2)/25)*DG155+(1-EXP(-LN(2)/25))/(LN(2)/25)*Calculateur!DB156*Calculateur!DD156*VLOOKUP('Données projet'!$B$13,Paramètres!$A$1:$I$89,3,0)*0.475*44/12</f>
        <v>17.159389471499626</v>
      </c>
      <c r="DH156" s="21">
        <f>EXP(-LN(2)/2)*DH155+(1-EXP(-LN(2)/2))/(LN(2)/2)*DB156*DE156*VLOOKUP('Données projet'!$B$13,Paramètres!$A$1:$I$89,3,0)*0.475*44/12</f>
        <v>0.24897847405159634</v>
      </c>
      <c r="DI156" s="22">
        <f t="shared" si="175"/>
        <v>43.969248873225169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7.5191666666666634</v>
      </c>
      <c r="DO156" s="12">
        <f>IF('Données projet'!$A$166&gt;35,DO155+DN156-DW155,IF(A156&lt;'Données projet'!$A$166,$DL$205^A156,IF(A156='Données projet'!$A$166,'Données projet'!$B$166,DO155+DN156-DW155)))</f>
        <v>386.64249999999964</v>
      </c>
      <c r="DP156" s="17">
        <f>DO156*VLOOKUP('Données projet'!$B$14,Paramètres!$A$1:$I$89,3,0)*VLOOKUP('Données projet'!$B$14,Paramètres!$A$1:$I$89,5,0)</f>
        <v>416.18198699999954</v>
      </c>
      <c r="DQ156" s="13">
        <f t="shared" si="176"/>
        <v>95.049704384823855</v>
      </c>
      <c r="DR156" s="20">
        <f t="shared" si="177"/>
        <v>890.39519582856747</v>
      </c>
      <c r="DS156" s="59">
        <f t="shared" si="125"/>
        <v>1177.4278413180675</v>
      </c>
      <c r="DT156" s="59">
        <f ca="1">AVERAGE(OFFSET($DS$3,0,0,'Données projet'!$E$14+1,1))-AVERAGE(OFFSET($H$3,0,0,'Données projet'!$E$14+1,1))</f>
        <v>610.05768948788375</v>
      </c>
      <c r="DU156" s="59">
        <f t="shared" si="152"/>
        <v>295.23928902444845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29.559690064669379</v>
      </c>
      <c r="EB156" s="21">
        <f>EXP(-LN(2)/25)*EB155+(1-EXP(-LN(2)/25))/(LN(2)/25)*Calculateur!DW156*Calculateur!DY156*VLOOKUP('Données projet'!$B$14,Paramètres!$A$1:$I$89,3,0)*0.475*44/12</f>
        <v>19.096739895701191</v>
      </c>
      <c r="EC156" s="21">
        <f>EXP(-LN(2)/2)*EC155+(1-EXP(-LN(2)/2))/(LN(2)/2)*DW156*DZ156*VLOOKUP('Données projet'!$B$14,Paramètres!$A$1:$I$89,3,0)*0.475*44/12</f>
        <v>0.27708894692838931</v>
      </c>
      <c r="ED156" s="22">
        <f t="shared" si="178"/>
        <v>48.933518907298961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546.49</v>
      </c>
      <c r="L157" s="12">
        <f>VLOOKUP(A157,'Données projet'!$A$35:$I$55,9,0)</f>
        <v>9.3350000000000026</v>
      </c>
      <c r="M157" s="12">
        <f t="array" ref="M157">INDEX(L:L,MIN(IF(ISNUMBER(L157:L353),ROW(L157:L353),"")))</f>
        <v>9.3350000000000026</v>
      </c>
      <c r="N157" s="13">
        <f>IF('Données projet'!$A$36&gt;35,N156+M157-V156,IF(A157&lt;'Données projet'!$A$36,$K$205^A157,IF(A157='Données projet'!$A$36,'Données projet'!$B$36,N156+M157-V156)))</f>
        <v>546.49000000000092</v>
      </c>
      <c r="O157" s="13">
        <f>N157*VLOOKUP('Données projet'!$B$9,Paramètres!$A$1:$I$89,3,0)*VLOOKUP('Données projet'!$B$9,Paramètres!$A$1:$I$89,5,0)</f>
        <v>494.46415200000081</v>
      </c>
      <c r="P157" s="13">
        <f t="shared" si="141"/>
        <v>110.68520764370523</v>
      </c>
      <c r="Q157" s="20">
        <f t="shared" si="162"/>
        <v>1053.9684680461214</v>
      </c>
      <c r="R157" s="59">
        <f t="shared" si="109"/>
        <v>1341.1104163834841</v>
      </c>
      <c r="S157" s="59">
        <f ca="1">AVERAGE(OFFSET($R$3,0,0,'Données projet'!$E$9+1,1))-AVERAGE(OFFSET($H$3,0,0,'Données projet'!$E$9+1,1))</f>
        <v>681.47578137804555</v>
      </c>
      <c r="T157" s="59">
        <f t="shared" si="142"/>
        <v>300.88511065995885</v>
      </c>
      <c r="U157" s="15">
        <f>IF(ISNA(VLOOKUP(A157,'Données projet'!$A$35:$I$55,3,0)),0,VLOOKUP(A157,'Données projet'!$A$35:$I$55,3,0))</f>
        <v>13</v>
      </c>
      <c r="V157" s="15">
        <f>IF(ISNA(VLOOKUP(A157,'Données projet'!$A$35:$I$55,4,0)),0,VLOOKUP(A157,'Données projet'!$A$35:$I$55,4,0))</f>
        <v>61.050000000000011</v>
      </c>
      <c r="W157" s="16">
        <f>IF(ISNA(VLOOKUP(A157,'Données projet'!$A$35:$I$55,5,0)),0%,VLOOKUP(A157,'Données projet'!$A$35:$I$55,5,0)*VLOOKUP('Données projet'!$B$9,Paramètres!$A$1:$I$89,7,0))</f>
        <v>0.215</v>
      </c>
      <c r="X157" s="16">
        <f>IF(ISNA(VLOOKUP(A157,'Données projet'!$A$35:$I$55,6,0)),0%,VLOOKUP(A157,'Données projet'!$A$35:$I$55,6,0)*VLOOKUP('Données projet'!$B$9,Paramètres!$A$1:$I$89,7,0))</f>
        <v>8.6000000000000007E-2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54.143075455710473</v>
      </c>
      <c r="AA157" s="21">
        <f>EXP(-LN(2)/25)*AA156+(1-EXP(-LN(2)/25))/(LN(2)/25)*Calculateur!V157*Calculateur!X157*VLOOKUP('Données projet'!$B$9,Paramètres!$A$1:$I$89,3,0)*0.475*44/12</f>
        <v>22.895322941669175</v>
      </c>
      <c r="AB157" s="21">
        <f>EXP(-LN(2)/2)*AB156+(1-EXP(-LN(2)/2))/(LN(2)/2)*V157*Y157*VLOOKUP('Données projet'!$B$9,Paramètres!$A$1:$I$89,3,0)*0.475*44/12</f>
        <v>1.5582215385512185E-4</v>
      </c>
      <c r="AC157" s="22">
        <f t="shared" si="163"/>
        <v>77.038554219533509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-8.8675733422860506E-14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217.53602321474159</v>
      </c>
      <c r="AO157" s="59">
        <f t="shared" si="144"/>
        <v>215.75909414893025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5.1198433079589085</v>
      </c>
      <c r="AV157" s="21">
        <f>EXP(-LN(2)/25)*AV156+(1-EXP(-LN(2)/25))/(LN(2)/25)*Calculateur!AQ157*Calculateur!AS157*VLOOKUP('Données projet'!$B$10,Paramètres!$A$1:$I$89,3,0)*0.475*44/12</f>
        <v>2.5708388053872522</v>
      </c>
      <c r="AW157" s="21">
        <f>EXP(-LN(2)/2)*AW156+(1-EXP(-LN(2)/2))/(LN(2)/2)*AQ157*AT157*VLOOKUP('Données projet'!$B$10,Paramètres!$A$1:$I$89,3,0)*0.475*44/12</f>
        <v>6.2616662263761023E-12</v>
      </c>
      <c r="AX157" s="21">
        <f t="shared" si="166"/>
        <v>7.6906821133524224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-1.7053025658242404E-13</v>
      </c>
      <c r="BE157" s="13">
        <f>BD157*VLOOKUP('Données projet'!$B$11,Paramètres!$A$1:$I$89,3,0)*VLOOKUP('Données projet'!$B$11,Paramètres!$A$1:$I$89,5,0)</f>
        <v>-1.1439169611549005E-13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281.67293577289729</v>
      </c>
      <c r="BJ157" s="59">
        <f t="shared" si="146"/>
        <v>272.44904846480154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7.9106047721371828</v>
      </c>
      <c r="BQ157" s="21">
        <f>EXP(-LN(2)/25)*BQ156+(1-EXP(-LN(2)/25))/(LN(2)/25)*Calculateur!BL157*Calculateur!BN157*VLOOKUP('Données projet'!$B$11,Paramètres!$A$1:$I$89,3,0)*0.475*44/12</f>
        <v>4.5901481266550732</v>
      </c>
      <c r="BR157" s="21">
        <f>EXP(-LN(2)/2)*BR156+(1-EXP(-LN(2)/2))/(LN(2)/2)*BL157*BO157*VLOOKUP('Données projet'!$B$11,Paramètres!$A$1:$I$89,3,0)*0.475*44/12</f>
        <v>3.1887772792305863E-10</v>
      </c>
      <c r="BS157" s="22">
        <f t="shared" si="169"/>
        <v>12.500752899111134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-1.7053025658242404E-13</v>
      </c>
      <c r="BZ157" s="13">
        <f>BY157*VLOOKUP('Données projet'!$B$12,Paramètres!$A$1:$I$89,3,0)*VLOOKUP('Données projet'!$B$12,Paramètres!$A$1:$I$89,5,0)</f>
        <v>-1.4897523215040567E-13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348.77506423101278</v>
      </c>
      <c r="CE157" s="59">
        <f t="shared" si="148"/>
        <v>336.13747591329548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10.302182959062373</v>
      </c>
      <c r="CL157" s="21">
        <f>EXP(-LN(2)/25)*CL156+(1-EXP(-LN(2)/25))/(LN(2)/25)*Calculateur!CG157*Calculateur!CI157*VLOOKUP('Données projet'!$B$12,Paramètres!$A$1:$I$89,3,0)*0.475*44/12</f>
        <v>5.977867327736833</v>
      </c>
      <c r="CM157" s="21">
        <f>EXP(-LN(2)/2)*CM156+(1-EXP(-LN(2)/2))/(LN(2)/2)*CG157*CJ157*VLOOKUP('Données projet'!$B$12,Paramètres!$A$1:$I$89,3,0)*0.475*44/12</f>
        <v>4.152826224114258E-10</v>
      </c>
      <c r="CN157" s="22">
        <f t="shared" si="172"/>
        <v>16.28005028721449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7.5191666666666634</v>
      </c>
      <c r="CT157" s="12">
        <f>IF('Données projet'!$A$140&gt;35,CT156+CS157-DB156,IF(A157&lt;'Données projet'!$A$140,$CQ$205^A157,IF(A157='Données projet'!$A$140,'Données projet'!$B$140,CT156+CS157-DB156)))</f>
        <v>394.16166666666629</v>
      </c>
      <c r="CU157" s="17">
        <f>CT157*VLOOKUP('Données projet'!$B$13,Paramètres!$A$1:$I$89,3,0)*VLOOKUP('Données projet'!$B$13,Paramètres!$A$1:$I$89,5,0)</f>
        <v>381.23316399999965</v>
      </c>
      <c r="CV157" s="13">
        <f t="shared" si="173"/>
        <v>87.961402219130861</v>
      </c>
      <c r="CW157" s="20">
        <f t="shared" si="174"/>
        <v>817.18053616498548</v>
      </c>
      <c r="CX157" s="59">
        <f t="shared" si="122"/>
        <v>1104.3224845023483</v>
      </c>
      <c r="CY157" s="59">
        <f ca="1">AVERAGE(OFFSET($CX$3,0,0,'Données projet'!$E$13+1,1))-AVERAGE(OFFSET($H$3,0,0,'Données projet'!$E$13+1,1))</f>
        <v>557.48193674339791</v>
      </c>
      <c r="CZ157" s="59">
        <f t="shared" si="150"/>
        <v>271.51396593253048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26.040038253219954</v>
      </c>
      <c r="DG157" s="21">
        <f>EXP(-LN(2)/25)*DG156+(1-EXP(-LN(2)/25))/(LN(2)/25)*Calculateur!DB157*Calculateur!DD157*VLOOKUP('Données projet'!$B$13,Paramètres!$A$1:$I$89,3,0)*0.475*44/12</f>
        <v>16.690165064028395</v>
      </c>
      <c r="DH157" s="21">
        <f>EXP(-LN(2)/2)*DH156+(1-EXP(-LN(2)/2))/(LN(2)/2)*DB157*DE157*VLOOKUP('Données projet'!$B$13,Paramètres!$A$1:$I$89,3,0)*0.475*44/12</f>
        <v>0.17605436737136265</v>
      </c>
      <c r="DI157" s="22">
        <f t="shared" si="175"/>
        <v>42.906257684619717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7.5191666666666634</v>
      </c>
      <c r="DO157" s="12">
        <f>IF('Données projet'!$A$166&gt;35,DO156+DN157-DW156,IF(A157&lt;'Données projet'!$A$166,$DL$205^A157,IF(A157='Données projet'!$A$166,'Données projet'!$B$166,DO156+DN157-DW156)))</f>
        <v>394.16166666666629</v>
      </c>
      <c r="DP157" s="17">
        <f>DO157*VLOOKUP('Données projet'!$B$14,Paramètres!$A$1:$I$89,3,0)*VLOOKUP('Données projet'!$B$14,Paramètres!$A$1:$I$89,5,0)</f>
        <v>424.27561799999955</v>
      </c>
      <c r="DQ157" s="13">
        <f t="shared" si="176"/>
        <v>96.681171393092171</v>
      </c>
      <c r="DR157" s="20">
        <f t="shared" si="177"/>
        <v>907.33307485963485</v>
      </c>
      <c r="DS157" s="59">
        <f t="shared" si="125"/>
        <v>1194.4750231969977</v>
      </c>
      <c r="DT157" s="59">
        <f ca="1">AVERAGE(OFFSET($DS$3,0,0,'Données projet'!$E$14+1,1))-AVERAGE(OFFSET($H$3,0,0,'Données projet'!$E$14+1,1))</f>
        <v>610.05768948788375</v>
      </c>
      <c r="DU157" s="59">
        <f t="shared" si="152"/>
        <v>295.23928902444845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28.980042572131875</v>
      </c>
      <c r="EB157" s="21">
        <f>EXP(-LN(2)/25)*EB156+(1-EXP(-LN(2)/25))/(LN(2)/25)*Calculateur!DW157*Calculateur!DY157*VLOOKUP('Données projet'!$B$14,Paramètres!$A$1:$I$89,3,0)*0.475*44/12</f>
        <v>18.574538538999338</v>
      </c>
      <c r="EC157" s="21">
        <f>EXP(-LN(2)/2)*EC156+(1-EXP(-LN(2)/2))/(LN(2)/2)*DW157*DZ157*VLOOKUP('Données projet'!$B$14,Paramètres!$A$1:$I$89,3,0)*0.475*44/12</f>
        <v>0.19593147336490346</v>
      </c>
      <c r="ED157" s="22">
        <f t="shared" si="178"/>
        <v>47.750512584496114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9.4880000000000049</v>
      </c>
      <c r="N158" s="13">
        <f>IF('Données projet'!$A$36&gt;35,N157+M158-V157,IF(A158&lt;'Données projet'!$A$36,$K$205^A158,IF(A158='Données projet'!$A$36,'Données projet'!$B$36,N157+M158-V157)))</f>
        <v>494.92800000000096</v>
      </c>
      <c r="O158" s="13">
        <f>N158*VLOOKUP('Données projet'!$B$9,Paramètres!$A$1:$I$89,3,0)*VLOOKUP('Données projet'!$B$9,Paramètres!$A$1:$I$89,5,0)</f>
        <v>447.81085440000084</v>
      </c>
      <c r="P158" s="13">
        <f t="shared" si="141"/>
        <v>101.40497625718913</v>
      </c>
      <c r="Q158" s="20">
        <f t="shared" si="162"/>
        <v>956.55090506127237</v>
      </c>
      <c r="R158" s="59">
        <f t="shared" si="109"/>
        <v>1243.800260086452</v>
      </c>
      <c r="S158" s="59">
        <f ca="1">AVERAGE(OFFSET($R$3,0,0,'Données projet'!$E$9+1,1))-AVERAGE(OFFSET($H$3,0,0,'Données projet'!$E$9+1,1))</f>
        <v>681.47578137804555</v>
      </c>
      <c r="T158" s="59">
        <f t="shared" si="142"/>
        <v>300.88511065995885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53.081362770039171</v>
      </c>
      <c r="AA158" s="21">
        <f>EXP(-LN(2)/25)*AA157+(1-EXP(-LN(2)/25))/(LN(2)/25)*Calculateur!V158*Calculateur!X158*VLOOKUP('Données projet'!$B$9,Paramètres!$A$1:$I$89,3,0)*0.475*44/12</f>
        <v>22.269249131816526</v>
      </c>
      <c r="AB158" s="21">
        <f>EXP(-LN(2)/2)*AB157+(1-EXP(-LN(2)/2))/(LN(2)/2)*V158*Y158*VLOOKUP('Données projet'!$B$9,Paramètres!$A$1:$I$89,3,0)*0.475*44/12</f>
        <v>1.1018290165005019E-4</v>
      </c>
      <c r="AC158" s="22">
        <f t="shared" si="163"/>
        <v>75.350722084757351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-8.8675733422860506E-14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217.53602321474159</v>
      </c>
      <c r="AO158" s="59">
        <f t="shared" si="144"/>
        <v>215.75909414893025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5.0194463034859016</v>
      </c>
      <c r="AV158" s="21">
        <f>EXP(-LN(2)/25)*AV157+(1-EXP(-LN(2)/25))/(LN(2)/25)*Calculateur!AQ158*Calculateur!AS158*VLOOKUP('Données projet'!$B$10,Paramètres!$A$1:$I$89,3,0)*0.475*44/12</f>
        <v>2.5005390830594005</v>
      </c>
      <c r="AW158" s="21">
        <f>EXP(-LN(2)/2)*AW157+(1-EXP(-LN(2)/2))/(LN(2)/2)*AQ158*AT158*VLOOKUP('Données projet'!$B$10,Paramètres!$A$1:$I$89,3,0)*0.475*44/12</f>
        <v>4.4276666501973213E-12</v>
      </c>
      <c r="AX158" s="21">
        <f t="shared" si="166"/>
        <v>7.5199853865497301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-1.7053025658242404E-13</v>
      </c>
      <c r="BE158" s="13">
        <f>BD158*VLOOKUP('Données projet'!$B$11,Paramètres!$A$1:$I$89,3,0)*VLOOKUP('Données projet'!$B$11,Paramètres!$A$1:$I$89,5,0)</f>
        <v>-1.1439169611549005E-13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281.67293577289729</v>
      </c>
      <c r="BJ158" s="59">
        <f t="shared" si="146"/>
        <v>272.44904846480154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7.755482637548055</v>
      </c>
      <c r="BQ158" s="21">
        <f>EXP(-LN(2)/25)*BQ157+(1-EXP(-LN(2)/25))/(LN(2)/25)*Calculateur!BL158*Calculateur!BN158*VLOOKUP('Données projet'!$B$11,Paramètres!$A$1:$I$89,3,0)*0.475*44/12</f>
        <v>4.4646302847462911</v>
      </c>
      <c r="BR158" s="21">
        <f>EXP(-LN(2)/2)*BR157+(1-EXP(-LN(2)/2))/(LN(2)/2)*BL158*BO158*VLOOKUP('Données projet'!$B$11,Paramètres!$A$1:$I$89,3,0)*0.475*44/12</f>
        <v>2.2548060378375366E-10</v>
      </c>
      <c r="BS158" s="22">
        <f t="shared" si="169"/>
        <v>12.220112922519826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-1.7053025658242404E-13</v>
      </c>
      <c r="BZ158" s="13">
        <f>BY158*VLOOKUP('Données projet'!$B$12,Paramètres!$A$1:$I$89,3,0)*VLOOKUP('Données projet'!$B$12,Paramètres!$A$1:$I$89,5,0)</f>
        <v>-1.4897523215040567E-13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348.77506423101278</v>
      </c>
      <c r="CE158" s="59">
        <f t="shared" si="148"/>
        <v>336.13747591329548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10.1001634349463</v>
      </c>
      <c r="CL158" s="21">
        <f>EXP(-LN(2)/25)*CL157+(1-EXP(-LN(2)/25))/(LN(2)/25)*Calculateur!CG158*Calculateur!CI158*VLOOKUP('Données projet'!$B$12,Paramètres!$A$1:$I$89,3,0)*0.475*44/12</f>
        <v>5.814402231297489</v>
      </c>
      <c r="CM158" s="21">
        <f>EXP(-LN(2)/2)*CM157+(1-EXP(-LN(2)/2))/(LN(2)/2)*CG158*CJ158*VLOOKUP('Données projet'!$B$12,Paramètres!$A$1:$I$89,3,0)*0.475*44/12</f>
        <v>2.9364915841605169E-10</v>
      </c>
      <c r="CN158" s="22">
        <f t="shared" si="172"/>
        <v>15.914565666537438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7.5191666666666634</v>
      </c>
      <c r="CT158" s="12">
        <f>IF('Données projet'!$A$140&gt;35,CT157+CS158-DB157,IF(A158&lt;'Données projet'!$A$140,$CQ$205^A158,IF(A158='Données projet'!$A$140,'Données projet'!$B$140,CT157+CS158-DB157)))</f>
        <v>401.68083333333294</v>
      </c>
      <c r="CU158" s="17">
        <f>CT158*VLOOKUP('Données projet'!$B$13,Paramètres!$A$1:$I$89,3,0)*VLOOKUP('Données projet'!$B$13,Paramètres!$A$1:$I$89,5,0)</f>
        <v>388.50570199999964</v>
      </c>
      <c r="CV158" s="13">
        <f t="shared" si="173"/>
        <v>89.442433150300388</v>
      </c>
      <c r="CW158" s="20">
        <f t="shared" si="174"/>
        <v>832.42633538677239</v>
      </c>
      <c r="CX158" s="59">
        <f t="shared" si="122"/>
        <v>1119.675690411952</v>
      </c>
      <c r="CY158" s="59">
        <f ca="1">AVERAGE(OFFSET($CX$3,0,0,'Données projet'!$E$13+1,1))-AVERAGE(OFFSET($H$3,0,0,'Données projet'!$E$13+1,1))</f>
        <v>557.48193674339791</v>
      </c>
      <c r="CZ158" s="59">
        <f t="shared" si="150"/>
        <v>271.51396593253048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25.529408985929344</v>
      </c>
      <c r="DG158" s="21">
        <f>EXP(-LN(2)/25)*DG157+(1-EXP(-LN(2)/25))/(LN(2)/25)*Calculateur!DB158*Calculateur!DD158*VLOOKUP('Données projet'!$B$13,Paramètres!$A$1:$I$89,3,0)*0.475*44/12</f>
        <v>16.233771622654903</v>
      </c>
      <c r="DH158" s="21">
        <f>EXP(-LN(2)/2)*DH157+(1-EXP(-LN(2)/2))/(LN(2)/2)*DB158*DE158*VLOOKUP('Données projet'!$B$13,Paramètres!$A$1:$I$89,3,0)*0.475*44/12</f>
        <v>0.12448923702579819</v>
      </c>
      <c r="DI158" s="22">
        <f t="shared" si="175"/>
        <v>41.887669845610048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7.5191666666666634</v>
      </c>
      <c r="DO158" s="12">
        <f>IF('Données projet'!$A$166&gt;35,DO157+DN158-DW157,IF(A158&lt;'Données projet'!$A$166,$DL$205^A158,IF(A158='Données projet'!$A$166,'Données projet'!$B$166,DO157+DN158-DW157)))</f>
        <v>401.68083333333294</v>
      </c>
      <c r="DP158" s="17">
        <f>DO158*VLOOKUP('Données projet'!$B$14,Paramètres!$A$1:$I$89,3,0)*VLOOKUP('Données projet'!$B$14,Paramètres!$A$1:$I$89,5,0)</f>
        <v>432.36924899999951</v>
      </c>
      <c r="DQ158" s="13">
        <f t="shared" si="176"/>
        <v>98.309019536510263</v>
      </c>
      <c r="DR158" s="20">
        <f t="shared" si="177"/>
        <v>924.26465103442115</v>
      </c>
      <c r="DS158" s="59">
        <f t="shared" si="125"/>
        <v>1211.5140060596009</v>
      </c>
      <c r="DT158" s="59">
        <f ca="1">AVERAGE(OFFSET($DS$3,0,0,'Données projet'!$E$14+1,1))-AVERAGE(OFFSET($H$3,0,0,'Données projet'!$E$14+1,1))</f>
        <v>610.05768948788375</v>
      </c>
      <c r="DU158" s="59">
        <f t="shared" si="152"/>
        <v>295.23928902444845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28.41176161337297</v>
      </c>
      <c r="EB158" s="21">
        <f>EXP(-LN(2)/25)*EB157+(1-EXP(-LN(2)/25))/(LN(2)/25)*Calculateur!DW158*Calculateur!DY158*VLOOKUP('Données projet'!$B$14,Paramètres!$A$1:$I$89,3,0)*0.475*44/12</f>
        <v>18.066616805857873</v>
      </c>
      <c r="EC158" s="21">
        <f>EXP(-LN(2)/2)*EC157+(1-EXP(-LN(2)/2))/(LN(2)/2)*DW158*DZ158*VLOOKUP('Données projet'!$B$14,Paramètres!$A$1:$I$89,3,0)*0.475*44/12</f>
        <v>0.13854447346419466</v>
      </c>
      <c r="ED158" s="22">
        <f t="shared" si="178"/>
        <v>46.616922892695037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9.4880000000000049</v>
      </c>
      <c r="N159" s="13">
        <f>IF('Données projet'!$A$36&gt;35,N158+M159-V158,IF(A159&lt;'Données projet'!$A$36,$K$205^A159,IF(A159='Données projet'!$A$36,'Données projet'!$B$36,N158+M159-V158)))</f>
        <v>504.41600000000096</v>
      </c>
      <c r="O159" s="13">
        <f>N159*VLOOKUP('Données projet'!$B$9,Paramètres!$A$1:$I$89,3,0)*VLOOKUP('Données projet'!$B$9,Paramètres!$A$1:$I$89,5,0)</f>
        <v>456.39559680000082</v>
      </c>
      <c r="P159" s="13">
        <f t="shared" si="141"/>
        <v>103.12077454694855</v>
      </c>
      <c r="Q159" s="20">
        <f t="shared" si="162"/>
        <v>974.49101342927031</v>
      </c>
      <c r="R159" s="59">
        <f t="shared" si="109"/>
        <v>1261.8459118763585</v>
      </c>
      <c r="S159" s="59">
        <f ca="1">AVERAGE(OFFSET($R$3,0,0,'Données projet'!$E$9+1,1))-AVERAGE(OFFSET($H$3,0,0,'Données projet'!$E$9+1,1))</f>
        <v>681.47578137804555</v>
      </c>
      <c r="T159" s="59">
        <f t="shared" si="142"/>
        <v>300.88511065995885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52.040469622553083</v>
      </c>
      <c r="AA159" s="21">
        <f>EXP(-LN(2)/25)*AA158+(1-EXP(-LN(2)/25))/(LN(2)/25)*Calculateur!V159*Calculateur!X159*VLOOKUP('Données projet'!$B$9,Paramètres!$A$1:$I$89,3,0)*0.475*44/12</f>
        <v>21.660295343218088</v>
      </c>
      <c r="AB159" s="21">
        <f>EXP(-LN(2)/2)*AB158+(1-EXP(-LN(2)/2))/(LN(2)/2)*V159*Y159*VLOOKUP('Données projet'!$B$9,Paramètres!$A$1:$I$89,3,0)*0.475*44/12</f>
        <v>7.7911076927560926E-5</v>
      </c>
      <c r="AC159" s="22">
        <f t="shared" si="163"/>
        <v>73.7008428768481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-8.8675733422860506E-14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217.53602321474159</v>
      </c>
      <c r="AO159" s="59">
        <f t="shared" si="144"/>
        <v>215.75909414893025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4.9210180230344847</v>
      </c>
      <c r="AV159" s="21">
        <f>EXP(-LN(2)/25)*AV158+(1-EXP(-LN(2)/25))/(LN(2)/25)*Calculateur!AQ159*Calculateur!AS159*VLOOKUP('Données projet'!$B$10,Paramètres!$A$1:$I$89,3,0)*0.475*44/12</f>
        <v>2.4321617103355058</v>
      </c>
      <c r="AW159" s="21">
        <f>EXP(-LN(2)/2)*AW158+(1-EXP(-LN(2)/2))/(LN(2)/2)*AQ159*AT159*VLOOKUP('Données projet'!$B$10,Paramètres!$A$1:$I$89,3,0)*0.475*44/12</f>
        <v>3.1308331131880512E-12</v>
      </c>
      <c r="AX159" s="21">
        <f t="shared" si="166"/>
        <v>7.3531797333731213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-1.7053025658242404E-13</v>
      </c>
      <c r="BE159" s="13">
        <f>BD159*VLOOKUP('Données projet'!$B$11,Paramètres!$A$1:$I$89,3,0)*VLOOKUP('Données projet'!$B$11,Paramètres!$A$1:$I$89,5,0)</f>
        <v>-1.1439169611549005E-13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281.67293577289729</v>
      </c>
      <c r="BJ159" s="59">
        <f t="shared" si="146"/>
        <v>272.44904846480154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7.6034023534030606</v>
      </c>
      <c r="BQ159" s="21">
        <f>EXP(-LN(2)/25)*BQ158+(1-EXP(-LN(2)/25))/(LN(2)/25)*Calculateur!BL159*Calculateur!BN159*VLOOKUP('Données projet'!$B$11,Paramètres!$A$1:$I$89,3,0)*0.475*44/12</f>
        <v>4.3425447348252009</v>
      </c>
      <c r="BR159" s="21">
        <f>EXP(-LN(2)/2)*BR158+(1-EXP(-LN(2)/2))/(LN(2)/2)*BL159*BO159*VLOOKUP('Données projet'!$B$11,Paramètres!$A$1:$I$89,3,0)*0.475*44/12</f>
        <v>1.5943886396152931E-10</v>
      </c>
      <c r="BS159" s="22">
        <f t="shared" si="169"/>
        <v>11.945947088387701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-1.7053025658242404E-13</v>
      </c>
      <c r="BZ159" s="13">
        <f>BY159*VLOOKUP('Données projet'!$B$12,Paramètres!$A$1:$I$89,3,0)*VLOOKUP('Données projet'!$B$12,Paramètres!$A$1:$I$89,5,0)</f>
        <v>-1.4897523215040567E-13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348.77506423101278</v>
      </c>
      <c r="CE159" s="59">
        <f t="shared" si="148"/>
        <v>336.13747591329548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9.9021053904784004</v>
      </c>
      <c r="CL159" s="21">
        <f>EXP(-LN(2)/25)*CL158+(1-EXP(-LN(2)/25))/(LN(2)/25)*Calculateur!CG159*Calculateur!CI159*VLOOKUP('Données projet'!$B$12,Paramètres!$A$1:$I$89,3,0)*0.475*44/12</f>
        <v>5.6554070965165346</v>
      </c>
      <c r="CM159" s="21">
        <f>EXP(-LN(2)/2)*CM158+(1-EXP(-LN(2)/2))/(LN(2)/2)*CG159*CJ159*VLOOKUP('Données projet'!$B$12,Paramètres!$A$1:$I$89,3,0)*0.475*44/12</f>
        <v>2.076413112057129E-10</v>
      </c>
      <c r="CN159" s="22">
        <f t="shared" si="172"/>
        <v>15.557512487202576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>
        <f>VLOOKUP(A159,'Données projet'!$A$139:$I$159,2,0)</f>
        <v>409.2</v>
      </c>
      <c r="CR159" s="12">
        <f>VLOOKUP(A159,'Données projet'!$A$139:$I$159,9,0)</f>
        <v>7.5191666666666634</v>
      </c>
      <c r="CS159" s="12">
        <f t="array" ref="CS159">INDEX(CR:CR,MIN(IF(ISNUMBER(CR159:CR355),ROW(CR159:CR355),"")))</f>
        <v>7.5191666666666634</v>
      </c>
      <c r="CT159" s="12">
        <f>IF('Données projet'!$A$140&gt;35,CT158+CS159-DB158,IF(A159&lt;'Données projet'!$A$140,$CQ$205^A159,IF(A159='Données projet'!$A$140,'Données projet'!$B$140,CT158+CS159-DB158)))</f>
        <v>409.19999999999959</v>
      </c>
      <c r="CU159" s="17">
        <f>CT159*VLOOKUP('Données projet'!$B$13,Paramètres!$A$1:$I$89,3,0)*VLOOKUP('Données projet'!$B$13,Paramètres!$A$1:$I$89,5,0)</f>
        <v>395.77823999999964</v>
      </c>
      <c r="CV159" s="13">
        <f t="shared" si="173"/>
        <v>90.920240345509228</v>
      </c>
      <c r="CW159" s="20">
        <f t="shared" si="174"/>
        <v>847.66651993509458</v>
      </c>
      <c r="CX159" s="59">
        <f t="shared" si="122"/>
        <v>1135.0214183821829</v>
      </c>
      <c r="CY159" s="59">
        <f ca="1">AVERAGE(OFFSET($CX$3,0,0,'Données projet'!$E$13+1,1))-AVERAGE(OFFSET($H$3,0,0,'Données projet'!$E$13+1,1))</f>
        <v>557.48193674339791</v>
      </c>
      <c r="CZ159" s="59">
        <f t="shared" si="150"/>
        <v>271.51396593253048</v>
      </c>
      <c r="DA159" s="15">
        <f>IF(ISNA(VLOOKUP(A159,'Données projet'!$A$139:$I$159,3,0)),0,VLOOKUP(A159,'Données projet'!$A$139:$I$159,3,0))</f>
        <v>11</v>
      </c>
      <c r="DB159" s="15">
        <f>IF(ISNA(VLOOKUP(A159,'Données projet'!$A$139:$I$159,4,0)),0,VLOOKUP(A159,'Données projet'!$A$139:$I$159,4,0))</f>
        <v>65.69</v>
      </c>
      <c r="DC159" s="16">
        <f>IF(ISNA(VLOOKUP(A159,'Données projet'!$A$139:$I$159,5,0)),0%,VLOOKUP(A159,'Données projet'!$A$139:$I$159,5,0)*VLOOKUP('Données projet'!$B$13,Paramètres!$A$1:$I$89,7,0))</f>
        <v>0.215</v>
      </c>
      <c r="DD159" s="16">
        <f>IF(ISNA(VLOOKUP(A159,'Données projet'!$A$139:$I$159,6,0)),0%,VLOOKUP(A159,'Données projet'!$A$139:$I$159,6,0)*VLOOKUP('Données projet'!$B$13,Paramètres!$A$1:$I$89,7,0))</f>
        <v>8.6000000000000007E-2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40.129633333113219</v>
      </c>
      <c r="DG159" s="21">
        <f>EXP(-LN(2)/25)*DG158+(1-EXP(-LN(2)/25))/(LN(2)/25)*Calculateur!DB159*Calculateur!DD159*VLOOKUP('Données projet'!$B$13,Paramètres!$A$1:$I$89,3,0)*0.475*44/12</f>
        <v>21.80641137318899</v>
      </c>
      <c r="DH159" s="21">
        <f>EXP(-LN(2)/2)*DH158+(1-EXP(-LN(2)/2))/(LN(2)/2)*DB159*DE159*VLOOKUP('Données projet'!$B$13,Paramètres!$A$1:$I$89,3,0)*0.475*44/12</f>
        <v>8.802718368568134E-2</v>
      </c>
      <c r="DI159" s="22">
        <f t="shared" si="175"/>
        <v>62.024071889987894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>
        <f>VLOOKUP(A159,'Données projet'!$A$165:$I$185,2,0)</f>
        <v>409.2</v>
      </c>
      <c r="DM159" s="12">
        <f>VLOOKUP(A159,'Données projet'!$A$165:$I$185,9,0)</f>
        <v>7.5191666666666634</v>
      </c>
      <c r="DN159" s="12">
        <f t="array" ref="DN159">INDEX(DM:DM,MIN(IF(ISNUMBER(DM159:DM355),ROW(DM159:DM355),"")))</f>
        <v>7.5191666666666634</v>
      </c>
      <c r="DO159" s="12">
        <f>IF('Données projet'!$A$166&gt;35,DO158+DN159-DW158,IF(A159&lt;'Données projet'!$A$166,$DL$205^A159,IF(A159='Données projet'!$A$166,'Données projet'!$B$166,DO158+DN159-DW158)))</f>
        <v>409.19999999999959</v>
      </c>
      <c r="DP159" s="17">
        <f>DO159*VLOOKUP('Données projet'!$B$14,Paramètres!$A$1:$I$89,3,0)*VLOOKUP('Données projet'!$B$14,Paramètres!$A$1:$I$89,5,0)</f>
        <v>440.46287999999953</v>
      </c>
      <c r="DQ159" s="13">
        <f t="shared" si="176"/>
        <v>99.933324369327678</v>
      </c>
      <c r="DR159" s="20">
        <f t="shared" si="177"/>
        <v>941.19005594324472</v>
      </c>
      <c r="DS159" s="59">
        <f t="shared" si="125"/>
        <v>1228.544954390333</v>
      </c>
      <c r="DT159" s="59">
        <f ca="1">AVERAGE(OFFSET($DS$3,0,0,'Données projet'!$E$14+1,1))-AVERAGE(OFFSET($H$3,0,0,'Données projet'!$E$14+1,1))</f>
        <v>610.05768948788375</v>
      </c>
      <c r="DU159" s="59">
        <f t="shared" si="152"/>
        <v>295.23928902444845</v>
      </c>
      <c r="DV159" s="15">
        <f>IF(ISNA(VLOOKUP(A159,'Données projet'!$A$165:$I$185,3,0)),0,VLOOKUP(A159,'Données projet'!$A$165:$I$185,3,0))</f>
        <v>11</v>
      </c>
      <c r="DW159" s="15">
        <f>IF(ISNA(VLOOKUP(A159,'Données projet'!$A$165:$I$185,4,0)),0,VLOOKUP(A159,'Données projet'!$A$165:$I$185,4,0))</f>
        <v>65.69</v>
      </c>
      <c r="DX159" s="16">
        <f>IF(ISNA(VLOOKUP(A159,'Données projet'!$A$165:$I$185,5,0)),0%,VLOOKUP(A159,'Données projet'!$A$165:$I$185,5,0)*VLOOKUP('Données projet'!$B$14,Paramètres!$A$1:$I$89,7,0))</f>
        <v>0.215</v>
      </c>
      <c r="DY159" s="16">
        <f>IF(ISNA(VLOOKUP(A159,'Données projet'!$A$165:$I$185,6,0)),0%,VLOOKUP(A159,'Données projet'!$A$165:$I$185,6,0)*VLOOKUP('Données projet'!$B$14,Paramètres!$A$1:$I$89,7,0))</f>
        <v>8.6000000000000007E-2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44.660398386851796</v>
      </c>
      <c r="EB159" s="21">
        <f>EXP(-LN(2)/25)*EB158+(1-EXP(-LN(2)/25))/(LN(2)/25)*Calculateur!DW159*Calculateur!DY159*VLOOKUP('Données projet'!$B$14,Paramètres!$A$1:$I$89,3,0)*0.475*44/12</f>
        <v>24.268425560484516</v>
      </c>
      <c r="EC159" s="21">
        <f>EXP(-LN(2)/2)*EC158+(1-EXP(-LN(2)/2))/(LN(2)/2)*DW159*DZ159*VLOOKUP('Données projet'!$B$14,Paramètres!$A$1:$I$89,3,0)*0.475*44/12</f>
        <v>9.7965736682451732E-2</v>
      </c>
      <c r="ED159" s="22">
        <f t="shared" si="178"/>
        <v>69.026789684018766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9.4880000000000049</v>
      </c>
      <c r="N160" s="13">
        <f>IF('Données projet'!$A$36&gt;35,N159+M160-V159,IF(A160&lt;'Données projet'!$A$36,$K$205^A160,IF(A160='Données projet'!$A$36,'Données projet'!$B$36,N159+M160-V159)))</f>
        <v>513.90400000000102</v>
      </c>
      <c r="O160" s="13">
        <f>N160*VLOOKUP('Données projet'!$B$9,Paramètres!$A$1:$I$89,3,0)*VLOOKUP('Données projet'!$B$9,Paramètres!$A$1:$I$89,5,0)</f>
        <v>464.98033920000091</v>
      </c>
      <c r="P160" s="13">
        <f t="shared" si="141"/>
        <v>104.83282002515982</v>
      </c>
      <c r="Q160" s="20">
        <f t="shared" si="162"/>
        <v>992.4245856504881</v>
      </c>
      <c r="R160" s="59">
        <f t="shared" si="109"/>
        <v>1279.8831965770746</v>
      </c>
      <c r="S160" s="59">
        <f ca="1">AVERAGE(OFFSET($R$3,0,0,'Données projet'!$E$9+1,1))-AVERAGE(OFFSET($H$3,0,0,'Données projet'!$E$9+1,1))</f>
        <v>681.47578137804555</v>
      </c>
      <c r="T160" s="59">
        <f t="shared" si="142"/>
        <v>300.88511065995885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51.019987754807069</v>
      </c>
      <c r="AA160" s="21">
        <f>EXP(-LN(2)/25)*AA159+(1-EXP(-LN(2)/25))/(LN(2)/25)*Calculateur!V160*Calculateur!X160*VLOOKUP('Données projet'!$B$9,Paramètres!$A$1:$I$89,3,0)*0.475*44/12</f>
        <v>21.067993427992363</v>
      </c>
      <c r="AB160" s="21">
        <f>EXP(-LN(2)/2)*AB159+(1-EXP(-LN(2)/2))/(LN(2)/2)*V160*Y160*VLOOKUP('Données projet'!$B$9,Paramètres!$A$1:$I$89,3,0)*0.475*44/12</f>
        <v>5.5091450825025096E-5</v>
      </c>
      <c r="AC160" s="22">
        <f t="shared" si="163"/>
        <v>72.088036274250257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-8.8675733422860506E-14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217.53602321474159</v>
      </c>
      <c r="AO160" s="59">
        <f t="shared" si="144"/>
        <v>215.75909414893025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4.8245198611273965</v>
      </c>
      <c r="AV160" s="21">
        <f>EXP(-LN(2)/25)*AV159+(1-EXP(-LN(2)/25))/(LN(2)/25)*Calculateur!AQ160*Calculateur!AS160*VLOOKUP('Données projet'!$B$10,Paramètres!$A$1:$I$89,3,0)*0.475*44/12</f>
        <v>2.3656541204645558</v>
      </c>
      <c r="AW160" s="21">
        <f>EXP(-LN(2)/2)*AW159+(1-EXP(-LN(2)/2))/(LN(2)/2)*AQ160*AT160*VLOOKUP('Données projet'!$B$10,Paramètres!$A$1:$I$89,3,0)*0.475*44/12</f>
        <v>2.2138333250986606E-12</v>
      </c>
      <c r="AX160" s="21">
        <f t="shared" si="166"/>
        <v>7.1901739815941665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-1.7053025658242404E-13</v>
      </c>
      <c r="BE160" s="13">
        <f>BD160*VLOOKUP('Données projet'!$B$11,Paramètres!$A$1:$I$89,3,0)*VLOOKUP('Données projet'!$B$11,Paramètres!$A$1:$I$89,5,0)</f>
        <v>-1.1439169611549005E-13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281.67293577289729</v>
      </c>
      <c r="BJ160" s="59">
        <f t="shared" si="146"/>
        <v>272.44904846480154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7.4543042708703355</v>
      </c>
      <c r="BQ160" s="21">
        <f>EXP(-LN(2)/25)*BQ159+(1-EXP(-LN(2)/25))/(LN(2)/25)*Calculateur!BL160*Calculateur!BN160*VLOOKUP('Données projet'!$B$11,Paramètres!$A$1:$I$89,3,0)*0.475*44/12</f>
        <v>4.223797620686903</v>
      </c>
      <c r="BR160" s="21">
        <f>EXP(-LN(2)/2)*BR159+(1-EXP(-LN(2)/2))/(LN(2)/2)*BL160*BO160*VLOOKUP('Données projet'!$B$11,Paramètres!$A$1:$I$89,3,0)*0.475*44/12</f>
        <v>1.1274030189187683E-10</v>
      </c>
      <c r="BS160" s="22">
        <f t="shared" si="169"/>
        <v>11.678101891669979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-1.7053025658242404E-13</v>
      </c>
      <c r="BZ160" s="13">
        <f>BY160*VLOOKUP('Données projet'!$B$12,Paramètres!$A$1:$I$89,3,0)*VLOOKUP('Données projet'!$B$12,Paramètres!$A$1:$I$89,5,0)</f>
        <v>-1.4897523215040567E-13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348.77506423101278</v>
      </c>
      <c r="CE160" s="59">
        <f t="shared" si="148"/>
        <v>336.13747591329548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9.707931143459037</v>
      </c>
      <c r="CL160" s="21">
        <f>EXP(-LN(2)/25)*CL159+(1-EXP(-LN(2)/25))/(LN(2)/25)*Calculateur!CG160*Calculateur!CI160*VLOOKUP('Données projet'!$B$12,Paramètres!$A$1:$I$89,3,0)*0.475*44/12</f>
        <v>5.5007596920573567</v>
      </c>
      <c r="CM160" s="21">
        <f>EXP(-LN(2)/2)*CM159+(1-EXP(-LN(2)/2))/(LN(2)/2)*CG160*CJ160*VLOOKUP('Données projet'!$B$12,Paramètres!$A$1:$I$89,3,0)*0.475*44/12</f>
        <v>1.4682457920802585E-10</v>
      </c>
      <c r="CN160" s="22">
        <f t="shared" si="172"/>
        <v>15.208690835663218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7.6783333333333319</v>
      </c>
      <c r="CT160" s="12">
        <f>IF('Données projet'!$A$140&gt;35,CT159+CS160-DB159,IF(A160&lt;'Données projet'!$A$140,$CQ$205^A160,IF(A160='Données projet'!$A$140,'Données projet'!$B$140,CT159+CS160-DB159)))</f>
        <v>351.18833333333293</v>
      </c>
      <c r="CU160" s="17">
        <f>CT160*VLOOKUP('Données projet'!$B$13,Paramètres!$A$1:$I$89,3,0)*VLOOKUP('Données projet'!$B$13,Paramètres!$A$1:$I$89,5,0)</f>
        <v>339.66935599999965</v>
      </c>
      <c r="CV160" s="13">
        <f t="shared" si="173"/>
        <v>79.431629410153604</v>
      </c>
      <c r="CW160" s="20">
        <f t="shared" si="174"/>
        <v>729.93421625601695</v>
      </c>
      <c r="CX160" s="59">
        <f t="shared" si="122"/>
        <v>1017.3928271826035</v>
      </c>
      <c r="CY160" s="59">
        <f ca="1">AVERAGE(OFFSET($CX$3,0,0,'Données projet'!$E$13+1,1))-AVERAGE(OFFSET($H$3,0,0,'Données projet'!$E$13+1,1))</f>
        <v>557.48193674339791</v>
      </c>
      <c r="CZ160" s="59">
        <f t="shared" si="150"/>
        <v>271.51396593253048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39.342715700110332</v>
      </c>
      <c r="DG160" s="21">
        <f>EXP(-LN(2)/25)*DG159+(1-EXP(-LN(2)/25))/(LN(2)/25)*Calculateur!DB160*Calculateur!DD160*VLOOKUP('Données projet'!$B$13,Paramètres!$A$1:$I$89,3,0)*0.475*44/12</f>
        <v>21.210113907439801</v>
      </c>
      <c r="DH160" s="21">
        <f>EXP(-LN(2)/2)*DH159+(1-EXP(-LN(2)/2))/(LN(2)/2)*DB160*DE160*VLOOKUP('Données projet'!$B$13,Paramètres!$A$1:$I$89,3,0)*0.475*44/12</f>
        <v>6.2244618512899107E-2</v>
      </c>
      <c r="DI160" s="22">
        <f t="shared" si="175"/>
        <v>60.615074226063037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7.6783333333333319</v>
      </c>
      <c r="DO160" s="12">
        <f>IF('Données projet'!$A$166&gt;35,DO159+DN160-DW159,IF(A160&lt;'Données projet'!$A$166,$DL$205^A160,IF(A160='Données projet'!$A$166,'Données projet'!$B$166,DO159+DN160-DW159)))</f>
        <v>351.18833333333293</v>
      </c>
      <c r="DP160" s="17">
        <f>DO160*VLOOKUP('Données projet'!$B$14,Paramètres!$A$1:$I$89,3,0)*VLOOKUP('Données projet'!$B$14,Paramètres!$A$1:$I$89,5,0)</f>
        <v>378.01912199999953</v>
      </c>
      <c r="DQ160" s="13">
        <f t="shared" si="176"/>
        <v>87.305827138865226</v>
      </c>
      <c r="DR160" s="20">
        <f t="shared" si="177"/>
        <v>810.4409530835228</v>
      </c>
      <c r="DS160" s="59">
        <f t="shared" si="125"/>
        <v>1097.8995640101093</v>
      </c>
      <c r="DT160" s="59">
        <f ca="1">AVERAGE(OFFSET($DS$3,0,0,'Données projet'!$E$14+1,1))-AVERAGE(OFFSET($H$3,0,0,'Données projet'!$E$14+1,1))</f>
        <v>610.05768948788375</v>
      </c>
      <c r="DU160" s="59">
        <f t="shared" si="152"/>
        <v>295.23928902444845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43.784635214638904</v>
      </c>
      <c r="EB160" s="21">
        <f>EXP(-LN(2)/25)*EB159+(1-EXP(-LN(2)/25))/(LN(2)/25)*Calculateur!DW160*Calculateur!DY160*VLOOKUP('Données projet'!$B$14,Paramètres!$A$1:$I$89,3,0)*0.475*44/12</f>
        <v>23.604804187312034</v>
      </c>
      <c r="EC160" s="21">
        <f>EXP(-LN(2)/2)*EC159+(1-EXP(-LN(2)/2))/(LN(2)/2)*DW160*DZ160*VLOOKUP('Données projet'!$B$14,Paramètres!$A$1:$I$89,3,0)*0.475*44/12</f>
        <v>6.9272236732097328E-2</v>
      </c>
      <c r="ED160" s="22">
        <f t="shared" si="178"/>
        <v>67.458711638683042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9.4880000000000049</v>
      </c>
      <c r="N161" s="13">
        <f>IF('Données projet'!$A$36&gt;35,N160+M161-V160,IF(A161&lt;'Données projet'!$A$36,$K$205^A161,IF(A161='Données projet'!$A$36,'Données projet'!$B$36,N160+M161-V160)))</f>
        <v>523.39200000000108</v>
      </c>
      <c r="O161" s="13">
        <f>N161*VLOOKUP('Données projet'!$B$9,Paramètres!$A$1:$I$89,3,0)*VLOOKUP('Données projet'!$B$9,Paramètres!$A$1:$I$89,5,0)</f>
        <v>473.56508160000089</v>
      </c>
      <c r="P161" s="13">
        <f t="shared" si="141"/>
        <v>106.54118996921356</v>
      </c>
      <c r="Q161" s="20">
        <f t="shared" si="162"/>
        <v>1010.3517563163817</v>
      </c>
      <c r="R161" s="59">
        <f t="shared" si="109"/>
        <v>1297.9122805428137</v>
      </c>
      <c r="S161" s="59">
        <f ca="1">AVERAGE(OFFSET($R$3,0,0,'Données projet'!$E$9+1,1))-AVERAGE(OFFSET($H$3,0,0,'Données projet'!$E$9+1,1))</f>
        <v>681.47578137804555</v>
      </c>
      <c r="T161" s="59">
        <f t="shared" si="142"/>
        <v>300.88511065995885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50.019516914055075</v>
      </c>
      <c r="AA161" s="21">
        <f>EXP(-LN(2)/25)*AA160+(1-EXP(-LN(2)/25))/(LN(2)/25)*Calculateur!V161*Calculateur!X161*VLOOKUP('Données projet'!$B$9,Paramètres!$A$1:$I$89,3,0)*0.475*44/12</f>
        <v>20.491888039786289</v>
      </c>
      <c r="AB161" s="21">
        <f>EXP(-LN(2)/2)*AB160+(1-EXP(-LN(2)/2))/(LN(2)/2)*V161*Y161*VLOOKUP('Données projet'!$B$9,Paramètres!$A$1:$I$89,3,0)*0.475*44/12</f>
        <v>3.8955538463780463E-5</v>
      </c>
      <c r="AC161" s="22">
        <f t="shared" si="163"/>
        <v>70.511443909379821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-8.8675733422860506E-14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217.53602321474159</v>
      </c>
      <c r="AO161" s="59">
        <f t="shared" si="144"/>
        <v>215.75909414893025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4.7299139693172396</v>
      </c>
      <c r="AV161" s="21">
        <f>EXP(-LN(2)/25)*AV160+(1-EXP(-LN(2)/25))/(LN(2)/25)*Calculateur!AQ161*Calculateur!AS161*VLOOKUP('Données projet'!$B$10,Paramètres!$A$1:$I$89,3,0)*0.475*44/12</f>
        <v>2.3009651841361092</v>
      </c>
      <c r="AW161" s="21">
        <f>EXP(-LN(2)/2)*AW160+(1-EXP(-LN(2)/2))/(LN(2)/2)*AQ161*AT161*VLOOKUP('Données projet'!$B$10,Paramètres!$A$1:$I$89,3,0)*0.475*44/12</f>
        <v>1.5654165565940256E-12</v>
      </c>
      <c r="AX161" s="21">
        <f t="shared" si="166"/>
        <v>7.0308791534549142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-1.7053025658242404E-13</v>
      </c>
      <c r="BE161" s="13">
        <f>BD161*VLOOKUP('Données projet'!$B$11,Paramètres!$A$1:$I$89,3,0)*VLOOKUP('Données projet'!$B$11,Paramètres!$A$1:$I$89,5,0)</f>
        <v>-1.1439169611549005E-13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281.67293577289729</v>
      </c>
      <c r="BJ161" s="59">
        <f t="shared" si="146"/>
        <v>272.44904846480154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7.3081299107952269</v>
      </c>
      <c r="BQ161" s="21">
        <f>EXP(-LN(2)/25)*BQ160+(1-EXP(-LN(2)/25))/(LN(2)/25)*Calculateur!BL161*Calculateur!BN161*VLOOKUP('Données projet'!$B$11,Paramètres!$A$1:$I$89,3,0)*0.475*44/12</f>
        <v>4.1082976526293562</v>
      </c>
      <c r="BR161" s="21">
        <f>EXP(-LN(2)/2)*BR160+(1-EXP(-LN(2)/2))/(LN(2)/2)*BL161*BO161*VLOOKUP('Données projet'!$B$11,Paramètres!$A$1:$I$89,3,0)*0.475*44/12</f>
        <v>7.9719431980764657E-11</v>
      </c>
      <c r="BS161" s="22">
        <f t="shared" si="169"/>
        <v>11.416427563504303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-1.7053025658242404E-13</v>
      </c>
      <c r="BZ161" s="13">
        <f>BY161*VLOOKUP('Données projet'!$B$12,Paramètres!$A$1:$I$89,3,0)*VLOOKUP('Données projet'!$B$12,Paramètres!$A$1:$I$89,5,0)</f>
        <v>-1.4897523215040567E-13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348.77506423101278</v>
      </c>
      <c r="CE161" s="59">
        <f t="shared" si="148"/>
        <v>336.13747591329548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9.5175645349891269</v>
      </c>
      <c r="CL161" s="21">
        <f>EXP(-LN(2)/25)*CL160+(1-EXP(-LN(2)/25))/(LN(2)/25)*Calculateur!CG161*Calculateur!CI161*VLOOKUP('Données projet'!$B$12,Paramètres!$A$1:$I$89,3,0)*0.475*44/12</f>
        <v>5.3503411290056686</v>
      </c>
      <c r="CM161" s="21">
        <f>EXP(-LN(2)/2)*CM160+(1-EXP(-LN(2)/2))/(LN(2)/2)*CG161*CJ161*VLOOKUP('Données projet'!$B$12,Paramètres!$A$1:$I$89,3,0)*0.475*44/12</f>
        <v>1.0382065560285645E-10</v>
      </c>
      <c r="CN161" s="22">
        <f t="shared" si="172"/>
        <v>14.867905664098616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7.6783333333333319</v>
      </c>
      <c r="CT161" s="12">
        <f>IF('Données projet'!$A$140&gt;35,CT160+CS161-DB160,IF(A161&lt;'Données projet'!$A$140,$CQ$205^A161,IF(A161='Données projet'!$A$140,'Données projet'!$B$140,CT160+CS161-DB160)))</f>
        <v>358.86666666666628</v>
      </c>
      <c r="CU161" s="17">
        <f>CT161*VLOOKUP('Données projet'!$B$13,Paramètres!$A$1:$I$89,3,0)*VLOOKUP('Données projet'!$B$13,Paramètres!$A$1:$I$89,5,0)</f>
        <v>347.09583999999967</v>
      </c>
      <c r="CV161" s="13">
        <f t="shared" si="173"/>
        <v>80.964224852451267</v>
      </c>
      <c r="CW161" s="20">
        <f t="shared" si="174"/>
        <v>745.53794628468529</v>
      </c>
      <c r="CX161" s="59">
        <f t="shared" si="122"/>
        <v>1033.0984705111173</v>
      </c>
      <c r="CY161" s="59">
        <f ca="1">AVERAGE(OFFSET($CX$3,0,0,'Données projet'!$E$13+1,1))-AVERAGE(OFFSET($H$3,0,0,'Données projet'!$E$13+1,1))</f>
        <v>557.48193674339791</v>
      </c>
      <c r="CZ161" s="59">
        <f t="shared" si="150"/>
        <v>271.51396593253048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38.571229041918272</v>
      </c>
      <c r="DG161" s="21">
        <f>EXP(-LN(2)/25)*DG160+(1-EXP(-LN(2)/25))/(LN(2)/25)*Calculateur!DB161*Calculateur!DD161*VLOOKUP('Données projet'!$B$13,Paramètres!$A$1:$I$89,3,0)*0.475*44/12</f>
        <v>20.630122227249444</v>
      </c>
      <c r="DH161" s="21">
        <f>EXP(-LN(2)/2)*DH160+(1-EXP(-LN(2)/2))/(LN(2)/2)*DB161*DE161*VLOOKUP('Données projet'!$B$13,Paramètres!$A$1:$I$89,3,0)*0.475*44/12</f>
        <v>4.4013591842840677E-2</v>
      </c>
      <c r="DI161" s="22">
        <f t="shared" si="175"/>
        <v>59.245364861010557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7.6783333333333319</v>
      </c>
      <c r="DO161" s="12">
        <f>IF('Données projet'!$A$166&gt;35,DO160+DN161-DW160,IF(A161&lt;'Données projet'!$A$166,$DL$205^A161,IF(A161='Données projet'!$A$166,'Données projet'!$B$166,DO160+DN161-DW160)))</f>
        <v>358.86666666666628</v>
      </c>
      <c r="DP161" s="17">
        <f>DO161*VLOOKUP('Données projet'!$B$14,Paramètres!$A$1:$I$89,3,0)*VLOOKUP('Données projet'!$B$14,Paramètres!$A$1:$I$89,5,0)</f>
        <v>386.28407999999956</v>
      </c>
      <c r="DQ161" s="13">
        <f t="shared" si="176"/>
        <v>88.990351474481358</v>
      </c>
      <c r="DR161" s="20">
        <f t="shared" si="177"/>
        <v>827.76963481805433</v>
      </c>
      <c r="DS161" s="59">
        <f t="shared" si="125"/>
        <v>1115.3301590444862</v>
      </c>
      <c r="DT161" s="59">
        <f ca="1">AVERAGE(OFFSET($DS$3,0,0,'Données projet'!$E$14+1,1))-AVERAGE(OFFSET($H$3,0,0,'Données projet'!$E$14+1,1))</f>
        <v>610.05768948788375</v>
      </c>
      <c r="DU161" s="59">
        <f t="shared" si="152"/>
        <v>295.23928902444845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42.926045224070322</v>
      </c>
      <c r="EB161" s="21">
        <f>EXP(-LN(2)/25)*EB160+(1-EXP(-LN(2)/25))/(LN(2)/25)*Calculateur!DW161*Calculateur!DY161*VLOOKUP('Données projet'!$B$14,Paramètres!$A$1:$I$89,3,0)*0.475*44/12</f>
        <v>22.959329575487285</v>
      </c>
      <c r="EC161" s="21">
        <f>EXP(-LN(2)/2)*EC160+(1-EXP(-LN(2)/2))/(LN(2)/2)*DW161*DZ161*VLOOKUP('Données projet'!$B$14,Paramètres!$A$1:$I$89,3,0)*0.475*44/12</f>
        <v>4.8982868341225866E-2</v>
      </c>
      <c r="ED161" s="22">
        <f t="shared" si="178"/>
        <v>65.934357667898837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9.4880000000000049</v>
      </c>
      <c r="N162" s="13">
        <f>IF('Données projet'!$A$36&gt;35,N161+M162-V161,IF(A162&lt;'Données projet'!$A$36,$K$205^A162,IF(A162='Données projet'!$A$36,'Données projet'!$B$36,N161+M162-V161)))</f>
        <v>532.88000000000113</v>
      </c>
      <c r="O162" s="13">
        <f>N162*VLOOKUP('Données projet'!$B$9,Paramètres!$A$1:$I$89,3,0)*VLOOKUP('Données projet'!$B$9,Paramètres!$A$1:$I$89,5,0)</f>
        <v>482.14982400000099</v>
      </c>
      <c r="P162" s="13">
        <f t="shared" si="141"/>
        <v>108.24595869432409</v>
      </c>
      <c r="Q162" s="20">
        <f t="shared" si="162"/>
        <v>1028.272654859283</v>
      </c>
      <c r="R162" s="59">
        <f t="shared" si="109"/>
        <v>1315.9333244176519</v>
      </c>
      <c r="S162" s="59">
        <f ca="1">AVERAGE(OFFSET($R$3,0,0,'Données projet'!$E$9+1,1))-AVERAGE(OFFSET($H$3,0,0,'Données projet'!$E$9+1,1))</f>
        <v>681.47578137804555</v>
      </c>
      <c r="T162" s="59">
        <f t="shared" si="142"/>
        <v>300.88511065995885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49.038664696263268</v>
      </c>
      <c r="AA162" s="21">
        <f>EXP(-LN(2)/25)*AA161+(1-EXP(-LN(2)/25))/(LN(2)/25)*Calculateur!V162*Calculateur!X162*VLOOKUP('Données projet'!$B$9,Paramètres!$A$1:$I$89,3,0)*0.475*44/12</f>
        <v>19.931536283716778</v>
      </c>
      <c r="AB162" s="21">
        <f>EXP(-LN(2)/2)*AB161+(1-EXP(-LN(2)/2))/(LN(2)/2)*V162*Y162*VLOOKUP('Données projet'!$B$9,Paramètres!$A$1:$I$89,3,0)*0.475*44/12</f>
        <v>2.7545725412512548E-5</v>
      </c>
      <c r="AC162" s="22">
        <f t="shared" si="163"/>
        <v>68.970228525705465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-8.8675733422860506E-14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217.53602321474159</v>
      </c>
      <c r="AO162" s="59">
        <f t="shared" si="144"/>
        <v>215.75909414893025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4.6371632413415833</v>
      </c>
      <c r="AV162" s="21">
        <f>EXP(-LN(2)/25)*AV161+(1-EXP(-LN(2)/25))/(LN(2)/25)*Calculateur!AQ162*Calculateur!AS162*VLOOKUP('Données projet'!$B$10,Paramètres!$A$1:$I$89,3,0)*0.475*44/12</f>
        <v>2.238045170173407</v>
      </c>
      <c r="AW162" s="21">
        <f>EXP(-LN(2)/2)*AW161+(1-EXP(-LN(2)/2))/(LN(2)/2)*AQ162*AT162*VLOOKUP('Données projet'!$B$10,Paramètres!$A$1:$I$89,3,0)*0.475*44/12</f>
        <v>1.1069166625493303E-12</v>
      </c>
      <c r="AX162" s="21">
        <f t="shared" si="166"/>
        <v>6.8752084115160965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-1.7053025658242404E-13</v>
      </c>
      <c r="BE162" s="13">
        <f>BD162*VLOOKUP('Données projet'!$B$11,Paramètres!$A$1:$I$89,3,0)*VLOOKUP('Données projet'!$B$11,Paramètres!$A$1:$I$89,5,0)</f>
        <v>-1.1439169611549005E-13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281.67293577289729</v>
      </c>
      <c r="BJ162" s="59">
        <f t="shared" si="146"/>
        <v>272.44904846480154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7.1648219407636349</v>
      </c>
      <c r="BQ162" s="21">
        <f>EXP(-LN(2)/25)*BQ161+(1-EXP(-LN(2)/25))/(LN(2)/25)*Calculateur!BL162*Calculateur!BN162*VLOOKUP('Données projet'!$B$11,Paramètres!$A$1:$I$89,3,0)*0.475*44/12</f>
        <v>3.9959560372722227</v>
      </c>
      <c r="BR162" s="21">
        <f>EXP(-LN(2)/2)*BR161+(1-EXP(-LN(2)/2))/(LN(2)/2)*BL162*BO162*VLOOKUP('Données projet'!$B$11,Paramètres!$A$1:$I$89,3,0)*0.475*44/12</f>
        <v>5.6370150945938414E-11</v>
      </c>
      <c r="BS162" s="22">
        <f t="shared" si="169"/>
        <v>11.160777978092229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-1.7053025658242404E-13</v>
      </c>
      <c r="BZ162" s="13">
        <f>BY162*VLOOKUP('Données projet'!$B$12,Paramètres!$A$1:$I$89,3,0)*VLOOKUP('Données projet'!$B$12,Paramètres!$A$1:$I$89,5,0)</f>
        <v>-1.4897523215040567E-13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348.77506423101278</v>
      </c>
      <c r="CE162" s="59">
        <f t="shared" si="148"/>
        <v>336.13747591329548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9.3309308995991458</v>
      </c>
      <c r="CL162" s="21">
        <f>EXP(-LN(2)/25)*CL161+(1-EXP(-LN(2)/25))/(LN(2)/25)*Calculateur!CG162*Calculateur!CI162*VLOOKUP('Données projet'!$B$12,Paramètres!$A$1:$I$89,3,0)*0.475*44/12</f>
        <v>5.2040357694707966</v>
      </c>
      <c r="CM162" s="21">
        <f>EXP(-LN(2)/2)*CM161+(1-EXP(-LN(2)/2))/(LN(2)/2)*CG162*CJ162*VLOOKUP('Données projet'!$B$12,Paramètres!$A$1:$I$89,3,0)*0.475*44/12</f>
        <v>7.3412289604012923E-11</v>
      </c>
      <c r="CN162" s="22">
        <f t="shared" si="172"/>
        <v>14.534966669143353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7.6783333333333319</v>
      </c>
      <c r="CT162" s="12">
        <f>IF('Données projet'!$A$140&gt;35,CT161+CS162-DB161,IF(A162&lt;'Données projet'!$A$140,$CQ$205^A162,IF(A162='Données projet'!$A$140,'Données projet'!$B$140,CT161+CS162-DB161)))</f>
        <v>366.54499999999962</v>
      </c>
      <c r="CU162" s="17">
        <f>CT162*VLOOKUP('Données projet'!$B$13,Paramètres!$A$1:$I$89,3,0)*VLOOKUP('Données projet'!$B$13,Paramètres!$A$1:$I$89,5,0)</f>
        <v>354.52232399999963</v>
      </c>
      <c r="CV162" s="13">
        <f t="shared" si="173"/>
        <v>82.493007805005064</v>
      </c>
      <c r="CW162" s="20">
        <f t="shared" si="174"/>
        <v>761.13503622704968</v>
      </c>
      <c r="CX162" s="59">
        <f t="shared" si="122"/>
        <v>1048.7957057854187</v>
      </c>
      <c r="CY162" s="59">
        <f ca="1">AVERAGE(OFFSET($CX$3,0,0,'Données projet'!$E$13+1,1))-AVERAGE(OFFSET($H$3,0,0,'Données projet'!$E$13+1,1))</f>
        <v>557.48193674339791</v>
      </c>
      <c r="CZ162" s="59">
        <f t="shared" si="150"/>
        <v>271.51396593253048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37.814870766532955</v>
      </c>
      <c r="DG162" s="21">
        <f>EXP(-LN(2)/25)*DG161+(1-EXP(-LN(2)/25))/(LN(2)/25)*Calculateur!DB162*Calculateur!DD162*VLOOKUP('Données projet'!$B$13,Paramètres!$A$1:$I$89,3,0)*0.475*44/12</f>
        <v>20.065990450054333</v>
      </c>
      <c r="DH162" s="21">
        <f>EXP(-LN(2)/2)*DH161+(1-EXP(-LN(2)/2))/(LN(2)/2)*DB162*DE162*VLOOKUP('Données projet'!$B$13,Paramètres!$A$1:$I$89,3,0)*0.475*44/12</f>
        <v>3.1122309256449557E-2</v>
      </c>
      <c r="DI162" s="22">
        <f t="shared" si="175"/>
        <v>57.911983525843738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7.6783333333333319</v>
      </c>
      <c r="DO162" s="12">
        <f>IF('Données projet'!$A$166&gt;35,DO161+DN162-DW161,IF(A162&lt;'Données projet'!$A$166,$DL$205^A162,IF(A162='Données projet'!$A$166,'Données projet'!$B$166,DO161+DN162-DW161)))</f>
        <v>366.54499999999962</v>
      </c>
      <c r="DP162" s="17">
        <f>DO162*VLOOKUP('Données projet'!$B$14,Paramètres!$A$1:$I$89,3,0)*VLOOKUP('Données projet'!$B$14,Paramètres!$A$1:$I$89,5,0)</f>
        <v>394.5490379999996</v>
      </c>
      <c r="DQ162" s="13">
        <f t="shared" si="176"/>
        <v>90.670685381511234</v>
      </c>
      <c r="DR162" s="20">
        <f t="shared" si="177"/>
        <v>845.09101822279797</v>
      </c>
      <c r="DS162" s="59">
        <f t="shared" si="125"/>
        <v>1132.751687781167</v>
      </c>
      <c r="DT162" s="59">
        <f ca="1">AVERAGE(OFFSET($DS$3,0,0,'Données projet'!$E$14+1,1))-AVERAGE(OFFSET($H$3,0,0,'Données projet'!$E$14+1,1))</f>
        <v>610.05768948788375</v>
      </c>
      <c r="DU162" s="59">
        <f t="shared" si="152"/>
        <v>295.23928902444845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42.084291659528603</v>
      </c>
      <c r="EB162" s="21">
        <f>EXP(-LN(2)/25)*EB161+(1-EXP(-LN(2)/25))/(LN(2)/25)*Calculateur!DW162*Calculateur!DY162*VLOOKUP('Données projet'!$B$14,Paramètres!$A$1:$I$89,3,0)*0.475*44/12</f>
        <v>22.331505500866918</v>
      </c>
      <c r="EC162" s="21">
        <f>EXP(-LN(2)/2)*EC161+(1-EXP(-LN(2)/2))/(LN(2)/2)*DW162*DZ162*VLOOKUP('Données projet'!$B$14,Paramètres!$A$1:$I$89,3,0)*0.475*44/12</f>
        <v>3.4636118366048664E-2</v>
      </c>
      <c r="ED162" s="22">
        <f t="shared" si="178"/>
        <v>64.450433278761579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9.4880000000000049</v>
      </c>
      <c r="N163" s="13">
        <f>IF('Données projet'!$A$36&gt;35,N162+M163-V162,IF(A163&lt;'Données projet'!$A$36,$K$205^A163,IF(A163='Données projet'!$A$36,'Données projet'!$B$36,N162+M163-V162)))</f>
        <v>542.36800000000119</v>
      </c>
      <c r="O163" s="13">
        <f>N163*VLOOKUP('Données projet'!$B$9,Paramètres!$A$1:$I$89,3,0)*VLOOKUP('Données projet'!$B$9,Paramètres!$A$1:$I$89,5,0)</f>
        <v>490.73456640000109</v>
      </c>
      <c r="P163" s="13">
        <f t="shared" si="141"/>
        <v>109.94719771775897</v>
      </c>
      <c r="Q163" s="20">
        <f t="shared" si="162"/>
        <v>1046.1874058384321</v>
      </c>
      <c r="R163" s="59">
        <f t="shared" si="109"/>
        <v>1333.9464834311204</v>
      </c>
      <c r="S163" s="59">
        <f ca="1">AVERAGE(OFFSET($R$3,0,0,'Données projet'!$E$9+1,1))-AVERAGE(OFFSET($H$3,0,0,'Données projet'!$E$9+1,1))</f>
        <v>681.47578137804555</v>
      </c>
      <c r="T163" s="59">
        <f t="shared" si="142"/>
        <v>300.88511065995885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48.077046392201581</v>
      </c>
      <c r="AA163" s="21">
        <f>EXP(-LN(2)/25)*AA162+(1-EXP(-LN(2)/25))/(LN(2)/25)*Calculateur!V163*Calculateur!X163*VLOOKUP('Données projet'!$B$9,Paramètres!$A$1:$I$89,3,0)*0.475*44/12</f>
        <v>19.386507375884602</v>
      </c>
      <c r="AB163" s="21">
        <f>EXP(-LN(2)/2)*AB162+(1-EXP(-LN(2)/2))/(LN(2)/2)*V163*Y163*VLOOKUP('Données projet'!$B$9,Paramètres!$A$1:$I$89,3,0)*0.475*44/12</f>
        <v>1.9477769231890232E-5</v>
      </c>
      <c r="AC163" s="22">
        <f t="shared" si="163"/>
        <v>67.463573245855414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-8.8675733422860506E-14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217.53602321474159</v>
      </c>
      <c r="AO163" s="59">
        <f t="shared" si="144"/>
        <v>215.75909414893025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4.5462312985691717</v>
      </c>
      <c r="AV163" s="21">
        <f>EXP(-LN(2)/25)*AV162+(1-EXP(-LN(2)/25))/(LN(2)/25)*Calculateur!AQ163*Calculateur!AS163*VLOOKUP('Données projet'!$B$10,Paramètres!$A$1:$I$89,3,0)*0.475*44/12</f>
        <v>2.176845707301335</v>
      </c>
      <c r="AW163" s="21">
        <f>EXP(-LN(2)/2)*AW162+(1-EXP(-LN(2)/2))/(LN(2)/2)*AQ163*AT163*VLOOKUP('Données projet'!$B$10,Paramètres!$A$1:$I$89,3,0)*0.475*44/12</f>
        <v>7.8270827829701279E-13</v>
      </c>
      <c r="AX163" s="21">
        <f t="shared" si="166"/>
        <v>6.7230770058712892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-1.7053025658242404E-13</v>
      </c>
      <c r="BE163" s="13">
        <f>BD163*VLOOKUP('Données projet'!$B$11,Paramètres!$A$1:$I$89,3,0)*VLOOKUP('Données projet'!$B$11,Paramètres!$A$1:$I$89,5,0)</f>
        <v>-1.1439169611549005E-13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281.67293577289729</v>
      </c>
      <c r="BJ163" s="59">
        <f t="shared" si="146"/>
        <v>272.44904846480154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7.0243241526151312</v>
      </c>
      <c r="BQ163" s="21">
        <f>EXP(-LN(2)/25)*BQ162+(1-EXP(-LN(2)/25))/(LN(2)/25)*Calculateur!BL163*Calculateur!BN163*VLOOKUP('Données projet'!$B$11,Paramètres!$A$1:$I$89,3,0)*0.475*44/12</f>
        <v>3.8866864092948186</v>
      </c>
      <c r="BR163" s="21">
        <f>EXP(-LN(2)/2)*BR162+(1-EXP(-LN(2)/2))/(LN(2)/2)*BL163*BO163*VLOOKUP('Données projet'!$B$11,Paramètres!$A$1:$I$89,3,0)*0.475*44/12</f>
        <v>3.9859715990382328E-11</v>
      </c>
      <c r="BS163" s="22">
        <f t="shared" si="169"/>
        <v>10.91101056194981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-1.7053025658242404E-13</v>
      </c>
      <c r="BZ163" s="13">
        <f>BY163*VLOOKUP('Données projet'!$B$12,Paramètres!$A$1:$I$89,3,0)*VLOOKUP('Données projet'!$B$12,Paramètres!$A$1:$I$89,5,0)</f>
        <v>-1.4897523215040567E-13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348.77506423101278</v>
      </c>
      <c r="CE163" s="59">
        <f t="shared" si="148"/>
        <v>336.13747591329548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9.147957035963886</v>
      </c>
      <c r="CL163" s="21">
        <f>EXP(-LN(2)/25)*CL162+(1-EXP(-LN(2)/25))/(LN(2)/25)*Calculateur!CG163*Calculateur!CI163*VLOOKUP('Données projet'!$B$12,Paramètres!$A$1:$I$89,3,0)*0.475*44/12</f>
        <v>5.0617311376862704</v>
      </c>
      <c r="CM163" s="21">
        <f>EXP(-LN(2)/2)*CM162+(1-EXP(-LN(2)/2))/(LN(2)/2)*CG163*CJ163*VLOOKUP('Données projet'!$B$12,Paramètres!$A$1:$I$89,3,0)*0.475*44/12</f>
        <v>5.1910327801428224E-11</v>
      </c>
      <c r="CN163" s="22">
        <f t="shared" si="172"/>
        <v>14.209688173702068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7.6783333333333319</v>
      </c>
      <c r="CT163" s="12">
        <f>IF('Données projet'!$A$140&gt;35,CT162+CS163-DB162,IF(A163&lt;'Données projet'!$A$140,$CQ$205^A163,IF(A163='Données projet'!$A$140,'Données projet'!$B$140,CT162+CS163-DB162)))</f>
        <v>374.22333333333296</v>
      </c>
      <c r="CU163" s="17">
        <f>CT163*VLOOKUP('Données projet'!$B$13,Paramètres!$A$1:$I$89,3,0)*VLOOKUP('Données projet'!$B$13,Paramètres!$A$1:$I$89,5,0)</f>
        <v>361.94880799999964</v>
      </c>
      <c r="CV163" s="13">
        <f t="shared" si="173"/>
        <v>84.018067331968155</v>
      </c>
      <c r="CW163" s="20">
        <f t="shared" si="174"/>
        <v>776.72564120317713</v>
      </c>
      <c r="CX163" s="59">
        <f t="shared" si="122"/>
        <v>1064.4847187958655</v>
      </c>
      <c r="CY163" s="59">
        <f ca="1">AVERAGE(OFFSET($CX$3,0,0,'Données projet'!$E$13+1,1))-AVERAGE(OFFSET($H$3,0,0,'Données projet'!$E$13+1,1))</f>
        <v>557.48193674339791</v>
      </c>
      <c r="CZ163" s="59">
        <f t="shared" si="150"/>
        <v>271.51396593253048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37.07334421559495</v>
      </c>
      <c r="DG163" s="21">
        <f>EXP(-LN(2)/25)*DG162+(1-EXP(-LN(2)/25))/(LN(2)/25)*Calculateur!DB163*Calculateur!DD163*VLOOKUP('Données projet'!$B$13,Paramètres!$A$1:$I$89,3,0)*0.475*44/12</f>
        <v>19.517284885973019</v>
      </c>
      <c r="DH163" s="21">
        <f>EXP(-LN(2)/2)*DH162+(1-EXP(-LN(2)/2))/(LN(2)/2)*DB163*DE163*VLOOKUP('Données projet'!$B$13,Paramètres!$A$1:$I$89,3,0)*0.475*44/12</f>
        <v>2.2006795921420342E-2</v>
      </c>
      <c r="DI163" s="22">
        <f t="shared" si="175"/>
        <v>56.61263589748939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7.6783333333333319</v>
      </c>
      <c r="DO163" s="12">
        <f>IF('Données projet'!$A$166&gt;35,DO162+DN163-DW162,IF(A163&lt;'Données projet'!$A$166,$DL$205^A163,IF(A163='Données projet'!$A$166,'Données projet'!$B$166,DO162+DN163-DW162)))</f>
        <v>374.22333333333296</v>
      </c>
      <c r="DP163" s="17">
        <f>DO163*VLOOKUP('Données projet'!$B$14,Paramètres!$A$1:$I$89,3,0)*VLOOKUP('Données projet'!$B$14,Paramètres!$A$1:$I$89,5,0)</f>
        <v>402.81399599999963</v>
      </c>
      <c r="DQ163" s="13">
        <f t="shared" si="176"/>
        <v>92.346926753194566</v>
      </c>
      <c r="DR163" s="20">
        <f t="shared" si="177"/>
        <v>862.40527379514651</v>
      </c>
      <c r="DS163" s="59">
        <f t="shared" si="125"/>
        <v>1150.1643513878348</v>
      </c>
      <c r="DT163" s="59">
        <f ca="1">AVERAGE(OFFSET($DS$3,0,0,'Données projet'!$E$14+1,1))-AVERAGE(OFFSET($H$3,0,0,'Données projet'!$E$14+1,1))</f>
        <v>610.05768948788375</v>
      </c>
      <c r="DU163" s="59">
        <f t="shared" si="152"/>
        <v>295.23928902444845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41.259044368968567</v>
      </c>
      <c r="EB163" s="21">
        <f>EXP(-LN(2)/25)*EB162+(1-EXP(-LN(2)/25))/(LN(2)/25)*Calculateur!DW163*Calculateur!DY163*VLOOKUP('Données projet'!$B$14,Paramètres!$A$1:$I$89,3,0)*0.475*44/12</f>
        <v>21.720849308582878</v>
      </c>
      <c r="EC163" s="21">
        <f>EXP(-LN(2)/2)*EC162+(1-EXP(-LN(2)/2))/(LN(2)/2)*DW163*DZ163*VLOOKUP('Données projet'!$B$14,Paramètres!$A$1:$I$89,3,0)*0.475*44/12</f>
        <v>2.4491434170612933E-2</v>
      </c>
      <c r="ED163" s="22">
        <f t="shared" si="178"/>
        <v>63.004385111722058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9.4880000000000049</v>
      </c>
      <c r="N164" s="13">
        <f>IF('Données projet'!$A$36&gt;35,N163+M164-V163,IF(A164&lt;'Données projet'!$A$36,$K$205^A164,IF(A164='Données projet'!$A$36,'Données projet'!$B$36,N163+M164-V163)))</f>
        <v>551.85600000000125</v>
      </c>
      <c r="O164" s="13">
        <f>N164*VLOOKUP('Données projet'!$B$9,Paramètres!$A$1:$I$89,3,0)*VLOOKUP('Données projet'!$B$9,Paramètres!$A$1:$I$89,5,0)</f>
        <v>499.31930880000107</v>
      </c>
      <c r="P164" s="13">
        <f t="shared" si="141"/>
        <v>111.64497591125094</v>
      </c>
      <c r="Q164" s="20">
        <f t="shared" si="162"/>
        <v>1064.0961292054305</v>
      </c>
      <c r="R164" s="59">
        <f t="shared" si="109"/>
        <v>1351.9519076730503</v>
      </c>
      <c r="S164" s="59">
        <f ca="1">AVERAGE(OFFSET($R$3,0,0,'Données projet'!$E$9+1,1))-AVERAGE(OFFSET($H$3,0,0,'Données projet'!$E$9+1,1))</f>
        <v>681.47578137804555</v>
      </c>
      <c r="T164" s="59">
        <f t="shared" si="142"/>
        <v>300.88511065995885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47.134284836553292</v>
      </c>
      <c r="AA164" s="21">
        <f>EXP(-LN(2)/25)*AA163+(1-EXP(-LN(2)/25))/(LN(2)/25)*Calculateur!V164*Calculateur!X164*VLOOKUP('Données projet'!$B$9,Paramètres!$A$1:$I$89,3,0)*0.475*44/12</f>
        <v>18.856382312198924</v>
      </c>
      <c r="AB164" s="21">
        <f>EXP(-LN(2)/2)*AB163+(1-EXP(-LN(2)/2))/(LN(2)/2)*V164*Y164*VLOOKUP('Données projet'!$B$9,Paramètres!$A$1:$I$89,3,0)*0.475*44/12</f>
        <v>1.3772862706256274E-5</v>
      </c>
      <c r="AC164" s="22">
        <f t="shared" si="163"/>
        <v>65.99068092161491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-8.8675733422860506E-14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217.53602321474159</v>
      </c>
      <c r="AO164" s="59">
        <f t="shared" si="144"/>
        <v>215.75909414893025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4.4570824757315188</v>
      </c>
      <c r="AV164" s="21">
        <f>EXP(-LN(2)/25)*AV163+(1-EXP(-LN(2)/25))/(LN(2)/25)*Calculateur!AQ164*Calculateur!AS164*VLOOKUP('Données projet'!$B$10,Paramètres!$A$1:$I$89,3,0)*0.475*44/12</f>
        <v>2.1173197469598395</v>
      </c>
      <c r="AW164" s="21">
        <f>EXP(-LN(2)/2)*AW163+(1-EXP(-LN(2)/2))/(LN(2)/2)*AQ164*AT164*VLOOKUP('Données projet'!$B$10,Paramètres!$A$1:$I$89,3,0)*0.475*44/12</f>
        <v>5.5345833127466516E-13</v>
      </c>
      <c r="AX164" s="21">
        <f t="shared" si="166"/>
        <v>6.5744022226919112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-1.7053025658242404E-13</v>
      </c>
      <c r="BE164" s="13">
        <f>BD164*VLOOKUP('Données projet'!$B$11,Paramètres!$A$1:$I$89,3,0)*VLOOKUP('Données projet'!$B$11,Paramètres!$A$1:$I$89,5,0)</f>
        <v>-1.1439169611549005E-13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281.67293577289729</v>
      </c>
      <c r="BJ164" s="59">
        <f t="shared" si="146"/>
        <v>272.44904846480154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6.8865814403970305</v>
      </c>
      <c r="BQ164" s="21">
        <f>EXP(-LN(2)/25)*BQ163+(1-EXP(-LN(2)/25))/(LN(2)/25)*Calculateur!BL164*Calculateur!BN164*VLOOKUP('Données projet'!$B$11,Paramètres!$A$1:$I$89,3,0)*0.475*44/12</f>
        <v>3.7804047650406964</v>
      </c>
      <c r="BR164" s="21">
        <f>EXP(-LN(2)/2)*BR163+(1-EXP(-LN(2)/2))/(LN(2)/2)*BL164*BO164*VLOOKUP('Données projet'!$B$11,Paramètres!$A$1:$I$89,3,0)*0.475*44/12</f>
        <v>2.8185075472969207E-11</v>
      </c>
      <c r="BS164" s="22">
        <f t="shared" si="169"/>
        <v>10.666986205465912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-1.7053025658242404E-13</v>
      </c>
      <c r="BZ164" s="13">
        <f>BY164*VLOOKUP('Données projet'!$B$12,Paramètres!$A$1:$I$89,3,0)*VLOOKUP('Données projet'!$B$12,Paramètres!$A$1:$I$89,5,0)</f>
        <v>-1.4897523215040567E-13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348.77506423101278</v>
      </c>
      <c r="CE164" s="59">
        <f t="shared" si="148"/>
        <v>336.13747591329548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8.9685711781914765</v>
      </c>
      <c r="CL164" s="21">
        <f>EXP(-LN(2)/25)*CL163+(1-EXP(-LN(2)/25))/(LN(2)/25)*Calculateur!CG164*Calculateur!CI164*VLOOKUP('Données projet'!$B$12,Paramètres!$A$1:$I$89,3,0)*0.475*44/12</f>
        <v>4.9233178335413674</v>
      </c>
      <c r="CM164" s="21">
        <f>EXP(-LN(2)/2)*CM163+(1-EXP(-LN(2)/2))/(LN(2)/2)*CG164*CJ164*VLOOKUP('Données projet'!$B$12,Paramètres!$A$1:$I$89,3,0)*0.475*44/12</f>
        <v>3.6706144802006462E-11</v>
      </c>
      <c r="CN164" s="22">
        <f t="shared" si="172"/>
        <v>13.89188901176955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7.6783333333333319</v>
      </c>
      <c r="CT164" s="12">
        <f>IF('Données projet'!$A$140&gt;35,CT163+CS164-DB163,IF(A164&lt;'Données projet'!$A$140,$CQ$205^A164,IF(A164='Données projet'!$A$140,'Données projet'!$B$140,CT163+CS164-DB163)))</f>
        <v>381.9016666666663</v>
      </c>
      <c r="CU164" s="17">
        <f>CT164*VLOOKUP('Données projet'!$B$13,Paramètres!$A$1:$I$89,3,0)*VLOOKUP('Données projet'!$B$13,Paramètres!$A$1:$I$89,5,0)</f>
        <v>369.37529199999966</v>
      </c>
      <c r="CV164" s="13">
        <f t="shared" si="173"/>
        <v>85.539488633737008</v>
      </c>
      <c r="CW164" s="20">
        <f t="shared" si="174"/>
        <v>792.309909603758</v>
      </c>
      <c r="CX164" s="59">
        <f t="shared" si="122"/>
        <v>1080.1656880713776</v>
      </c>
      <c r="CY164" s="59">
        <f ca="1">AVERAGE(OFFSET($CX$3,0,0,'Données projet'!$E$13+1,1))-AVERAGE(OFFSET($H$3,0,0,'Données projet'!$E$13+1,1))</f>
        <v>557.48193674339791</v>
      </c>
      <c r="CZ164" s="59">
        <f t="shared" si="150"/>
        <v>271.51396593253048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36.346358548034303</v>
      </c>
      <c r="DG164" s="21">
        <f>EXP(-LN(2)/25)*DG163+(1-EXP(-LN(2)/25))/(LN(2)/25)*Calculateur!DB164*Calculateur!DD164*VLOOKUP('Données projet'!$B$13,Paramètres!$A$1:$I$89,3,0)*0.475*44/12</f>
        <v>18.983583704396683</v>
      </c>
      <c r="DH164" s="21">
        <f>EXP(-LN(2)/2)*DH163+(1-EXP(-LN(2)/2))/(LN(2)/2)*DB164*DE164*VLOOKUP('Données projet'!$B$13,Paramètres!$A$1:$I$89,3,0)*0.475*44/12</f>
        <v>1.5561154628224782E-2</v>
      </c>
      <c r="DI164" s="22">
        <f t="shared" si="175"/>
        <v>55.345503407059205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7.6783333333333319</v>
      </c>
      <c r="DO164" s="12">
        <f>IF('Données projet'!$A$166&gt;35,DO163+DN164-DW163,IF(A164&lt;'Données projet'!$A$166,$DL$205^A164,IF(A164='Données projet'!$A$166,'Données projet'!$B$166,DO163+DN164-DW163)))</f>
        <v>381.9016666666663</v>
      </c>
      <c r="DP164" s="17">
        <f>DO164*VLOOKUP('Données projet'!$B$14,Paramètres!$A$1:$I$89,3,0)*VLOOKUP('Données projet'!$B$14,Paramètres!$A$1:$I$89,5,0)</f>
        <v>411.07895399999961</v>
      </c>
      <c r="DQ164" s="13">
        <f t="shared" si="176"/>
        <v>94.019169235993829</v>
      </c>
      <c r="DR164" s="20">
        <f t="shared" si="177"/>
        <v>879.71256463602185</v>
      </c>
      <c r="DS164" s="59">
        <f t="shared" si="125"/>
        <v>1167.5683431036416</v>
      </c>
      <c r="DT164" s="59">
        <f ca="1">AVERAGE(OFFSET($DS$3,0,0,'Données projet'!$E$14+1,1))-AVERAGE(OFFSET($H$3,0,0,'Données projet'!$E$14+1,1))</f>
        <v>610.05768948788375</v>
      </c>
      <c r="DU164" s="59">
        <f t="shared" si="152"/>
        <v>295.23928902444845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40.449979674425272</v>
      </c>
      <c r="EB164" s="21">
        <f>EXP(-LN(2)/25)*EB163+(1-EXP(-LN(2)/25))/(LN(2)/25)*Calculateur!DW164*Calculateur!DY164*VLOOKUP('Données projet'!$B$14,Paramètres!$A$1:$I$89,3,0)*0.475*44/12</f>
        <v>21.126891541989856</v>
      </c>
      <c r="EC164" s="21">
        <f>EXP(-LN(2)/2)*EC163+(1-EXP(-LN(2)/2))/(LN(2)/2)*DW164*DZ164*VLOOKUP('Données projet'!$B$14,Paramètres!$A$1:$I$89,3,0)*0.475*44/12</f>
        <v>1.7318059183024332E-2</v>
      </c>
      <c r="ED164" s="22">
        <f t="shared" si="178"/>
        <v>61.594189275598154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9.4880000000000049</v>
      </c>
      <c r="N165" s="13">
        <f>IF('Données projet'!$A$36&gt;35,N164+M165-V164,IF(A165&lt;'Données projet'!$A$36,$K$205^A165,IF(A165='Données projet'!$A$36,'Données projet'!$B$36,N164+M165-V164)))</f>
        <v>561.3440000000013</v>
      </c>
      <c r="O165" s="13">
        <f>N165*VLOOKUP('Données projet'!$B$9,Paramètres!$A$1:$I$89,3,0)*VLOOKUP('Données projet'!$B$9,Paramètres!$A$1:$I$89,5,0)</f>
        <v>507.90405120000116</v>
      </c>
      <c r="P165" s="13">
        <f t="shared" si="141"/>
        <v>113.33935964263163</v>
      </c>
      <c r="Q165" s="20">
        <f t="shared" si="162"/>
        <v>1081.9989405509189</v>
      </c>
      <c r="R165" s="59">
        <f t="shared" si="109"/>
        <v>1369.9497423494806</v>
      </c>
      <c r="S165" s="59">
        <f ca="1">AVERAGE(OFFSET($R$3,0,0,'Données projet'!$E$9+1,1))-AVERAGE(OFFSET($H$3,0,0,'Données projet'!$E$9+1,1))</f>
        <v>681.47578137804555</v>
      </c>
      <c r="T165" s="59">
        <f t="shared" si="142"/>
        <v>300.88511065995885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46.210010259983498</v>
      </c>
      <c r="AA165" s="21">
        <f>EXP(-LN(2)/25)*AA164+(1-EXP(-LN(2)/25))/(LN(2)/25)*Calculateur!V165*Calculateur!X165*VLOOKUP('Données projet'!$B$9,Paramètres!$A$1:$I$89,3,0)*0.475*44/12</f>
        <v>18.340753546257798</v>
      </c>
      <c r="AB165" s="21">
        <f>EXP(-LN(2)/2)*AB164+(1-EXP(-LN(2)/2))/(LN(2)/2)*V165*Y165*VLOOKUP('Données projet'!$B$9,Paramètres!$A$1:$I$89,3,0)*0.475*44/12</f>
        <v>9.7388846159451158E-6</v>
      </c>
      <c r="AC165" s="22">
        <f t="shared" si="163"/>
        <v>64.550773545125907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-8.8675733422860506E-14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217.53602321474159</v>
      </c>
      <c r="AO165" s="59">
        <f t="shared" si="144"/>
        <v>215.75909414893025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4.3696818069342989</v>
      </c>
      <c r="AV165" s="21">
        <f>EXP(-LN(2)/25)*AV164+(1-EXP(-LN(2)/25))/(LN(2)/25)*Calculateur!AQ165*Calculateur!AS165*VLOOKUP('Données projet'!$B$10,Paramètres!$A$1:$I$89,3,0)*0.475*44/12</f>
        <v>2.0594215271342162</v>
      </c>
      <c r="AW165" s="21">
        <f>EXP(-LN(2)/2)*AW164+(1-EXP(-LN(2)/2))/(LN(2)/2)*AQ165*AT165*VLOOKUP('Données projet'!$B$10,Paramètres!$A$1:$I$89,3,0)*0.475*44/12</f>
        <v>3.913541391485064E-13</v>
      </c>
      <c r="AX165" s="21">
        <f t="shared" si="166"/>
        <v>6.4291033340689063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-1.7053025658242404E-13</v>
      </c>
      <c r="BE165" s="13">
        <f>BD165*VLOOKUP('Données projet'!$B$11,Paramètres!$A$1:$I$89,3,0)*VLOOKUP('Données projet'!$B$11,Paramètres!$A$1:$I$89,5,0)</f>
        <v>-1.1439169611549005E-13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281.67293577289729</v>
      </c>
      <c r="BJ165" s="59">
        <f t="shared" si="146"/>
        <v>272.44904846480154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6.7515397787507681</v>
      </c>
      <c r="BQ165" s="21">
        <f>EXP(-LN(2)/25)*BQ164+(1-EXP(-LN(2)/25))/(LN(2)/25)*Calculateur!BL165*Calculateur!BN165*VLOOKUP('Données projet'!$B$11,Paramètres!$A$1:$I$89,3,0)*0.475*44/12</f>
        <v>3.6770293979378121</v>
      </c>
      <c r="BR165" s="21">
        <f>EXP(-LN(2)/2)*BR164+(1-EXP(-LN(2)/2))/(LN(2)/2)*BL165*BO165*VLOOKUP('Données projet'!$B$11,Paramètres!$A$1:$I$89,3,0)*0.475*44/12</f>
        <v>1.9929857995191164E-11</v>
      </c>
      <c r="BS165" s="22">
        <f t="shared" si="169"/>
        <v>10.42856917670851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-1.7053025658242404E-13</v>
      </c>
      <c r="BZ165" s="13">
        <f>BY165*VLOOKUP('Données projet'!$B$12,Paramètres!$A$1:$I$89,3,0)*VLOOKUP('Données projet'!$B$12,Paramètres!$A$1:$I$89,5,0)</f>
        <v>-1.4897523215040567E-13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348.77506423101278</v>
      </c>
      <c r="CE165" s="59">
        <f t="shared" si="148"/>
        <v>336.13747591329548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8.7927029676754138</v>
      </c>
      <c r="CL165" s="21">
        <f>EXP(-LN(2)/25)*CL164+(1-EXP(-LN(2)/25))/(LN(2)/25)*Calculateur!CG165*Calculateur!CI165*VLOOKUP('Données projet'!$B$12,Paramètres!$A$1:$I$89,3,0)*0.475*44/12</f>
        <v>4.7886894484771458</v>
      </c>
      <c r="CM165" s="21">
        <f>EXP(-LN(2)/2)*CM164+(1-EXP(-LN(2)/2))/(LN(2)/2)*CG165*CJ165*VLOOKUP('Données projet'!$B$12,Paramètres!$A$1:$I$89,3,0)*0.475*44/12</f>
        <v>2.5955163900714112E-11</v>
      </c>
      <c r="CN165" s="22">
        <f t="shared" si="172"/>
        <v>13.581392416178515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7.6783333333333319</v>
      </c>
      <c r="CT165" s="12">
        <f>IF('Données projet'!$A$140&gt;35,CT164+CS165-DB164,IF(A165&lt;'Données projet'!$A$140,$CQ$205^A165,IF(A165='Données projet'!$A$140,'Données projet'!$B$140,CT164+CS165-DB164)))</f>
        <v>389.57999999999964</v>
      </c>
      <c r="CU165" s="17">
        <f>CT165*VLOOKUP('Données projet'!$B$13,Paramètres!$A$1:$I$89,3,0)*VLOOKUP('Données projet'!$B$13,Paramètres!$A$1:$I$89,5,0)</f>
        <v>376.80177599999968</v>
      </c>
      <c r="CV165" s="13">
        <f t="shared" si="173"/>
        <v>87.057353288824828</v>
      </c>
      <c r="CW165" s="20">
        <f t="shared" si="174"/>
        <v>807.88798351136938</v>
      </c>
      <c r="CX165" s="59">
        <f t="shared" si="122"/>
        <v>1095.8387853099312</v>
      </c>
      <c r="CY165" s="59">
        <f ca="1">AVERAGE(OFFSET($CX$3,0,0,'Données projet'!$E$13+1,1))-AVERAGE(OFFSET($H$3,0,0,'Données projet'!$E$13+1,1))</f>
        <v>557.48193674339791</v>
      </c>
      <c r="CZ165" s="59">
        <f t="shared" si="150"/>
        <v>271.51396593253048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35.633628625997048</v>
      </c>
      <c r="DG165" s="21">
        <f>EXP(-LN(2)/25)*DG164+(1-EXP(-LN(2)/25))/(LN(2)/25)*Calculateur!DB165*Calculateur!DD165*VLOOKUP('Données projet'!$B$13,Paramètres!$A$1:$I$89,3,0)*0.475*44/12</f>
        <v>18.464476609696675</v>
      </c>
      <c r="DH165" s="21">
        <f>EXP(-LN(2)/2)*DH164+(1-EXP(-LN(2)/2))/(LN(2)/2)*DB165*DE165*VLOOKUP('Données projet'!$B$13,Paramètres!$A$1:$I$89,3,0)*0.475*44/12</f>
        <v>1.1003397960710173E-2</v>
      </c>
      <c r="DI165" s="22">
        <f t="shared" si="175"/>
        <v>54.109108633654429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7.6783333333333319</v>
      </c>
      <c r="DO165" s="12">
        <f>IF('Données projet'!$A$166&gt;35,DO164+DN165-DW164,IF(A165&lt;'Données projet'!$A$166,$DL$205^A165,IF(A165='Données projet'!$A$166,'Données projet'!$B$166,DO164+DN165-DW164)))</f>
        <v>389.57999999999964</v>
      </c>
      <c r="DP165" s="17">
        <f>DO165*VLOOKUP('Données projet'!$B$14,Paramètres!$A$1:$I$89,3,0)*VLOOKUP('Données projet'!$B$14,Paramètres!$A$1:$I$89,5,0)</f>
        <v>419.34391199999959</v>
      </c>
      <c r="DQ165" s="13">
        <f t="shared" si="176"/>
        <v>95.687502495444051</v>
      </c>
      <c r="DR165" s="20">
        <f t="shared" si="177"/>
        <v>897.01304691289761</v>
      </c>
      <c r="DS165" s="59">
        <f t="shared" si="125"/>
        <v>1184.9638487114594</v>
      </c>
      <c r="DT165" s="59">
        <f ca="1">AVERAGE(OFFSET($DS$3,0,0,'Données projet'!$E$14+1,1))-AVERAGE(OFFSET($H$3,0,0,'Données projet'!$E$14+1,1))</f>
        <v>610.05768948788375</v>
      </c>
      <c r="DU165" s="59">
        <f t="shared" si="152"/>
        <v>295.23928902444845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39.656780245061228</v>
      </c>
      <c r="EB165" s="21">
        <f>EXP(-LN(2)/25)*EB164+(1-EXP(-LN(2)/25))/(LN(2)/25)*Calculateur!DW165*Calculateur!DY165*VLOOKUP('Données projet'!$B$14,Paramètres!$A$1:$I$89,3,0)*0.475*44/12</f>
        <v>20.549175581759204</v>
      </c>
      <c r="EC165" s="21">
        <f>EXP(-LN(2)/2)*EC164+(1-EXP(-LN(2)/2))/(LN(2)/2)*DW165*DZ165*VLOOKUP('Données projet'!$B$14,Paramètres!$A$1:$I$89,3,0)*0.475*44/12</f>
        <v>1.2245717085306466E-2</v>
      </c>
      <c r="ED165" s="22">
        <f t="shared" si="178"/>
        <v>60.218201543905735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9.4880000000000049</v>
      </c>
      <c r="N166" s="13">
        <f>IF('Données projet'!$A$36&gt;35,N165+M166-V165,IF(A166&lt;'Données projet'!$A$36,$K$205^A166,IF(A166='Données projet'!$A$36,'Données projet'!$B$36,N165+M166-V165)))</f>
        <v>570.83200000000136</v>
      </c>
      <c r="O166" s="13">
        <f>N166*VLOOKUP('Données projet'!$B$9,Paramètres!$A$1:$I$89,3,0)*VLOOKUP('Données projet'!$B$9,Paramètres!$A$1:$I$89,5,0)</f>
        <v>516.48879360000115</v>
      </c>
      <c r="P166" s="13">
        <f t="shared" si="141"/>
        <v>115.03041290761819</v>
      </c>
      <c r="Q166" s="20">
        <f t="shared" si="162"/>
        <v>1099.8959513341035</v>
      </c>
      <c r="R166" s="59">
        <f t="shared" si="109"/>
        <v>1387.9401280212558</v>
      </c>
      <c r="S166" s="59">
        <f ca="1">AVERAGE(OFFSET($R$3,0,0,'Données projet'!$E$9+1,1))-AVERAGE(OFFSET($H$3,0,0,'Données projet'!$E$9+1,1))</f>
        <v>681.47578137804555</v>
      </c>
      <c r="T166" s="59">
        <f t="shared" si="142"/>
        <v>300.88511065995885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45.303860144108413</v>
      </c>
      <c r="AA166" s="21">
        <f>EXP(-LN(2)/25)*AA165+(1-EXP(-LN(2)/25))/(LN(2)/25)*Calculateur!V166*Calculateur!X166*VLOOKUP('Données projet'!$B$9,Paramètres!$A$1:$I$89,3,0)*0.475*44/12</f>
        <v>17.839224676037066</v>
      </c>
      <c r="AB166" s="21">
        <f>EXP(-LN(2)/2)*AB165+(1-EXP(-LN(2)/2))/(LN(2)/2)*V166*Y166*VLOOKUP('Données projet'!$B$9,Paramètres!$A$1:$I$89,3,0)*0.475*44/12</f>
        <v>6.886431353128137E-6</v>
      </c>
      <c r="AC166" s="22">
        <f t="shared" si="163"/>
        <v>63.143091706576826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-8.8675733422860506E-14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217.53602321474159</v>
      </c>
      <c r="AO166" s="59">
        <f t="shared" si="144"/>
        <v>215.75909414893025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4.2839950119430483</v>
      </c>
      <c r="AV166" s="21">
        <f>EXP(-LN(2)/25)*AV165+(1-EXP(-LN(2)/25))/(LN(2)/25)*Calculateur!AQ166*Calculateur!AS166*VLOOKUP('Données projet'!$B$10,Paramètres!$A$1:$I$89,3,0)*0.475*44/12</f>
        <v>2.0031065371744599</v>
      </c>
      <c r="AW166" s="21">
        <f>EXP(-LN(2)/2)*AW165+(1-EXP(-LN(2)/2))/(LN(2)/2)*AQ166*AT166*VLOOKUP('Données projet'!$B$10,Paramètres!$A$1:$I$89,3,0)*0.475*44/12</f>
        <v>2.7672916563733258E-13</v>
      </c>
      <c r="AX166" s="21">
        <f t="shared" si="166"/>
        <v>6.2871015491177857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-1.7053025658242404E-13</v>
      </c>
      <c r="BE166" s="13">
        <f>BD166*VLOOKUP('Données projet'!$B$11,Paramètres!$A$1:$I$89,3,0)*VLOOKUP('Données projet'!$B$11,Paramètres!$A$1:$I$89,5,0)</f>
        <v>-1.1439169611549005E-13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281.67293577289729</v>
      </c>
      <c r="BJ166" s="59">
        <f t="shared" si="146"/>
        <v>272.44904846480154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6.619146201722109</v>
      </c>
      <c r="BQ166" s="21">
        <f>EXP(-LN(2)/25)*BQ165+(1-EXP(-LN(2)/25))/(LN(2)/25)*Calculateur!BL166*Calculateur!BN166*VLOOKUP('Données projet'!$B$11,Paramètres!$A$1:$I$89,3,0)*0.475*44/12</f>
        <v>3.5764808356846305</v>
      </c>
      <c r="BR166" s="21">
        <f>EXP(-LN(2)/2)*BR165+(1-EXP(-LN(2)/2))/(LN(2)/2)*BL166*BO166*VLOOKUP('Données projet'!$B$11,Paramètres!$A$1:$I$89,3,0)*0.475*44/12</f>
        <v>1.4092537736484603E-11</v>
      </c>
      <c r="BS166" s="22">
        <f t="shared" si="169"/>
        <v>10.195627037420831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-1.7053025658242404E-13</v>
      </c>
      <c r="BZ166" s="13">
        <f>BY166*VLOOKUP('Données projet'!$B$12,Paramètres!$A$1:$I$89,3,0)*VLOOKUP('Données projet'!$B$12,Paramètres!$A$1:$I$89,5,0)</f>
        <v>-1.4897523215040567E-13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348.77506423101278</v>
      </c>
      <c r="CE166" s="59">
        <f t="shared" si="148"/>
        <v>336.13747591329548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8.6202834254985543</v>
      </c>
      <c r="CL166" s="21">
        <f>EXP(-LN(2)/25)*CL165+(1-EXP(-LN(2)/25))/(LN(2)/25)*Calculateur!CG166*Calculateur!CI166*VLOOKUP('Données projet'!$B$12,Paramètres!$A$1:$I$89,3,0)*0.475*44/12</f>
        <v>4.6577424836823047</v>
      </c>
      <c r="CM166" s="21">
        <f>EXP(-LN(2)/2)*CM165+(1-EXP(-LN(2)/2))/(LN(2)/2)*CG166*CJ166*VLOOKUP('Données projet'!$B$12,Paramètres!$A$1:$I$89,3,0)*0.475*44/12</f>
        <v>1.8353072401003231E-11</v>
      </c>
      <c r="CN166" s="22">
        <f t="shared" si="172"/>
        <v>13.278025909199211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7.6783333333333319</v>
      </c>
      <c r="CT166" s="12">
        <f>IF('Données projet'!$A$140&gt;35,CT165+CS166-DB165,IF(A166&lt;'Données projet'!$A$140,$CQ$205^A166,IF(A166='Données projet'!$A$140,'Données projet'!$B$140,CT165+CS166-DB165)))</f>
        <v>397.25833333333298</v>
      </c>
      <c r="CU166" s="17">
        <f>CT166*VLOOKUP('Données projet'!$B$13,Paramètres!$A$1:$I$89,3,0)*VLOOKUP('Données projet'!$B$13,Paramètres!$A$1:$I$89,5,0)</f>
        <v>384.22825999999969</v>
      </c>
      <c r="CV166" s="13">
        <f t="shared" si="173"/>
        <v>88.571739476126965</v>
      </c>
      <c r="CW166" s="20">
        <f t="shared" si="174"/>
        <v>823.45999908758722</v>
      </c>
      <c r="CX166" s="59">
        <f t="shared" si="122"/>
        <v>1111.5041757747395</v>
      </c>
      <c r="CY166" s="59">
        <f ca="1">AVERAGE(OFFSET($CX$3,0,0,'Données projet'!$E$13+1,1))-AVERAGE(OFFSET($H$3,0,0,'Données projet'!$E$13+1,1))</f>
        <v>557.48193674339791</v>
      </c>
      <c r="CZ166" s="59">
        <f t="shared" si="150"/>
        <v>271.51396593253048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34.93487490300862</v>
      </c>
      <c r="DG166" s="21">
        <f>EXP(-LN(2)/25)*DG165+(1-EXP(-LN(2)/25))/(LN(2)/25)*Calculateur!DB166*Calculateur!DD166*VLOOKUP('Données projet'!$B$13,Paramètres!$A$1:$I$89,3,0)*0.475*44/12</f>
        <v>17.959564525799895</v>
      </c>
      <c r="DH166" s="21">
        <f>EXP(-LN(2)/2)*DH165+(1-EXP(-LN(2)/2))/(LN(2)/2)*DB166*DE166*VLOOKUP('Données projet'!$B$13,Paramètres!$A$1:$I$89,3,0)*0.475*44/12</f>
        <v>7.7805773141123918E-3</v>
      </c>
      <c r="DI166" s="22">
        <f t="shared" si="175"/>
        <v>52.902220006122626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7.6783333333333319</v>
      </c>
      <c r="DO166" s="12">
        <f>IF('Données projet'!$A$166&gt;35,DO165+DN166-DW165,IF(A166&lt;'Données projet'!$A$166,$DL$205^A166,IF(A166='Données projet'!$A$166,'Données projet'!$B$166,DO165+DN166-DW165)))</f>
        <v>397.25833333333298</v>
      </c>
      <c r="DP166" s="17">
        <f>DO166*VLOOKUP('Données projet'!$B$14,Paramètres!$A$1:$I$89,3,0)*VLOOKUP('Données projet'!$B$14,Paramètres!$A$1:$I$89,5,0)</f>
        <v>427.60886999999957</v>
      </c>
      <c r="DQ166" s="13">
        <f t="shared" si="176"/>
        <v>97.352012460452841</v>
      </c>
      <c r="DR166" s="20">
        <f t="shared" si="177"/>
        <v>914.30687028528803</v>
      </c>
      <c r="DS166" s="59">
        <f t="shared" si="125"/>
        <v>1202.3510469724401</v>
      </c>
      <c r="DT166" s="59">
        <f ca="1">AVERAGE(OFFSET($DS$3,0,0,'Données projet'!$E$14+1,1))-AVERAGE(OFFSET($H$3,0,0,'Données projet'!$E$14+1,1))</f>
        <v>610.05768948788375</v>
      </c>
      <c r="DU166" s="59">
        <f t="shared" si="152"/>
        <v>295.23928902444845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38.879134972703135</v>
      </c>
      <c r="EB166" s="21">
        <f>EXP(-LN(2)/25)*EB165+(1-EXP(-LN(2)/25))/(LN(2)/25)*Calculateur!DW166*Calculateur!DY166*VLOOKUP('Données projet'!$B$14,Paramètres!$A$1:$I$89,3,0)*0.475*44/12</f>
        <v>19.987257294841822</v>
      </c>
      <c r="EC166" s="21">
        <f>EXP(-LN(2)/2)*EC165+(1-EXP(-LN(2)/2))/(LN(2)/2)*DW166*DZ166*VLOOKUP('Données projet'!$B$14,Paramètres!$A$1:$I$89,3,0)*0.475*44/12</f>
        <v>8.659029591512166E-3</v>
      </c>
      <c r="ED166" s="22">
        <f t="shared" si="178"/>
        <v>58.875051297136466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580.32000000000005</v>
      </c>
      <c r="L167" s="12">
        <f>VLOOKUP(A167,'Données projet'!$A$35:$I$55,9,0)</f>
        <v>9.4880000000000049</v>
      </c>
      <c r="M167" s="12">
        <f t="array" ref="M167">INDEX(L:L,MIN(IF(ISNUMBER(L167:L363),ROW(L167:L363),"")))</f>
        <v>9.4880000000000049</v>
      </c>
      <c r="N167" s="13">
        <f>IF('Données projet'!$A$36&gt;35,N166+M167-V166,IF(A167&lt;'Données projet'!$A$36,$K$205^A167,IF(A167='Données projet'!$A$36,'Données projet'!$B$36,N166+M167-V166)))</f>
        <v>580.32000000000141</v>
      </c>
      <c r="O167" s="13">
        <f>N167*VLOOKUP('Données projet'!$B$9,Paramètres!$A$1:$I$89,3,0)*VLOOKUP('Données projet'!$B$9,Paramètres!$A$1:$I$89,5,0)</f>
        <v>525.07353600000124</v>
      </c>
      <c r="P167" s="13">
        <f t="shared" si="141"/>
        <v>116.71819745258949</v>
      </c>
      <c r="Q167" s="20">
        <f t="shared" si="162"/>
        <v>1117.7872690965953</v>
      </c>
      <c r="R167" s="59">
        <f t="shared" si="109"/>
        <v>1405.9232008267759</v>
      </c>
      <c r="S167" s="59">
        <f ca="1">AVERAGE(OFFSET($R$3,0,0,'Données projet'!$E$9+1,1))-AVERAGE(OFFSET($H$3,0,0,'Données projet'!$E$9+1,1))</f>
        <v>681.47578137804555</v>
      </c>
      <c r="T167" s="59">
        <f t="shared" si="142"/>
        <v>300.88511065995885</v>
      </c>
      <c r="U167" s="15">
        <f>IF(ISNA(VLOOKUP(A167,'Données projet'!$A$35:$I$55,3,0)),0,VLOOKUP(A167,'Données projet'!$A$35:$I$55,3,0))</f>
        <v>14</v>
      </c>
      <c r="V167" s="15">
        <f>IF(ISNA(VLOOKUP(A167,'Données projet'!$A$35:$I$55,4,0)),0,VLOOKUP(A167,'Données projet'!$A$35:$I$55,4,0))</f>
        <v>66.020000000000095</v>
      </c>
      <c r="W167" s="16">
        <f>IF(ISNA(VLOOKUP(A167,'Données projet'!$A$35:$I$55,5,0)),0%,VLOOKUP(A167,'Données projet'!$A$35:$I$55,5,0)*VLOOKUP('Données projet'!$B$9,Paramètres!$A$1:$I$89,7,0))</f>
        <v>0.215</v>
      </c>
      <c r="X167" s="16">
        <f>IF(ISNA(VLOOKUP(A167,'Données projet'!$A$35:$I$55,6,0)),0%,VLOOKUP(A167,'Données projet'!$A$35:$I$55,6,0)*VLOOKUP('Données projet'!$B$9,Paramètres!$A$1:$I$89,7,0))</f>
        <v>8.6000000000000007E-2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58.613038082092139</v>
      </c>
      <c r="AA167" s="21">
        <f>EXP(-LN(2)/25)*AA166+(1-EXP(-LN(2)/25))/(LN(2)/25)*Calculateur!V167*Calculateur!X167*VLOOKUP('Données projet'!$B$9,Paramètres!$A$1:$I$89,3,0)*0.475*44/12</f>
        <v>23.008073260464958</v>
      </c>
      <c r="AB167" s="21">
        <f>EXP(-LN(2)/2)*AB166+(1-EXP(-LN(2)/2))/(LN(2)/2)*V167*Y167*VLOOKUP('Données projet'!$B$9,Paramètres!$A$1:$I$89,3,0)*0.475*44/12</f>
        <v>4.8694423079725579E-6</v>
      </c>
      <c r="AC167" s="22">
        <f t="shared" si="163"/>
        <v>81.621116211999407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-8.8675733422860506E-14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217.53602321474159</v>
      </c>
      <c r="AO167" s="59">
        <f t="shared" si="144"/>
        <v>215.75909414893025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4.1999884827377922</v>
      </c>
      <c r="AV167" s="21">
        <f>EXP(-LN(2)/25)*AV166+(1-EXP(-LN(2)/25))/(LN(2)/25)*Calculateur!AQ167*Calculateur!AS167*VLOOKUP('Données projet'!$B$10,Paramètres!$A$1:$I$89,3,0)*0.475*44/12</f>
        <v>1.9483314835766297</v>
      </c>
      <c r="AW167" s="21">
        <f>EXP(-LN(2)/2)*AW166+(1-EXP(-LN(2)/2))/(LN(2)/2)*AQ167*AT167*VLOOKUP('Données projet'!$B$10,Paramètres!$A$1:$I$89,3,0)*0.475*44/12</f>
        <v>1.956770695742532E-13</v>
      </c>
      <c r="AX167" s="21">
        <f t="shared" si="166"/>
        <v>6.1483199663146175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-1.7053025658242404E-13</v>
      </c>
      <c r="BE167" s="13">
        <f>BD167*VLOOKUP('Données projet'!$B$11,Paramètres!$A$1:$I$89,3,0)*VLOOKUP('Données projet'!$B$11,Paramètres!$A$1:$I$89,5,0)</f>
        <v>-1.1439169611549005E-13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281.67293577289729</v>
      </c>
      <c r="BJ167" s="59">
        <f t="shared" si="146"/>
        <v>272.44904846480154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6.4893487819868731</v>
      </c>
      <c r="BQ167" s="21">
        <f>EXP(-LN(2)/25)*BQ166+(1-EXP(-LN(2)/25))/(LN(2)/25)*Calculateur!BL167*Calculateur!BN167*VLOOKUP('Données projet'!$B$11,Paramètres!$A$1:$I$89,3,0)*0.475*44/12</f>
        <v>3.4786817791538813</v>
      </c>
      <c r="BR167" s="21">
        <f>EXP(-LN(2)/2)*BR166+(1-EXP(-LN(2)/2))/(LN(2)/2)*BL167*BO167*VLOOKUP('Données projet'!$B$11,Paramètres!$A$1:$I$89,3,0)*0.475*44/12</f>
        <v>9.9649289975955821E-12</v>
      </c>
      <c r="BS167" s="22">
        <f t="shared" si="169"/>
        <v>9.9680305611507194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-1.7053025658242404E-13</v>
      </c>
      <c r="BZ167" s="13">
        <f>BY167*VLOOKUP('Données projet'!$B$12,Paramètres!$A$1:$I$89,3,0)*VLOOKUP('Données projet'!$B$12,Paramètres!$A$1:$I$89,5,0)</f>
        <v>-1.4897523215040567E-13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348.77506423101278</v>
      </c>
      <c r="CE167" s="59">
        <f t="shared" si="148"/>
        <v>336.13747591329548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8.4512449253782478</v>
      </c>
      <c r="CL167" s="21">
        <f>EXP(-LN(2)/25)*CL166+(1-EXP(-LN(2)/25))/(LN(2)/25)*Calculateur!CG167*Calculateur!CI167*VLOOKUP('Données projet'!$B$12,Paramètres!$A$1:$I$89,3,0)*0.475*44/12</f>
        <v>4.5303762705259807</v>
      </c>
      <c r="CM167" s="21">
        <f>EXP(-LN(2)/2)*CM166+(1-EXP(-LN(2)/2))/(LN(2)/2)*CG167*CJ167*VLOOKUP('Données projet'!$B$12,Paramètres!$A$1:$I$89,3,0)*0.475*44/12</f>
        <v>1.2977581950357056E-11</v>
      </c>
      <c r="CN167" s="22">
        <f t="shared" si="172"/>
        <v>12.981621195917207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7.6783333333333319</v>
      </c>
      <c r="CT167" s="12">
        <f>IF('Données projet'!$A$140&gt;35,CT166+CS167-DB166,IF(A167&lt;'Données projet'!$A$140,$CQ$205^A167,IF(A167='Données projet'!$A$140,'Données projet'!$B$140,CT166+CS167-DB166)))</f>
        <v>404.93666666666633</v>
      </c>
      <c r="CU167" s="17">
        <f>CT167*VLOOKUP('Données projet'!$B$13,Paramètres!$A$1:$I$89,3,0)*VLOOKUP('Données projet'!$B$13,Paramètres!$A$1:$I$89,5,0)</f>
        <v>391.65474399999971</v>
      </c>
      <c r="CV167" s="13">
        <f t="shared" si="173"/>
        <v>90.082722179516836</v>
      </c>
      <c r="CW167" s="20">
        <f t="shared" si="174"/>
        <v>839.02608692932472</v>
      </c>
      <c r="CX167" s="59">
        <f t="shared" si="122"/>
        <v>1127.1620186595055</v>
      </c>
      <c r="CY167" s="59">
        <f ca="1">AVERAGE(OFFSET($CX$3,0,0,'Données projet'!$E$13+1,1))-AVERAGE(OFFSET($H$3,0,0,'Données projet'!$E$13+1,1))</f>
        <v>557.48193674339791</v>
      </c>
      <c r="CZ167" s="59">
        <f t="shared" si="150"/>
        <v>271.51396593253048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34.249823314330307</v>
      </c>
      <c r="DG167" s="21">
        <f>EXP(-LN(2)/25)*DG166+(1-EXP(-LN(2)/25))/(LN(2)/25)*Calculateur!DB167*Calculateur!DD167*VLOOKUP('Données projet'!$B$13,Paramètres!$A$1:$I$89,3,0)*0.475*44/12</f>
        <v>17.468459289389447</v>
      </c>
      <c r="DH167" s="21">
        <f>EXP(-LN(2)/2)*DH166+(1-EXP(-LN(2)/2))/(LN(2)/2)*DB167*DE167*VLOOKUP('Données projet'!$B$13,Paramètres!$A$1:$I$89,3,0)*0.475*44/12</f>
        <v>5.5016989803550872E-3</v>
      </c>
      <c r="DI167" s="22">
        <f t="shared" si="175"/>
        <v>51.723784302700111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7.6783333333333319</v>
      </c>
      <c r="DO167" s="12">
        <f>IF('Données projet'!$A$166&gt;35,DO166+DN167-DW166,IF(A167&lt;'Données projet'!$A$166,$DL$205^A167,IF(A167='Données projet'!$A$166,'Données projet'!$B$166,DO166+DN167-DW166)))</f>
        <v>404.93666666666633</v>
      </c>
      <c r="DP167" s="17">
        <f>DO167*VLOOKUP('Données projet'!$B$14,Paramètres!$A$1:$I$89,3,0)*VLOOKUP('Données projet'!$B$14,Paramètres!$A$1:$I$89,5,0)</f>
        <v>435.87382799999966</v>
      </c>
      <c r="DQ167" s="13">
        <f t="shared" si="176"/>
        <v>99.012781548177429</v>
      </c>
      <c r="DR167" s="20">
        <f t="shared" si="177"/>
        <v>931.59417829640859</v>
      </c>
      <c r="DS167" s="59">
        <f t="shared" si="125"/>
        <v>1219.7301100265893</v>
      </c>
      <c r="DT167" s="59">
        <f ca="1">AVERAGE(OFFSET($DS$3,0,0,'Données projet'!$E$14+1,1))-AVERAGE(OFFSET($H$3,0,0,'Données projet'!$E$14+1,1))</f>
        <v>610.05768948788375</v>
      </c>
      <c r="DU167" s="59">
        <f t="shared" si="152"/>
        <v>295.23928902444845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38.116738849819207</v>
      </c>
      <c r="EB167" s="21">
        <f>EXP(-LN(2)/25)*EB166+(1-EXP(-LN(2)/25))/(LN(2)/25)*Calculateur!DW167*Calculateur!DY167*VLOOKUP('Données projet'!$B$14,Paramètres!$A$1:$I$89,3,0)*0.475*44/12</f>
        <v>19.440704693030192</v>
      </c>
      <c r="EC167" s="21">
        <f>EXP(-LN(2)/2)*EC166+(1-EXP(-LN(2)/2))/(LN(2)/2)*DW167*DZ167*VLOOKUP('Données projet'!$B$14,Paramètres!$A$1:$I$89,3,0)*0.475*44/12</f>
        <v>6.1228585426532332E-3</v>
      </c>
      <c r="ED167" s="22">
        <f t="shared" si="178"/>
        <v>57.563566401392052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9.6220000000000034</v>
      </c>
      <c r="N168" s="13">
        <f>IF('Données projet'!$A$36&gt;35,N167+M168-V167,IF(A168&lt;'Données projet'!$A$36,$K$205^A168,IF(A168='Données projet'!$A$36,'Données projet'!$B$36,N167+M168-V167)))</f>
        <v>523.92200000000128</v>
      </c>
      <c r="O168" s="13">
        <f>N168*VLOOKUP('Données projet'!$B$9,Paramètres!$A$1:$I$89,3,0)*VLOOKUP('Données projet'!$B$9,Paramètres!$A$1:$I$89,5,0)</f>
        <v>474.04462560000115</v>
      </c>
      <c r="P168" s="13">
        <f t="shared" si="141"/>
        <v>106.63651269520395</v>
      </c>
      <c r="Q168" s="20">
        <f t="shared" si="162"/>
        <v>1011.3529825308154</v>
      </c>
      <c r="R168" s="59">
        <f t="shared" si="109"/>
        <v>1299.5790775591615</v>
      </c>
      <c r="S168" s="59">
        <f ca="1">AVERAGE(OFFSET($R$3,0,0,'Données projet'!$E$9+1,1))-AVERAGE(OFFSET($H$3,0,0,'Données projet'!$E$9+1,1))</f>
        <v>681.47578137804555</v>
      </c>
      <c r="T168" s="59">
        <f t="shared" si="142"/>
        <v>300.88511065995885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57.463672155725483</v>
      </c>
      <c r="AA168" s="21">
        <f>EXP(-LN(2)/25)*AA167+(1-EXP(-LN(2)/25))/(LN(2)/25)*Calculateur!V168*Calculateur!X168*VLOOKUP('Données projet'!$B$9,Paramètres!$A$1:$I$89,3,0)*0.475*44/12</f>
        <v>22.378916287215556</v>
      </c>
      <c r="AB168" s="21">
        <f>EXP(-LN(2)/2)*AB167+(1-EXP(-LN(2)/2))/(LN(2)/2)*V168*Y168*VLOOKUP('Données projet'!$B$9,Paramètres!$A$1:$I$89,3,0)*0.475*44/12</f>
        <v>3.4432156765640685E-6</v>
      </c>
      <c r="AC168" s="22">
        <f t="shared" si="163"/>
        <v>79.842591886156711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-8.8675733422860506E-14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217.53602321474159</v>
      </c>
      <c r="AO168" s="59">
        <f t="shared" si="144"/>
        <v>215.75909414893025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4.117629270331328</v>
      </c>
      <c r="AV168" s="21">
        <f>EXP(-LN(2)/25)*AV167+(1-EXP(-LN(2)/25))/(LN(2)/25)*Calculateur!AQ168*Calculateur!AS168*VLOOKUP('Données projet'!$B$10,Paramètres!$A$1:$I$89,3,0)*0.475*44/12</f>
        <v>1.8950542566999269</v>
      </c>
      <c r="AW168" s="21">
        <f>EXP(-LN(2)/2)*AW167+(1-EXP(-LN(2)/2))/(LN(2)/2)*AQ168*AT168*VLOOKUP('Données projet'!$B$10,Paramètres!$A$1:$I$89,3,0)*0.475*44/12</f>
        <v>1.3836458281866629E-13</v>
      </c>
      <c r="AX168" s="21">
        <f t="shared" si="166"/>
        <v>6.0126835270313936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-1.7053025658242404E-13</v>
      </c>
      <c r="BE168" s="13">
        <f>BD168*VLOOKUP('Données projet'!$B$11,Paramètres!$A$1:$I$89,3,0)*VLOOKUP('Données projet'!$B$11,Paramètres!$A$1:$I$89,5,0)</f>
        <v>-1.1439169611549005E-13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281.67293577289729</v>
      </c>
      <c r="BJ168" s="59">
        <f t="shared" si="146"/>
        <v>272.44904846480154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6.3620966104840369</v>
      </c>
      <c r="BQ168" s="21">
        <f>EXP(-LN(2)/25)*BQ167+(1-EXP(-LN(2)/25))/(LN(2)/25)*Calculateur!BL168*Calculateur!BN168*VLOOKUP('Données projet'!$B$11,Paramètres!$A$1:$I$89,3,0)*0.475*44/12</f>
        <v>3.3835570429669941</v>
      </c>
      <c r="BR168" s="21">
        <f>EXP(-LN(2)/2)*BR167+(1-EXP(-LN(2)/2))/(LN(2)/2)*BL168*BO168*VLOOKUP('Données projet'!$B$11,Paramètres!$A$1:$I$89,3,0)*0.475*44/12</f>
        <v>7.0462688682423017E-12</v>
      </c>
      <c r="BS168" s="22">
        <f t="shared" si="169"/>
        <v>9.7456536534580778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-1.7053025658242404E-13</v>
      </c>
      <c r="BZ168" s="13">
        <f>BY168*VLOOKUP('Données projet'!$B$12,Paramètres!$A$1:$I$89,3,0)*VLOOKUP('Données projet'!$B$12,Paramètres!$A$1:$I$89,5,0)</f>
        <v>-1.4897523215040567E-13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348.77506423101278</v>
      </c>
      <c r="CE168" s="59">
        <f t="shared" si="148"/>
        <v>336.13747591329548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8.2855211671419955</v>
      </c>
      <c r="CL168" s="21">
        <f>EXP(-LN(2)/25)*CL167+(1-EXP(-LN(2)/25))/(LN(2)/25)*Calculateur!CG168*Calculateur!CI168*VLOOKUP('Données projet'!$B$12,Paramètres!$A$1:$I$89,3,0)*0.475*44/12</f>
        <v>4.4064928931663143</v>
      </c>
      <c r="CM168" s="21">
        <f>EXP(-LN(2)/2)*CM167+(1-EXP(-LN(2)/2))/(LN(2)/2)*CG168*CJ168*VLOOKUP('Données projet'!$B$12,Paramètres!$A$1:$I$89,3,0)*0.475*44/12</f>
        <v>9.1765362005016154E-12</v>
      </c>
      <c r="CN168" s="22">
        <f t="shared" si="172"/>
        <v>12.692014060317486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7.6783333333333319</v>
      </c>
      <c r="CT168" s="12">
        <f>IF('Données projet'!$A$140&gt;35,CT167+CS168-DB167,IF(A168&lt;'Données projet'!$A$140,$CQ$205^A168,IF(A168='Données projet'!$A$140,'Données projet'!$B$140,CT167+CS168-DB167)))</f>
        <v>412.61499999999967</v>
      </c>
      <c r="CU168" s="17">
        <f>CT168*VLOOKUP('Données projet'!$B$13,Paramètres!$A$1:$I$89,3,0)*VLOOKUP('Données projet'!$B$13,Paramètres!$A$1:$I$89,5,0)</f>
        <v>399.08122799999967</v>
      </c>
      <c r="CV168" s="13">
        <f t="shared" si="173"/>
        <v>91.590373376485019</v>
      </c>
      <c r="CW168" s="20">
        <f t="shared" si="174"/>
        <v>854.58637239737743</v>
      </c>
      <c r="CX168" s="59">
        <f t="shared" si="122"/>
        <v>1142.8124674257235</v>
      </c>
      <c r="CY168" s="59">
        <f ca="1">AVERAGE(OFFSET($CX$3,0,0,'Données projet'!$E$13+1,1))-AVERAGE(OFFSET($H$3,0,0,'Données projet'!$E$13+1,1))</f>
        <v>557.48193674339791</v>
      </c>
      <c r="CZ168" s="59">
        <f t="shared" si="150"/>
        <v>271.51396593253048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33.578205169465761</v>
      </c>
      <c r="DG168" s="21">
        <f>EXP(-LN(2)/25)*DG167+(1-EXP(-LN(2)/25))/(LN(2)/25)*Calculateur!DB168*Calculateur!DD168*VLOOKUP('Données projet'!$B$13,Paramètres!$A$1:$I$89,3,0)*0.475*44/12</f>
        <v>16.990783351494745</v>
      </c>
      <c r="DH168" s="21">
        <f>EXP(-LN(2)/2)*DH167+(1-EXP(-LN(2)/2))/(LN(2)/2)*DB168*DE168*VLOOKUP('Données projet'!$B$13,Paramètres!$A$1:$I$89,3,0)*0.475*44/12</f>
        <v>3.8902886570561963E-3</v>
      </c>
      <c r="DI168" s="22">
        <f t="shared" si="175"/>
        <v>50.572878809617556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7.6783333333333319</v>
      </c>
      <c r="DO168" s="12">
        <f>IF('Données projet'!$A$166&gt;35,DO167+DN168-DW167,IF(A168&lt;'Données projet'!$A$166,$DL$205^A168,IF(A168='Données projet'!$A$166,'Données projet'!$B$166,DO167+DN168-DW167)))</f>
        <v>412.61499999999967</v>
      </c>
      <c r="DP168" s="17">
        <f>DO168*VLOOKUP('Données projet'!$B$14,Paramètres!$A$1:$I$89,3,0)*VLOOKUP('Données projet'!$B$14,Paramètres!$A$1:$I$89,5,0)</f>
        <v>444.13878599999964</v>
      </c>
      <c r="DQ168" s="13">
        <f t="shared" si="176"/>
        <v>100.66988887136401</v>
      </c>
      <c r="DR168" s="20">
        <f t="shared" si="177"/>
        <v>948.87510873429164</v>
      </c>
      <c r="DS168" s="59">
        <f t="shared" si="125"/>
        <v>1237.1012037626379</v>
      </c>
      <c r="DT168" s="59">
        <f ca="1">AVERAGE(OFFSET($DS$3,0,0,'Données projet'!$E$14+1,1))-AVERAGE(OFFSET($H$3,0,0,'Données projet'!$E$14+1,1))</f>
        <v>610.05768948788375</v>
      </c>
      <c r="DU168" s="59">
        <f t="shared" si="152"/>
        <v>295.23928902444845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37.369292849889312</v>
      </c>
      <c r="EB168" s="21">
        <f>EXP(-LN(2)/25)*EB167+(1-EXP(-LN(2)/25))/(LN(2)/25)*Calculateur!DW168*Calculateur!DY168*VLOOKUP('Données projet'!$B$14,Paramètres!$A$1:$I$89,3,0)*0.475*44/12</f>
        <v>18.909097600857052</v>
      </c>
      <c r="EC168" s="21">
        <f>EXP(-LN(2)/2)*EC167+(1-EXP(-LN(2)/2))/(LN(2)/2)*DW168*DZ168*VLOOKUP('Données projet'!$B$14,Paramètres!$A$1:$I$89,3,0)*0.475*44/12</f>
        <v>4.329514795756083E-3</v>
      </c>
      <c r="ED168" s="22">
        <f t="shared" si="178"/>
        <v>56.282719965542121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9.6220000000000034</v>
      </c>
      <c r="N169" s="13">
        <f>IF('Données projet'!$A$36&gt;35,N168+M169-V168,IF(A169&lt;'Données projet'!$A$36,$K$205^A169,IF(A169='Données projet'!$A$36,'Données projet'!$B$36,N168+M169-V168)))</f>
        <v>533.54400000000123</v>
      </c>
      <c r="O169" s="13">
        <f>N169*VLOOKUP('Données projet'!$B$9,Paramètres!$A$1:$I$89,3,0)*VLOOKUP('Données projet'!$B$9,Paramètres!$A$1:$I$89,5,0)</f>
        <v>482.75061120000112</v>
      </c>
      <c r="P169" s="13">
        <f t="shared" si="141"/>
        <v>108.36513078962237</v>
      </c>
      <c r="Q169" s="20">
        <f t="shared" si="162"/>
        <v>1029.5265839652609</v>
      </c>
      <c r="R169" s="59">
        <f t="shared" si="109"/>
        <v>1317.8412781601244</v>
      </c>
      <c r="S169" s="59">
        <f ca="1">AVERAGE(OFFSET($R$3,0,0,'Données projet'!$E$9+1,1))-AVERAGE(OFFSET($H$3,0,0,'Données projet'!$E$9+1,1))</f>
        <v>681.47578137804555</v>
      </c>
      <c r="T169" s="59">
        <f t="shared" si="142"/>
        <v>300.88511065995885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56.336844594130881</v>
      </c>
      <c r="AA169" s="21">
        <f>EXP(-LN(2)/25)*AA168+(1-EXP(-LN(2)/25))/(LN(2)/25)*Calculateur!V169*Calculateur!X169*VLOOKUP('Données projet'!$B$9,Paramètres!$A$1:$I$89,3,0)*0.475*44/12</f>
        <v>21.766963644485589</v>
      </c>
      <c r="AB169" s="21">
        <f>EXP(-LN(2)/2)*AB168+(1-EXP(-LN(2)/2))/(LN(2)/2)*V169*Y169*VLOOKUP('Données projet'!$B$9,Paramètres!$A$1:$I$89,3,0)*0.475*44/12</f>
        <v>2.434721153986279E-6</v>
      </c>
      <c r="AC169" s="22">
        <f t="shared" si="163"/>
        <v>78.10381067333762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-8.8675733422860506E-14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217.53602321474159</v>
      </c>
      <c r="AO169" s="59">
        <f t="shared" si="144"/>
        <v>215.75909414893025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4.0368850718459948</v>
      </c>
      <c r="AV169" s="21">
        <f>EXP(-LN(2)/25)*AV168+(1-EXP(-LN(2)/25))/(LN(2)/25)*Calculateur!AQ169*Calculateur!AS169*VLOOKUP('Données projet'!$B$10,Paramètres!$A$1:$I$89,3,0)*0.475*44/12</f>
        <v>1.8432338983938952</v>
      </c>
      <c r="AW169" s="21">
        <f>EXP(-LN(2)/2)*AW168+(1-EXP(-LN(2)/2))/(LN(2)/2)*AQ169*AT169*VLOOKUP('Données projet'!$B$10,Paramètres!$A$1:$I$89,3,0)*0.475*44/12</f>
        <v>9.7838534787126599E-14</v>
      </c>
      <c r="AX169" s="21">
        <f t="shared" si="166"/>
        <v>5.8801189702399874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-1.7053025658242404E-13</v>
      </c>
      <c r="BE169" s="13">
        <f>BD169*VLOOKUP('Données projet'!$B$11,Paramètres!$A$1:$I$89,3,0)*VLOOKUP('Données projet'!$B$11,Paramètres!$A$1:$I$89,5,0)</f>
        <v>-1.1439169611549005E-13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281.67293577289729</v>
      </c>
      <c r="BJ169" s="59">
        <f t="shared" si="146"/>
        <v>272.44904846480154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6.2373397764482101</v>
      </c>
      <c r="BQ169" s="21">
        <f>EXP(-LN(2)/25)*BQ168+(1-EXP(-LN(2)/25))/(LN(2)/25)*Calculateur!BL169*Calculateur!BN169*VLOOKUP('Données projet'!$B$11,Paramètres!$A$1:$I$89,3,0)*0.475*44/12</f>
        <v>3.29103349769353</v>
      </c>
      <c r="BR169" s="21">
        <f>EXP(-LN(2)/2)*BR168+(1-EXP(-LN(2)/2))/(LN(2)/2)*BL169*BO169*VLOOKUP('Données projet'!$B$11,Paramètres!$A$1:$I$89,3,0)*0.475*44/12</f>
        <v>4.9824644987977911E-12</v>
      </c>
      <c r="BS169" s="22">
        <f t="shared" si="169"/>
        <v>9.5283732741467233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-1.7053025658242404E-13</v>
      </c>
      <c r="BZ169" s="13">
        <f>BY169*VLOOKUP('Données projet'!$B$12,Paramètres!$A$1:$I$89,3,0)*VLOOKUP('Données projet'!$B$12,Paramètres!$A$1:$I$89,5,0)</f>
        <v>-1.4897523215040567E-13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348.77506423101278</v>
      </c>
      <c r="CE169" s="59">
        <f t="shared" si="148"/>
        <v>336.13747591329548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8.1230471507232451</v>
      </c>
      <c r="CL169" s="21">
        <f>EXP(-LN(2)/25)*CL168+(1-EXP(-LN(2)/25))/(LN(2)/25)*Calculateur!CG169*Calculateur!CI169*VLOOKUP('Données projet'!$B$12,Paramètres!$A$1:$I$89,3,0)*0.475*44/12</f>
        <v>4.2859971132752914</v>
      </c>
      <c r="CM169" s="21">
        <f>EXP(-LN(2)/2)*CM168+(1-EXP(-LN(2)/2))/(LN(2)/2)*CG169*CJ169*VLOOKUP('Données projet'!$B$12,Paramètres!$A$1:$I$89,3,0)*0.475*44/12</f>
        <v>6.4887909751785281E-12</v>
      </c>
      <c r="CN169" s="22">
        <f t="shared" si="172"/>
        <v>12.409044264005026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7.6783333333333319</v>
      </c>
      <c r="CT169" s="12">
        <f>IF('Données projet'!$A$140&gt;35,CT168+CS169-DB168,IF(A169&lt;'Données projet'!$A$140,$CQ$205^A169,IF(A169='Données projet'!$A$140,'Données projet'!$B$140,CT168+CS169-DB168)))</f>
        <v>420.29333333333301</v>
      </c>
      <c r="CU169" s="17">
        <f>CT169*VLOOKUP('Données projet'!$B$13,Paramètres!$A$1:$I$89,3,0)*VLOOKUP('Données projet'!$B$13,Paramètres!$A$1:$I$89,5,0)</f>
        <v>406.50771199999974</v>
      </c>
      <c r="CV169" s="13">
        <f t="shared" si="173"/>
        <v>93.094762212339802</v>
      </c>
      <c r="CW169" s="20">
        <f t="shared" si="174"/>
        <v>870.14097591982454</v>
      </c>
      <c r="CX169" s="59">
        <f t="shared" si="122"/>
        <v>1158.455670114688</v>
      </c>
      <c r="CY169" s="59">
        <f ca="1">AVERAGE(OFFSET($CX$3,0,0,'Données projet'!$E$13+1,1))-AVERAGE(OFFSET($H$3,0,0,'Données projet'!$E$13+1,1))</f>
        <v>557.48193674339791</v>
      </c>
      <c r="CZ169" s="59">
        <f t="shared" si="150"/>
        <v>271.51396593253048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32.919757046775395</v>
      </c>
      <c r="DG169" s="21">
        <f>EXP(-LN(2)/25)*DG168+(1-EXP(-LN(2)/25))/(LN(2)/25)*Calculateur!DB169*Calculateur!DD169*VLOOKUP('Données projet'!$B$13,Paramètres!$A$1:$I$89,3,0)*0.475*44/12</f>
        <v>16.526169487241656</v>
      </c>
      <c r="DH169" s="21">
        <f>EXP(-LN(2)/2)*DH168+(1-EXP(-LN(2)/2))/(LN(2)/2)*DB169*DE169*VLOOKUP('Données projet'!$B$13,Paramètres!$A$1:$I$89,3,0)*0.475*44/12</f>
        <v>2.750849490177544E-3</v>
      </c>
      <c r="DI169" s="22">
        <f t="shared" si="175"/>
        <v>49.448677383507224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7.6783333333333319</v>
      </c>
      <c r="DO169" s="12">
        <f>IF('Données projet'!$A$166&gt;35,DO168+DN169-DW168,IF(A169&lt;'Données projet'!$A$166,$DL$205^A169,IF(A169='Données projet'!$A$166,'Données projet'!$B$166,DO168+DN169-DW168)))</f>
        <v>420.29333333333301</v>
      </c>
      <c r="DP169" s="17">
        <f>DO169*VLOOKUP('Données projet'!$B$14,Paramètres!$A$1:$I$89,3,0)*VLOOKUP('Données projet'!$B$14,Paramètres!$A$1:$I$89,5,0)</f>
        <v>452.40374399999962</v>
      </c>
      <c r="DQ169" s="13">
        <f t="shared" si="176"/>
        <v>102.32341042981749</v>
      </c>
      <c r="DR169" s="20">
        <f t="shared" si="177"/>
        <v>966.14979396526485</v>
      </c>
      <c r="DS169" s="59">
        <f t="shared" si="125"/>
        <v>1254.4644881601282</v>
      </c>
      <c r="DT169" s="59">
        <f ca="1">AVERAGE(OFFSET($DS$3,0,0,'Données projet'!$E$14+1,1))-AVERAGE(OFFSET($H$3,0,0,'Données projet'!$E$14+1,1))</f>
        <v>610.05768948788375</v>
      </c>
      <c r="DU169" s="59">
        <f t="shared" si="152"/>
        <v>295.23928902444845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36.636503810120999</v>
      </c>
      <c r="EB169" s="21">
        <f>EXP(-LN(2)/25)*EB168+(1-EXP(-LN(2)/25))/(LN(2)/25)*Calculateur!DW169*Calculateur!DY169*VLOOKUP('Données projet'!$B$14,Paramètres!$A$1:$I$89,3,0)*0.475*44/12</f>
        <v>18.392027332575392</v>
      </c>
      <c r="EC169" s="21">
        <f>EXP(-LN(2)/2)*EC168+(1-EXP(-LN(2)/2))/(LN(2)/2)*DW169*DZ169*VLOOKUP('Données projet'!$B$14,Paramètres!$A$1:$I$89,3,0)*0.475*44/12</f>
        <v>3.0614292713266166E-3</v>
      </c>
      <c r="ED169" s="22">
        <f t="shared" si="178"/>
        <v>55.031592571967721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9.6220000000000034</v>
      </c>
      <c r="N170" s="13">
        <f>IF('Données projet'!$A$36&gt;35,N169+M170-V169,IF(A170&lt;'Données projet'!$A$36,$K$205^A170,IF(A170='Données projet'!$A$36,'Données projet'!$B$36,N169+M170-V169)))</f>
        <v>543.16600000000119</v>
      </c>
      <c r="O170" s="13">
        <f>N170*VLOOKUP('Données projet'!$B$9,Paramètres!$A$1:$I$89,3,0)*VLOOKUP('Données projet'!$B$9,Paramètres!$A$1:$I$89,5,0)</f>
        <v>491.45659680000102</v>
      </c>
      <c r="P170" s="13">
        <f t="shared" si="141"/>
        <v>110.09012381497753</v>
      </c>
      <c r="Q170" s="20">
        <f t="shared" si="162"/>
        <v>1047.6938717377543</v>
      </c>
      <c r="R170" s="59">
        <f t="shared" si="109"/>
        <v>1336.0956281016738</v>
      </c>
      <c r="S170" s="59">
        <f ca="1">AVERAGE(OFFSET($R$3,0,0,'Données projet'!$E$9+1,1))-AVERAGE(OFFSET($H$3,0,0,'Données projet'!$E$9+1,1))</f>
        <v>681.47578137804555</v>
      </c>
      <c r="T170" s="59">
        <f t="shared" si="142"/>
        <v>300.88511065995885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55.232113433722205</v>
      </c>
      <c r="AA170" s="21">
        <f>EXP(-LN(2)/25)*AA169+(1-EXP(-LN(2)/25))/(LN(2)/25)*Calculateur!V170*Calculateur!X170*VLOOKUP('Données projet'!$B$9,Paramètres!$A$1:$I$89,3,0)*0.475*44/12</f>
        <v>21.171744878952261</v>
      </c>
      <c r="AB170" s="21">
        <f>EXP(-LN(2)/2)*AB169+(1-EXP(-LN(2)/2))/(LN(2)/2)*V170*Y170*VLOOKUP('Données projet'!$B$9,Paramètres!$A$1:$I$89,3,0)*0.475*44/12</f>
        <v>1.7216078382820342E-6</v>
      </c>
      <c r="AC170" s="22">
        <f t="shared" si="163"/>
        <v>76.403860034282303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-8.8675733422860506E-14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217.53602321474159</v>
      </c>
      <c r="AO170" s="59">
        <f t="shared" si="144"/>
        <v>215.75909414893025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3.957724217843861</v>
      </c>
      <c r="AV170" s="21">
        <f>EXP(-LN(2)/25)*AV169+(1-EXP(-LN(2)/25))/(LN(2)/25)*Calculateur!AQ170*Calculateur!AS170*VLOOKUP('Données projet'!$B$10,Paramètres!$A$1:$I$89,3,0)*0.475*44/12</f>
        <v>1.7928305705108563</v>
      </c>
      <c r="AW170" s="21">
        <f>EXP(-LN(2)/2)*AW169+(1-EXP(-LN(2)/2))/(LN(2)/2)*AQ170*AT170*VLOOKUP('Données projet'!$B$10,Paramètres!$A$1:$I$89,3,0)*0.475*44/12</f>
        <v>6.9182291409333145E-14</v>
      </c>
      <c r="AX170" s="21">
        <f t="shared" si="166"/>
        <v>5.750554788354787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-1.7053025658242404E-13</v>
      </c>
      <c r="BE170" s="13">
        <f>BD170*VLOOKUP('Données projet'!$B$11,Paramètres!$A$1:$I$89,3,0)*VLOOKUP('Données projet'!$B$11,Paramètres!$A$1:$I$89,5,0)</f>
        <v>-1.1439169611549005E-13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281.67293577289729</v>
      </c>
      <c r="BJ170" s="59">
        <f t="shared" si="146"/>
        <v>272.44904846480154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6.115029347833671</v>
      </c>
      <c r="BQ170" s="21">
        <f>EXP(-LN(2)/25)*BQ169+(1-EXP(-LN(2)/25))/(LN(2)/25)*Calculateur!BL170*Calculateur!BN170*VLOOKUP('Données projet'!$B$11,Paramètres!$A$1:$I$89,3,0)*0.475*44/12</f>
        <v>3.2010400136311707</v>
      </c>
      <c r="BR170" s="21">
        <f>EXP(-LN(2)/2)*BR169+(1-EXP(-LN(2)/2))/(LN(2)/2)*BL170*BO170*VLOOKUP('Données projet'!$B$11,Paramètres!$A$1:$I$89,3,0)*0.475*44/12</f>
        <v>3.5231344341211509E-12</v>
      </c>
      <c r="BS170" s="22">
        <f t="shared" si="169"/>
        <v>9.3160693614683634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-1.7053025658242404E-13</v>
      </c>
      <c r="BZ170" s="13">
        <f>BY170*VLOOKUP('Données projet'!$B$12,Paramètres!$A$1:$I$89,3,0)*VLOOKUP('Données projet'!$B$12,Paramètres!$A$1:$I$89,5,0)</f>
        <v>-1.4897523215040567E-13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348.77506423101278</v>
      </c>
      <c r="CE170" s="59">
        <f t="shared" si="148"/>
        <v>336.13747591329548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7.9637591506671015</v>
      </c>
      <c r="CL170" s="21">
        <f>EXP(-LN(2)/25)*CL169+(1-EXP(-LN(2)/25))/(LN(2)/25)*Calculateur!CG170*Calculateur!CI170*VLOOKUP('Données projet'!$B$12,Paramètres!$A$1:$I$89,3,0)*0.475*44/12</f>
        <v>4.168796296821986</v>
      </c>
      <c r="CM170" s="21">
        <f>EXP(-LN(2)/2)*CM169+(1-EXP(-LN(2)/2))/(LN(2)/2)*CG170*CJ170*VLOOKUP('Données projet'!$B$12,Paramètres!$A$1:$I$89,3,0)*0.475*44/12</f>
        <v>4.5882681002508077E-12</v>
      </c>
      <c r="CN170" s="22">
        <f t="shared" si="172"/>
        <v>12.132555447493676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7.6783333333333319</v>
      </c>
      <c r="CT170" s="12">
        <f>IF('Données projet'!$A$140&gt;35,CT169+CS170-DB169,IF(A170&lt;'Données projet'!$A$140,$CQ$205^A170,IF(A170='Données projet'!$A$140,'Données projet'!$B$140,CT169+CS170-DB169)))</f>
        <v>427.97166666666635</v>
      </c>
      <c r="CU170" s="17">
        <f>CT170*VLOOKUP('Données projet'!$B$13,Paramètres!$A$1:$I$89,3,0)*VLOOKUP('Données projet'!$B$13,Paramètres!$A$1:$I$89,5,0)</f>
        <v>413.9341959999997</v>
      </c>
      <c r="CV170" s="13">
        <f t="shared" si="173"/>
        <v>94.595955161317576</v>
      </c>
      <c r="CW170" s="20">
        <f t="shared" si="174"/>
        <v>885.69001327262743</v>
      </c>
      <c r="CX170" s="59">
        <f t="shared" si="122"/>
        <v>1174.091769636547</v>
      </c>
      <c r="CY170" s="59">
        <f ca="1">AVERAGE(OFFSET($CX$3,0,0,'Données projet'!$E$13+1,1))-AVERAGE(OFFSET($H$3,0,0,'Données projet'!$E$13+1,1))</f>
        <v>557.48193674339791</v>
      </c>
      <c r="CZ170" s="59">
        <f t="shared" si="150"/>
        <v>271.51396593253048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32.274220690157286</v>
      </c>
      <c r="DG170" s="21">
        <f>EXP(-LN(2)/25)*DG169+(1-EXP(-LN(2)/25))/(LN(2)/25)*Calculateur!DB170*Calculateur!DD170*VLOOKUP('Données projet'!$B$13,Paramètres!$A$1:$I$89,3,0)*0.475*44/12</f>
        <v>16.074260513539549</v>
      </c>
      <c r="DH170" s="21">
        <f>EXP(-LN(2)/2)*DH169+(1-EXP(-LN(2)/2))/(LN(2)/2)*DB170*DE170*VLOOKUP('Données projet'!$B$13,Paramètres!$A$1:$I$89,3,0)*0.475*44/12</f>
        <v>1.9451443285280986E-3</v>
      </c>
      <c r="DI170" s="22">
        <f t="shared" si="175"/>
        <v>48.350426348025366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7.6783333333333319</v>
      </c>
      <c r="DO170" s="12">
        <f>IF('Données projet'!$A$166&gt;35,DO169+DN170-DW169,IF(A170&lt;'Données projet'!$A$166,$DL$205^A170,IF(A170='Données projet'!$A$166,'Données projet'!$B$166,DO169+DN170-DW169)))</f>
        <v>427.97166666666635</v>
      </c>
      <c r="DP170" s="17">
        <f>DO170*VLOOKUP('Données projet'!$B$14,Paramètres!$A$1:$I$89,3,0)*VLOOKUP('Données projet'!$B$14,Paramètres!$A$1:$I$89,5,0)</f>
        <v>460.66870199999966</v>
      </c>
      <c r="DQ170" s="13">
        <f t="shared" si="176"/>
        <v>103.97341928748254</v>
      </c>
      <c r="DR170" s="20">
        <f t="shared" si="177"/>
        <v>983.41836124236488</v>
      </c>
      <c r="DS170" s="59">
        <f t="shared" si="125"/>
        <v>1271.8201176062844</v>
      </c>
      <c r="DT170" s="59">
        <f ca="1">AVERAGE(OFFSET($DS$3,0,0,'Données projet'!$E$14+1,1))-AVERAGE(OFFSET($H$3,0,0,'Données projet'!$E$14+1,1))</f>
        <v>610.05768948788375</v>
      </c>
      <c r="DU170" s="59">
        <f t="shared" si="152"/>
        <v>295.23928902444845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35.918084316465361</v>
      </c>
      <c r="EB170" s="21">
        <f>EXP(-LN(2)/25)*EB169+(1-EXP(-LN(2)/25))/(LN(2)/25)*Calculateur!DW170*Calculateur!DY170*VLOOKUP('Données projet'!$B$14,Paramètres!$A$1:$I$89,3,0)*0.475*44/12</f>
        <v>17.889096377971438</v>
      </c>
      <c r="EC170" s="21">
        <f>EXP(-LN(2)/2)*EC169+(1-EXP(-LN(2)/2))/(LN(2)/2)*DW170*DZ170*VLOOKUP('Données projet'!$B$14,Paramètres!$A$1:$I$89,3,0)*0.475*44/12</f>
        <v>2.1647573978780415E-3</v>
      </c>
      <c r="ED170" s="22">
        <f t="shared" si="178"/>
        <v>53.809345451834673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9.6220000000000034</v>
      </c>
      <c r="N171" s="13">
        <f>IF('Données projet'!$A$36&gt;35,N170+M171-V170,IF(A171&lt;'Données projet'!$A$36,$K$205^A171,IF(A171='Données projet'!$A$36,'Données projet'!$B$36,N170+M171-V170)))</f>
        <v>552.78800000000115</v>
      </c>
      <c r="O171" s="13">
        <f>N171*VLOOKUP('Données projet'!$B$9,Paramètres!$A$1:$I$89,3,0)*VLOOKUP('Données projet'!$B$9,Paramètres!$A$1:$I$89,5,0)</f>
        <v>500.16258240000104</v>
      </c>
      <c r="P171" s="13">
        <f t="shared" si="141"/>
        <v>111.81156339666074</v>
      </c>
      <c r="Q171" s="20">
        <f t="shared" si="162"/>
        <v>1065.8549705958526</v>
      </c>
      <c r="R171" s="59">
        <f t="shared" si="109"/>
        <v>1354.3422787948371</v>
      </c>
      <c r="S171" s="59">
        <f ca="1">AVERAGE(OFFSET($R$3,0,0,'Données projet'!$E$9+1,1))-AVERAGE(OFFSET($H$3,0,0,'Données projet'!$E$9+1,1))</f>
        <v>681.47578137804555</v>
      </c>
      <c r="T171" s="59">
        <f t="shared" si="142"/>
        <v>300.88511065995885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54.149045377549669</v>
      </c>
      <c r="AA171" s="21">
        <f>EXP(-LN(2)/25)*AA170+(1-EXP(-LN(2)/25))/(LN(2)/25)*Calculateur!V171*Calculateur!X171*VLOOKUP('Données projet'!$B$9,Paramètres!$A$1:$I$89,3,0)*0.475*44/12</f>
        <v>20.592802401863636</v>
      </c>
      <c r="AB171" s="21">
        <f>EXP(-LN(2)/2)*AB170+(1-EXP(-LN(2)/2))/(LN(2)/2)*V171*Y171*VLOOKUP('Données projet'!$B$9,Paramètres!$A$1:$I$89,3,0)*0.475*44/12</f>
        <v>1.2173605769931395E-6</v>
      </c>
      <c r="AC171" s="22">
        <f t="shared" si="163"/>
        <v>74.741848996773882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-8.8675733422860506E-14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217.53602321474159</v>
      </c>
      <c r="AO171" s="59">
        <f t="shared" si="144"/>
        <v>215.75909414893025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3.8801156599053557</v>
      </c>
      <c r="AV171" s="21">
        <f>EXP(-LN(2)/25)*AV170+(1-EXP(-LN(2)/25))/(LN(2)/25)*Calculateur!AQ171*Calculateur!AS171*VLOOKUP('Données projet'!$B$10,Paramètres!$A$1:$I$89,3,0)*0.475*44/12</f>
        <v>1.7438055242793749</v>
      </c>
      <c r="AW171" s="21">
        <f>EXP(-LN(2)/2)*AW170+(1-EXP(-LN(2)/2))/(LN(2)/2)*AQ171*AT171*VLOOKUP('Données projet'!$B$10,Paramètres!$A$1:$I$89,3,0)*0.475*44/12</f>
        <v>4.89192673935633E-14</v>
      </c>
      <c r="AX171" s="21">
        <f t="shared" si="166"/>
        <v>5.6239211841847796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-1.7053025658242404E-13</v>
      </c>
      <c r="BE171" s="13">
        <f>BD171*VLOOKUP('Données projet'!$B$11,Paramètres!$A$1:$I$89,3,0)*VLOOKUP('Données projet'!$B$11,Paramètres!$A$1:$I$89,5,0)</f>
        <v>-1.1439169611549005E-13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281.67293577289729</v>
      </c>
      <c r="BJ171" s="59">
        <f t="shared" si="146"/>
        <v>272.44904846480154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5.9951173521222678</v>
      </c>
      <c r="BQ171" s="21">
        <f>EXP(-LN(2)/25)*BQ170+(1-EXP(-LN(2)/25))/(LN(2)/25)*Calculateur!BL171*Calculateur!BN171*VLOOKUP('Données projet'!$B$11,Paramètres!$A$1:$I$89,3,0)*0.475*44/12</f>
        <v>3.1135074061230483</v>
      </c>
      <c r="BR171" s="21">
        <f>EXP(-LN(2)/2)*BR170+(1-EXP(-LN(2)/2))/(LN(2)/2)*BL171*BO171*VLOOKUP('Données projet'!$B$11,Paramètres!$A$1:$I$89,3,0)*0.475*44/12</f>
        <v>2.4912322493988955E-12</v>
      </c>
      <c r="BS171" s="22">
        <f t="shared" si="169"/>
        <v>9.1086247582478066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-1.7053025658242404E-13</v>
      </c>
      <c r="BZ171" s="13">
        <f>BY171*VLOOKUP('Données projet'!$B$12,Paramètres!$A$1:$I$89,3,0)*VLOOKUP('Données projet'!$B$12,Paramètres!$A$1:$I$89,5,0)</f>
        <v>-1.4897523215040567E-13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348.77506423101278</v>
      </c>
      <c r="CE171" s="59">
        <f t="shared" si="148"/>
        <v>336.13747591329548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7.8075946911359715</v>
      </c>
      <c r="CL171" s="21">
        <f>EXP(-LN(2)/25)*CL170+(1-EXP(-LN(2)/25))/(LN(2)/25)*Calculateur!CG171*Calculateur!CI171*VLOOKUP('Données projet'!$B$12,Paramètres!$A$1:$I$89,3,0)*0.475*44/12</f>
        <v>4.0548003428579191</v>
      </c>
      <c r="CM171" s="21">
        <f>EXP(-LN(2)/2)*CM170+(1-EXP(-LN(2)/2))/(LN(2)/2)*CG171*CJ171*VLOOKUP('Données projet'!$B$12,Paramètres!$A$1:$I$89,3,0)*0.475*44/12</f>
        <v>3.244395487589264E-12</v>
      </c>
      <c r="CN171" s="22">
        <f t="shared" si="172"/>
        <v>11.862395033997135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>
        <f>VLOOKUP(A171,'Données projet'!$A$139:$I$159,2,0)</f>
        <v>435.65</v>
      </c>
      <c r="CR171" s="12">
        <f>VLOOKUP(A171,'Données projet'!$A$139:$I$159,9,0)</f>
        <v>7.6783333333333319</v>
      </c>
      <c r="CS171" s="12">
        <f t="array" ref="CS171">INDEX(CR:CR,MIN(IF(ISNUMBER(CR171:CR367),ROW(CR171:CR367),"")))</f>
        <v>7.6783333333333319</v>
      </c>
      <c r="CT171" s="12">
        <f>IF('Données projet'!$A$140&gt;35,CT170+CS171-DB170,IF(A171&lt;'Données projet'!$A$140,$CQ$205^A171,IF(A171='Données projet'!$A$140,'Données projet'!$B$140,CT170+CS171-DB170)))</f>
        <v>435.64999999999969</v>
      </c>
      <c r="CU171" s="17">
        <f>CT171*VLOOKUP('Données projet'!$B$13,Paramètres!$A$1:$I$89,3,0)*VLOOKUP('Données projet'!$B$13,Paramètres!$A$1:$I$89,5,0)</f>
        <v>421.36067999999966</v>
      </c>
      <c r="CV171" s="13">
        <f t="shared" si="173"/>
        <v>96.094016175803517</v>
      </c>
      <c r="CW171" s="20">
        <f t="shared" si="174"/>
        <v>901.23359583952379</v>
      </c>
      <c r="CX171" s="59">
        <f t="shared" si="122"/>
        <v>1189.7209040385083</v>
      </c>
      <c r="CY171" s="59">
        <f ca="1">AVERAGE(OFFSET($CX$3,0,0,'Données projet'!$E$13+1,1))-AVERAGE(OFFSET($H$3,0,0,'Données projet'!$E$13+1,1))</f>
        <v>557.48193674339791</v>
      </c>
      <c r="CZ171" s="59">
        <f t="shared" si="150"/>
        <v>271.51396593253048</v>
      </c>
      <c r="DA171" s="15">
        <f>IF(ISNA(VLOOKUP(A171,'Données projet'!$A$139:$I$159,3,0)),0,VLOOKUP(A171,'Données projet'!$A$139:$I$159,3,0))</f>
        <v>12</v>
      </c>
      <c r="DB171" s="15">
        <f>IF(ISNA(VLOOKUP(A171,'Données projet'!$A$139:$I$159,4,0)),0,VLOOKUP(A171,'Données projet'!$A$139:$I$159,4,0))</f>
        <v>71.37</v>
      </c>
      <c r="DC171" s="16">
        <f>IF(ISNA(VLOOKUP(A171,'Données projet'!$A$139:$I$159,5,0)),0%,VLOOKUP(A171,'Données projet'!$A$139:$I$159,5,0)*VLOOKUP('Données projet'!$B$13,Paramètres!$A$1:$I$89,7,0))</f>
        <v>0.215</v>
      </c>
      <c r="DD171" s="16">
        <f>IF(ISNA(VLOOKUP(A171,'Données projet'!$A$139:$I$159,6,0)),0%,VLOOKUP(A171,'Données projet'!$A$139:$I$159,6,0)*VLOOKUP('Données projet'!$B$13,Paramètres!$A$1:$I$89,7,0))</f>
        <v>8.6000000000000007E-2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48.047903807214283</v>
      </c>
      <c r="DG171" s="21">
        <f>EXP(-LN(2)/25)*DG170+(1-EXP(-LN(2)/25))/(LN(2)/25)*Calculateur!DB171*Calculateur!DD171*VLOOKUP('Données projet'!$B$13,Paramètres!$A$1:$I$89,3,0)*0.475*44/12</f>
        <v>22.171493821611847</v>
      </c>
      <c r="DH171" s="21">
        <f>EXP(-LN(2)/2)*DH170+(1-EXP(-LN(2)/2))/(LN(2)/2)*DB171*DE171*VLOOKUP('Données projet'!$B$13,Paramètres!$A$1:$I$89,3,0)*0.475*44/12</f>
        <v>1.3754247450887722E-3</v>
      </c>
      <c r="DI171" s="22">
        <f t="shared" si="175"/>
        <v>70.220773053571222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>
        <f>VLOOKUP(A171,'Données projet'!$A$165:$I$185,2,0)</f>
        <v>435.65</v>
      </c>
      <c r="DM171" s="12">
        <f>VLOOKUP(A171,'Données projet'!$A$165:$I$185,9,0)</f>
        <v>7.6783333333333319</v>
      </c>
      <c r="DN171" s="12">
        <f t="array" ref="DN171">INDEX(DM:DM,MIN(IF(ISNUMBER(DM171:DM367),ROW(DM171:DM367),"")))</f>
        <v>7.6783333333333319</v>
      </c>
      <c r="DO171" s="12">
        <f>IF('Données projet'!$A$166&gt;35,DO170+DN171-DW170,IF(A171&lt;'Données projet'!$A$166,$DL$205^A171,IF(A171='Données projet'!$A$166,'Données projet'!$B$166,DO170+DN171-DW170)))</f>
        <v>435.64999999999969</v>
      </c>
      <c r="DP171" s="17">
        <f>DO171*VLOOKUP('Données projet'!$B$14,Paramètres!$A$1:$I$89,3,0)*VLOOKUP('Données projet'!$B$14,Paramètres!$A$1:$I$89,5,0)</f>
        <v>468.93365999999969</v>
      </c>
      <c r="DQ171" s="13">
        <f t="shared" si="176"/>
        <v>105.61998573645783</v>
      </c>
      <c r="DR171" s="20">
        <f t="shared" si="177"/>
        <v>1000.6809329909969</v>
      </c>
      <c r="DS171" s="59">
        <f t="shared" si="125"/>
        <v>1289.1682411899815</v>
      </c>
      <c r="DT171" s="59">
        <f ca="1">AVERAGE(OFFSET($DS$3,0,0,'Données projet'!$E$14+1,1))-AVERAGE(OFFSET($H$3,0,0,'Données projet'!$E$14+1,1))</f>
        <v>610.05768948788375</v>
      </c>
      <c r="DU171" s="59">
        <f t="shared" si="152"/>
        <v>295.23928902444845</v>
      </c>
      <c r="DV171" s="15">
        <f>IF(ISNA(VLOOKUP(A171,'Données projet'!$A$165:$I$185,3,0)),0,VLOOKUP(A171,'Données projet'!$A$165:$I$185,3,0))</f>
        <v>12</v>
      </c>
      <c r="DW171" s="15">
        <f>IF(ISNA(VLOOKUP(A171,'Données projet'!$A$165:$I$185,4,0)),0,VLOOKUP(A171,'Données projet'!$A$165:$I$185,4,0))</f>
        <v>71.37</v>
      </c>
      <c r="DX171" s="16">
        <f>IF(ISNA(VLOOKUP(A171,'Données projet'!$A$165:$I$185,5,0)),0%,VLOOKUP(A171,'Données projet'!$A$165:$I$185,5,0)*VLOOKUP('Données projet'!$B$14,Paramètres!$A$1:$I$89,7,0))</f>
        <v>0.215</v>
      </c>
      <c r="DY171" s="16">
        <f>IF(ISNA(VLOOKUP(A171,'Données projet'!$A$165:$I$185,6,0)),0%,VLOOKUP(A171,'Données projet'!$A$165:$I$185,6,0)*VLOOKUP('Données projet'!$B$14,Paramètres!$A$1:$I$89,7,0))</f>
        <v>8.6000000000000007E-2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53.472667140286859</v>
      </c>
      <c r="EB171" s="21">
        <f>EXP(-LN(2)/25)*EB170+(1-EXP(-LN(2)/25))/(LN(2)/25)*Calculateur!DW171*Calculateur!DY171*VLOOKUP('Données projet'!$B$14,Paramètres!$A$1:$I$89,3,0)*0.475*44/12</f>
        <v>24.674726995019643</v>
      </c>
      <c r="EC171" s="21">
        <f>EXP(-LN(2)/2)*EC170+(1-EXP(-LN(2)/2))/(LN(2)/2)*DW171*DZ171*VLOOKUP('Données projet'!$B$14,Paramètres!$A$1:$I$89,3,0)*0.475*44/12</f>
        <v>1.5307146356633083E-3</v>
      </c>
      <c r="ED171" s="22">
        <f t="shared" si="178"/>
        <v>78.148924849942162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9.6220000000000034</v>
      </c>
      <c r="N172" s="13">
        <f>IF('Données projet'!$A$36&gt;35,N171+M172-V171,IF(A172&lt;'Données projet'!$A$36,$K$205^A172,IF(A172='Données projet'!$A$36,'Données projet'!$B$36,N171+M172-V171)))</f>
        <v>562.41000000000111</v>
      </c>
      <c r="O172" s="13">
        <f>N172*VLOOKUP('Données projet'!$B$9,Paramètres!$A$1:$I$89,3,0)*VLOOKUP('Données projet'!$B$9,Paramètres!$A$1:$I$89,5,0)</f>
        <v>508.86856800000095</v>
      </c>
      <c r="P172" s="13">
        <f t="shared" si="141"/>
        <v>113.52951852374844</v>
      </c>
      <c r="Q172" s="20">
        <f t="shared" si="162"/>
        <v>1084.0100006955302</v>
      </c>
      <c r="R172" s="59">
        <f t="shared" si="109"/>
        <v>1372.5813765965065</v>
      </c>
      <c r="S172" s="59">
        <f ca="1">AVERAGE(OFFSET($R$3,0,0,'Données projet'!$E$9+1,1))-AVERAGE(OFFSET($H$3,0,0,'Données projet'!$E$9+1,1))</f>
        <v>681.47578137804555</v>
      </c>
      <c r="T172" s="59">
        <f t="shared" si="142"/>
        <v>300.88511065995885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53.087215625352393</v>
      </c>
      <c r="AA172" s="21">
        <f>EXP(-LN(2)/25)*AA171+(1-EXP(-LN(2)/25))/(LN(2)/25)*Calculateur!V172*Calculateur!X172*VLOOKUP('Données projet'!$B$9,Paramètres!$A$1:$I$89,3,0)*0.475*44/12</f>
        <v>20.029691137256261</v>
      </c>
      <c r="AB172" s="21">
        <f>EXP(-LN(2)/2)*AB171+(1-EXP(-LN(2)/2))/(LN(2)/2)*V172*Y172*VLOOKUP('Données projet'!$B$9,Paramètres!$A$1:$I$89,3,0)*0.475*44/12</f>
        <v>8.6080391914101712E-7</v>
      </c>
      <c r="AC172" s="22">
        <f t="shared" si="163"/>
        <v>73.116907623412573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-8.8675733422860506E-14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217.53602321474159</v>
      </c>
      <c r="AO172" s="59">
        <f t="shared" si="144"/>
        <v>215.75909414893025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3.8040289584514784</v>
      </c>
      <c r="AV172" s="21">
        <f>EXP(-LN(2)/25)*AV171+(1-EXP(-LN(2)/25))/(LN(2)/25)*Calculateur!AQ172*Calculateur!AS172*VLOOKUP('Données projet'!$B$10,Paramètres!$A$1:$I$89,3,0)*0.475*44/12</f>
        <v>1.6961210705152083</v>
      </c>
      <c r="AW172" s="21">
        <f>EXP(-LN(2)/2)*AW171+(1-EXP(-LN(2)/2))/(LN(2)/2)*AQ172*AT172*VLOOKUP('Données projet'!$B$10,Paramètres!$A$1:$I$89,3,0)*0.475*44/12</f>
        <v>3.4591145704666573E-14</v>
      </c>
      <c r="AX172" s="21">
        <f t="shared" si="166"/>
        <v>5.5001500289667211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-1.7053025658242404E-13</v>
      </c>
      <c r="BE172" s="13">
        <f>BD172*VLOOKUP('Données projet'!$B$11,Paramètres!$A$1:$I$89,3,0)*VLOOKUP('Données projet'!$B$11,Paramètres!$A$1:$I$89,5,0)</f>
        <v>-1.1439169611549005E-13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281.67293577289729</v>
      </c>
      <c r="BJ172" s="59">
        <f t="shared" si="146"/>
        <v>272.44904846480154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5.8775567575076693</v>
      </c>
      <c r="BQ172" s="21">
        <f>EXP(-LN(2)/25)*BQ171+(1-EXP(-LN(2)/25))/(LN(2)/25)*Calculateur!BL172*Calculateur!BN172*VLOOKUP('Données projet'!$B$11,Paramètres!$A$1:$I$89,3,0)*0.475*44/12</f>
        <v>3.0283683823703753</v>
      </c>
      <c r="BR172" s="21">
        <f>EXP(-LN(2)/2)*BR171+(1-EXP(-LN(2)/2))/(LN(2)/2)*BL172*BO172*VLOOKUP('Données projet'!$B$11,Paramètres!$A$1:$I$89,3,0)*0.475*44/12</f>
        <v>1.7615672170605754E-12</v>
      </c>
      <c r="BS172" s="22">
        <f t="shared" si="169"/>
        <v>8.9059251398798072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-1.7053025658242404E-13</v>
      </c>
      <c r="BZ172" s="13">
        <f>BY172*VLOOKUP('Données projet'!$B$12,Paramètres!$A$1:$I$89,3,0)*VLOOKUP('Données projet'!$B$12,Paramètres!$A$1:$I$89,5,0)</f>
        <v>-1.4897523215040567E-13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348.77506423101278</v>
      </c>
      <c r="CE172" s="59">
        <f t="shared" si="148"/>
        <v>336.13747591329548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7.6544925214053325</v>
      </c>
      <c r="CL172" s="21">
        <f>EXP(-LN(2)/25)*CL171+(1-EXP(-LN(2)/25))/(LN(2)/25)*Calculateur!CG172*Calculateur!CI172*VLOOKUP('Données projet'!$B$12,Paramètres!$A$1:$I$89,3,0)*0.475*44/12</f>
        <v>3.9439216142497866</v>
      </c>
      <c r="CM172" s="21">
        <f>EXP(-LN(2)/2)*CM171+(1-EXP(-LN(2)/2))/(LN(2)/2)*CG172*CJ172*VLOOKUP('Données projet'!$B$12,Paramètres!$A$1:$I$89,3,0)*0.475*44/12</f>
        <v>2.2941340501254038E-12</v>
      </c>
      <c r="CN172" s="22">
        <f t="shared" si="172"/>
        <v>11.598414135657412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7.688333333333337</v>
      </c>
      <c r="CT172" s="12">
        <f>IF('Données projet'!$A$140&gt;35,CT171+CS172-DB171,IF(A172&lt;'Données projet'!$A$140,$CQ$205^A172,IF(A172='Données projet'!$A$140,'Données projet'!$B$140,CT171+CS172-DB171)))</f>
        <v>371.96833333333302</v>
      </c>
      <c r="CU172" s="17">
        <f>CT172*VLOOKUP('Données projet'!$B$13,Paramètres!$A$1:$I$89,3,0)*VLOOKUP('Données projet'!$B$13,Paramètres!$A$1:$I$89,5,0)</f>
        <v>359.76777199999975</v>
      </c>
      <c r="CV172" s="13">
        <f t="shared" si="173"/>
        <v>83.570563558559556</v>
      </c>
      <c r="CW172" s="20">
        <f t="shared" si="174"/>
        <v>772.14760109782401</v>
      </c>
      <c r="CX172" s="59">
        <f t="shared" si="122"/>
        <v>1060.7189769988004</v>
      </c>
      <c r="CY172" s="59">
        <f ca="1">AVERAGE(OFFSET($CX$3,0,0,'Données projet'!$E$13+1,1))-AVERAGE(OFFSET($H$3,0,0,'Données projet'!$E$13+1,1))</f>
        <v>557.48193674339791</v>
      </c>
      <c r="CZ172" s="59">
        <f t="shared" si="150"/>
        <v>271.51396593253048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47.105713719882374</v>
      </c>
      <c r="DG172" s="21">
        <f>EXP(-LN(2)/25)*DG171+(1-EXP(-LN(2)/25))/(LN(2)/25)*Calculateur!DB172*Calculateur!DD172*VLOOKUP('Données projet'!$B$13,Paramètres!$A$1:$I$89,3,0)*0.475*44/12</f>
        <v>21.565213157111685</v>
      </c>
      <c r="DH172" s="21">
        <f>EXP(-LN(2)/2)*DH171+(1-EXP(-LN(2)/2))/(LN(2)/2)*DB172*DE172*VLOOKUP('Données projet'!$B$13,Paramètres!$A$1:$I$89,3,0)*0.475*44/12</f>
        <v>9.7257216426404941E-4</v>
      </c>
      <c r="DI172" s="22">
        <f t="shared" si="175"/>
        <v>68.671899449158317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7.688333333333337</v>
      </c>
      <c r="DO172" s="12">
        <f>IF('Données projet'!$A$166&gt;35,DO171+DN172-DW171,IF(A172&lt;'Données projet'!$A$166,$DL$205^A172,IF(A172='Données projet'!$A$166,'Données projet'!$B$166,DO171+DN172-DW171)))</f>
        <v>371.96833333333302</v>
      </c>
      <c r="DP172" s="17">
        <f>DO172*VLOOKUP('Données projet'!$B$14,Paramètres!$A$1:$I$89,3,0)*VLOOKUP('Données projet'!$B$14,Paramètres!$A$1:$I$89,5,0)</f>
        <v>400.38671399999964</v>
      </c>
      <c r="DQ172" s="13">
        <f t="shared" si="176"/>
        <v>91.855061140272795</v>
      </c>
      <c r="DR172" s="20">
        <f t="shared" si="177"/>
        <v>857.32109170264118</v>
      </c>
      <c r="DS172" s="59">
        <f t="shared" si="125"/>
        <v>1145.8924676036177</v>
      </c>
      <c r="DT172" s="59">
        <f ca="1">AVERAGE(OFFSET($DS$3,0,0,'Données projet'!$E$14+1,1))-AVERAGE(OFFSET($H$3,0,0,'Données projet'!$E$14+1,1))</f>
        <v>610.05768948788375</v>
      </c>
      <c r="DU172" s="59">
        <f t="shared" si="152"/>
        <v>295.23928902444845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52.424100752772318</v>
      </c>
      <c r="EB172" s="21">
        <f>EXP(-LN(2)/25)*EB171+(1-EXP(-LN(2)/25))/(LN(2)/25)*Calculateur!DW172*Calculateur!DY172*VLOOKUP('Données projet'!$B$14,Paramètres!$A$1:$I$89,3,0)*0.475*44/12</f>
        <v>23.999995287753332</v>
      </c>
      <c r="EC172" s="21">
        <f>EXP(-LN(2)/2)*EC171+(1-EXP(-LN(2)/2))/(LN(2)/2)*DW172*DZ172*VLOOKUP('Données projet'!$B$14,Paramètres!$A$1:$I$89,3,0)*0.475*44/12</f>
        <v>1.0823786989390208E-3</v>
      </c>
      <c r="ED172" s="22">
        <f t="shared" si="178"/>
        <v>76.425178419224594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9.6220000000000034</v>
      </c>
      <c r="N173" s="13">
        <f>IF('Données projet'!$A$36&gt;35,N172+M173-V172,IF(A173&lt;'Données projet'!$A$36,$K$205^A173,IF(A173='Données projet'!$A$36,'Données projet'!$B$36,N172+M173-V172)))</f>
        <v>572.03200000000106</v>
      </c>
      <c r="O173" s="13">
        <f>N173*VLOOKUP('Données projet'!$B$9,Paramètres!$A$1:$I$89,3,0)*VLOOKUP('Données projet'!$B$9,Paramètres!$A$1:$I$89,5,0)</f>
        <v>517.57455360000097</v>
      </c>
      <c r="P173" s="13">
        <f t="shared" si="141"/>
        <v>115.24405568945055</v>
      </c>
      <c r="Q173" s="20">
        <f t="shared" si="162"/>
        <v>1102.1590778457946</v>
      </c>
      <c r="R173" s="59">
        <f t="shared" si="109"/>
        <v>1390.8130630620806</v>
      </c>
      <c r="S173" s="59">
        <f ca="1">AVERAGE(OFFSET($R$3,0,0,'Données projet'!$E$9+1,1))-AVERAGE(OFFSET($H$3,0,0,'Données projet'!$E$9+1,1))</f>
        <v>681.47578137804555</v>
      </c>
      <c r="T173" s="59">
        <f t="shared" si="142"/>
        <v>300.88511065995885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52.046207706943505</v>
      </c>
      <c r="AA173" s="21">
        <f>EXP(-LN(2)/25)*AA172+(1-EXP(-LN(2)/25))/(LN(2)/25)*Calculateur!V173*Calculateur!X173*VLOOKUP('Données projet'!$B$9,Paramètres!$A$1:$I$89,3,0)*0.475*44/12</f>
        <v>19.481978179792311</v>
      </c>
      <c r="AB173" s="21">
        <f>EXP(-LN(2)/2)*AB172+(1-EXP(-LN(2)/2))/(LN(2)/2)*V173*Y173*VLOOKUP('Données projet'!$B$9,Paramètres!$A$1:$I$89,3,0)*0.475*44/12</f>
        <v>6.0868028849656974E-7</v>
      </c>
      <c r="AC173" s="22">
        <f t="shared" si="163"/>
        <v>71.528186495416108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-8.8675733422860506E-14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217.53602321474159</v>
      </c>
      <c r="AO173" s="59">
        <f t="shared" si="144"/>
        <v>215.75909414893025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3.7294342708048061</v>
      </c>
      <c r="AV173" s="21">
        <f>EXP(-LN(2)/25)*AV172+(1-EXP(-LN(2)/25))/(LN(2)/25)*Calculateur!AQ173*Calculateur!AS173*VLOOKUP('Données projet'!$B$10,Paramètres!$A$1:$I$89,3,0)*0.475*44/12</f>
        <v>1.6497405506468394</v>
      </c>
      <c r="AW173" s="21">
        <f>EXP(-LN(2)/2)*AW172+(1-EXP(-LN(2)/2))/(LN(2)/2)*AQ173*AT173*VLOOKUP('Données projet'!$B$10,Paramètres!$A$1:$I$89,3,0)*0.475*44/12</f>
        <v>2.445963369678165E-14</v>
      </c>
      <c r="AX173" s="21">
        <f t="shared" si="166"/>
        <v>5.3791748214516701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-1.7053025658242404E-13</v>
      </c>
      <c r="BE173" s="13">
        <f>BD173*VLOOKUP('Données projet'!$B$11,Paramètres!$A$1:$I$89,3,0)*VLOOKUP('Données projet'!$B$11,Paramètres!$A$1:$I$89,5,0)</f>
        <v>-1.1439169611549005E-13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281.67293577289729</v>
      </c>
      <c r="BJ173" s="59">
        <f t="shared" si="146"/>
        <v>272.44904846480154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5.7623014544485809</v>
      </c>
      <c r="BQ173" s="21">
        <f>EXP(-LN(2)/25)*BQ172+(1-EXP(-LN(2)/25))/(LN(2)/25)*Calculateur!BL173*Calculateur!BN173*VLOOKUP('Données projet'!$B$11,Paramètres!$A$1:$I$89,3,0)*0.475*44/12</f>
        <v>2.9455574896994854</v>
      </c>
      <c r="BR173" s="21">
        <f>EXP(-LN(2)/2)*BR172+(1-EXP(-LN(2)/2))/(LN(2)/2)*BL173*BO173*VLOOKUP('Données projet'!$B$11,Paramètres!$A$1:$I$89,3,0)*0.475*44/12</f>
        <v>1.2456161246994478E-12</v>
      </c>
      <c r="BS173" s="22">
        <f t="shared" si="169"/>
        <v>8.7078589441493115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-1.7053025658242404E-13</v>
      </c>
      <c r="BZ173" s="13">
        <f>BY173*VLOOKUP('Données projet'!$B$12,Paramètres!$A$1:$I$89,3,0)*VLOOKUP('Données projet'!$B$12,Paramètres!$A$1:$I$89,5,0)</f>
        <v>-1.4897523215040567E-13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348.77506423101278</v>
      </c>
      <c r="CE173" s="59">
        <f t="shared" si="148"/>
        <v>336.13747591329548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7.5043925918400083</v>
      </c>
      <c r="CL173" s="21">
        <f>EXP(-LN(2)/25)*CL172+(1-EXP(-LN(2)/25))/(LN(2)/25)*Calculateur!CG173*Calculateur!CI173*VLOOKUP('Données projet'!$B$12,Paramètres!$A$1:$I$89,3,0)*0.475*44/12</f>
        <v>3.8360748703063026</v>
      </c>
      <c r="CM173" s="21">
        <f>EXP(-LN(2)/2)*CM172+(1-EXP(-LN(2)/2))/(LN(2)/2)*CG173*CJ173*VLOOKUP('Données projet'!$B$12,Paramètres!$A$1:$I$89,3,0)*0.475*44/12</f>
        <v>1.622197743794632E-12</v>
      </c>
      <c r="CN173" s="22">
        <f t="shared" si="172"/>
        <v>11.340467462147933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7.688333333333337</v>
      </c>
      <c r="CT173" s="12">
        <f>IF('Données projet'!$A$140&gt;35,CT172+CS173-DB172,IF(A173&lt;'Données projet'!$A$140,$CQ$205^A173,IF(A173='Données projet'!$A$140,'Données projet'!$B$140,CT172+CS173-DB172)))</f>
        <v>379.65666666666635</v>
      </c>
      <c r="CU173" s="17">
        <f>CT173*VLOOKUP('Données projet'!$B$13,Paramètres!$A$1:$I$89,3,0)*VLOOKUP('Données projet'!$B$13,Paramètres!$A$1:$I$89,5,0)</f>
        <v>367.20392799999973</v>
      </c>
      <c r="CV173" s="13">
        <f t="shared" si="173"/>
        <v>85.095025204163747</v>
      </c>
      <c r="CW173" s="20">
        <f t="shared" si="174"/>
        <v>787.754010163918</v>
      </c>
      <c r="CX173" s="59">
        <f t="shared" si="122"/>
        <v>1076.4079953802038</v>
      </c>
      <c r="CY173" s="59">
        <f ca="1">AVERAGE(OFFSET($CX$3,0,0,'Données projet'!$E$13+1,1))-AVERAGE(OFFSET($H$3,0,0,'Données projet'!$E$13+1,1))</f>
        <v>557.48193674339791</v>
      </c>
      <c r="CZ173" s="59">
        <f t="shared" si="150"/>
        <v>271.51396593253048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46.181999405483836</v>
      </c>
      <c r="DG173" s="21">
        <f>EXP(-LN(2)/25)*DG172+(1-EXP(-LN(2)/25))/(LN(2)/25)*Calculateur!DB173*Calculateur!DD173*VLOOKUP('Données projet'!$B$13,Paramètres!$A$1:$I$89,3,0)*0.475*44/12</f>
        <v>20.975511269265194</v>
      </c>
      <c r="DH173" s="21">
        <f>EXP(-LN(2)/2)*DH172+(1-EXP(-LN(2)/2))/(LN(2)/2)*DB173*DE173*VLOOKUP('Données projet'!$B$13,Paramètres!$A$1:$I$89,3,0)*0.475*44/12</f>
        <v>6.8771237254438623E-4</v>
      </c>
      <c r="DI173" s="22">
        <f t="shared" si="175"/>
        <v>67.158198387121573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7.688333333333337</v>
      </c>
      <c r="DO173" s="12">
        <f>IF('Données projet'!$A$166&gt;35,DO172+DN173-DW172,IF(A173&lt;'Données projet'!$A$166,$DL$205^A173,IF(A173='Données projet'!$A$166,'Données projet'!$B$166,DO172+DN173-DW172)))</f>
        <v>379.65666666666635</v>
      </c>
      <c r="DP173" s="17">
        <f>DO173*VLOOKUP('Données projet'!$B$14,Paramètres!$A$1:$I$89,3,0)*VLOOKUP('Données projet'!$B$14,Paramètres!$A$1:$I$89,5,0)</f>
        <v>408.66243599999967</v>
      </c>
      <c r="DQ173" s="13">
        <f t="shared" si="176"/>
        <v>93.530645361562136</v>
      </c>
      <c r="DR173" s="20">
        <f t="shared" si="177"/>
        <v>874.6529500380534</v>
      </c>
      <c r="DS173" s="59">
        <f t="shared" si="125"/>
        <v>1163.3069352543394</v>
      </c>
      <c r="DT173" s="59">
        <f ca="1">AVERAGE(OFFSET($DS$3,0,0,'Données projet'!$E$14+1,1))-AVERAGE(OFFSET($H$3,0,0,'Données projet'!$E$14+1,1))</f>
        <v>610.05768948788375</v>
      </c>
      <c r="DU173" s="59">
        <f t="shared" si="152"/>
        <v>295.23928902444845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51.396096112554588</v>
      </c>
      <c r="EB173" s="21">
        <f>EXP(-LN(2)/25)*EB172+(1-EXP(-LN(2)/25))/(LN(2)/25)*Calculateur!DW173*Calculateur!DY173*VLOOKUP('Données projet'!$B$14,Paramètres!$A$1:$I$89,3,0)*0.475*44/12</f>
        <v>23.34371415450482</v>
      </c>
      <c r="EC173" s="21">
        <f>EXP(-LN(2)/2)*EC172+(1-EXP(-LN(2)/2))/(LN(2)/2)*DW173*DZ173*VLOOKUP('Données projet'!$B$14,Paramètres!$A$1:$I$89,3,0)*0.475*44/12</f>
        <v>7.6535731783165415E-4</v>
      </c>
      <c r="ED173" s="22">
        <f t="shared" si="178"/>
        <v>74.740575624377243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9.6220000000000034</v>
      </c>
      <c r="N174" s="13">
        <f>IF('Données projet'!$A$36&gt;35,N173+M174-V173,IF(A174&lt;'Données projet'!$A$36,$K$205^A174,IF(A174='Données projet'!$A$36,'Données projet'!$B$36,N173+M174-V173)))</f>
        <v>581.65400000000102</v>
      </c>
      <c r="O174" s="13">
        <f>N174*VLOOKUP('Données projet'!$B$9,Paramètres!$A$1:$I$89,3,0)*VLOOKUP('Données projet'!$B$9,Paramètres!$A$1:$I$89,5,0)</f>
        <v>526.28053920000093</v>
      </c>
      <c r="P174" s="13">
        <f t="shared" si="141"/>
        <v>116.95523902184036</v>
      </c>
      <c r="Q174" s="20">
        <f t="shared" si="162"/>
        <v>1120.3023137363737</v>
      </c>
      <c r="R174" s="59">
        <f t="shared" si="109"/>
        <v>1409.0374751810352</v>
      </c>
      <c r="S174" s="59">
        <f ca="1">AVERAGE(OFFSET($R$3,0,0,'Données projet'!$E$9+1,1))-AVERAGE(OFFSET($H$3,0,0,'Données projet'!$E$9+1,1))</f>
        <v>681.47578137804555</v>
      </c>
      <c r="T174" s="59">
        <f t="shared" si="142"/>
        <v>300.88511065995885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51.025613318862483</v>
      </c>
      <c r="AA174" s="21">
        <f>EXP(-LN(2)/25)*AA173+(1-EXP(-LN(2)/25))/(LN(2)/25)*Calculateur!V174*Calculateur!X174*VLOOKUP('Données projet'!$B$9,Paramètres!$A$1:$I$89,3,0)*0.475*44/12</f>
        <v>18.949242461953183</v>
      </c>
      <c r="AB174" s="21">
        <f>EXP(-LN(2)/2)*AB173+(1-EXP(-LN(2)/2))/(LN(2)/2)*V174*Y174*VLOOKUP('Données projet'!$B$9,Paramètres!$A$1:$I$89,3,0)*0.475*44/12</f>
        <v>4.3040195957050856E-7</v>
      </c>
      <c r="AC174" s="22">
        <f t="shared" si="163"/>
        <v>69.974856211217613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-8.8675733422860506E-14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217.53602321474159</v>
      </c>
      <c r="AO174" s="59">
        <f t="shared" si="144"/>
        <v>215.75909414893025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3.6563023394846179</v>
      </c>
      <c r="AV174" s="21">
        <f>EXP(-LN(2)/25)*AV173+(1-EXP(-LN(2)/25))/(LN(2)/25)*Calculateur!AQ174*Calculateur!AS174*VLOOKUP('Données projet'!$B$10,Paramètres!$A$1:$I$89,3,0)*0.475*44/12</f>
        <v>1.6046283085333166</v>
      </c>
      <c r="AW174" s="21">
        <f>EXP(-LN(2)/2)*AW173+(1-EXP(-LN(2)/2))/(LN(2)/2)*AQ174*AT174*VLOOKUP('Données projet'!$B$10,Paramètres!$A$1:$I$89,3,0)*0.475*44/12</f>
        <v>1.7295572852333286E-14</v>
      </c>
      <c r="AX174" s="21">
        <f t="shared" si="166"/>
        <v>5.2609306480179514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-1.7053025658242404E-13</v>
      </c>
      <c r="BE174" s="13">
        <f>BD174*VLOOKUP('Données projet'!$B$11,Paramètres!$A$1:$I$89,3,0)*VLOOKUP('Données projet'!$B$11,Paramètres!$A$1:$I$89,5,0)</f>
        <v>-1.1439169611549005E-13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281.67293577289729</v>
      </c>
      <c r="BJ174" s="59">
        <f t="shared" si="146"/>
        <v>272.44904846480154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5.649306237583688</v>
      </c>
      <c r="BQ174" s="21">
        <f>EXP(-LN(2)/25)*BQ173+(1-EXP(-LN(2)/25))/(LN(2)/25)*Calculateur!BL174*Calculateur!BN174*VLOOKUP('Données projet'!$B$11,Paramètres!$A$1:$I$89,3,0)*0.475*44/12</f>
        <v>2.8650110652435168</v>
      </c>
      <c r="BR174" s="21">
        <f>EXP(-LN(2)/2)*BR173+(1-EXP(-LN(2)/2))/(LN(2)/2)*BL174*BO174*VLOOKUP('Données projet'!$B$11,Paramètres!$A$1:$I$89,3,0)*0.475*44/12</f>
        <v>8.8078360853028772E-13</v>
      </c>
      <c r="BS174" s="22">
        <f t="shared" si="169"/>
        <v>8.5143173028280863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-1.7053025658242404E-13</v>
      </c>
      <c r="BZ174" s="13">
        <f>BY174*VLOOKUP('Données projet'!$B$12,Paramètres!$A$1:$I$89,3,0)*VLOOKUP('Données projet'!$B$12,Paramètres!$A$1:$I$89,5,0)</f>
        <v>-1.4897523215040567E-13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348.77506423101278</v>
      </c>
      <c r="CE174" s="59">
        <f t="shared" si="148"/>
        <v>336.13747591329548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7.3572360303415429</v>
      </c>
      <c r="CL174" s="21">
        <f>EXP(-LN(2)/25)*CL173+(1-EXP(-LN(2)/25))/(LN(2)/25)*Calculateur!CG174*Calculateur!CI174*VLOOKUP('Données projet'!$B$12,Paramètres!$A$1:$I$89,3,0)*0.475*44/12</f>
        <v>3.731177201247367</v>
      </c>
      <c r="CM174" s="21">
        <f>EXP(-LN(2)/2)*CM173+(1-EXP(-LN(2)/2))/(LN(2)/2)*CG174*CJ174*VLOOKUP('Données projet'!$B$12,Paramètres!$A$1:$I$89,3,0)*0.475*44/12</f>
        <v>1.1470670250627019E-12</v>
      </c>
      <c r="CN174" s="22">
        <f t="shared" si="172"/>
        <v>11.088413231590057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7.688333333333337</v>
      </c>
      <c r="CT174" s="12">
        <f>IF('Données projet'!$A$140&gt;35,CT173+CS174-DB173,IF(A174&lt;'Données projet'!$A$140,$CQ$205^A174,IF(A174='Données projet'!$A$140,'Données projet'!$B$140,CT173+CS174-DB173)))</f>
        <v>387.34499999999969</v>
      </c>
      <c r="CU174" s="17">
        <f>CT174*VLOOKUP('Données projet'!$B$13,Paramètres!$A$1:$I$89,3,0)*VLOOKUP('Données projet'!$B$13,Paramètres!$A$1:$I$89,5,0)</f>
        <v>374.64008399999972</v>
      </c>
      <c r="CV174" s="13">
        <f t="shared" si="173"/>
        <v>86.615897380176207</v>
      </c>
      <c r="CW174" s="20">
        <f t="shared" si="174"/>
        <v>803.35416757047312</v>
      </c>
      <c r="CX174" s="59">
        <f t="shared" si="122"/>
        <v>1092.0893290151346</v>
      </c>
      <c r="CY174" s="59">
        <f ca="1">AVERAGE(OFFSET($CX$3,0,0,'Données projet'!$E$13+1,1))-AVERAGE(OFFSET($H$3,0,0,'Données projet'!$E$13+1,1))</f>
        <v>557.48193674339791</v>
      </c>
      <c r="CZ174" s="59">
        <f t="shared" si="150"/>
        <v>271.51396593253048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45.276398565380553</v>
      </c>
      <c r="DG174" s="21">
        <f>EXP(-LN(2)/25)*DG173+(1-EXP(-LN(2)/25))/(LN(2)/25)*Calculateur!DB174*Calculateur!DD174*VLOOKUP('Données projet'!$B$13,Paramètres!$A$1:$I$89,3,0)*0.475*44/12</f>
        <v>20.401934810552941</v>
      </c>
      <c r="DH174" s="21">
        <f>EXP(-LN(2)/2)*DH173+(1-EXP(-LN(2)/2))/(LN(2)/2)*DB174*DE174*VLOOKUP('Données projet'!$B$13,Paramètres!$A$1:$I$89,3,0)*0.475*44/12</f>
        <v>4.8628608213202481E-4</v>
      </c>
      <c r="DI174" s="22">
        <f t="shared" si="175"/>
        <v>65.678819662015627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7.688333333333337</v>
      </c>
      <c r="DO174" s="12">
        <f>IF('Données projet'!$A$166&gt;35,DO173+DN174-DW173,IF(A174&lt;'Données projet'!$A$166,$DL$205^A174,IF(A174='Données projet'!$A$166,'Données projet'!$B$166,DO173+DN174-DW173)))</f>
        <v>387.34499999999969</v>
      </c>
      <c r="DP174" s="17">
        <f>DO174*VLOOKUP('Données projet'!$B$14,Paramètres!$A$1:$I$89,3,0)*VLOOKUP('Données projet'!$B$14,Paramètres!$A$1:$I$89,5,0)</f>
        <v>416.9381579999997</v>
      </c>
      <c r="DQ174" s="13">
        <f t="shared" si="176"/>
        <v>95.202284282798729</v>
      </c>
      <c r="DR174" s="20">
        <f t="shared" si="177"/>
        <v>891.97793697587383</v>
      </c>
      <c r="DS174" s="59">
        <f t="shared" si="125"/>
        <v>1180.7130984205353</v>
      </c>
      <c r="DT174" s="59">
        <f ca="1">AVERAGE(OFFSET($DS$3,0,0,'Données projet'!$E$14+1,1))-AVERAGE(OFFSET($H$3,0,0,'Données projet'!$E$14+1,1))</f>
        <v>610.05768948788375</v>
      </c>
      <c r="DU174" s="59">
        <f t="shared" si="152"/>
        <v>295.23928902444845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50.388250016310614</v>
      </c>
      <c r="EB174" s="21">
        <f>EXP(-LN(2)/25)*EB173+(1-EXP(-LN(2)/25))/(LN(2)/25)*Calculateur!DW174*Calculateur!DY174*VLOOKUP('Données projet'!$B$14,Paramètres!$A$1:$I$89,3,0)*0.475*44/12</f>
        <v>22.705379063357309</v>
      </c>
      <c r="EC174" s="21">
        <f>EXP(-LN(2)/2)*EC173+(1-EXP(-LN(2)/2))/(LN(2)/2)*DW174*DZ174*VLOOKUP('Données projet'!$B$14,Paramètres!$A$1:$I$89,3,0)*0.475*44/12</f>
        <v>5.4118934946951038E-4</v>
      </c>
      <c r="ED174" s="22">
        <f t="shared" si="178"/>
        <v>73.094170269017383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9.6220000000000034</v>
      </c>
      <c r="N175" s="13">
        <f>IF('Données projet'!$A$36&gt;35,N174+M175-V174,IF(A175&lt;'Données projet'!$A$36,$K$205^A175,IF(A175='Données projet'!$A$36,'Données projet'!$B$36,N174+M175-V174)))</f>
        <v>591.27600000000098</v>
      </c>
      <c r="O175" s="13">
        <f>N175*VLOOKUP('Données projet'!$B$9,Paramètres!$A$1:$I$89,3,0)*VLOOKUP('Données projet'!$B$9,Paramètres!$A$1:$I$89,5,0)</f>
        <v>534.98652480000089</v>
      </c>
      <c r="P175" s="13">
        <f t="shared" si="141"/>
        <v>118.66313040568902</v>
      </c>
      <c r="Q175" s="20">
        <f t="shared" si="162"/>
        <v>1138.4398161499098</v>
      </c>
      <c r="R175" s="59">
        <f t="shared" si="109"/>
        <v>1427.2547455968675</v>
      </c>
      <c r="S175" s="59">
        <f ca="1">AVERAGE(OFFSET($R$3,0,0,'Données projet'!$E$9+1,1))-AVERAGE(OFFSET($H$3,0,0,'Données projet'!$E$9+1,1))</f>
        <v>681.47578137804555</v>
      </c>
      <c r="T175" s="59">
        <f t="shared" si="142"/>
        <v>300.88511065995885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50.025032164230616</v>
      </c>
      <c r="AA175" s="21">
        <f>EXP(-LN(2)/25)*AA174+(1-EXP(-LN(2)/25))/(LN(2)/25)*Calculateur!V175*Calculateur!X175*VLOOKUP('Données projet'!$B$9,Paramètres!$A$1:$I$89,3,0)*0.475*44/12</f>
        <v>18.431074430333723</v>
      </c>
      <c r="AB175" s="21">
        <f>EXP(-LN(2)/2)*AB174+(1-EXP(-LN(2)/2))/(LN(2)/2)*V175*Y175*VLOOKUP('Données projet'!$B$9,Paramètres!$A$1:$I$89,3,0)*0.475*44/12</f>
        <v>3.0434014424828487E-7</v>
      </c>
      <c r="AC175" s="22">
        <f t="shared" si="163"/>
        <v>68.456106898904494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-8.8675733422860506E-14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217.53602321474159</v>
      </c>
      <c r="AO175" s="59">
        <f t="shared" si="144"/>
        <v>215.75909414893025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3.5846044807315454</v>
      </c>
      <c r="AV175" s="21">
        <f>EXP(-LN(2)/25)*AV174+(1-EXP(-LN(2)/25))/(LN(2)/25)*Calculateur!AQ175*Calculateur!AS175*VLOOKUP('Données projet'!$B$10,Paramètres!$A$1:$I$89,3,0)*0.475*44/12</f>
        <v>1.5607496630527378</v>
      </c>
      <c r="AW175" s="21">
        <f>EXP(-LN(2)/2)*AW174+(1-EXP(-LN(2)/2))/(LN(2)/2)*AQ175*AT175*VLOOKUP('Données projet'!$B$10,Paramètres!$A$1:$I$89,3,0)*0.475*44/12</f>
        <v>1.2229816848390825E-14</v>
      </c>
      <c r="AX175" s="21">
        <f t="shared" si="166"/>
        <v>5.1453541437842958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-1.7053025658242404E-13</v>
      </c>
      <c r="BE175" s="13">
        <f>BD175*VLOOKUP('Données projet'!$B$11,Paramètres!$A$1:$I$89,3,0)*VLOOKUP('Données projet'!$B$11,Paramètres!$A$1:$I$89,5,0)</f>
        <v>-1.1439169611549005E-13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281.67293577289729</v>
      </c>
      <c r="BJ175" s="59">
        <f t="shared" si="146"/>
        <v>272.44904846480154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5.5385267880012385</v>
      </c>
      <c r="BQ175" s="21">
        <f>EXP(-LN(2)/25)*BQ174+(1-EXP(-LN(2)/25))/(LN(2)/25)*Calculateur!BL175*Calculateur!BN175*VLOOKUP('Données projet'!$B$11,Paramètres!$A$1:$I$89,3,0)*0.475*44/12</f>
        <v>2.7866671870000488</v>
      </c>
      <c r="BR175" s="21">
        <f>EXP(-LN(2)/2)*BR174+(1-EXP(-LN(2)/2))/(LN(2)/2)*BL175*BO175*VLOOKUP('Données projet'!$B$11,Paramètres!$A$1:$I$89,3,0)*0.475*44/12</f>
        <v>6.2280806234972388E-13</v>
      </c>
      <c r="BS175" s="22">
        <f t="shared" si="169"/>
        <v>8.3251939750019108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-1.7053025658242404E-13</v>
      </c>
      <c r="BZ175" s="13">
        <f>BY175*VLOOKUP('Données projet'!$B$12,Paramètres!$A$1:$I$89,3,0)*VLOOKUP('Données projet'!$B$12,Paramètres!$A$1:$I$89,5,0)</f>
        <v>-1.4897523215040567E-13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348.77506423101278</v>
      </c>
      <c r="CE175" s="59">
        <f t="shared" si="148"/>
        <v>336.13747591329548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7.2129651192574231</v>
      </c>
      <c r="CL175" s="21">
        <f>EXP(-LN(2)/25)*CL174+(1-EXP(-LN(2)/25))/(LN(2)/25)*Calculateur!CG175*Calculateur!CI175*VLOOKUP('Données projet'!$B$12,Paramètres!$A$1:$I$89,3,0)*0.475*44/12</f>
        <v>3.6291479644651763</v>
      </c>
      <c r="CM175" s="21">
        <f>EXP(-LN(2)/2)*CM174+(1-EXP(-LN(2)/2))/(LN(2)/2)*CG175*CJ175*VLOOKUP('Données projet'!$B$12,Paramètres!$A$1:$I$89,3,0)*0.475*44/12</f>
        <v>8.1109887189731601E-13</v>
      </c>
      <c r="CN175" s="22">
        <f t="shared" si="172"/>
        <v>10.842113083723412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7.688333333333337</v>
      </c>
      <c r="CT175" s="12">
        <f>IF('Données projet'!$A$140&gt;35,CT174+CS175-DB174,IF(A175&lt;'Données projet'!$A$140,$CQ$205^A175,IF(A175='Données projet'!$A$140,'Données projet'!$B$140,CT174+CS175-DB174)))</f>
        <v>395.03333333333302</v>
      </c>
      <c r="CU175" s="17">
        <f>CT175*VLOOKUP('Données projet'!$B$13,Paramètres!$A$1:$I$89,3,0)*VLOOKUP('Données projet'!$B$13,Paramètres!$A$1:$I$89,5,0)</f>
        <v>382.0762399999997</v>
      </c>
      <c r="CV175" s="13">
        <f t="shared" si="173"/>
        <v>88.133259545087228</v>
      </c>
      <c r="CW175" s="20">
        <f t="shared" si="174"/>
        <v>818.94821170769308</v>
      </c>
      <c r="CX175" s="59">
        <f t="shared" si="122"/>
        <v>1107.7631411546508</v>
      </c>
      <c r="CY175" s="59">
        <f ca="1">AVERAGE(OFFSET($CX$3,0,0,'Données projet'!$E$13+1,1))-AVERAGE(OFFSET($H$3,0,0,'Données projet'!$E$13+1,1))</f>
        <v>557.48193674339791</v>
      </c>
      <c r="CZ175" s="59">
        <f t="shared" si="150"/>
        <v>271.51396593253048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44.388556005389724</v>
      </c>
      <c r="DG175" s="21">
        <f>EXP(-LN(2)/25)*DG174+(1-EXP(-LN(2)/25))/(LN(2)/25)*Calculateur!DB175*Calculateur!DD175*VLOOKUP('Données projet'!$B$13,Paramètres!$A$1:$I$89,3,0)*0.475*44/12</f>
        <v>19.844042830267249</v>
      </c>
      <c r="DH175" s="21">
        <f>EXP(-LN(2)/2)*DH174+(1-EXP(-LN(2)/2))/(LN(2)/2)*DB175*DE175*VLOOKUP('Données projet'!$B$13,Paramètres!$A$1:$I$89,3,0)*0.475*44/12</f>
        <v>3.4385618627219317E-4</v>
      </c>
      <c r="DI175" s="22">
        <f t="shared" si="175"/>
        <v>64.232942691843249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7.688333333333337</v>
      </c>
      <c r="DO175" s="12">
        <f>IF('Données projet'!$A$166&gt;35,DO174+DN175-DW174,IF(A175&lt;'Données projet'!$A$166,$DL$205^A175,IF(A175='Données projet'!$A$166,'Données projet'!$B$166,DO174+DN175-DW174)))</f>
        <v>395.03333333333302</v>
      </c>
      <c r="DP175" s="17">
        <f>DO175*VLOOKUP('Données projet'!$B$14,Paramètres!$A$1:$I$89,3,0)*VLOOKUP('Données projet'!$B$14,Paramètres!$A$1:$I$89,5,0)</f>
        <v>425.21387999999962</v>
      </c>
      <c r="DQ175" s="13">
        <f t="shared" si="176"/>
        <v>96.870065239333343</v>
      </c>
      <c r="DR175" s="20">
        <f t="shared" si="177"/>
        <v>909.29620462517153</v>
      </c>
      <c r="DS175" s="59">
        <f t="shared" si="125"/>
        <v>1198.1111340721291</v>
      </c>
      <c r="DT175" s="59">
        <f ca="1">AVERAGE(OFFSET($DS$3,0,0,'Données projet'!$E$14+1,1))-AVERAGE(OFFSET($H$3,0,0,'Données projet'!$E$14+1,1))</f>
        <v>610.05768948788375</v>
      </c>
      <c r="DU175" s="59">
        <f t="shared" si="152"/>
        <v>295.23928902444845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49.400167167288565</v>
      </c>
      <c r="EB175" s="21">
        <f>EXP(-LN(2)/25)*EB174+(1-EXP(-LN(2)/25))/(LN(2)/25)*Calculateur!DW175*Calculateur!DY175*VLOOKUP('Données projet'!$B$14,Paramètres!$A$1:$I$89,3,0)*0.475*44/12</f>
        <v>22.084499278845811</v>
      </c>
      <c r="EC175" s="21">
        <f>EXP(-LN(2)/2)*EC174+(1-EXP(-LN(2)/2))/(LN(2)/2)*DW175*DZ175*VLOOKUP('Données projet'!$B$14,Paramètres!$A$1:$I$89,3,0)*0.475*44/12</f>
        <v>3.8267865891582708E-4</v>
      </c>
      <c r="ED175" s="22">
        <f t="shared" si="178"/>
        <v>71.485049124793292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9.6220000000000034</v>
      </c>
      <c r="N176" s="13">
        <f>IF('Données projet'!$A$36&gt;35,N175+M176-V175,IF(A176&lt;'Données projet'!$A$36,$K$205^A176,IF(A176='Données projet'!$A$36,'Données projet'!$B$36,N175+M176-V175)))</f>
        <v>600.89800000000093</v>
      </c>
      <c r="O176" s="13">
        <f>N176*VLOOKUP('Données projet'!$B$9,Paramètres!$A$1:$I$89,3,0)*VLOOKUP('Données projet'!$B$9,Paramètres!$A$1:$I$89,5,0)</f>
        <v>543.69251040000086</v>
      </c>
      <c r="P176" s="13">
        <f t="shared" si="141"/>
        <v>120.36778959614513</v>
      </c>
      <c r="Q176" s="20">
        <f t="shared" si="162"/>
        <v>1156.5716891599543</v>
      </c>
      <c r="R176" s="59">
        <f t="shared" si="109"/>
        <v>1445.4650028127028</v>
      </c>
      <c r="S176" s="59">
        <f ca="1">AVERAGE(OFFSET($R$3,0,0,'Données projet'!$E$9+1,1))-AVERAGE(OFFSET($H$3,0,0,'Données projet'!$E$9+1,1))</f>
        <v>681.47578137804555</v>
      </c>
      <c r="T176" s="59">
        <f t="shared" si="142"/>
        <v>300.88511065995885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49.044071795746838</v>
      </c>
      <c r="AA176" s="21">
        <f>EXP(-LN(2)/25)*AA175+(1-EXP(-LN(2)/25))/(LN(2)/25)*Calculateur!V176*Calculateur!X176*VLOOKUP('Données projet'!$B$9,Paramètres!$A$1:$I$89,3,0)*0.475*44/12</f>
        <v>17.927075730788168</v>
      </c>
      <c r="AB176" s="21">
        <f>EXP(-LN(2)/2)*AB175+(1-EXP(-LN(2)/2))/(LN(2)/2)*V176*Y176*VLOOKUP('Données projet'!$B$9,Paramètres!$A$1:$I$89,3,0)*0.475*44/12</f>
        <v>2.1520097978525428E-7</v>
      </c>
      <c r="AC176" s="22">
        <f t="shared" si="163"/>
        <v>66.97114774173599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-8.8675733422860506E-14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217.53602321474159</v>
      </c>
      <c r="AO176" s="59">
        <f t="shared" si="144"/>
        <v>215.75909414893025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3.5143125732572447</v>
      </c>
      <c r="AV176" s="21">
        <f>EXP(-LN(2)/25)*AV175+(1-EXP(-LN(2)/25))/(LN(2)/25)*Calculateur!AQ176*Calculateur!AS176*VLOOKUP('Données projet'!$B$10,Paramètres!$A$1:$I$89,3,0)*0.475*44/12</f>
        <v>1.518070881440303</v>
      </c>
      <c r="AW176" s="21">
        <f>EXP(-LN(2)/2)*AW175+(1-EXP(-LN(2)/2))/(LN(2)/2)*AQ176*AT176*VLOOKUP('Données projet'!$B$10,Paramètres!$A$1:$I$89,3,0)*0.475*44/12</f>
        <v>8.6477864261666431E-15</v>
      </c>
      <c r="AX176" s="21">
        <f t="shared" si="166"/>
        <v>5.0323834546975563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-1.7053025658242404E-13</v>
      </c>
      <c r="BE176" s="13">
        <f>BD176*VLOOKUP('Données projet'!$B$11,Paramètres!$A$1:$I$89,3,0)*VLOOKUP('Données projet'!$B$11,Paramètres!$A$1:$I$89,5,0)</f>
        <v>-1.1439169611549005E-13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281.67293577289729</v>
      </c>
      <c r="BJ176" s="59">
        <f t="shared" si="146"/>
        <v>272.44904846480154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5.4299196558563088</v>
      </c>
      <c r="BQ176" s="21">
        <f>EXP(-LN(2)/25)*BQ175+(1-EXP(-LN(2)/25))/(LN(2)/25)*Calculateur!BL176*Calculateur!BN176*VLOOKUP('Données projet'!$B$11,Paramètres!$A$1:$I$89,3,0)*0.475*44/12</f>
        <v>2.7104656262270743</v>
      </c>
      <c r="BR176" s="21">
        <f>EXP(-LN(2)/2)*BR175+(1-EXP(-LN(2)/2))/(LN(2)/2)*BL176*BO176*VLOOKUP('Données projet'!$B$11,Paramètres!$A$1:$I$89,3,0)*0.475*44/12</f>
        <v>4.4039180426514386E-13</v>
      </c>
      <c r="BS176" s="22">
        <f t="shared" si="169"/>
        <v>8.1403852820838232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-1.7053025658242404E-13</v>
      </c>
      <c r="BZ176" s="13">
        <f>BY176*VLOOKUP('Données projet'!$B$12,Paramètres!$A$1:$I$89,3,0)*VLOOKUP('Données projet'!$B$12,Paramètres!$A$1:$I$89,5,0)</f>
        <v>-1.4897523215040567E-13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348.77506423101278</v>
      </c>
      <c r="CE176" s="59">
        <f t="shared" si="148"/>
        <v>336.13747591329548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7.0715232727430957</v>
      </c>
      <c r="CL176" s="21">
        <f>EXP(-LN(2)/25)*CL175+(1-EXP(-LN(2)/25))/(LN(2)/25)*Calculateur!CG176*Calculateur!CI176*VLOOKUP('Données projet'!$B$12,Paramètres!$A$1:$I$89,3,0)*0.475*44/12</f>
        <v>3.5299087225282793</v>
      </c>
      <c r="CM176" s="21">
        <f>EXP(-LN(2)/2)*CM175+(1-EXP(-LN(2)/2))/(LN(2)/2)*CG176*CJ176*VLOOKUP('Données projet'!$B$12,Paramètres!$A$1:$I$89,3,0)*0.475*44/12</f>
        <v>5.7353351253135096E-13</v>
      </c>
      <c r="CN176" s="22">
        <f t="shared" si="172"/>
        <v>10.601431995271948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7.688333333333337</v>
      </c>
      <c r="CT176" s="12">
        <f>IF('Données projet'!$A$140&gt;35,CT175+CS176-DB175,IF(A176&lt;'Données projet'!$A$140,$CQ$205^A176,IF(A176='Données projet'!$A$140,'Données projet'!$B$140,CT175+CS176-DB175)))</f>
        <v>402.72166666666635</v>
      </c>
      <c r="CU176" s="17">
        <f>CT176*VLOOKUP('Données projet'!$B$13,Paramètres!$A$1:$I$89,3,0)*VLOOKUP('Données projet'!$B$13,Paramètres!$A$1:$I$89,5,0)</f>
        <v>389.51239599999968</v>
      </c>
      <c r="CV176" s="13">
        <f t="shared" si="173"/>
        <v>89.647187887544248</v>
      </c>
      <c r="CW176" s="20">
        <f t="shared" si="174"/>
        <v>834.53627527080562</v>
      </c>
      <c r="CX176" s="59">
        <f t="shared" si="122"/>
        <v>1123.4295889235541</v>
      </c>
      <c r="CY176" s="59">
        <f ca="1">AVERAGE(OFFSET($CX$3,0,0,'Données projet'!$E$13+1,1))-AVERAGE(OFFSET($H$3,0,0,'Données projet'!$E$13+1,1))</f>
        <v>557.48193674339791</v>
      </c>
      <c r="CZ176" s="59">
        <f t="shared" si="150"/>
        <v>271.51396593253048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43.518123496469826</v>
      </c>
      <c r="DG176" s="21">
        <f>EXP(-LN(2)/25)*DG175+(1-EXP(-LN(2)/25))/(LN(2)/25)*Calculateur!DB176*Calculateur!DD176*VLOOKUP('Données projet'!$B$13,Paramètres!$A$1:$I$89,3,0)*0.475*44/12</f>
        <v>19.301406435520732</v>
      </c>
      <c r="DH176" s="21">
        <f>EXP(-LN(2)/2)*DH175+(1-EXP(-LN(2)/2))/(LN(2)/2)*DB176*DE176*VLOOKUP('Données projet'!$B$13,Paramètres!$A$1:$I$89,3,0)*0.475*44/12</f>
        <v>2.4314304106601243E-4</v>
      </c>
      <c r="DI176" s="22">
        <f t="shared" si="175"/>
        <v>62.819773075031627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7.688333333333337</v>
      </c>
      <c r="DO176" s="12">
        <f>IF('Données projet'!$A$166&gt;35,DO175+DN176-DW175,IF(A176&lt;'Données projet'!$A$166,$DL$205^A176,IF(A176='Données projet'!$A$166,'Données projet'!$B$166,DO175+DN176-DW175)))</f>
        <v>402.72166666666635</v>
      </c>
      <c r="DP176" s="17">
        <f>DO176*VLOOKUP('Données projet'!$B$14,Paramètres!$A$1:$I$89,3,0)*VLOOKUP('Données projet'!$B$14,Paramètres!$A$1:$I$89,5,0)</f>
        <v>433.48960199999965</v>
      </c>
      <c r="DQ176" s="13">
        <f t="shared" si="176"/>
        <v>98.534071972528878</v>
      </c>
      <c r="DR176" s="20">
        <f t="shared" si="177"/>
        <v>926.60789883548705</v>
      </c>
      <c r="DS176" s="59">
        <f t="shared" si="125"/>
        <v>1215.5012124882355</v>
      </c>
      <c r="DT176" s="59">
        <f ca="1">AVERAGE(OFFSET($DS$3,0,0,'Données projet'!$E$14+1,1))-AVERAGE(OFFSET($H$3,0,0,'Données projet'!$E$14+1,1))</f>
        <v>610.05768948788375</v>
      </c>
      <c r="DU176" s="59">
        <f t="shared" si="152"/>
        <v>295.23928902444845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48.431460020264808</v>
      </c>
      <c r="EB176" s="21">
        <f>EXP(-LN(2)/25)*EB175+(1-EXP(-LN(2)/25))/(LN(2)/25)*Calculateur!DW176*Calculateur!DY176*VLOOKUP('Données projet'!$B$14,Paramètres!$A$1:$I$89,3,0)*0.475*44/12</f>
        <v>21.480597484692431</v>
      </c>
      <c r="EC176" s="21">
        <f>EXP(-LN(2)/2)*EC175+(1-EXP(-LN(2)/2))/(LN(2)/2)*DW176*DZ176*VLOOKUP('Données projet'!$B$14,Paramètres!$A$1:$I$89,3,0)*0.475*44/12</f>
        <v>2.7059467473475519E-4</v>
      </c>
      <c r="ED176" s="22">
        <f t="shared" si="178"/>
        <v>69.912328099631964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610.52</v>
      </c>
      <c r="L177" s="12">
        <f>VLOOKUP(A177,'Données projet'!$A$35:$I$55,9,0)</f>
        <v>9.6220000000000034</v>
      </c>
      <c r="M177" s="12">
        <f t="array" ref="M177">INDEX(L:L,MIN(IF(ISNUMBER(L177:L373),ROW(L177:L373),"")))</f>
        <v>9.6220000000000034</v>
      </c>
      <c r="N177" s="13">
        <f>IF('Données projet'!$A$36&gt;35,N176+M177-V176,IF(A177&lt;'Données projet'!$A$36,$K$205^A177,IF(A177='Données projet'!$A$36,'Données projet'!$B$36,N176+M177-V176)))</f>
        <v>610.52000000000089</v>
      </c>
      <c r="O177" s="13">
        <f>N177*VLOOKUP('Données projet'!$B$9,Paramètres!$A$1:$I$89,3,0)*VLOOKUP('Données projet'!$B$9,Paramètres!$A$1:$I$89,5,0)</f>
        <v>552.3984960000007</v>
      </c>
      <c r="P177" s="13">
        <f t="shared" si="141"/>
        <v>122.06927432492597</v>
      </c>
      <c r="Q177" s="20">
        <f t="shared" si="162"/>
        <v>1174.698033315914</v>
      </c>
      <c r="R177" s="59">
        <f t="shared" si="109"/>
        <v>1463.6683713837238</v>
      </c>
      <c r="S177" s="59">
        <f ca="1">AVERAGE(OFFSET($R$3,0,0,'Données projet'!$E$9+1,1))-AVERAGE(OFFSET($H$3,0,0,'Données projet'!$E$9+1,1))</f>
        <v>681.47578137804555</v>
      </c>
      <c r="T177" s="59">
        <f t="shared" si="142"/>
        <v>300.88511065995885</v>
      </c>
      <c r="U177" s="15">
        <f>IF(ISNA(VLOOKUP(A177,'Données projet'!$A$35:$I$55,3,0)),0,VLOOKUP(A177,'Données projet'!$A$35:$I$55,3,0))</f>
        <v>15</v>
      </c>
      <c r="V177" s="15">
        <f>IF(ISNA(VLOOKUP(A177,'Données projet'!$A$35:$I$55,4,0)),0,VLOOKUP(A177,'Données projet'!$A$35:$I$55,4,0))</f>
        <v>240</v>
      </c>
      <c r="W177" s="16">
        <f>IF(ISNA(VLOOKUP(A177,'Données projet'!$A$35:$I$55,5,0)),0%,VLOOKUP(A177,'Données projet'!$A$35:$I$55,5,0)*VLOOKUP('Données projet'!$B$9,Paramètres!$A$1:$I$89,7,0))</f>
        <v>0.19350000000000001</v>
      </c>
      <c r="X177" s="16">
        <f>IF(ISNA(VLOOKUP(A177,'Données projet'!$A$35:$I$55,6,0)),0%,VLOOKUP(A177,'Données projet'!$A$35:$I$55,6,0)*VLOOKUP('Données projet'!$B$9,Paramètres!$A$1:$I$89,7,0))</f>
        <v>2.1500000000000002E-2</v>
      </c>
      <c r="Y177" s="16">
        <f>IF(ISNA(VLOOKUP(A177,'Données projet'!$A$35:$I$55,7,0)),0%,VLOOKUP(A177,'Données projet'!$A$35:$I$55,7,0))</f>
        <v>0.05</v>
      </c>
      <c r="Z177" s="21">
        <f>EXP(-LN(2)/35)*Z176+(1-EXP(-LN(2)/35))/(LN(2)/35)*V177*W177*VLOOKUP('Données projet'!$B$9,Paramètres!$A$1:$I$89,3,0)*0.475*44/12</f>
        <v>94.533010057963907</v>
      </c>
      <c r="AA177" s="21">
        <f>EXP(-LN(2)/25)*AA176+(1-EXP(-LN(2)/25))/(LN(2)/25)*Calculateur!V177*Calculateur!X177*VLOOKUP('Données projet'!$B$9,Paramètres!$A$1:$I$89,3,0)*0.475*44/12</f>
        <v>22.577722084238086</v>
      </c>
      <c r="AB177" s="21">
        <f>EXP(-LN(2)/2)*AB176+(1-EXP(-LN(2)/2))/(LN(2)/2)*V177*Y177*VLOOKUP('Données projet'!$B$9,Paramètres!$A$1:$I$89,3,0)*0.475*44/12</f>
        <v>10.244437980189536</v>
      </c>
      <c r="AC177" s="22">
        <f t="shared" si="163"/>
        <v>127.35517012239153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-8.8675733422860506E-14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217.53602321474159</v>
      </c>
      <c r="AO177" s="59">
        <f t="shared" si="144"/>
        <v>215.75909414893025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3.4453990472146847</v>
      </c>
      <c r="AV177" s="21">
        <f>EXP(-LN(2)/25)*AV176+(1-EXP(-LN(2)/25))/(LN(2)/25)*Calculateur!AQ177*Calculateur!AS177*VLOOKUP('Données projet'!$B$10,Paramètres!$A$1:$I$89,3,0)*0.475*44/12</f>
        <v>1.4765591533554399</v>
      </c>
      <c r="AW177" s="21">
        <f>EXP(-LN(2)/2)*AW176+(1-EXP(-LN(2)/2))/(LN(2)/2)*AQ177*AT177*VLOOKUP('Données projet'!$B$10,Paramètres!$A$1:$I$89,3,0)*0.475*44/12</f>
        <v>6.1149084241954125E-15</v>
      </c>
      <c r="AX177" s="21">
        <f t="shared" si="166"/>
        <v>4.9219582005701303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-1.7053025658242404E-13</v>
      </c>
      <c r="BE177" s="13">
        <f>BD177*VLOOKUP('Données projet'!$B$11,Paramètres!$A$1:$I$89,3,0)*VLOOKUP('Données projet'!$B$11,Paramètres!$A$1:$I$89,5,0)</f>
        <v>-1.1439169611549005E-13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281.67293577289729</v>
      </c>
      <c r="BJ177" s="59">
        <f t="shared" si="146"/>
        <v>272.44904846480154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5.3234422433289312</v>
      </c>
      <c r="BQ177" s="21">
        <f>EXP(-LN(2)/25)*BQ176+(1-EXP(-LN(2)/25))/(LN(2)/25)*Calculateur!BL177*Calculateur!BN177*VLOOKUP('Données projet'!$B$11,Paramètres!$A$1:$I$89,3,0)*0.475*44/12</f>
        <v>2.6363478011407024</v>
      </c>
      <c r="BR177" s="21">
        <f>EXP(-LN(2)/2)*BR176+(1-EXP(-LN(2)/2))/(LN(2)/2)*BL177*BO177*VLOOKUP('Données projet'!$B$11,Paramètres!$A$1:$I$89,3,0)*0.475*44/12</f>
        <v>3.1140403117486194E-13</v>
      </c>
      <c r="BS177" s="22">
        <f t="shared" si="169"/>
        <v>7.959790044469945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-1.7053025658242404E-13</v>
      </c>
      <c r="BZ177" s="13">
        <f>BY177*VLOOKUP('Données projet'!$B$12,Paramètres!$A$1:$I$89,3,0)*VLOOKUP('Données projet'!$B$12,Paramètres!$A$1:$I$89,5,0)</f>
        <v>-1.4897523215040567E-13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348.77506423101278</v>
      </c>
      <c r="CE177" s="59">
        <f t="shared" si="148"/>
        <v>336.13747591329548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6.9328550145679069</v>
      </c>
      <c r="CL177" s="21">
        <f>EXP(-LN(2)/25)*CL176+(1-EXP(-LN(2)/25))/(LN(2)/25)*Calculateur!CG177*Calculateur!CI177*VLOOKUP('Données projet'!$B$12,Paramètres!$A$1:$I$89,3,0)*0.475*44/12</f>
        <v>3.4333831828809114</v>
      </c>
      <c r="CM177" s="21">
        <f>EXP(-LN(2)/2)*CM176+(1-EXP(-LN(2)/2))/(LN(2)/2)*CG177*CJ177*VLOOKUP('Données projet'!$B$12,Paramètres!$A$1:$I$89,3,0)*0.475*44/12</f>
        <v>4.05549435948658E-13</v>
      </c>
      <c r="CN177" s="22">
        <f t="shared" si="172"/>
        <v>10.366238197449224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7.688333333333337</v>
      </c>
      <c r="CT177" s="12">
        <f>IF('Données projet'!$A$140&gt;35,CT176+CS177-DB176,IF(A177&lt;'Données projet'!$A$140,$CQ$205^A177,IF(A177='Données projet'!$A$140,'Données projet'!$B$140,CT176+CS177-DB176)))</f>
        <v>410.40999999999968</v>
      </c>
      <c r="CU177" s="17">
        <f>CT177*VLOOKUP('Données projet'!$B$13,Paramètres!$A$1:$I$89,3,0)*VLOOKUP('Données projet'!$B$13,Paramètres!$A$1:$I$89,5,0)</f>
        <v>396.94855199999972</v>
      </c>
      <c r="CV177" s="13">
        <f t="shared" si="173"/>
        <v>91.157755520722489</v>
      </c>
      <c r="CW177" s="20">
        <f t="shared" si="174"/>
        <v>850.11848559859118</v>
      </c>
      <c r="CX177" s="59">
        <f t="shared" si="122"/>
        <v>1139.0888236664009</v>
      </c>
      <c r="CY177" s="59">
        <f ca="1">AVERAGE(OFFSET($CX$3,0,0,'Données projet'!$E$13+1,1))-AVERAGE(OFFSET($H$3,0,0,'Données projet'!$E$13+1,1))</f>
        <v>557.48193674339791</v>
      </c>
      <c r="CZ177" s="59">
        <f t="shared" si="150"/>
        <v>271.51396593253048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42.664759638138442</v>
      </c>
      <c r="DG177" s="21">
        <f>EXP(-LN(2)/25)*DG176+(1-EXP(-LN(2)/25))/(LN(2)/25)*Calculateur!DB177*Calculateur!DD177*VLOOKUP('Données projet'!$B$13,Paramètres!$A$1:$I$89,3,0)*0.475*44/12</f>
        <v>18.773608461524567</v>
      </c>
      <c r="DH177" s="21">
        <f>EXP(-LN(2)/2)*DH176+(1-EXP(-LN(2)/2))/(LN(2)/2)*DB177*DE177*VLOOKUP('Données projet'!$B$13,Paramètres!$A$1:$I$89,3,0)*0.475*44/12</f>
        <v>1.7192809313609661E-4</v>
      </c>
      <c r="DI177" s="22">
        <f t="shared" si="175"/>
        <v>61.438540027756147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7.688333333333337</v>
      </c>
      <c r="DO177" s="12">
        <f>IF('Données projet'!$A$166&gt;35,DO176+DN177-DW176,IF(A177&lt;'Données projet'!$A$166,$DL$205^A177,IF(A177='Données projet'!$A$166,'Données projet'!$B$166,DO176+DN177-DW176)))</f>
        <v>410.40999999999968</v>
      </c>
      <c r="DP177" s="17">
        <f>DO177*VLOOKUP('Données projet'!$B$14,Paramètres!$A$1:$I$89,3,0)*VLOOKUP('Données projet'!$B$14,Paramètres!$A$1:$I$89,5,0)</f>
        <v>441.76532399999962</v>
      </c>
      <c r="DQ177" s="13">
        <f t="shared" si="176"/>
        <v>100.19438484339834</v>
      </c>
      <c r="DR177" s="20">
        <f t="shared" si="177"/>
        <v>943.9131595689181</v>
      </c>
      <c r="DS177" s="59">
        <f t="shared" si="125"/>
        <v>1232.883497636728</v>
      </c>
      <c r="DT177" s="59">
        <f ca="1">AVERAGE(OFFSET($DS$3,0,0,'Données projet'!$E$14+1,1))-AVERAGE(OFFSET($H$3,0,0,'Données projet'!$E$14+1,1))</f>
        <v>610.05768948788375</v>
      </c>
      <c r="DU177" s="59">
        <f t="shared" si="152"/>
        <v>295.23928902444845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47.481748629541165</v>
      </c>
      <c r="EB177" s="21">
        <f>EXP(-LN(2)/25)*EB176+(1-EXP(-LN(2)/25))/(LN(2)/25)*Calculateur!DW177*Calculateur!DY177*VLOOKUP('Données projet'!$B$14,Paramètres!$A$1:$I$89,3,0)*0.475*44/12</f>
        <v>20.893209416857989</v>
      </c>
      <c r="EC177" s="21">
        <f>EXP(-LN(2)/2)*EC176+(1-EXP(-LN(2)/2))/(LN(2)/2)*DW177*DZ177*VLOOKUP('Données projet'!$B$14,Paramètres!$A$1:$I$89,3,0)*0.475*44/12</f>
        <v>1.9133932945791354E-4</v>
      </c>
      <c r="ED177" s="22">
        <f t="shared" si="178"/>
        <v>68.375149385728619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6.140000000000005</v>
      </c>
      <c r="N178" s="13">
        <f>IF('Données projet'!$A$36&gt;35,N177+M178-V177,IF(A178&lt;'Données projet'!$A$36,$K$205^A178,IF(A178='Données projet'!$A$36,'Données projet'!$B$36,N177+M178-V177)))</f>
        <v>376.66000000000088</v>
      </c>
      <c r="O178" s="13">
        <f>N178*VLOOKUP('Données projet'!$B$9,Paramètres!$A$1:$I$89,3,0)*VLOOKUP('Données projet'!$B$9,Paramètres!$A$1:$I$89,5,0)</f>
        <v>340.80196800000078</v>
      </c>
      <c r="P178" s="13">
        <f t="shared" si="141"/>
        <v>79.665615362245418</v>
      </c>
      <c r="Q178" s="20">
        <f t="shared" si="162"/>
        <v>732.31437435591215</v>
      </c>
      <c r="R178" s="59">
        <f t="shared" si="109"/>
        <v>1021.3604006373826</v>
      </c>
      <c r="S178" s="59">
        <f ca="1">AVERAGE(OFFSET($R$3,0,0,'Données projet'!$E$9+1,1))-AVERAGE(OFFSET($H$3,0,0,'Données projet'!$E$9+1,1))</f>
        <v>681.47578137804555</v>
      </c>
      <c r="T178" s="59">
        <f t="shared" si="142"/>
        <v>300.88511065995885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92.679275390169977</v>
      </c>
      <c r="AA178" s="21">
        <f>EXP(-LN(2)/25)*AA177+(1-EXP(-LN(2)/25))/(LN(2)/25)*Calculateur!V178*Calculateur!X178*VLOOKUP('Données projet'!$B$9,Paramètres!$A$1:$I$89,3,0)*0.475*44/12</f>
        <v>21.960333086533794</v>
      </c>
      <c r="AB178" s="21">
        <f>EXP(-LN(2)/2)*AB177+(1-EXP(-LN(2)/2))/(LN(2)/2)*V178*Y178*VLOOKUP('Données projet'!$B$9,Paramètres!$A$1:$I$89,3,0)*0.475*44/12</f>
        <v>7.2439115652370401</v>
      </c>
      <c r="AC178" s="22">
        <f t="shared" si="163"/>
        <v>121.88352004194081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-8.8675733422860506E-14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217.53602321474159</v>
      </c>
      <c r="AO178" s="59">
        <f t="shared" si="144"/>
        <v>215.75909414893025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3.3778368733847191</v>
      </c>
      <c r="AV178" s="21">
        <f>EXP(-LN(2)/25)*AV177+(1-EXP(-LN(2)/25))/(LN(2)/25)*Calculateur!AQ178*Calculateur!AS178*VLOOKUP('Données projet'!$B$10,Paramètres!$A$1:$I$89,3,0)*0.475*44/12</f>
        <v>1.4361825656580642</v>
      </c>
      <c r="AW178" s="21">
        <f>EXP(-LN(2)/2)*AW177+(1-EXP(-LN(2)/2))/(LN(2)/2)*AQ178*AT178*VLOOKUP('Données projet'!$B$10,Paramètres!$A$1:$I$89,3,0)*0.475*44/12</f>
        <v>4.3238932130833216E-15</v>
      </c>
      <c r="AX178" s="21">
        <f t="shared" si="166"/>
        <v>4.814019439042788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-1.7053025658242404E-13</v>
      </c>
      <c r="BE178" s="13">
        <f>BD178*VLOOKUP('Données projet'!$B$11,Paramètres!$A$1:$I$89,3,0)*VLOOKUP('Données projet'!$B$11,Paramètres!$A$1:$I$89,5,0)</f>
        <v>-1.1439169611549005E-13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281.67293577289729</v>
      </c>
      <c r="BJ178" s="59">
        <f t="shared" si="146"/>
        <v>272.44904846480154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5.2190527879164064</v>
      </c>
      <c r="BQ178" s="21">
        <f>EXP(-LN(2)/25)*BQ177+(1-EXP(-LN(2)/25))/(LN(2)/25)*Calculateur!BL178*Calculateur!BN178*VLOOKUP('Données projet'!$B$11,Paramètres!$A$1:$I$89,3,0)*0.475*44/12</f>
        <v>2.5642567318790044</v>
      </c>
      <c r="BR178" s="21">
        <f>EXP(-LN(2)/2)*BR177+(1-EXP(-LN(2)/2))/(LN(2)/2)*BL178*BO178*VLOOKUP('Données projet'!$B$11,Paramètres!$A$1:$I$89,3,0)*0.475*44/12</f>
        <v>2.2019590213257193E-13</v>
      </c>
      <c r="BS178" s="22">
        <f t="shared" si="169"/>
        <v>7.7833095197956315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-1.7053025658242404E-13</v>
      </c>
      <c r="BZ178" s="13">
        <f>BY178*VLOOKUP('Données projet'!$B$12,Paramètres!$A$1:$I$89,3,0)*VLOOKUP('Données projet'!$B$12,Paramètres!$A$1:$I$89,5,0)</f>
        <v>-1.4897523215040567E-13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348.77506423101278</v>
      </c>
      <c r="CE178" s="59">
        <f t="shared" si="148"/>
        <v>336.13747591329548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6.7969059563562473</v>
      </c>
      <c r="CL178" s="21">
        <f>EXP(-LN(2)/25)*CL177+(1-EXP(-LN(2)/25))/(LN(2)/25)*Calculateur!CG178*Calculateur!CI178*VLOOKUP('Données projet'!$B$12,Paramètres!$A$1:$I$89,3,0)*0.475*44/12</f>
        <v>3.3394971391912582</v>
      </c>
      <c r="CM178" s="21">
        <f>EXP(-LN(2)/2)*CM177+(1-EXP(-LN(2)/2))/(LN(2)/2)*CG178*CJ178*VLOOKUP('Données projet'!$B$12,Paramètres!$A$1:$I$89,3,0)*0.475*44/12</f>
        <v>2.8676675626567548E-13</v>
      </c>
      <c r="CN178" s="22">
        <f t="shared" si="172"/>
        <v>10.136403095547792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7.688333333333337</v>
      </c>
      <c r="CT178" s="12">
        <f>IF('Données projet'!$A$140&gt;35,CT177+CS178-DB177,IF(A178&lt;'Données projet'!$A$140,$CQ$205^A178,IF(A178='Données projet'!$A$140,'Données projet'!$B$140,CT177+CS178-DB177)))</f>
        <v>418.09833333333302</v>
      </c>
      <c r="CU178" s="17">
        <f>CT178*VLOOKUP('Données projet'!$B$13,Paramètres!$A$1:$I$89,3,0)*VLOOKUP('Données projet'!$B$13,Paramètres!$A$1:$I$89,5,0)</f>
        <v>404.3847079999997</v>
      </c>
      <c r="CV178" s="13">
        <f t="shared" si="173"/>
        <v>92.665032661718087</v>
      </c>
      <c r="CW178" s="20">
        <f t="shared" si="174"/>
        <v>865.6949649858251</v>
      </c>
      <c r="CX178" s="59">
        <f t="shared" si="122"/>
        <v>1154.7409912672956</v>
      </c>
      <c r="CY178" s="59">
        <f ca="1">AVERAGE(OFFSET($CX$3,0,0,'Données projet'!$E$13+1,1))-AVERAGE(OFFSET($H$3,0,0,'Données projet'!$E$13+1,1))</f>
        <v>557.48193674339791</v>
      </c>
      <c r="CZ178" s="59">
        <f t="shared" si="150"/>
        <v>271.51396593253048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41.828129724568377</v>
      </c>
      <c r="DG178" s="21">
        <f>EXP(-LN(2)/25)*DG177+(1-EXP(-LN(2)/25))/(LN(2)/25)*Calculateur!DB178*Calculateur!DD178*VLOOKUP('Données projet'!$B$13,Paramètres!$A$1:$I$89,3,0)*0.475*44/12</f>
        <v>18.260243150883017</v>
      </c>
      <c r="DH178" s="21">
        <f>EXP(-LN(2)/2)*DH177+(1-EXP(-LN(2)/2))/(LN(2)/2)*DB178*DE178*VLOOKUP('Données projet'!$B$13,Paramètres!$A$1:$I$89,3,0)*0.475*44/12</f>
        <v>1.2157152053300624E-4</v>
      </c>
      <c r="DI178" s="22">
        <f t="shared" si="175"/>
        <v>60.088494446971929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7.688333333333337</v>
      </c>
      <c r="DO178" s="12">
        <f>IF('Données projet'!$A$166&gt;35,DO177+DN178-DW177,IF(A178&lt;'Données projet'!$A$166,$DL$205^A178,IF(A178='Données projet'!$A$166,'Données projet'!$B$166,DO177+DN178-DW177)))</f>
        <v>418.09833333333302</v>
      </c>
      <c r="DP178" s="17">
        <f>DO178*VLOOKUP('Données projet'!$B$14,Paramètres!$A$1:$I$89,3,0)*VLOOKUP('Données projet'!$B$14,Paramètres!$A$1:$I$89,5,0)</f>
        <v>450.04104599999965</v>
      </c>
      <c r="DQ178" s="13">
        <f t="shared" si="176"/>
        <v>101.85108102978322</v>
      </c>
      <c r="DR178" s="20">
        <f t="shared" si="177"/>
        <v>961.21212124353849</v>
      </c>
      <c r="DS178" s="59">
        <f t="shared" si="125"/>
        <v>1250.258147525009</v>
      </c>
      <c r="DT178" s="59">
        <f ca="1">AVERAGE(OFFSET($DS$3,0,0,'Données projet'!$E$14+1,1))-AVERAGE(OFFSET($H$3,0,0,'Données projet'!$E$14+1,1))</f>
        <v>610.05768948788375</v>
      </c>
      <c r="DU178" s="59">
        <f t="shared" si="152"/>
        <v>295.23928902444845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46.550660499922863</v>
      </c>
      <c r="EB178" s="21">
        <f>EXP(-LN(2)/25)*EB177+(1-EXP(-LN(2)/25))/(LN(2)/25)*Calculateur!DW178*Calculateur!DY178*VLOOKUP('Données projet'!$B$14,Paramètres!$A$1:$I$89,3,0)*0.475*44/12</f>
        <v>20.321883506627877</v>
      </c>
      <c r="EC178" s="21">
        <f>EXP(-LN(2)/2)*EC177+(1-EXP(-LN(2)/2))/(LN(2)/2)*DW178*DZ178*VLOOKUP('Données projet'!$B$14,Paramètres!$A$1:$I$89,3,0)*0.475*44/12</f>
        <v>1.3529733736737759E-4</v>
      </c>
      <c r="ED178" s="22">
        <f t="shared" si="178"/>
        <v>66.872679303888106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6.140000000000005</v>
      </c>
      <c r="N179" s="13">
        <f>IF('Données projet'!$A$36&gt;35,N178+M179-V178,IF(A179&lt;'Données projet'!$A$36,$K$205^A179,IF(A179='Données projet'!$A$36,'Données projet'!$B$36,N178+M179-V178)))</f>
        <v>382.80000000000086</v>
      </c>
      <c r="O179" s="13">
        <f>N179*VLOOKUP('Données projet'!$B$9,Paramètres!$A$1:$I$89,3,0)*VLOOKUP('Données projet'!$B$9,Paramètres!$A$1:$I$89,5,0)</f>
        <v>346.35744000000079</v>
      </c>
      <c r="P179" s="13">
        <f t="shared" si="141"/>
        <v>80.812014230904367</v>
      </c>
      <c r="Q179" s="20">
        <f t="shared" si="162"/>
        <v>743.98679945215974</v>
      </c>
      <c r="R179" s="59">
        <f t="shared" si="109"/>
        <v>1033.1072009259974</v>
      </c>
      <c r="S179" s="59">
        <f ca="1">AVERAGE(OFFSET($R$3,0,0,'Données projet'!$E$9+1,1))-AVERAGE(OFFSET($H$3,0,0,'Données projet'!$E$9+1,1))</f>
        <v>681.47578137804555</v>
      </c>
      <c r="T179" s="59">
        <f t="shared" si="142"/>
        <v>300.88511065995885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90.861891328544985</v>
      </c>
      <c r="AA179" s="21">
        <f>EXP(-LN(2)/25)*AA178+(1-EXP(-LN(2)/25))/(LN(2)/25)*Calculateur!V179*Calculateur!X179*VLOOKUP('Données projet'!$B$9,Paramètres!$A$1:$I$89,3,0)*0.475*44/12</f>
        <v>21.359826623438803</v>
      </c>
      <c r="AB179" s="21">
        <f>EXP(-LN(2)/2)*AB178+(1-EXP(-LN(2)/2))/(LN(2)/2)*V179*Y179*VLOOKUP('Données projet'!$B$9,Paramètres!$A$1:$I$89,3,0)*0.475*44/12</f>
        <v>5.122218990094769</v>
      </c>
      <c r="AC179" s="22">
        <f t="shared" si="163"/>
        <v>117.34393694207856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-8.8675733422860506E-14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217.53602321474159</v>
      </c>
      <c r="AO179" s="59">
        <f t="shared" si="144"/>
        <v>215.75909414893025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3.3115995525747022</v>
      </c>
      <c r="AV179" s="21">
        <f>EXP(-LN(2)/25)*AV178+(1-EXP(-LN(2)/25))/(LN(2)/25)*Calculateur!AQ179*Calculateur!AS179*VLOOKUP('Données projet'!$B$10,Paramètres!$A$1:$I$89,3,0)*0.475*44/12</f>
        <v>1.3969100778745858</v>
      </c>
      <c r="AW179" s="21">
        <f>EXP(-LN(2)/2)*AW178+(1-EXP(-LN(2)/2))/(LN(2)/2)*AQ179*AT179*VLOOKUP('Données projet'!$B$10,Paramètres!$A$1:$I$89,3,0)*0.475*44/12</f>
        <v>3.0574542120977062E-15</v>
      </c>
      <c r="AX179" s="21">
        <f t="shared" si="166"/>
        <v>4.7085096304492904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-1.7053025658242404E-13</v>
      </c>
      <c r="BE179" s="13">
        <f>BD179*VLOOKUP('Données projet'!$B$11,Paramètres!$A$1:$I$89,3,0)*VLOOKUP('Données projet'!$B$11,Paramètres!$A$1:$I$89,5,0)</f>
        <v>-1.1439169611549005E-13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281.67293577289729</v>
      </c>
      <c r="BJ179" s="59">
        <f t="shared" si="146"/>
        <v>272.44904846480154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5.1167103460532406</v>
      </c>
      <c r="BQ179" s="21">
        <f>EXP(-LN(2)/25)*BQ178+(1-EXP(-LN(2)/25))/(LN(2)/25)*Calculateur!BL179*Calculateur!BN179*VLOOKUP('Données projet'!$B$11,Paramètres!$A$1:$I$89,3,0)*0.475*44/12</f>
        <v>2.4941369966973723</v>
      </c>
      <c r="BR179" s="21">
        <f>EXP(-LN(2)/2)*BR178+(1-EXP(-LN(2)/2))/(LN(2)/2)*BL179*BO179*VLOOKUP('Données projet'!$B$11,Paramètres!$A$1:$I$89,3,0)*0.475*44/12</f>
        <v>1.5570201558743097E-13</v>
      </c>
      <c r="BS179" s="22">
        <f t="shared" si="169"/>
        <v>7.6108473427507688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-1.7053025658242404E-13</v>
      </c>
      <c r="BZ179" s="13">
        <f>BY179*VLOOKUP('Données projet'!$B$12,Paramètres!$A$1:$I$89,3,0)*VLOOKUP('Données projet'!$B$12,Paramètres!$A$1:$I$89,5,0)</f>
        <v>-1.4897523215040567E-13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348.77506423101278</v>
      </c>
      <c r="CE179" s="59">
        <f t="shared" si="148"/>
        <v>336.13747591329548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6.6636227762553801</v>
      </c>
      <c r="CL179" s="21">
        <f>EXP(-LN(2)/25)*CL178+(1-EXP(-LN(2)/25))/(LN(2)/25)*Calculateur!CG179*Calculateur!CI179*VLOOKUP('Données projet'!$B$12,Paramètres!$A$1:$I$89,3,0)*0.475*44/12</f>
        <v>3.2481784143035513</v>
      </c>
      <c r="CM179" s="21">
        <f>EXP(-LN(2)/2)*CM178+(1-EXP(-LN(2)/2))/(LN(2)/2)*CG179*CJ179*VLOOKUP('Données projet'!$B$12,Paramètres!$A$1:$I$89,3,0)*0.475*44/12</f>
        <v>2.02774717974329E-13</v>
      </c>
      <c r="CN179" s="22">
        <f t="shared" si="172"/>
        <v>9.9118011905591334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7.688333333333337</v>
      </c>
      <c r="CT179" s="12">
        <f>IF('Données projet'!$A$140&gt;35,CT178+CS179-DB178,IF(A179&lt;'Données projet'!$A$140,$CQ$205^A179,IF(A179='Données projet'!$A$140,'Données projet'!$B$140,CT178+CS179-DB178)))</f>
        <v>425.78666666666635</v>
      </c>
      <c r="CU179" s="17">
        <f>CT179*VLOOKUP('Données projet'!$B$13,Paramètres!$A$1:$I$89,3,0)*VLOOKUP('Données projet'!$B$13,Paramètres!$A$1:$I$89,5,0)</f>
        <v>411.82086399999974</v>
      </c>
      <c r="CV179" s="13">
        <f t="shared" si="173"/>
        <v>94.169086797374149</v>
      </c>
      <c r="CW179" s="20">
        <f t="shared" si="174"/>
        <v>881.26583097209289</v>
      </c>
      <c r="CX179" s="59">
        <f t="shared" si="122"/>
        <v>1170.3862324459305</v>
      </c>
      <c r="CY179" s="59">
        <f ca="1">AVERAGE(OFFSET($CX$3,0,0,'Données projet'!$E$13+1,1))-AVERAGE(OFFSET($H$3,0,0,'Données projet'!$E$13+1,1))</f>
        <v>557.48193674339791</v>
      </c>
      <c r="CZ179" s="59">
        <f t="shared" si="150"/>
        <v>271.51396593253048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41.007905613309561</v>
      </c>
      <c r="DG179" s="21">
        <f>EXP(-LN(2)/25)*DG178+(1-EXP(-LN(2)/25))/(LN(2)/25)*Calculateur!DB179*Calculateur!DD179*VLOOKUP('Données projet'!$B$13,Paramètres!$A$1:$I$89,3,0)*0.475*44/12</f>
        <v>17.760915841657667</v>
      </c>
      <c r="DH179" s="21">
        <f>EXP(-LN(2)/2)*DH178+(1-EXP(-LN(2)/2))/(LN(2)/2)*DB179*DE179*VLOOKUP('Données projet'!$B$13,Paramètres!$A$1:$I$89,3,0)*0.475*44/12</f>
        <v>8.5964046568048319E-5</v>
      </c>
      <c r="DI179" s="22">
        <f t="shared" si="175"/>
        <v>58.768907419013793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7.688333333333337</v>
      </c>
      <c r="DO179" s="12">
        <f>IF('Données projet'!$A$166&gt;35,DO178+DN179-DW178,IF(A179&lt;'Données projet'!$A$166,$DL$205^A179,IF(A179='Données projet'!$A$166,'Données projet'!$B$166,DO178+DN179-DW178)))</f>
        <v>425.78666666666635</v>
      </c>
      <c r="DP179" s="17">
        <f>DO179*VLOOKUP('Données projet'!$B$14,Paramètres!$A$1:$I$89,3,0)*VLOOKUP('Données projet'!$B$14,Paramètres!$A$1:$I$89,5,0)</f>
        <v>458.31676799999968</v>
      </c>
      <c r="DQ179" s="13">
        <f t="shared" si="176"/>
        <v>103.50423470861608</v>
      </c>
      <c r="DR179" s="20">
        <f t="shared" si="177"/>
        <v>978.50491305083915</v>
      </c>
      <c r="DS179" s="59">
        <f t="shared" si="125"/>
        <v>1267.6253145246767</v>
      </c>
      <c r="DT179" s="59">
        <f ca="1">AVERAGE(OFFSET($DS$3,0,0,'Données projet'!$E$14+1,1))-AVERAGE(OFFSET($H$3,0,0,'Données projet'!$E$14+1,1))</f>
        <v>610.05768948788375</v>
      </c>
      <c r="DU179" s="59">
        <f t="shared" si="152"/>
        <v>295.23928902444845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45.637830440618693</v>
      </c>
      <c r="EB179" s="21">
        <f>EXP(-LN(2)/25)*EB178+(1-EXP(-LN(2)/25))/(LN(2)/25)*Calculateur!DW179*Calculateur!DY179*VLOOKUP('Données projet'!$B$14,Paramètres!$A$1:$I$89,3,0)*0.475*44/12</f>
        <v>19.766180533457732</v>
      </c>
      <c r="EC179" s="21">
        <f>EXP(-LN(2)/2)*EC178+(1-EXP(-LN(2)/2))/(LN(2)/2)*DW179*DZ179*VLOOKUP('Données projet'!$B$14,Paramètres!$A$1:$I$89,3,0)*0.475*44/12</f>
        <v>9.5669664728956769E-5</v>
      </c>
      <c r="ED179" s="22">
        <f t="shared" si="178"/>
        <v>65.404106643741159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388.94</v>
      </c>
      <c r="L180" s="12">
        <f>VLOOKUP(A180,'Données projet'!$A$35:$I$55,9,0)</f>
        <v>6.140000000000005</v>
      </c>
      <c r="M180" s="12">
        <f t="array" ref="M180">INDEX(L:L,MIN(IF(ISNUMBER(L180:L376),ROW(L180:L376),"")))</f>
        <v>6.140000000000005</v>
      </c>
      <c r="N180" s="13">
        <f>IF('Données projet'!$A$36&gt;35,N179+M180-V179,IF(A180&lt;'Données projet'!$A$36,$K$205^A180,IF(A180='Données projet'!$A$36,'Données projet'!$B$36,N179+M180-V179)))</f>
        <v>388.94000000000085</v>
      </c>
      <c r="O180" s="13">
        <f>N180*VLOOKUP('Données projet'!$B$9,Paramètres!$A$1:$I$89,3,0)*VLOOKUP('Données projet'!$B$9,Paramètres!$A$1:$I$89,5,0)</f>
        <v>351.91291200000074</v>
      </c>
      <c r="P180" s="13">
        <f t="shared" si="141"/>
        <v>81.956274647572329</v>
      </c>
      <c r="Q180" s="20">
        <f t="shared" si="162"/>
        <v>755.65550007785635</v>
      </c>
      <c r="R180" s="59">
        <f t="shared" si="109"/>
        <v>1044.8489865007516</v>
      </c>
      <c r="S180" s="59">
        <f ca="1">AVERAGE(OFFSET($R$3,0,0,'Données projet'!$E$9+1,1))-AVERAGE(OFFSET($H$3,0,0,'Données projet'!$E$9+1,1))</f>
        <v>681.47578137804555</v>
      </c>
      <c r="T180" s="59">
        <f t="shared" si="142"/>
        <v>300.88511065995885</v>
      </c>
      <c r="U180" s="15">
        <f>IF(ISNA(VLOOKUP(A180,'Données projet'!$A$35:$I$55,3,0)),0,VLOOKUP(A180,'Données projet'!$A$35:$I$55,3,0))</f>
        <v>16</v>
      </c>
      <c r="V180" s="15">
        <f>IF(ISNA(VLOOKUP(A180,'Données projet'!$A$35:$I$55,4,0)),0,VLOOKUP(A180,'Données projet'!$A$35:$I$55,4,0))</f>
        <v>128.66000000000003</v>
      </c>
      <c r="W180" s="16">
        <f>IF(ISNA(VLOOKUP(A180,'Données projet'!$A$35:$I$55,5,0)),0%,VLOOKUP(A180,'Données projet'!$A$35:$I$55,5,0)*VLOOKUP('Données projet'!$B$9,Paramètres!$A$1:$I$89,7,0))</f>
        <v>0.19350000000000001</v>
      </c>
      <c r="X180" s="16">
        <f>IF(ISNA(VLOOKUP(A180,'Données projet'!$A$35:$I$55,6,0)),0%,VLOOKUP(A180,'Données projet'!$A$35:$I$55,6,0)*VLOOKUP('Données projet'!$B$9,Paramètres!$A$1:$I$89,7,0))</f>
        <v>2.1500000000000002E-2</v>
      </c>
      <c r="Y180" s="16">
        <f>IF(ISNA(VLOOKUP(A180,'Données projet'!$A$35:$I$55,7,0)),0%,VLOOKUP(A180,'Données projet'!$A$35:$I$55,7,0))</f>
        <v>0.05</v>
      </c>
      <c r="Z180" s="21">
        <f>EXP(-LN(2)/35)*Z179+(1-EXP(-LN(2)/35))/(LN(2)/35)*V180*W180*VLOOKUP('Données projet'!$B$9,Paramètres!$A$1:$I$89,3,0)*0.475*44/12</f>
        <v>113.98157109998739</v>
      </c>
      <c r="AA180" s="21">
        <f>EXP(-LN(2)/25)*AA179+(1-EXP(-LN(2)/25))/(LN(2)/25)*Calculateur!V180*Calculateur!X180*VLOOKUP('Données projet'!$B$9,Paramètres!$A$1:$I$89,3,0)*0.475*44/12</f>
        <v>23.531672112001587</v>
      </c>
      <c r="AB180" s="21">
        <f>EXP(-LN(2)/2)*AB179+(1-EXP(-LN(2)/2))/(LN(2)/2)*V180*Y180*VLOOKUP('Données projet'!$B$9,Paramètres!$A$1:$I$89,3,0)*0.475*44/12</f>
        <v>9.1138281615892875</v>
      </c>
      <c r="AC180" s="22">
        <f t="shared" si="163"/>
        <v>146.62707137357827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-8.8675733422860506E-14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217.53602321474159</v>
      </c>
      <c r="AO180" s="59">
        <f t="shared" si="144"/>
        <v>215.75909414893025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3.2466611052249932</v>
      </c>
      <c r="AV180" s="21">
        <f>EXP(-LN(2)/25)*AV179+(1-EXP(-LN(2)/25))/(LN(2)/25)*Calculateur!AQ180*Calculateur!AS180*VLOOKUP('Données projet'!$B$10,Paramètres!$A$1:$I$89,3,0)*0.475*44/12</f>
        <v>1.358711498334797</v>
      </c>
      <c r="AW180" s="21">
        <f>EXP(-LN(2)/2)*AW179+(1-EXP(-LN(2)/2))/(LN(2)/2)*AQ180*AT180*VLOOKUP('Données projet'!$B$10,Paramètres!$A$1:$I$89,3,0)*0.475*44/12</f>
        <v>2.1619466065416608E-15</v>
      </c>
      <c r="AX180" s="21">
        <f t="shared" si="166"/>
        <v>4.6053726035597915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-1.7053025658242404E-13</v>
      </c>
      <c r="BE180" s="13">
        <f>BD180*VLOOKUP('Données projet'!$B$11,Paramètres!$A$1:$I$89,3,0)*VLOOKUP('Données projet'!$B$11,Paramètres!$A$1:$I$89,5,0)</f>
        <v>-1.1439169611549005E-13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281.67293577289729</v>
      </c>
      <c r="BJ180" s="59">
        <f t="shared" si="146"/>
        <v>272.44904846480154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5.0163747770522855</v>
      </c>
      <c r="BQ180" s="21">
        <f>EXP(-LN(2)/25)*BQ179+(1-EXP(-LN(2)/25))/(LN(2)/25)*Calculateur!BL180*Calculateur!BN180*VLOOKUP('Données projet'!$B$11,Paramètres!$A$1:$I$89,3,0)*0.475*44/12</f>
        <v>2.4259346893617186</v>
      </c>
      <c r="BR180" s="21">
        <f>EXP(-LN(2)/2)*BR179+(1-EXP(-LN(2)/2))/(LN(2)/2)*BL180*BO180*VLOOKUP('Données projet'!$B$11,Paramètres!$A$1:$I$89,3,0)*0.475*44/12</f>
        <v>1.1009795106628596E-13</v>
      </c>
      <c r="BS180" s="22">
        <f t="shared" si="169"/>
        <v>7.4423094664141143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-1.7053025658242404E-13</v>
      </c>
      <c r="BZ180" s="13">
        <f>BY180*VLOOKUP('Données projet'!$B$12,Paramètres!$A$1:$I$89,3,0)*VLOOKUP('Données projet'!$B$12,Paramètres!$A$1:$I$89,5,0)</f>
        <v>-1.4897523215040567E-13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348.77506423101278</v>
      </c>
      <c r="CE180" s="59">
        <f t="shared" si="148"/>
        <v>336.13747591329548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6.5329531980215787</v>
      </c>
      <c r="CL180" s="21">
        <f>EXP(-LN(2)/25)*CL179+(1-EXP(-LN(2)/25))/(LN(2)/25)*Calculateur!CG180*Calculateur!CI180*VLOOKUP('Données projet'!$B$12,Paramètres!$A$1:$I$89,3,0)*0.475*44/12</f>
        <v>3.1593568047501415</v>
      </c>
      <c r="CM180" s="21">
        <f>EXP(-LN(2)/2)*CM179+(1-EXP(-LN(2)/2))/(LN(2)/2)*CG180*CJ180*VLOOKUP('Données projet'!$B$12,Paramètres!$A$1:$I$89,3,0)*0.475*44/12</f>
        <v>1.4338337813283774E-13</v>
      </c>
      <c r="CN180" s="22">
        <f t="shared" si="172"/>
        <v>9.6923100027718636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7.688333333333337</v>
      </c>
      <c r="CT180" s="12">
        <f>IF('Données projet'!$A$140&gt;35,CT179+CS180-DB179,IF(A180&lt;'Données projet'!$A$140,$CQ$205^A180,IF(A180='Données projet'!$A$140,'Données projet'!$B$140,CT179+CS180-DB179)))</f>
        <v>433.47499999999968</v>
      </c>
      <c r="CU180" s="17">
        <f>CT180*VLOOKUP('Données projet'!$B$13,Paramètres!$A$1:$I$89,3,0)*VLOOKUP('Données projet'!$B$13,Paramètres!$A$1:$I$89,5,0)</f>
        <v>419.25701999999967</v>
      </c>
      <c r="CV180" s="13">
        <f t="shared" si="173"/>
        <v>95.669982837789078</v>
      </c>
      <c r="CW180" s="20">
        <f t="shared" si="174"/>
        <v>896.83119660914872</v>
      </c>
      <c r="CX180" s="59">
        <f t="shared" si="122"/>
        <v>1186.0246830320439</v>
      </c>
      <c r="CY180" s="59">
        <f ca="1">AVERAGE(OFFSET($CX$3,0,0,'Données projet'!$E$13+1,1))-AVERAGE(OFFSET($H$3,0,0,'Données projet'!$E$13+1,1))</f>
        <v>557.48193674339791</v>
      </c>
      <c r="CZ180" s="59">
        <f t="shared" si="150"/>
        <v>271.51396593253048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40.203765596585221</v>
      </c>
      <c r="DG180" s="21">
        <f>EXP(-LN(2)/25)*DG179+(1-EXP(-LN(2)/25))/(LN(2)/25)*Calculateur!DB180*Calculateur!DD180*VLOOKUP('Données projet'!$B$13,Paramètres!$A$1:$I$89,3,0)*0.475*44/12</f>
        <v>17.275242663961567</v>
      </c>
      <c r="DH180" s="21">
        <f>EXP(-LN(2)/2)*DH179+(1-EXP(-LN(2)/2))/(LN(2)/2)*DB180*DE180*VLOOKUP('Données projet'!$B$13,Paramètres!$A$1:$I$89,3,0)*0.475*44/12</f>
        <v>6.0785760266503129E-5</v>
      </c>
      <c r="DI180" s="22">
        <f t="shared" si="175"/>
        <v>57.47906904630706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7.688333333333337</v>
      </c>
      <c r="DO180" s="12">
        <f>IF('Données projet'!$A$166&gt;35,DO179+DN180-DW179,IF(A180&lt;'Données projet'!$A$166,$DL$205^A180,IF(A180='Données projet'!$A$166,'Données projet'!$B$166,DO179+DN180-DW179)))</f>
        <v>433.47499999999968</v>
      </c>
      <c r="DP180" s="17">
        <f>DO180*VLOOKUP('Données projet'!$B$14,Paramètres!$A$1:$I$89,3,0)*VLOOKUP('Données projet'!$B$14,Paramètres!$A$1:$I$89,5,0)</f>
        <v>466.5924899999996</v>
      </c>
      <c r="DQ180" s="13">
        <f t="shared" si="176"/>
        <v>105.1539172246481</v>
      </c>
      <c r="DR180" s="20">
        <f t="shared" si="177"/>
        <v>995.79165924959455</v>
      </c>
      <c r="DS180" s="59">
        <f t="shared" si="125"/>
        <v>1284.9851456724898</v>
      </c>
      <c r="DT180" s="59">
        <f ca="1">AVERAGE(OFFSET($DS$3,0,0,'Données projet'!$E$14+1,1))-AVERAGE(OFFSET($H$3,0,0,'Données projet'!$E$14+1,1))</f>
        <v>610.05768948788375</v>
      </c>
      <c r="DU180" s="59">
        <f t="shared" si="152"/>
        <v>295.23928902444845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44.742900422006123</v>
      </c>
      <c r="EB180" s="21">
        <f>EXP(-LN(2)/25)*EB179+(1-EXP(-LN(2)/25))/(LN(2)/25)*Calculateur!DW180*Calculateur!DY180*VLOOKUP('Données projet'!$B$14,Paramètres!$A$1:$I$89,3,0)*0.475*44/12</f>
        <v>19.225673287312073</v>
      </c>
      <c r="EC180" s="21">
        <f>EXP(-LN(2)/2)*EC179+(1-EXP(-LN(2)/2))/(LN(2)/2)*DW180*DZ180*VLOOKUP('Données projet'!$B$14,Paramètres!$A$1:$I$89,3,0)*0.475*44/12</f>
        <v>6.7648668683688797E-5</v>
      </c>
      <c r="ED180" s="22">
        <f t="shared" si="178"/>
        <v>63.968641357986876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3.76000000000001</v>
      </c>
      <c r="N181" s="13">
        <f>IF('Données projet'!$A$36&gt;35,N180+M181-V180,IF(A181&lt;'Données projet'!$A$36,$K$205^A181,IF(A181='Données projet'!$A$36,'Données projet'!$B$36,N180+M181-V180)))</f>
        <v>264.04000000000082</v>
      </c>
      <c r="O181" s="13">
        <f>N181*VLOOKUP('Données projet'!$B$9,Paramètres!$A$1:$I$89,3,0)*VLOOKUP('Données projet'!$B$9,Paramètres!$A$1:$I$89,5,0)</f>
        <v>238.90339200000074</v>
      </c>
      <c r="P181" s="13">
        <f t="shared" si="141"/>
        <v>58.203527078995975</v>
      </c>
      <c r="Q181" s="20">
        <f t="shared" si="162"/>
        <v>517.46121739591933</v>
      </c>
      <c r="R181" s="59">
        <f t="shared" si="109"/>
        <v>806.7265209073995</v>
      </c>
      <c r="S181" s="59">
        <f ca="1">AVERAGE(OFFSET($R$3,0,0,'Données projet'!$E$9+1,1))-AVERAGE(OFFSET($H$3,0,0,'Données projet'!$E$9+1,1))</f>
        <v>681.47578137804555</v>
      </c>
      <c r="T181" s="59">
        <f t="shared" si="142"/>
        <v>300.88511065995885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111.74646201261029</v>
      </c>
      <c r="AA181" s="21">
        <f>EXP(-LN(2)/25)*AA180+(1-EXP(-LN(2)/25))/(LN(2)/25)*Calculateur!V181*Calculateur!X181*VLOOKUP('Données projet'!$B$9,Paramètres!$A$1:$I$89,3,0)*0.475*44/12</f>
        <v>22.88819730062205</v>
      </c>
      <c r="AB181" s="21">
        <f>EXP(-LN(2)/2)*AB180+(1-EXP(-LN(2)/2))/(LN(2)/2)*V181*Y181*VLOOKUP('Données projet'!$B$9,Paramètres!$A$1:$I$89,3,0)*0.475*44/12</f>
        <v>6.4444496956287116</v>
      </c>
      <c r="AC181" s="22">
        <f t="shared" si="163"/>
        <v>141.07910900886105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-8.8675733422860506E-14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217.53602321474159</v>
      </c>
      <c r="AO181" s="59">
        <f t="shared" si="144"/>
        <v>215.75909414893025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3.1829960612192703</v>
      </c>
      <c r="AV181" s="21">
        <f>EXP(-LN(2)/25)*AV180+(1-EXP(-LN(2)/25))/(LN(2)/25)*Calculateur!AQ181*Calculateur!AS181*VLOOKUP('Données projet'!$B$10,Paramètres!$A$1:$I$89,3,0)*0.475*44/12</f>
        <v>1.3215574609612997</v>
      </c>
      <c r="AW181" s="21">
        <f>EXP(-LN(2)/2)*AW180+(1-EXP(-LN(2)/2))/(LN(2)/2)*AQ181*AT181*VLOOKUP('Données projet'!$B$10,Paramètres!$A$1:$I$89,3,0)*0.475*44/12</f>
        <v>1.5287271060488531E-15</v>
      </c>
      <c r="AX181" s="21">
        <f t="shared" si="166"/>
        <v>4.5045535221805721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-1.7053025658242404E-13</v>
      </c>
      <c r="BE181" s="13">
        <f>BD181*VLOOKUP('Données projet'!$B$11,Paramètres!$A$1:$I$89,3,0)*VLOOKUP('Données projet'!$B$11,Paramètres!$A$1:$I$89,5,0)</f>
        <v>-1.1439169611549005E-13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281.67293577289729</v>
      </c>
      <c r="BJ181" s="59">
        <f t="shared" si="146"/>
        <v>272.44904846480154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4.918006727360785</v>
      </c>
      <c r="BQ181" s="21">
        <f>EXP(-LN(2)/25)*BQ180+(1-EXP(-LN(2)/25))/(LN(2)/25)*Calculateur!BL181*Calculateur!BN181*VLOOKUP('Données projet'!$B$11,Paramètres!$A$1:$I$89,3,0)*0.475*44/12</f>
        <v>2.3595973777067618</v>
      </c>
      <c r="BR181" s="21">
        <f>EXP(-LN(2)/2)*BR180+(1-EXP(-LN(2)/2))/(LN(2)/2)*BL181*BO181*VLOOKUP('Données projet'!$B$11,Paramètres!$A$1:$I$89,3,0)*0.475*44/12</f>
        <v>7.7851007793715485E-14</v>
      </c>
      <c r="BS181" s="22">
        <f t="shared" si="169"/>
        <v>7.277604105067625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-1.7053025658242404E-13</v>
      </c>
      <c r="BZ181" s="13">
        <f>BY181*VLOOKUP('Données projet'!$B$12,Paramètres!$A$1:$I$89,3,0)*VLOOKUP('Données projet'!$B$12,Paramètres!$A$1:$I$89,5,0)</f>
        <v>-1.4897523215040567E-13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348.77506423101278</v>
      </c>
      <c r="CE181" s="59">
        <f t="shared" si="148"/>
        <v>336.13747591329548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6.4048459705163694</v>
      </c>
      <c r="CL181" s="21">
        <f>EXP(-LN(2)/25)*CL180+(1-EXP(-LN(2)/25))/(LN(2)/25)*Calculateur!CG181*Calculateur!CI181*VLOOKUP('Données projet'!$B$12,Paramètres!$A$1:$I$89,3,0)*0.475*44/12</f>
        <v>3.0729640267808951</v>
      </c>
      <c r="CM181" s="21">
        <f>EXP(-LN(2)/2)*CM180+(1-EXP(-LN(2)/2))/(LN(2)/2)*CG181*CJ181*VLOOKUP('Données projet'!$B$12,Paramètres!$A$1:$I$89,3,0)*0.475*44/12</f>
        <v>1.013873589871645E-13</v>
      </c>
      <c r="CN181" s="22">
        <f t="shared" si="172"/>
        <v>9.4778099972973653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7.688333333333337</v>
      </c>
      <c r="CT181" s="12">
        <f>IF('Données projet'!$A$140&gt;35,CT180+CS181-DB180,IF(A181&lt;'Données projet'!$A$140,$CQ$205^A181,IF(A181='Données projet'!$A$140,'Données projet'!$B$140,CT180+CS181-DB180)))</f>
        <v>441.16333333333301</v>
      </c>
      <c r="CU181" s="17">
        <f>CT181*VLOOKUP('Données projet'!$B$13,Paramètres!$A$1:$I$89,3,0)*VLOOKUP('Données projet'!$B$13,Paramètres!$A$1:$I$89,5,0)</f>
        <v>426.69317599999971</v>
      </c>
      <c r="CV181" s="13">
        <f t="shared" si="173"/>
        <v>97.167783258626656</v>
      </c>
      <c r="CW181" s="20">
        <f t="shared" si="174"/>
        <v>912.39117070877421</v>
      </c>
      <c r="CX181" s="59">
        <f t="shared" si="122"/>
        <v>1201.6564742202545</v>
      </c>
      <c r="CY181" s="59">
        <f ca="1">AVERAGE(OFFSET($CX$3,0,0,'Données projet'!$E$13+1,1))-AVERAGE(OFFSET($H$3,0,0,'Données projet'!$E$13+1,1))</f>
        <v>557.48193674339791</v>
      </c>
      <c r="CZ181" s="59">
        <f t="shared" si="150"/>
        <v>271.51396593253048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39.415394275111865</v>
      </c>
      <c r="DG181" s="21">
        <f>EXP(-LN(2)/25)*DG180+(1-EXP(-LN(2)/25))/(LN(2)/25)*Calculateur!DB181*Calculateur!DD181*VLOOKUP('Données projet'!$B$13,Paramètres!$A$1:$I$89,3,0)*0.475*44/12</f>
        <v>16.80285024485001</v>
      </c>
      <c r="DH181" s="21">
        <f>EXP(-LN(2)/2)*DH180+(1-EXP(-LN(2)/2))/(LN(2)/2)*DB181*DE181*VLOOKUP('Données projet'!$B$13,Paramètres!$A$1:$I$89,3,0)*0.475*44/12</f>
        <v>4.2982023284024166E-5</v>
      </c>
      <c r="DI181" s="22">
        <f t="shared" si="175"/>
        <v>56.218287501985152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7.688333333333337</v>
      </c>
      <c r="DO181" s="12">
        <f>IF('Données projet'!$A$166&gt;35,DO180+DN181-DW180,IF(A181&lt;'Données projet'!$A$166,$DL$205^A181,IF(A181='Données projet'!$A$166,'Données projet'!$B$166,DO180+DN181-DW180)))</f>
        <v>441.16333333333301</v>
      </c>
      <c r="DP181" s="17">
        <f>DO181*VLOOKUP('Données projet'!$B$14,Paramètres!$A$1:$I$89,3,0)*VLOOKUP('Données projet'!$B$14,Paramètres!$A$1:$I$89,5,0)</f>
        <v>474.86821199999963</v>
      </c>
      <c r="DQ181" s="13">
        <f t="shared" si="176"/>
        <v>106.80019724686628</v>
      </c>
      <c r="DR181" s="20">
        <f t="shared" si="177"/>
        <v>1013.0724794382913</v>
      </c>
      <c r="DS181" s="59">
        <f t="shared" si="125"/>
        <v>1302.3377829497715</v>
      </c>
      <c r="DT181" s="59">
        <f ca="1">AVERAGE(OFFSET($DS$3,0,0,'Données projet'!$E$14+1,1))-AVERAGE(OFFSET($H$3,0,0,'Données projet'!$E$14+1,1))</f>
        <v>610.05768948788375</v>
      </c>
      <c r="DU181" s="59">
        <f t="shared" si="152"/>
        <v>295.23928902444845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43.86551943520513</v>
      </c>
      <c r="EB181" s="21">
        <f>EXP(-LN(2)/25)*EB180+(1-EXP(-LN(2)/25))/(LN(2)/25)*Calculateur!DW181*Calculateur!DY181*VLOOKUP('Données projet'!$B$14,Paramètres!$A$1:$I$89,3,0)*0.475*44/12</f>
        <v>18.699946240236308</v>
      </c>
      <c r="EC181" s="21">
        <f>EXP(-LN(2)/2)*EC180+(1-EXP(-LN(2)/2))/(LN(2)/2)*DW181*DZ181*VLOOKUP('Données projet'!$B$14,Paramètres!$A$1:$I$89,3,0)*0.475*44/12</f>
        <v>4.7834832364478385E-5</v>
      </c>
      <c r="ED181" s="22">
        <f t="shared" si="178"/>
        <v>62.565513510273803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3.76000000000001</v>
      </c>
      <c r="N182" s="13">
        <f>IF('Données projet'!$A$36&gt;35,N181+M182-V181,IF(A182&lt;'Données projet'!$A$36,$K$205^A182,IF(A182='Données projet'!$A$36,'Données projet'!$B$36,N181+M182-V181)))</f>
        <v>267.80000000000081</v>
      </c>
      <c r="O182" s="13">
        <f>N182*VLOOKUP('Données projet'!$B$9,Paramètres!$A$1:$I$89,3,0)*VLOOKUP('Données projet'!$B$9,Paramètres!$A$1:$I$89,5,0)</f>
        <v>242.30544000000074</v>
      </c>
      <c r="P182" s="13">
        <f t="shared" si="141"/>
        <v>58.935280802002858</v>
      </c>
      <c r="Q182" s="20">
        <f t="shared" si="162"/>
        <v>524.66092206348958</v>
      </c>
      <c r="R182" s="59">
        <f t="shared" si="109"/>
        <v>813.99679679762676</v>
      </c>
      <c r="S182" s="59">
        <f ca="1">AVERAGE(OFFSET($R$3,0,0,'Données projet'!$E$9+1,1))-AVERAGE(OFFSET($H$3,0,0,'Données projet'!$E$9+1,1))</f>
        <v>681.47578137804555</v>
      </c>
      <c r="T182" s="59">
        <f t="shared" si="142"/>
        <v>300.88511065995885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109.55518205115473</v>
      </c>
      <c r="AA182" s="21">
        <f>EXP(-LN(2)/25)*AA181+(1-EXP(-LN(2)/25))/(LN(2)/25)*Calculateur!V182*Calculateur!X182*VLOOKUP('Données projet'!$B$9,Paramètres!$A$1:$I$89,3,0)*0.475*44/12</f>
        <v>22.262318341798554</v>
      </c>
      <c r="AB182" s="21">
        <f>EXP(-LN(2)/2)*AB181+(1-EXP(-LN(2)/2))/(LN(2)/2)*V182*Y182*VLOOKUP('Données projet'!$B$9,Paramètres!$A$1:$I$89,3,0)*0.475*44/12</f>
        <v>4.5569140807946447</v>
      </c>
      <c r="AC182" s="22">
        <f t="shared" si="163"/>
        <v>136.37441447374795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-8.8675733422860506E-14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217.53602321474159</v>
      </c>
      <c r="AO182" s="59">
        <f t="shared" si="144"/>
        <v>215.75909414893025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3.1205794498946569</v>
      </c>
      <c r="AV182" s="21">
        <f>EXP(-LN(2)/25)*AV181+(1-EXP(-LN(2)/25))/(LN(2)/25)*Calculateur!AQ182*Calculateur!AS182*VLOOKUP('Données projet'!$B$10,Paramètres!$A$1:$I$89,3,0)*0.475*44/12</f>
        <v>1.2854194026936265</v>
      </c>
      <c r="AW182" s="21">
        <f>EXP(-LN(2)/2)*AW181+(1-EXP(-LN(2)/2))/(LN(2)/2)*AQ182*AT182*VLOOKUP('Données projet'!$B$10,Paramètres!$A$1:$I$89,3,0)*0.475*44/12</f>
        <v>1.0809733032708304E-15</v>
      </c>
      <c r="AX182" s="21">
        <f t="shared" si="166"/>
        <v>4.4059988525882838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-1.7053025658242404E-13</v>
      </c>
      <c r="BE182" s="13">
        <f>BD182*VLOOKUP('Données projet'!$B$11,Paramètres!$A$1:$I$89,3,0)*VLOOKUP('Données projet'!$B$11,Paramètres!$A$1:$I$89,5,0)</f>
        <v>-1.1439169611549005E-13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281.67293577289729</v>
      </c>
      <c r="BJ182" s="59">
        <f t="shared" si="146"/>
        <v>272.44904846480154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4.821567615125149</v>
      </c>
      <c r="BQ182" s="21">
        <f>EXP(-LN(2)/25)*BQ181+(1-EXP(-LN(2)/25))/(LN(2)/25)*Calculateur!BL182*Calculateur!BN182*VLOOKUP('Données projet'!$B$11,Paramètres!$A$1:$I$89,3,0)*0.475*44/12</f>
        <v>2.2950740633275371</v>
      </c>
      <c r="BR182" s="21">
        <f>EXP(-LN(2)/2)*BR181+(1-EXP(-LN(2)/2))/(LN(2)/2)*BL182*BO182*VLOOKUP('Données projet'!$B$11,Paramètres!$A$1:$I$89,3,0)*0.475*44/12</f>
        <v>5.5048975533142982E-14</v>
      </c>
      <c r="BS182" s="22">
        <f t="shared" si="169"/>
        <v>7.1166416784527406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-1.7053025658242404E-13</v>
      </c>
      <c r="BZ182" s="13">
        <f>BY182*VLOOKUP('Données projet'!$B$12,Paramètres!$A$1:$I$89,3,0)*VLOOKUP('Données projet'!$B$12,Paramètres!$A$1:$I$89,5,0)</f>
        <v>-1.4897523215040567E-13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348.77506423101278</v>
      </c>
      <c r="CE182" s="59">
        <f t="shared" si="148"/>
        <v>336.13747591329548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6.2792508476048434</v>
      </c>
      <c r="CL182" s="21">
        <f>EXP(-LN(2)/25)*CL181+(1-EXP(-LN(2)/25))/(LN(2)/25)*Calculateur!CG182*Calculateur!CI182*VLOOKUP('Données projet'!$B$12,Paramètres!$A$1:$I$89,3,0)*0.475*44/12</f>
        <v>2.9889336638684165</v>
      </c>
      <c r="CM182" s="21">
        <f>EXP(-LN(2)/2)*CM181+(1-EXP(-LN(2)/2))/(LN(2)/2)*CG182*CJ182*VLOOKUP('Données projet'!$B$12,Paramètres!$A$1:$I$89,3,0)*0.475*44/12</f>
        <v>7.169168906641887E-14</v>
      </c>
      <c r="CN182" s="22">
        <f t="shared" si="172"/>
        <v>9.268184511473331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7.688333333333337</v>
      </c>
      <c r="CT182" s="12">
        <f>IF('Données projet'!$A$140&gt;35,CT181+CS182-DB181,IF(A182&lt;'Données projet'!$A$140,$CQ$205^A182,IF(A182='Données projet'!$A$140,'Données projet'!$B$140,CT181+CS182-DB181)))</f>
        <v>448.85166666666635</v>
      </c>
      <c r="CU182" s="17">
        <f>CT182*VLOOKUP('Données projet'!$B$13,Paramètres!$A$1:$I$89,3,0)*VLOOKUP('Données projet'!$B$13,Paramètres!$A$1:$I$89,5,0)</f>
        <v>434.12933199999975</v>
      </c>
      <c r="CV182" s="13">
        <f t="shared" si="173"/>
        <v>98.662548233225337</v>
      </c>
      <c r="CW182" s="20">
        <f t="shared" si="174"/>
        <v>927.94585807286694</v>
      </c>
      <c r="CX182" s="59">
        <f t="shared" si="122"/>
        <v>1217.2817328070041</v>
      </c>
      <c r="CY182" s="59">
        <f ca="1">AVERAGE(OFFSET($CX$3,0,0,'Données projet'!$E$13+1,1))-AVERAGE(OFFSET($H$3,0,0,'Données projet'!$E$13+1,1))</f>
        <v>557.48193674339791</v>
      </c>
      <c r="CZ182" s="59">
        <f t="shared" si="150"/>
        <v>271.51396593253048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38.642482434393578</v>
      </c>
      <c r="DG182" s="21">
        <f>EXP(-LN(2)/25)*DG181+(1-EXP(-LN(2)/25))/(LN(2)/25)*Calculateur!DB182*Calculateur!DD182*VLOOKUP('Données projet'!$B$13,Paramètres!$A$1:$I$89,3,0)*0.475*44/12</f>
        <v>16.343375421281095</v>
      </c>
      <c r="DH182" s="21">
        <f>EXP(-LN(2)/2)*DH181+(1-EXP(-LN(2)/2))/(LN(2)/2)*DB182*DE182*VLOOKUP('Données projet'!$B$13,Paramètres!$A$1:$I$89,3,0)*0.475*44/12</f>
        <v>3.0392880133251568E-5</v>
      </c>
      <c r="DI182" s="22">
        <f t="shared" si="175"/>
        <v>54.985888248554808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7.688333333333337</v>
      </c>
      <c r="DO182" s="12">
        <f>IF('Données projet'!$A$166&gt;35,DO181+DN182-DW181,IF(A182&lt;'Données projet'!$A$166,$DL$205^A182,IF(A182='Données projet'!$A$166,'Données projet'!$B$166,DO181+DN182-DW181)))</f>
        <v>448.85166666666635</v>
      </c>
      <c r="DP182" s="17">
        <f>DO182*VLOOKUP('Données projet'!$B$14,Paramètres!$A$1:$I$89,3,0)*VLOOKUP('Données projet'!$B$14,Paramètres!$A$1:$I$89,5,0)</f>
        <v>483.14393399999966</v>
      </c>
      <c r="DQ182" s="13">
        <f t="shared" si="176"/>
        <v>108.44314091369797</v>
      </c>
      <c r="DR182" s="20">
        <f t="shared" si="177"/>
        <v>1030.3474888080234</v>
      </c>
      <c r="DS182" s="59">
        <f t="shared" si="125"/>
        <v>1319.6833635421606</v>
      </c>
      <c r="DT182" s="59">
        <f ca="1">AVERAGE(OFFSET($DS$3,0,0,'Données projet'!$E$14+1,1))-AVERAGE(OFFSET($H$3,0,0,'Données projet'!$E$14+1,1))</f>
        <v>610.05768948788375</v>
      </c>
      <c r="DU182" s="59">
        <f t="shared" si="152"/>
        <v>295.23928902444845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43.005343354405746</v>
      </c>
      <c r="EB182" s="21">
        <f>EXP(-LN(2)/25)*EB181+(1-EXP(-LN(2)/25))/(LN(2)/25)*Calculateur!DW182*Calculateur!DY182*VLOOKUP('Données projet'!$B$14,Paramètres!$A$1:$I$89,3,0)*0.475*44/12</f>
        <v>18.188595226909612</v>
      </c>
      <c r="EC182" s="21">
        <f>EXP(-LN(2)/2)*EC181+(1-EXP(-LN(2)/2))/(LN(2)/2)*DW182*DZ182*VLOOKUP('Données projet'!$B$14,Paramètres!$A$1:$I$89,3,0)*0.475*44/12</f>
        <v>3.3824334341844398E-5</v>
      </c>
      <c r="ED182" s="22">
        <f t="shared" si="178"/>
        <v>61.193972405649703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271.56</v>
      </c>
      <c r="L183" s="12">
        <f>VLOOKUP(A183,'Données projet'!$A$35:$I$55,9,0)</f>
        <v>3.76000000000001</v>
      </c>
      <c r="M183" s="12">
        <f t="array" ref="M183">INDEX(L:L,MIN(IF(ISNUMBER(L183:L379),ROW(L183:L379),"")))</f>
        <v>3.76000000000001</v>
      </c>
      <c r="N183" s="13">
        <f>IF('Données projet'!$A$36&gt;35,N182+M183-V182,IF(A183&lt;'Données projet'!$A$36,$K$205^A183,IF(A183='Données projet'!$A$36,'Données projet'!$B$36,N182+M183-V182)))</f>
        <v>271.5600000000008</v>
      </c>
      <c r="O183" s="13">
        <f>N183*VLOOKUP('Données projet'!$B$9,Paramètres!$A$1:$I$89,3,0)*VLOOKUP('Données projet'!$B$9,Paramètres!$A$1:$I$89,5,0)</f>
        <v>245.70748800000069</v>
      </c>
      <c r="P183" s="13">
        <f t="shared" si="141"/>
        <v>59.665839559289225</v>
      </c>
      <c r="Q183" s="20">
        <f t="shared" si="162"/>
        <v>531.85854549909652</v>
      </c>
      <c r="R183" s="59">
        <f t="shared" si="109"/>
        <v>821.26376720295116</v>
      </c>
      <c r="S183" s="59">
        <f ca="1">AVERAGE(OFFSET($R$3,0,0,'Données projet'!$E$9+1,1))-AVERAGE(OFFSET($H$3,0,0,'Données projet'!$E$9+1,1))</f>
        <v>681.47578137804555</v>
      </c>
      <c r="T183" s="59">
        <f t="shared" si="142"/>
        <v>300.88511065995885</v>
      </c>
      <c r="U183" s="15">
        <f>IF(ISNA(VLOOKUP(A183,'Données projet'!$A$35:$I$55,3,0)),0,VLOOKUP(A183,'Données projet'!$A$35:$I$55,3,0))</f>
        <v>17</v>
      </c>
      <c r="V183" s="15">
        <f>IF(ISNA(VLOOKUP(A183,'Données projet'!$A$35:$I$55,4,0)),0,VLOOKUP(A183,'Données projet'!$A$35:$I$55,4,0))</f>
        <v>86.97</v>
      </c>
      <c r="W183" s="16">
        <f>IF(ISNA(VLOOKUP(A183,'Données projet'!$A$35:$I$55,5,0)),0%,VLOOKUP(A183,'Données projet'!$A$35:$I$55,5,0)*VLOOKUP('Données projet'!$B$9,Paramètres!$A$1:$I$89,7,0))</f>
        <v>0.19350000000000001</v>
      </c>
      <c r="X183" s="16">
        <f>IF(ISNA(VLOOKUP(A183,'Données projet'!$A$35:$I$55,6,0)),0%,VLOOKUP(A183,'Données projet'!$A$35:$I$55,6,0)*VLOOKUP('Données projet'!$B$9,Paramètres!$A$1:$I$89,7,0))</f>
        <v>2.1500000000000002E-2</v>
      </c>
      <c r="Y183" s="16">
        <f>IF(ISNA(VLOOKUP(A183,'Données projet'!$A$35:$I$55,7,0)),0%,VLOOKUP(A183,'Données projet'!$A$35:$I$55,7,0))</f>
        <v>0.05</v>
      </c>
      <c r="Z183" s="21">
        <f>EXP(-LN(2)/35)*Z182+(1-EXP(-LN(2)/35))/(LN(2)/35)*V183*W183*VLOOKUP('Données projet'!$B$9,Paramètres!$A$1:$I$89,3,0)*0.475*44/12</f>
        <v>124.23943061149308</v>
      </c>
      <c r="AA183" s="21">
        <f>EXP(-LN(2)/25)*AA182+(1-EXP(-LN(2)/25))/(LN(2)/25)*Calculateur!V183*Calculateur!X183*VLOOKUP('Données projet'!$B$9,Paramètres!$A$1:$I$89,3,0)*0.475*44/12</f>
        <v>23.516474371613818</v>
      </c>
      <c r="AB183" s="21">
        <f>EXP(-LN(2)/2)*AB182+(1-EXP(-LN(2)/2))/(LN(2)/2)*V183*Y183*VLOOKUP('Données projet'!$B$9,Paramètres!$A$1:$I$89,3,0)*0.475*44/12</f>
        <v>6.9345530057429094</v>
      </c>
      <c r="AC183" s="22">
        <f t="shared" si="163"/>
        <v>154.6904579888498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-8.8675733422860506E-14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217.53602321474159</v>
      </c>
      <c r="AO183" s="59">
        <f t="shared" si="144"/>
        <v>215.75909414893025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3.0593867902477454</v>
      </c>
      <c r="AV183" s="21">
        <f>EXP(-LN(2)/25)*AV182+(1-EXP(-LN(2)/25))/(LN(2)/25)*Calculateur!AQ183*Calculateur!AS183*VLOOKUP('Données projet'!$B$10,Paramètres!$A$1:$I$89,3,0)*0.475*44/12</f>
        <v>1.2502695415297007</v>
      </c>
      <c r="AW183" s="21">
        <f>EXP(-LN(2)/2)*AW182+(1-EXP(-LN(2)/2))/(LN(2)/2)*AQ183*AT183*VLOOKUP('Données projet'!$B$10,Paramètres!$A$1:$I$89,3,0)*0.475*44/12</f>
        <v>7.6436355302442656E-16</v>
      </c>
      <c r="AX183" s="21">
        <f t="shared" si="166"/>
        <v>4.3096563317774468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-1.7053025658242404E-13</v>
      </c>
      <c r="BE183" s="13">
        <f>BD183*VLOOKUP('Données projet'!$B$11,Paramètres!$A$1:$I$89,3,0)*VLOOKUP('Données projet'!$B$11,Paramètres!$A$1:$I$89,5,0)</f>
        <v>-1.1439169611549005E-13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281.67293577289729</v>
      </c>
      <c r="BJ183" s="59">
        <f t="shared" si="146"/>
        <v>272.44904846480154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4.7270196150584036</v>
      </c>
      <c r="BQ183" s="21">
        <f>EXP(-LN(2)/25)*BQ182+(1-EXP(-LN(2)/25))/(LN(2)/25)*Calculateur!BL183*Calculateur!BN183*VLOOKUP('Données projet'!$B$11,Paramètres!$A$1:$I$89,3,0)*0.475*44/12</f>
        <v>2.232315142373146</v>
      </c>
      <c r="BR183" s="21">
        <f>EXP(-LN(2)/2)*BR182+(1-EXP(-LN(2)/2))/(LN(2)/2)*BL183*BO183*VLOOKUP('Données projet'!$B$11,Paramètres!$A$1:$I$89,3,0)*0.475*44/12</f>
        <v>3.8925503896857743E-14</v>
      </c>
      <c r="BS183" s="22">
        <f t="shared" si="169"/>
        <v>6.9593347574315887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-1.7053025658242404E-13</v>
      </c>
      <c r="BZ183" s="13">
        <f>BY183*VLOOKUP('Données projet'!$B$12,Paramètres!$A$1:$I$89,3,0)*VLOOKUP('Données projet'!$B$12,Paramètres!$A$1:$I$89,5,0)</f>
        <v>-1.4897523215040567E-13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348.77506423101278</v>
      </c>
      <c r="CE183" s="59">
        <f t="shared" si="148"/>
        <v>336.13747591329548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6.1561185684481519</v>
      </c>
      <c r="CL183" s="21">
        <f>EXP(-LN(2)/25)*CL182+(1-EXP(-LN(2)/25))/(LN(2)/25)*Calculateur!CG183*Calculateur!CI183*VLOOKUP('Données projet'!$B$12,Paramètres!$A$1:$I$89,3,0)*0.475*44/12</f>
        <v>2.9072011156487445</v>
      </c>
      <c r="CM183" s="21">
        <f>EXP(-LN(2)/2)*CM182+(1-EXP(-LN(2)/2))/(LN(2)/2)*CG183*CJ183*VLOOKUP('Données projet'!$B$12,Paramètres!$A$1:$I$89,3,0)*0.475*44/12</f>
        <v>5.069367949358225E-14</v>
      </c>
      <c r="CN183" s="22">
        <f t="shared" si="172"/>
        <v>9.0633196840969479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>
        <f>VLOOKUP(A183,'Données projet'!$A$139:$I$159,2,0)</f>
        <v>456.54</v>
      </c>
      <c r="CR183" s="12">
        <f>VLOOKUP(A183,'Données projet'!$A$139:$I$159,9,0)</f>
        <v>7.688333333333337</v>
      </c>
      <c r="CS183" s="12">
        <f t="array" ref="CS183">INDEX(CR:CR,MIN(IF(ISNUMBER(CR183:CR379),ROW(CR183:CR379),"")))</f>
        <v>7.688333333333337</v>
      </c>
      <c r="CT183" s="12">
        <f>IF('Données projet'!$A$140&gt;35,CT182+CS183-DB182,IF(A183&lt;'Données projet'!$A$140,$CQ$205^A183,IF(A183='Données projet'!$A$140,'Données projet'!$B$140,CT182+CS183-DB182)))</f>
        <v>456.53999999999968</v>
      </c>
      <c r="CU183" s="17">
        <f>CT183*VLOOKUP('Données projet'!$B$13,Paramètres!$A$1:$I$89,3,0)*VLOOKUP('Données projet'!$B$13,Paramètres!$A$1:$I$89,5,0)</f>
        <v>441.56548799999968</v>
      </c>
      <c r="CV183" s="13">
        <f t="shared" si="173"/>
        <v>100.15433575539794</v>
      </c>
      <c r="CW183" s="20">
        <f t="shared" si="174"/>
        <v>943.49535970731733</v>
      </c>
      <c r="CX183" s="59">
        <f t="shared" si="122"/>
        <v>1232.900581411172</v>
      </c>
      <c r="CY183" s="59">
        <f ca="1">AVERAGE(OFFSET($CX$3,0,0,'Données projet'!$E$13+1,1))-AVERAGE(OFFSET($H$3,0,0,'Données projet'!$E$13+1,1))</f>
        <v>557.48193674339791</v>
      </c>
      <c r="CZ183" s="59">
        <f t="shared" si="150"/>
        <v>271.51396593253048</v>
      </c>
      <c r="DA183" s="15">
        <f>IF(ISNA(VLOOKUP(A183,'Données projet'!$A$139:$I$159,3,0)),0,VLOOKUP(A183,'Données projet'!$A$139:$I$159,3,0))</f>
        <v>13</v>
      </c>
      <c r="DB183" s="15">
        <f>IF(ISNA(VLOOKUP(A183,'Données projet'!$A$139:$I$159,4,0)),0,VLOOKUP(A183,'Données projet'!$A$139:$I$159,4,0))</f>
        <v>175.59000000000003</v>
      </c>
      <c r="DC183" s="16">
        <f>IF(ISNA(VLOOKUP(A183,'Données projet'!$A$139:$I$159,5,0)),0%,VLOOKUP(A183,'Données projet'!$A$139:$I$159,5,0)*VLOOKUP('Données projet'!$B$13,Paramètres!$A$1:$I$89,7,0))</f>
        <v>0.215</v>
      </c>
      <c r="DD183" s="16">
        <f>IF(ISNA(VLOOKUP(A183,'Données projet'!$A$139:$I$159,6,0)),0%,VLOOKUP(A183,'Données projet'!$A$139:$I$159,6,0)*VLOOKUP('Données projet'!$B$13,Paramètres!$A$1:$I$89,7,0))</f>
        <v>8.6000000000000007E-2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78.24941836713279</v>
      </c>
      <c r="DG183" s="21">
        <f>EXP(-LN(2)/25)*DG182+(1-EXP(-LN(2)/25))/(LN(2)/25)*Calculateur!DB183*Calculateur!DD183*VLOOKUP('Données projet'!$B$13,Paramètres!$A$1:$I$89,3,0)*0.475*44/12</f>
        <v>31.978769070254863</v>
      </c>
      <c r="DH183" s="21">
        <f>EXP(-LN(2)/2)*DH182+(1-EXP(-LN(2)/2))/(LN(2)/2)*DB183*DE183*VLOOKUP('Données projet'!$B$13,Paramètres!$A$1:$I$89,3,0)*0.475*44/12</f>
        <v>2.1491011642012087E-5</v>
      </c>
      <c r="DI183" s="22">
        <f t="shared" si="175"/>
        <v>110.22820892839928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>
        <f>VLOOKUP(A183,'Données projet'!$A$165:$I$185,2,0)</f>
        <v>456.54</v>
      </c>
      <c r="DM183" s="12">
        <f>VLOOKUP(A183,'Données projet'!$A$165:$I$185,9,0)</f>
        <v>7.688333333333337</v>
      </c>
      <c r="DN183" s="12">
        <f t="array" ref="DN183">INDEX(DM:DM,MIN(IF(ISNUMBER(DM183:DM379),ROW(DM183:DM379),"")))</f>
        <v>7.688333333333337</v>
      </c>
      <c r="DO183" s="12">
        <f>IF('Données projet'!$A$166&gt;35,DO182+DN183-DW182,IF(A183&lt;'Données projet'!$A$166,$DL$205^A183,IF(A183='Données projet'!$A$166,'Données projet'!$B$166,DO182+DN183-DW182)))</f>
        <v>456.53999999999968</v>
      </c>
      <c r="DP183" s="17">
        <f>DO183*VLOOKUP('Données projet'!$B$14,Paramètres!$A$1:$I$89,3,0)*VLOOKUP('Données projet'!$B$14,Paramètres!$A$1:$I$89,5,0)</f>
        <v>491.41965599999958</v>
      </c>
      <c r="DQ183" s="13">
        <f t="shared" si="176"/>
        <v>110.08281196798544</v>
      </c>
      <c r="DR183" s="20">
        <f t="shared" si="177"/>
        <v>1047.616798377574</v>
      </c>
      <c r="DS183" s="59">
        <f t="shared" si="125"/>
        <v>1337.0220200814288</v>
      </c>
      <c r="DT183" s="59">
        <f ca="1">AVERAGE(OFFSET($DS$3,0,0,'Données projet'!$E$14+1,1))-AVERAGE(OFFSET($H$3,0,0,'Données projet'!$E$14+1,1))</f>
        <v>610.05768948788375</v>
      </c>
      <c r="DU183" s="59">
        <f t="shared" si="152"/>
        <v>295.23928902444845</v>
      </c>
      <c r="DV183" s="15">
        <f>IF(ISNA(VLOOKUP(A183,'Données projet'!$A$165:$I$185,3,0)),0,VLOOKUP(A183,'Données projet'!$A$165:$I$185,3,0))</f>
        <v>13</v>
      </c>
      <c r="DW183" s="15">
        <f>IF(ISNA(VLOOKUP(A183,'Données projet'!$A$165:$I$185,4,0)),0,VLOOKUP(A183,'Données projet'!$A$165:$I$185,4,0))</f>
        <v>175.59000000000003</v>
      </c>
      <c r="DX183" s="16">
        <f>IF(ISNA(VLOOKUP(A183,'Données projet'!$A$165:$I$185,5,0)),0%,VLOOKUP(A183,'Données projet'!$A$165:$I$185,5,0)*VLOOKUP('Données projet'!$B$14,Paramètres!$A$1:$I$89,7,0))</f>
        <v>0.215</v>
      </c>
      <c r="DY183" s="16">
        <f>IF(ISNA(VLOOKUP(A183,'Données projet'!$A$165:$I$185,6,0)),0%,VLOOKUP(A183,'Données projet'!$A$165:$I$185,6,0)*VLOOKUP('Données projet'!$B$14,Paramètres!$A$1:$I$89,7,0))</f>
        <v>8.6000000000000007E-2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87.084030118260671</v>
      </c>
      <c r="EB183" s="21">
        <f>EXP(-LN(2)/25)*EB182+(1-EXP(-LN(2)/25))/(LN(2)/25)*Calculateur!DW183*Calculateur!DY183*VLOOKUP('Données projet'!$B$14,Paramètres!$A$1:$I$89,3,0)*0.475*44/12</f>
        <v>35.589275255606225</v>
      </c>
      <c r="EC183" s="21">
        <f>EXP(-LN(2)/2)*EC182+(1-EXP(-LN(2)/2))/(LN(2)/2)*DW183*DZ183*VLOOKUP('Données projet'!$B$14,Paramètres!$A$1:$I$89,3,0)*0.475*44/12</f>
        <v>2.3917416182239192E-5</v>
      </c>
      <c r="ED183" s="22">
        <f t="shared" si="178"/>
        <v>122.67332929128308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2.2933333333333317</v>
      </c>
      <c r="N184" s="13">
        <f>IF('Données projet'!$A$36&gt;35,N183+M184-V183,IF(A184&lt;'Données projet'!$A$36,$K$205^A184,IF(A184='Données projet'!$A$36,'Données projet'!$B$36,N183+M184-V183)))</f>
        <v>186.88333333333415</v>
      </c>
      <c r="O184" s="13">
        <f>N184*VLOOKUP('Données projet'!$B$9,Paramètres!$A$1:$I$89,3,0)*VLOOKUP('Données projet'!$B$9,Paramètres!$A$1:$I$89,5,0)</f>
        <v>169.09204000000074</v>
      </c>
      <c r="P184" s="13">
        <f t="shared" si="141"/>
        <v>42.886607412438856</v>
      </c>
      <c r="Q184" s="20">
        <f t="shared" si="162"/>
        <v>369.1961442433323</v>
      </c>
      <c r="R184" s="59">
        <f t="shared" si="109"/>
        <v>658.66950990201644</v>
      </c>
      <c r="S184" s="59">
        <f ca="1">AVERAGE(OFFSET($R$3,0,0,'Données projet'!$E$9+1,1))-AVERAGE(OFFSET($H$3,0,0,'Données projet'!$E$9+1,1))</f>
        <v>681.47578137804555</v>
      </c>
      <c r="T184" s="59">
        <f t="shared" si="142"/>
        <v>300.88511065995885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121.80317115577186</v>
      </c>
      <c r="AA184" s="21">
        <f>EXP(-LN(2)/25)*AA183+(1-EXP(-LN(2)/25))/(LN(2)/25)*Calculateur!V184*Calculateur!X184*VLOOKUP('Données projet'!$B$9,Paramètres!$A$1:$I$89,3,0)*0.475*44/12</f>
        <v>22.873415143244397</v>
      </c>
      <c r="AB184" s="21">
        <f>EXP(-LN(2)/2)*AB183+(1-EXP(-LN(2)/2))/(LN(2)/2)*V184*Y184*VLOOKUP('Données projet'!$B$9,Paramètres!$A$1:$I$89,3,0)*0.475*44/12</f>
        <v>4.9034694548583673</v>
      </c>
      <c r="AC184" s="22">
        <f t="shared" si="163"/>
        <v>149.58005575387463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-8.8675733422860506E-14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217.53602321474159</v>
      </c>
      <c r="AO184" s="59">
        <f t="shared" si="144"/>
        <v>215.75909414893025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2.9993940813326727</v>
      </c>
      <c r="AV184" s="21">
        <f>EXP(-LN(2)/25)*AV183+(1-EXP(-LN(2)/25))/(LN(2)/25)*Calculateur!AQ184*Calculateur!AS184*VLOOKUP('Données projet'!$B$10,Paramètres!$A$1:$I$89,3,0)*0.475*44/12</f>
        <v>1.2160808551677533</v>
      </c>
      <c r="AW184" s="21">
        <f>EXP(-LN(2)/2)*AW183+(1-EXP(-LN(2)/2))/(LN(2)/2)*AQ184*AT184*VLOOKUP('Données projet'!$B$10,Paramètres!$A$1:$I$89,3,0)*0.475*44/12</f>
        <v>5.404866516354152E-16</v>
      </c>
      <c r="AX184" s="21">
        <f t="shared" si="166"/>
        <v>4.2154749365004269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-1.7053025658242404E-13</v>
      </c>
      <c r="BE184" s="13">
        <f>BD184*VLOOKUP('Données projet'!$B$11,Paramètres!$A$1:$I$89,3,0)*VLOOKUP('Données projet'!$B$11,Paramètres!$A$1:$I$89,5,0)</f>
        <v>-1.1439169611549005E-13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281.67293577289729</v>
      </c>
      <c r="BJ184" s="59">
        <f t="shared" si="146"/>
        <v>272.44904846480154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4.6343256436043818</v>
      </c>
      <c r="BQ184" s="21">
        <f>EXP(-LN(2)/25)*BQ183+(1-EXP(-LN(2)/25))/(LN(2)/25)*Calculateur!BL184*Calculateur!BN184*VLOOKUP('Données projet'!$B$11,Paramètres!$A$1:$I$89,3,0)*0.475*44/12</f>
        <v>2.1712723674126009</v>
      </c>
      <c r="BR184" s="21">
        <f>EXP(-LN(2)/2)*BR183+(1-EXP(-LN(2)/2))/(LN(2)/2)*BL184*BO184*VLOOKUP('Données projet'!$B$11,Paramètres!$A$1:$I$89,3,0)*0.475*44/12</f>
        <v>2.7524487766571491E-14</v>
      </c>
      <c r="BS184" s="22">
        <f t="shared" si="169"/>
        <v>6.8055980110170102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-1.7053025658242404E-13</v>
      </c>
      <c r="BZ184" s="13">
        <f>BY184*VLOOKUP('Données projet'!$B$12,Paramètres!$A$1:$I$89,3,0)*VLOOKUP('Données projet'!$B$12,Paramètres!$A$1:$I$89,5,0)</f>
        <v>-1.4897523215040567E-13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348.77506423101278</v>
      </c>
      <c r="CE184" s="59">
        <f t="shared" si="148"/>
        <v>336.13747591329548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6.0354008381824489</v>
      </c>
      <c r="CL184" s="21">
        <f>EXP(-LN(2)/25)*CL183+(1-EXP(-LN(2)/25))/(LN(2)/25)*Calculateur!CG184*Calculateur!CI184*VLOOKUP('Données projet'!$B$12,Paramètres!$A$1:$I$89,3,0)*0.475*44/12</f>
        <v>2.8277035482582673</v>
      </c>
      <c r="CM184" s="21">
        <f>EXP(-LN(2)/2)*CM183+(1-EXP(-LN(2)/2))/(LN(2)/2)*CG184*CJ184*VLOOKUP('Données projet'!$B$12,Paramètres!$A$1:$I$89,3,0)*0.475*44/12</f>
        <v>3.5845844533209435E-14</v>
      </c>
      <c r="CN184" s="22">
        <f t="shared" si="172"/>
        <v>8.8631043864407513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4.7974999999999994</v>
      </c>
      <c r="CT184" s="12">
        <f>IF('Données projet'!$A$140&gt;35,CT183+CS184-DB183,IF(A184&lt;'Données projet'!$A$140,$CQ$205^A184,IF(A184='Données projet'!$A$140,'Données projet'!$B$140,CT183+CS184-DB183)))</f>
        <v>285.74749999999966</v>
      </c>
      <c r="CU184" s="17">
        <f>CT184*VLOOKUP('Données projet'!$B$13,Paramètres!$A$1:$I$89,3,0)*VLOOKUP('Données projet'!$B$13,Paramètres!$A$1:$I$89,5,0)</f>
        <v>276.37498199999965</v>
      </c>
      <c r="CV184" s="13">
        <f t="shared" si="173"/>
        <v>66.200358347294468</v>
      </c>
      <c r="CW184" s="20">
        <f t="shared" si="174"/>
        <v>596.65205110487057</v>
      </c>
      <c r="CX184" s="59">
        <f t="shared" si="122"/>
        <v>886.12541676355465</v>
      </c>
      <c r="CY184" s="59">
        <f ca="1">AVERAGE(OFFSET($CX$3,0,0,'Données projet'!$E$13+1,1))-AVERAGE(OFFSET($H$3,0,0,'Données projet'!$E$13+1,1))</f>
        <v>557.48193674339791</v>
      </c>
      <c r="CZ184" s="59">
        <f t="shared" si="150"/>
        <v>271.51396593253048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76.714995000385827</v>
      </c>
      <c r="DG184" s="21">
        <f>EXP(-LN(2)/25)*DG183+(1-EXP(-LN(2)/25))/(LN(2)/25)*Calculateur!DB184*Calculateur!DD184*VLOOKUP('Données projet'!$B$13,Paramètres!$A$1:$I$89,3,0)*0.475*44/12</f>
        <v>31.104307948338366</v>
      </c>
      <c r="DH184" s="21">
        <f>EXP(-LN(2)/2)*DH183+(1-EXP(-LN(2)/2))/(LN(2)/2)*DB184*DE184*VLOOKUP('Données projet'!$B$13,Paramètres!$A$1:$I$89,3,0)*0.475*44/12</f>
        <v>1.5196440066625787E-5</v>
      </c>
      <c r="DI184" s="22">
        <f t="shared" si="175"/>
        <v>107.81931814516425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4.7974999999999994</v>
      </c>
      <c r="DO184" s="12">
        <f>IF('Données projet'!$A$166&gt;35,DO183+DN184-DW183,IF(A184&lt;'Données projet'!$A$166,$DL$205^A184,IF(A184='Données projet'!$A$166,'Données projet'!$B$166,DO183+DN184-DW183)))</f>
        <v>285.74749999999966</v>
      </c>
      <c r="DP184" s="17">
        <f>DO184*VLOOKUP('Données projet'!$B$14,Paramètres!$A$1:$I$89,3,0)*VLOOKUP('Données projet'!$B$14,Paramètres!$A$1:$I$89,5,0)</f>
        <v>307.57860899999963</v>
      </c>
      <c r="DQ184" s="13">
        <f t="shared" si="176"/>
        <v>72.762916804285311</v>
      </c>
      <c r="DR184" s="20">
        <f t="shared" si="177"/>
        <v>662.42815744246298</v>
      </c>
      <c r="DS184" s="59">
        <f t="shared" si="125"/>
        <v>951.90152310114706</v>
      </c>
      <c r="DT184" s="59">
        <f ca="1">AVERAGE(OFFSET($DS$3,0,0,'Données projet'!$E$14+1,1))-AVERAGE(OFFSET($H$3,0,0,'Données projet'!$E$14+1,1))</f>
        <v>610.05768948788375</v>
      </c>
      <c r="DU184" s="59">
        <f t="shared" si="152"/>
        <v>295.23928902444845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85.376365403655186</v>
      </c>
      <c r="EB184" s="21">
        <f>EXP(-LN(2)/25)*EB183+(1-EXP(-LN(2)/25))/(LN(2)/25)*Calculateur!DW184*Calculateur!DY184*VLOOKUP('Données projet'!$B$14,Paramètres!$A$1:$I$89,3,0)*0.475*44/12</f>
        <v>34.616084652183027</v>
      </c>
      <c r="EC184" s="21">
        <f>EXP(-LN(2)/2)*EC183+(1-EXP(-LN(2)/2))/(LN(2)/2)*DW184*DZ184*VLOOKUP('Données projet'!$B$14,Paramètres!$A$1:$I$89,3,0)*0.475*44/12</f>
        <v>1.6912167170922199E-5</v>
      </c>
      <c r="ED184" s="22">
        <f t="shared" si="178"/>
        <v>119.99246696800539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2.2933333333333317</v>
      </c>
      <c r="N185" s="13">
        <f>IF('Données projet'!$A$36&gt;35,N184+M185-V184,IF(A185&lt;'Données projet'!$A$36,$K$205^A185,IF(A185='Données projet'!$A$36,'Données projet'!$B$36,N184+M185-V184)))</f>
        <v>189.17666666666747</v>
      </c>
      <c r="O185" s="13">
        <f>N185*VLOOKUP('Données projet'!$B$9,Paramètres!$A$1:$I$89,3,0)*VLOOKUP('Données projet'!$B$9,Paramètres!$A$1:$I$89,5,0)</f>
        <v>171.16704800000073</v>
      </c>
      <c r="P185" s="13">
        <f t="shared" si="141"/>
        <v>43.351299348190551</v>
      </c>
      <c r="Q185" s="20">
        <f t="shared" si="162"/>
        <v>373.61945496476648</v>
      </c>
      <c r="R185" s="59">
        <f t="shared" si="109"/>
        <v>663.15978243301083</v>
      </c>
      <c r="S185" s="59">
        <f ca="1">AVERAGE(OFFSET($R$3,0,0,'Données projet'!$E$9+1,1))-AVERAGE(OFFSET($H$3,0,0,'Données projet'!$E$9+1,1))</f>
        <v>681.47578137804555</v>
      </c>
      <c r="T185" s="59">
        <f t="shared" si="142"/>
        <v>300.88511065995885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119.4146852620058</v>
      </c>
      <c r="AA185" s="21">
        <f>EXP(-LN(2)/25)*AA184+(1-EXP(-LN(2)/25))/(LN(2)/25)*Calculateur!V185*Calculateur!X185*VLOOKUP('Données projet'!$B$9,Paramètres!$A$1:$I$89,3,0)*0.475*44/12</f>
        <v>22.247940403291754</v>
      </c>
      <c r="AB185" s="21">
        <f>EXP(-LN(2)/2)*AB184+(1-EXP(-LN(2)/2))/(LN(2)/2)*V185*Y185*VLOOKUP('Données projet'!$B$9,Paramètres!$A$1:$I$89,3,0)*0.475*44/12</f>
        <v>3.4672765028714552</v>
      </c>
      <c r="AC185" s="22">
        <f t="shared" si="163"/>
        <v>145.129902168169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-8.8675733422860506E-14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217.53602321474159</v>
      </c>
      <c r="AO185" s="59">
        <f t="shared" si="144"/>
        <v>215.75909414893025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2.9405777928474857</v>
      </c>
      <c r="AV185" s="21">
        <f>EXP(-LN(2)/25)*AV184+(1-EXP(-LN(2)/25))/(LN(2)/25)*Calculateur!AQ185*Calculateur!AS185*VLOOKUP('Données projet'!$B$10,Paramètres!$A$1:$I$89,3,0)*0.475*44/12</f>
        <v>1.1828270602322783</v>
      </c>
      <c r="AW185" s="21">
        <f>EXP(-LN(2)/2)*AW184+(1-EXP(-LN(2)/2))/(LN(2)/2)*AQ185*AT185*VLOOKUP('Données projet'!$B$10,Paramètres!$A$1:$I$89,3,0)*0.475*44/12</f>
        <v>3.8218177651221328E-16</v>
      </c>
      <c r="AX185" s="21">
        <f t="shared" si="166"/>
        <v>4.123404853079764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-1.7053025658242404E-13</v>
      </c>
      <c r="BE185" s="13">
        <f>BD185*VLOOKUP('Données projet'!$B$11,Paramètres!$A$1:$I$89,3,0)*VLOOKUP('Données projet'!$B$11,Paramètres!$A$1:$I$89,5,0)</f>
        <v>-1.1439169611549005E-13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281.67293577289729</v>
      </c>
      <c r="BJ185" s="59">
        <f t="shared" si="146"/>
        <v>272.44904846480154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4.5434493443928332</v>
      </c>
      <c r="BQ185" s="21">
        <f>EXP(-LN(2)/25)*BQ184+(1-EXP(-LN(2)/25))/(LN(2)/25)*Calculateur!BL185*Calculateur!BN185*VLOOKUP('Données projet'!$B$11,Paramètres!$A$1:$I$89,3,0)*0.475*44/12</f>
        <v>2.1118988103434519</v>
      </c>
      <c r="BR185" s="21">
        <f>EXP(-LN(2)/2)*BR184+(1-EXP(-LN(2)/2))/(LN(2)/2)*BL185*BO185*VLOOKUP('Données projet'!$B$11,Paramètres!$A$1:$I$89,3,0)*0.475*44/12</f>
        <v>1.9462751948428871E-14</v>
      </c>
      <c r="BS185" s="22">
        <f t="shared" si="169"/>
        <v>6.6553481547363047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-1.7053025658242404E-13</v>
      </c>
      <c r="BZ185" s="13">
        <f>BY185*VLOOKUP('Données projet'!$B$12,Paramètres!$A$1:$I$89,3,0)*VLOOKUP('Données projet'!$B$12,Paramètres!$A$1:$I$89,5,0)</f>
        <v>-1.4897523215040567E-13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348.77506423101278</v>
      </c>
      <c r="CE185" s="59">
        <f t="shared" si="148"/>
        <v>336.13747591329548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5.9170503089767106</v>
      </c>
      <c r="CL185" s="21">
        <f>EXP(-LN(2)/25)*CL184+(1-EXP(-LN(2)/25))/(LN(2)/25)*Calculateur!CG185*Calculateur!CI185*VLOOKUP('Données projet'!$B$12,Paramètres!$A$1:$I$89,3,0)*0.475*44/12</f>
        <v>2.7503798460286784</v>
      </c>
      <c r="CM185" s="21">
        <f>EXP(-LN(2)/2)*CM184+(1-EXP(-LN(2)/2))/(LN(2)/2)*CG185*CJ185*VLOOKUP('Données projet'!$B$12,Paramètres!$A$1:$I$89,3,0)*0.475*44/12</f>
        <v>2.5346839746791125E-14</v>
      </c>
      <c r="CN185" s="22">
        <f t="shared" si="172"/>
        <v>8.6674301550054142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4.7974999999999994</v>
      </c>
      <c r="CT185" s="12">
        <f>IF('Données projet'!$A$140&gt;35,CT184+CS185-DB184,IF(A185&lt;'Données projet'!$A$140,$CQ$205^A185,IF(A185='Données projet'!$A$140,'Données projet'!$B$140,CT184+CS185-DB184)))</f>
        <v>290.54499999999967</v>
      </c>
      <c r="CU185" s="17">
        <f>CT185*VLOOKUP('Données projet'!$B$13,Paramètres!$A$1:$I$89,3,0)*VLOOKUP('Données projet'!$B$13,Paramètres!$A$1:$I$89,5,0)</f>
        <v>281.01512399999973</v>
      </c>
      <c r="CV185" s="13">
        <f t="shared" si="173"/>
        <v>67.181488559705002</v>
      </c>
      <c r="CW185" s="20">
        <f t="shared" si="174"/>
        <v>606.44243354148568</v>
      </c>
      <c r="CX185" s="59">
        <f t="shared" si="122"/>
        <v>895.9827610097301</v>
      </c>
      <c r="CY185" s="59">
        <f ca="1">AVERAGE(OFFSET($CX$3,0,0,'Données projet'!$E$13+1,1))-AVERAGE(OFFSET($H$3,0,0,'Données projet'!$E$13+1,1))</f>
        <v>557.48193674339791</v>
      </c>
      <c r="CZ185" s="59">
        <f t="shared" si="150"/>
        <v>271.51396593253048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75.210660739954932</v>
      </c>
      <c r="DG185" s="21">
        <f>EXP(-LN(2)/25)*DG184+(1-EXP(-LN(2)/25))/(LN(2)/25)*Calculateur!DB185*Calculateur!DD185*VLOOKUP('Données projet'!$B$13,Paramètres!$A$1:$I$89,3,0)*0.475*44/12</f>
        <v>30.253759011786588</v>
      </c>
      <c r="DH185" s="21">
        <f>EXP(-LN(2)/2)*DH184+(1-EXP(-LN(2)/2))/(LN(2)/2)*DB185*DE185*VLOOKUP('Données projet'!$B$13,Paramètres!$A$1:$I$89,3,0)*0.475*44/12</f>
        <v>1.0745505821006045E-5</v>
      </c>
      <c r="DI185" s="22">
        <f t="shared" si="175"/>
        <v>105.46443049724733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4.7974999999999994</v>
      </c>
      <c r="DO185" s="12">
        <f>IF('Données projet'!$A$166&gt;35,DO184+DN185-DW184,IF(A185&lt;'Données projet'!$A$166,$DL$205^A185,IF(A185='Données projet'!$A$166,'Données projet'!$B$166,DO184+DN185-DW184)))</f>
        <v>290.54499999999967</v>
      </c>
      <c r="DP185" s="17">
        <f>DO185*VLOOKUP('Données projet'!$B$14,Paramètres!$A$1:$I$89,3,0)*VLOOKUP('Données projet'!$B$14,Paramètres!$A$1:$I$89,5,0)</f>
        <v>312.74263799999966</v>
      </c>
      <c r="DQ185" s="13">
        <f t="shared" si="176"/>
        <v>73.841308187686593</v>
      </c>
      <c r="DR185" s="20">
        <f t="shared" si="177"/>
        <v>673.3003729435535</v>
      </c>
      <c r="DS185" s="59">
        <f t="shared" si="125"/>
        <v>962.84070041179791</v>
      </c>
      <c r="DT185" s="59">
        <f ca="1">AVERAGE(OFFSET($DS$3,0,0,'Données projet'!$E$14+1,1))-AVERAGE(OFFSET($H$3,0,0,'Données projet'!$E$14+1,1))</f>
        <v>610.05768948788375</v>
      </c>
      <c r="DU185" s="59">
        <f t="shared" si="152"/>
        <v>295.23928902444845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83.702186952530482</v>
      </c>
      <c r="EB185" s="21">
        <f>EXP(-LN(2)/25)*EB184+(1-EXP(-LN(2)/25))/(LN(2)/25)*Calculateur!DW185*Calculateur!DY185*VLOOKUP('Données projet'!$B$14,Paramètres!$A$1:$I$89,3,0)*0.475*44/12</f>
        <v>33.669505996988306</v>
      </c>
      <c r="EC185" s="21">
        <f>EXP(-LN(2)/2)*EC184+(1-EXP(-LN(2)/2))/(LN(2)/2)*DW185*DZ185*VLOOKUP('Données projet'!$B$14,Paramètres!$A$1:$I$89,3,0)*0.475*44/12</f>
        <v>1.1958708091119596E-5</v>
      </c>
      <c r="ED185" s="22">
        <f t="shared" si="178"/>
        <v>117.37170490822687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191.47</v>
      </c>
      <c r="L186" s="12">
        <f>VLOOKUP(A186,'Données projet'!$A$35:$I$55,9,0)</f>
        <v>2.2933333333333317</v>
      </c>
      <c r="M186" s="12">
        <f t="array" ref="M186">INDEX(L:L,MIN(IF(ISNUMBER(L186:L382),ROW(L186:L382),"")))</f>
        <v>2.2933333333333317</v>
      </c>
      <c r="N186" s="13">
        <f>IF('Données projet'!$A$36&gt;35,N185+M186-V185,IF(A186&lt;'Données projet'!$A$36,$K$205^A186,IF(A186='Données projet'!$A$36,'Données projet'!$B$36,N185+M186-V185)))</f>
        <v>191.47000000000079</v>
      </c>
      <c r="O186" s="13">
        <f>N186*VLOOKUP('Données projet'!$B$9,Paramètres!$A$1:$I$89,3,0)*VLOOKUP('Données projet'!$B$9,Paramètres!$A$1:$I$89,5,0)</f>
        <v>173.2420560000007</v>
      </c>
      <c r="P186" s="13">
        <f t="shared" si="141"/>
        <v>43.815336010445158</v>
      </c>
      <c r="Q186" s="20">
        <f t="shared" si="162"/>
        <v>378.04162441819318</v>
      </c>
      <c r="R186" s="59">
        <f t="shared" si="109"/>
        <v>667.6477520583062</v>
      </c>
      <c r="S186" s="59">
        <f ca="1">AVERAGE(OFFSET($R$3,0,0,'Données projet'!$E$9+1,1))-AVERAGE(OFFSET($H$3,0,0,'Données projet'!$E$9+1,1))</f>
        <v>681.47578137804555</v>
      </c>
      <c r="T186" s="59">
        <f t="shared" si="142"/>
        <v>300.88511065995885</v>
      </c>
      <c r="U186" s="15">
        <f>IF(ISNA(VLOOKUP(A186,'Données projet'!$A$35:$I$55,3,0)),0,VLOOKUP(A186,'Données projet'!$A$35:$I$55,3,0))</f>
        <v>18</v>
      </c>
      <c r="V186" s="15">
        <f>IF(ISNA(VLOOKUP(A186,'Données projet'!$A$35:$I$55,4,0)),0,VLOOKUP(A186,'Données projet'!$A$35:$I$55,4,0))</f>
        <v>191.47</v>
      </c>
      <c r="W186" s="16">
        <f>IF(ISNA(VLOOKUP(A186,'Données projet'!$A$35:$I$55,5,0)),0%,VLOOKUP(A186,'Données projet'!$A$35:$I$55,5,0)*VLOOKUP('Données projet'!$B$9,Paramètres!$A$1:$I$89,7,0))</f>
        <v>0.19350000000000001</v>
      </c>
      <c r="X186" s="16">
        <f>IF(ISNA(VLOOKUP(A186,'Données projet'!$A$35:$I$55,6,0)),0%,VLOOKUP(A186,'Données projet'!$A$35:$I$55,6,0)*VLOOKUP('Données projet'!$B$9,Paramètres!$A$1:$I$89,7,0))</f>
        <v>2.1500000000000002E-2</v>
      </c>
      <c r="Y186" s="16">
        <f>IF(ISNA(VLOOKUP(A186,'Données projet'!$A$35:$I$55,7,0)),0%,VLOOKUP(A186,'Données projet'!$A$35:$I$55,7,0))</f>
        <v>0.05</v>
      </c>
      <c r="Z186" s="21">
        <f>EXP(-LN(2)/35)*Z185+(1-EXP(-LN(2)/35))/(LN(2)/35)*V186*W186*VLOOKUP('Données projet'!$B$9,Paramètres!$A$1:$I$89,3,0)*0.475*44/12</f>
        <v>154.13098765017864</v>
      </c>
      <c r="AA186" s="21">
        <f>EXP(-LN(2)/25)*AA185+(1-EXP(-LN(2)/25))/(LN(2)/25)*Calculateur!V186*Calculateur!X186*VLOOKUP('Données projet'!$B$9,Paramètres!$A$1:$I$89,3,0)*0.475*44/12</f>
        <v>25.740907109110182</v>
      </c>
      <c r="AB186" s="21">
        <f>EXP(-LN(2)/2)*AB185+(1-EXP(-LN(2)/2))/(LN(2)/2)*V186*Y186*VLOOKUP('Données projet'!$B$9,Paramètres!$A$1:$I$89,3,0)*0.475*44/12</f>
        <v>10.624661856307879</v>
      </c>
      <c r="AC186" s="22">
        <f t="shared" si="163"/>
        <v>190.49655661559669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-8.8675733422860506E-14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217.53602321474159</v>
      </c>
      <c r="AO186" s="59">
        <f t="shared" si="144"/>
        <v>215.75909414893025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2.8829148559050992</v>
      </c>
      <c r="AV186" s="21">
        <f>EXP(-LN(2)/25)*AV185+(1-EXP(-LN(2)/25))/(LN(2)/25)*Calculateur!AQ186*Calculateur!AS186*VLOOKUP('Données projet'!$B$10,Paramètres!$A$1:$I$89,3,0)*0.475*44/12</f>
        <v>1.150482592068055</v>
      </c>
      <c r="AW186" s="21">
        <f>EXP(-LN(2)/2)*AW185+(1-EXP(-LN(2)/2))/(LN(2)/2)*AQ186*AT186*VLOOKUP('Données projet'!$B$10,Paramètres!$A$1:$I$89,3,0)*0.475*44/12</f>
        <v>2.702433258177076E-16</v>
      </c>
      <c r="AX186" s="21">
        <f t="shared" si="166"/>
        <v>4.0333974479731545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-1.7053025658242404E-13</v>
      </c>
      <c r="BE186" s="13">
        <f>BD186*VLOOKUP('Données projet'!$B$11,Paramètres!$A$1:$I$89,3,0)*VLOOKUP('Données projet'!$B$11,Paramètres!$A$1:$I$89,5,0)</f>
        <v>-1.1439169611549005E-13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281.67293577289729</v>
      </c>
      <c r="BJ186" s="59">
        <f t="shared" si="146"/>
        <v>272.44904846480154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4.4543550739797535</v>
      </c>
      <c r="BQ186" s="21">
        <f>EXP(-LN(2)/25)*BQ185+(1-EXP(-LN(2)/25))/(LN(2)/25)*Calculateur!BL186*Calculateur!BN186*VLOOKUP('Données projet'!$B$11,Paramètres!$A$1:$I$89,3,0)*0.475*44/12</f>
        <v>2.0541488263146785</v>
      </c>
      <c r="BR186" s="21">
        <f>EXP(-LN(2)/2)*BR185+(1-EXP(-LN(2)/2))/(LN(2)/2)*BL186*BO186*VLOOKUP('Données projet'!$B$11,Paramètres!$A$1:$I$89,3,0)*0.475*44/12</f>
        <v>1.3762243883285746E-14</v>
      </c>
      <c r="BS186" s="22">
        <f t="shared" si="169"/>
        <v>6.5085039002944454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-1.7053025658242404E-13</v>
      </c>
      <c r="BZ186" s="13">
        <f>BY186*VLOOKUP('Données projet'!$B$12,Paramètres!$A$1:$I$89,3,0)*VLOOKUP('Données projet'!$B$12,Paramètres!$A$1:$I$89,5,0)</f>
        <v>-1.4897523215040567E-13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348.77506423101278</v>
      </c>
      <c r="CE186" s="59">
        <f t="shared" si="148"/>
        <v>336.13747591329548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5.8010205614620025</v>
      </c>
      <c r="CL186" s="21">
        <f>EXP(-LN(2)/25)*CL185+(1-EXP(-LN(2)/25))/(LN(2)/25)*Calculateur!CG186*Calculateur!CI186*VLOOKUP('Données projet'!$B$12,Paramètres!$A$1:$I$89,3,0)*0.475*44/12</f>
        <v>2.6751705645028343</v>
      </c>
      <c r="CM186" s="21">
        <f>EXP(-LN(2)/2)*CM185+(1-EXP(-LN(2)/2))/(LN(2)/2)*CG186*CJ186*VLOOKUP('Données projet'!$B$12,Paramètres!$A$1:$I$89,3,0)*0.475*44/12</f>
        <v>1.7922922266604718E-14</v>
      </c>
      <c r="CN186" s="22">
        <f t="shared" si="172"/>
        <v>8.4761911259648546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4.7974999999999994</v>
      </c>
      <c r="CT186" s="12">
        <f>IF('Données projet'!$A$140&gt;35,CT185+CS186-DB185,IF(A186&lt;'Données projet'!$A$140,$CQ$205^A186,IF(A186='Données projet'!$A$140,'Données projet'!$B$140,CT185+CS186-DB185)))</f>
        <v>295.34249999999969</v>
      </c>
      <c r="CU186" s="17">
        <f>CT186*VLOOKUP('Données projet'!$B$13,Paramètres!$A$1:$I$89,3,0)*VLOOKUP('Données projet'!$B$13,Paramètres!$A$1:$I$89,5,0)</f>
        <v>285.6552659999997</v>
      </c>
      <c r="CV186" s="13">
        <f t="shared" si="173"/>
        <v>68.160734755272316</v>
      </c>
      <c r="CW186" s="20">
        <f t="shared" si="174"/>
        <v>616.22953464876537</v>
      </c>
      <c r="CX186" s="59">
        <f t="shared" si="122"/>
        <v>905.83566228887832</v>
      </c>
      <c r="CY186" s="59">
        <f ca="1">AVERAGE(OFFSET($CX$3,0,0,'Données projet'!$E$13+1,1))-AVERAGE(OFFSET($H$3,0,0,'Données projet'!$E$13+1,1))</f>
        <v>557.48193674339791</v>
      </c>
      <c r="CZ186" s="59">
        <f t="shared" si="150"/>
        <v>271.51396593253048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73.735825556817787</v>
      </c>
      <c r="DG186" s="21">
        <f>EXP(-LN(2)/25)*DG185+(1-EXP(-LN(2)/25))/(LN(2)/25)*Calculateur!DB186*Calculateur!DD186*VLOOKUP('Données projet'!$B$13,Paramètres!$A$1:$I$89,3,0)*0.475*44/12</f>
        <v>29.426468380633242</v>
      </c>
      <c r="DH186" s="21">
        <f>EXP(-LN(2)/2)*DH185+(1-EXP(-LN(2)/2))/(LN(2)/2)*DB186*DE186*VLOOKUP('Données projet'!$B$13,Paramètres!$A$1:$I$89,3,0)*0.475*44/12</f>
        <v>7.5982200333128945E-6</v>
      </c>
      <c r="DI186" s="22">
        <f t="shared" si="175"/>
        <v>103.16230153567106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4.7974999999999994</v>
      </c>
      <c r="DO186" s="12">
        <f>IF('Données projet'!$A$166&gt;35,DO185+DN186-DW185,IF(A186&lt;'Données projet'!$A$166,$DL$205^A186,IF(A186='Données projet'!$A$166,'Données projet'!$B$166,DO185+DN186-DW185)))</f>
        <v>295.34249999999969</v>
      </c>
      <c r="DP186" s="17">
        <f>DO186*VLOOKUP('Données projet'!$B$14,Paramètres!$A$1:$I$89,3,0)*VLOOKUP('Données projet'!$B$14,Paramètres!$A$1:$I$89,5,0)</f>
        <v>317.90666699999969</v>
      </c>
      <c r="DQ186" s="13">
        <f t="shared" si="176"/>
        <v>74.917628788327022</v>
      </c>
      <c r="DR186" s="20">
        <f t="shared" si="177"/>
        <v>684.1689818313356</v>
      </c>
      <c r="DS186" s="59">
        <f t="shared" si="125"/>
        <v>973.77510947144856</v>
      </c>
      <c r="DT186" s="59">
        <f ca="1">AVERAGE(OFFSET($DS$3,0,0,'Données projet'!$E$14+1,1))-AVERAGE(OFFSET($H$3,0,0,'Données projet'!$E$14+1,1))</f>
        <v>610.05768948788375</v>
      </c>
      <c r="DU186" s="59">
        <f t="shared" si="152"/>
        <v>295.23928902444845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82.060838119684306</v>
      </c>
      <c r="EB186" s="21">
        <f>EXP(-LN(2)/25)*EB185+(1-EXP(-LN(2)/25))/(LN(2)/25)*Calculateur!DW186*Calculateur!DY186*VLOOKUP('Données projet'!$B$14,Paramètres!$A$1:$I$89,3,0)*0.475*44/12</f>
        <v>32.748811584898291</v>
      </c>
      <c r="EC186" s="21">
        <f>EXP(-LN(2)/2)*EC185+(1-EXP(-LN(2)/2))/(LN(2)/2)*DW186*DZ186*VLOOKUP('Données projet'!$B$14,Paramètres!$A$1:$I$89,3,0)*0.475*44/12</f>
        <v>8.4560835854610996E-6</v>
      </c>
      <c r="ED186" s="22">
        <f t="shared" si="178"/>
        <v>114.80965816066619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7.9580786405131221E-13</v>
      </c>
      <c r="O187" s="13">
        <f>N187*VLOOKUP('Données projet'!$B$9,Paramètres!$A$1:$I$89,3,0)*VLOOKUP('Données projet'!$B$9,Paramètres!$A$1:$I$89,5,0)</f>
        <v>7.2004695539362725E-13</v>
      </c>
      <c r="P187" s="13">
        <f t="shared" si="141"/>
        <v>8.5963894794935589E-12</v>
      </c>
      <c r="Q187" s="20">
        <f t="shared" si="162"/>
        <v>1.6226126790761848E-11</v>
      </c>
      <c r="R187" s="59">
        <f t="shared" si="109"/>
        <v>289.67078632612294</v>
      </c>
      <c r="S187" s="59">
        <f ca="1">AVERAGE(OFFSET($R$3,0,0,'Données projet'!$E$9+1,1))-AVERAGE(OFFSET($H$3,0,0,'Données projet'!$E$9+1,1))</f>
        <v>681.47578137804555</v>
      </c>
      <c r="T187" s="59">
        <f t="shared" si="142"/>
        <v>300.88511065995885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151.10857299297834</v>
      </c>
      <c r="AA187" s="21">
        <f>EXP(-LN(2)/25)*AA186+(1-EXP(-LN(2)/25))/(LN(2)/25)*Calculateur!V187*Calculateur!X187*VLOOKUP('Données projet'!$B$9,Paramètres!$A$1:$I$89,3,0)*0.475*44/12</f>
        <v>25.037020650556091</v>
      </c>
      <c r="AB187" s="21">
        <f>EXP(-LN(2)/2)*AB186+(1-EXP(-LN(2)/2))/(LN(2)/2)*V187*Y187*VLOOKUP('Données projet'!$B$9,Paramètres!$A$1:$I$89,3,0)*0.475*44/12</f>
        <v>7.5127704464093537</v>
      </c>
      <c r="AC187" s="22">
        <f t="shared" si="163"/>
        <v>183.65836408994377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-8.8675733422860506E-14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217.53602321474159</v>
      </c>
      <c r="AO187" s="59">
        <f t="shared" si="144"/>
        <v>215.75909414893025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2.8263826539852341</v>
      </c>
      <c r="AV187" s="21">
        <f>EXP(-LN(2)/25)*AV186+(1-EXP(-LN(2)/25))/(LN(2)/25)*Calculateur!AQ187*Calculateur!AS187*VLOOKUP('Données projet'!$B$10,Paramètres!$A$1:$I$89,3,0)*0.475*44/12</f>
        <v>1.1190225850867039</v>
      </c>
      <c r="AW187" s="21">
        <f>EXP(-LN(2)/2)*AW186+(1-EXP(-LN(2)/2))/(LN(2)/2)*AQ187*AT187*VLOOKUP('Données projet'!$B$10,Paramètres!$A$1:$I$89,3,0)*0.475*44/12</f>
        <v>1.9109088825610664E-16</v>
      </c>
      <c r="AX187" s="21">
        <f t="shared" si="166"/>
        <v>3.9454052390719383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-1.7053025658242404E-13</v>
      </c>
      <c r="BE187" s="13">
        <f>BD187*VLOOKUP('Données projet'!$B$11,Paramètres!$A$1:$I$89,3,0)*VLOOKUP('Données projet'!$B$11,Paramètres!$A$1:$I$89,5,0)</f>
        <v>-1.1439169611549005E-13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281.67293577289729</v>
      </c>
      <c r="BJ187" s="59">
        <f t="shared" si="146"/>
        <v>272.44904846480154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4.3670078878673353</v>
      </c>
      <c r="BQ187" s="21">
        <f>EXP(-LN(2)/25)*BQ186+(1-EXP(-LN(2)/25))/(LN(2)/25)*Calculateur!BL187*Calculateur!BN187*VLOOKUP('Données projet'!$B$11,Paramètres!$A$1:$I$89,3,0)*0.475*44/12</f>
        <v>1.9979780186361118</v>
      </c>
      <c r="BR187" s="21">
        <f>EXP(-LN(2)/2)*BR186+(1-EXP(-LN(2)/2))/(LN(2)/2)*BL187*BO187*VLOOKUP('Données projet'!$B$11,Paramètres!$A$1:$I$89,3,0)*0.475*44/12</f>
        <v>9.7313759742144357E-15</v>
      </c>
      <c r="BS187" s="22">
        <f t="shared" si="169"/>
        <v>6.3649859065034571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-1.7053025658242404E-13</v>
      </c>
      <c r="BZ187" s="13">
        <f>BY187*VLOOKUP('Données projet'!$B$12,Paramètres!$A$1:$I$89,3,0)*VLOOKUP('Données projet'!$B$12,Paramètres!$A$1:$I$89,5,0)</f>
        <v>-1.4897523215040567E-13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348.77506423101278</v>
      </c>
      <c r="CE187" s="59">
        <f t="shared" si="148"/>
        <v>336.13747591329548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5.6872660865248994</v>
      </c>
      <c r="CL187" s="21">
        <f>EXP(-LN(2)/25)*CL186+(1-EXP(-LN(2)/25))/(LN(2)/25)*Calculateur!CG187*Calculateur!CI187*VLOOKUP('Données projet'!$B$12,Paramètres!$A$1:$I$89,3,0)*0.475*44/12</f>
        <v>2.6020178847353983</v>
      </c>
      <c r="CM187" s="21">
        <f>EXP(-LN(2)/2)*CM186+(1-EXP(-LN(2)/2))/(LN(2)/2)*CG187*CJ187*VLOOKUP('Données projet'!$B$12,Paramètres!$A$1:$I$89,3,0)*0.475*44/12</f>
        <v>1.2673419873395563E-14</v>
      </c>
      <c r="CN187" s="22">
        <f t="shared" si="172"/>
        <v>8.2892839712603106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>
        <f>VLOOKUP(A187,'Données projet'!$A$139:$I$159,2,0)</f>
        <v>300.14</v>
      </c>
      <c r="CR187" s="12">
        <f>VLOOKUP(A187,'Données projet'!$A$139:$I$159,9,0)</f>
        <v>4.7974999999999994</v>
      </c>
      <c r="CS187" s="12">
        <f t="array" ref="CS187">INDEX(CR:CR,MIN(IF(ISNUMBER(CR187:CR383),ROW(CR187:CR383),"")))</f>
        <v>4.7974999999999994</v>
      </c>
      <c r="CT187" s="12">
        <f>IF('Données projet'!$A$140&gt;35,CT186+CS187-DB186,IF(A187&lt;'Données projet'!$A$140,$CQ$205^A187,IF(A187='Données projet'!$A$140,'Données projet'!$B$140,CT186+CS187-DB186)))</f>
        <v>300.1399999999997</v>
      </c>
      <c r="CU187" s="17">
        <f>CT187*VLOOKUP('Données projet'!$B$13,Paramètres!$A$1:$I$89,3,0)*VLOOKUP('Données projet'!$B$13,Paramètres!$A$1:$I$89,5,0)</f>
        <v>290.29540799999972</v>
      </c>
      <c r="CV187" s="13">
        <f t="shared" si="173"/>
        <v>69.138131070702386</v>
      </c>
      <c r="CW187" s="20">
        <f t="shared" si="174"/>
        <v>626.01341388147284</v>
      </c>
      <c r="CX187" s="59">
        <f t="shared" si="122"/>
        <v>915.68420020757958</v>
      </c>
      <c r="CY187" s="59">
        <f ca="1">AVERAGE(OFFSET($CX$3,0,0,'Données projet'!$E$13+1,1))-AVERAGE(OFFSET($H$3,0,0,'Données projet'!$E$13+1,1))</f>
        <v>557.48193674339791</v>
      </c>
      <c r="CZ187" s="59">
        <f t="shared" si="150"/>
        <v>271.51396593253048</v>
      </c>
      <c r="DA187" s="15">
        <f>IF(ISNA(VLOOKUP(A187,'Données projet'!$A$139:$I$159,3,0)),0,VLOOKUP(A187,'Données projet'!$A$139:$I$159,3,0))</f>
        <v>14</v>
      </c>
      <c r="DB187" s="15">
        <f>IF(ISNA(VLOOKUP(A187,'Données projet'!$A$139:$I$159,4,0)),0,VLOOKUP(A187,'Données projet'!$A$139:$I$159,4,0))</f>
        <v>101.19999999999999</v>
      </c>
      <c r="DC187" s="16">
        <f>IF(ISNA(VLOOKUP(A187,'Données projet'!$A$139:$I$159,5,0)),0%,VLOOKUP(A187,'Données projet'!$A$139:$I$159,5,0)*VLOOKUP('Données projet'!$B$13,Paramètres!$A$1:$I$89,7,0))</f>
        <v>0.215</v>
      </c>
      <c r="DD187" s="16">
        <f>IF(ISNA(VLOOKUP(A187,'Données projet'!$A$139:$I$159,6,0)),0%,VLOOKUP(A187,'Données projet'!$A$139:$I$159,6,0)*VLOOKUP('Données projet'!$B$13,Paramètres!$A$1:$I$89,7,0))</f>
        <v>8.6000000000000007E-2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95.553802865752857</v>
      </c>
      <c r="DG187" s="21">
        <f>EXP(-LN(2)/25)*DG186+(1-EXP(-LN(2)/25))/(LN(2)/25)*Calculateur!DB187*Calculateur!DD187*VLOOKUP('Données projet'!$B$13,Paramètres!$A$1:$I$89,3,0)*0.475*44/12</f>
        <v>37.890717282152934</v>
      </c>
      <c r="DH187" s="21">
        <f>EXP(-LN(2)/2)*DH186+(1-EXP(-LN(2)/2))/(LN(2)/2)*DB187*DE187*VLOOKUP('Données projet'!$B$13,Paramètres!$A$1:$I$89,3,0)*0.475*44/12</f>
        <v>5.3727529105030233E-6</v>
      </c>
      <c r="DI187" s="22">
        <f t="shared" si="175"/>
        <v>133.44452552065871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>
        <f>VLOOKUP(A187,'Données projet'!$A$165:$I$185,2,0)</f>
        <v>300.14</v>
      </c>
      <c r="DM187" s="12">
        <f>VLOOKUP(A187,'Données projet'!$A$165:$I$185,9,0)</f>
        <v>4.7974999999999994</v>
      </c>
      <c r="DN187" s="12">
        <f t="array" ref="DN187">INDEX(DM:DM,MIN(IF(ISNUMBER(DM187:DM383),ROW(DM187:DM383),"")))</f>
        <v>4.7974999999999994</v>
      </c>
      <c r="DO187" s="12">
        <f>IF('Données projet'!$A$166&gt;35,DO186+DN187-DW186,IF(A187&lt;'Données projet'!$A$166,$DL$205^A187,IF(A187='Données projet'!$A$166,'Données projet'!$B$166,DO186+DN187-DW186)))</f>
        <v>300.1399999999997</v>
      </c>
      <c r="DP187" s="17">
        <f>DO187*VLOOKUP('Données projet'!$B$14,Paramètres!$A$1:$I$89,3,0)*VLOOKUP('Données projet'!$B$14,Paramètres!$A$1:$I$89,5,0)</f>
        <v>323.07069599999966</v>
      </c>
      <c r="DQ187" s="13">
        <f t="shared" si="176"/>
        <v>75.991916126944801</v>
      </c>
      <c r="DR187" s="20">
        <f t="shared" si="177"/>
        <v>695.03404945442833</v>
      </c>
      <c r="DS187" s="59">
        <f t="shared" si="125"/>
        <v>984.70483578053506</v>
      </c>
      <c r="DT187" s="59">
        <f ca="1">AVERAGE(OFFSET($DS$3,0,0,'Données projet'!$E$14+1,1))-AVERAGE(OFFSET($H$3,0,0,'Données projet'!$E$14+1,1))</f>
        <v>610.05768948788375</v>
      </c>
      <c r="DU187" s="59">
        <f t="shared" si="152"/>
        <v>295.23928902444845</v>
      </c>
      <c r="DV187" s="15">
        <f>IF(ISNA(VLOOKUP(A187,'Données projet'!$A$165:$I$185,3,0)),0,VLOOKUP(A187,'Données projet'!$A$165:$I$185,3,0))</f>
        <v>14</v>
      </c>
      <c r="DW187" s="15">
        <f>IF(ISNA(VLOOKUP(A187,'Données projet'!$A$165:$I$185,4,0)),0,VLOOKUP(A187,'Données projet'!$A$165:$I$185,4,0))</f>
        <v>101.19999999999999</v>
      </c>
      <c r="DX187" s="16">
        <f>IF(ISNA(VLOOKUP(A187,'Données projet'!$A$165:$I$185,5,0)),0%,VLOOKUP(A187,'Données projet'!$A$165:$I$185,5,0)*VLOOKUP('Données projet'!$B$14,Paramètres!$A$1:$I$89,7,0))</f>
        <v>0.215</v>
      </c>
      <c r="DY187" s="16">
        <f>IF(ISNA(VLOOKUP(A187,'Données projet'!$A$165:$I$185,6,0)),0%,VLOOKUP(A187,'Données projet'!$A$165:$I$185,6,0)*VLOOKUP('Données projet'!$B$14,Paramètres!$A$1:$I$89,7,0))</f>
        <v>8.6000000000000007E-2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106.3421354473701</v>
      </c>
      <c r="EB187" s="21">
        <f>EXP(-LN(2)/25)*EB186+(1-EXP(-LN(2)/25))/(LN(2)/25)*Calculateur!DW187*Calculateur!DY187*VLOOKUP('Données projet'!$B$14,Paramètres!$A$1:$I$89,3,0)*0.475*44/12</f>
        <v>42.168701491428266</v>
      </c>
      <c r="EC187" s="21">
        <f>EXP(-LN(2)/2)*EC186+(1-EXP(-LN(2)/2))/(LN(2)/2)*DW187*DZ187*VLOOKUP('Données projet'!$B$14,Paramètres!$A$1:$I$89,3,0)*0.475*44/12</f>
        <v>5.9793540455597981E-6</v>
      </c>
      <c r="ED187" s="22">
        <f t="shared" si="178"/>
        <v>148.51084291815243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7.9580786405131221E-13</v>
      </c>
      <c r="O188" s="13">
        <f>N188*VLOOKUP('Données projet'!$B$9,Paramètres!$A$1:$I$89,3,0)*VLOOKUP('Données projet'!$B$9,Paramètres!$A$1:$I$89,5,0)</f>
        <v>7.2004695539362725E-13</v>
      </c>
      <c r="P188" s="13">
        <f t="shared" si="141"/>
        <v>8.5963894794935589E-12</v>
      </c>
      <c r="Q188" s="20">
        <f t="shared" si="162"/>
        <v>1.6226126790761848E-11</v>
      </c>
      <c r="R188" s="59">
        <f t="shared" si="109"/>
        <v>289.73432332846994</v>
      </c>
      <c r="S188" s="59">
        <f ca="1">AVERAGE(OFFSET($R$3,0,0,'Données projet'!$E$9+1,1))-AVERAGE(OFFSET($H$3,0,0,'Données projet'!$E$9+1,1))</f>
        <v>681.47578137804555</v>
      </c>
      <c r="T188" s="59">
        <f t="shared" si="142"/>
        <v>300.88511065995885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148.14542604371482</v>
      </c>
      <c r="AA188" s="21">
        <f>EXP(-LN(2)/25)*AA187+(1-EXP(-LN(2)/25))/(LN(2)/25)*Calculateur!V188*Calculateur!X188*VLOOKUP('Données projet'!$B$9,Paramètres!$A$1:$I$89,3,0)*0.475*44/12</f>
        <v>24.352382004226943</v>
      </c>
      <c r="AB188" s="21">
        <f>EXP(-LN(2)/2)*AB187+(1-EXP(-LN(2)/2))/(LN(2)/2)*V188*Y188*VLOOKUP('Données projet'!$B$9,Paramètres!$A$1:$I$89,3,0)*0.475*44/12</f>
        <v>5.3123309281539406</v>
      </c>
      <c r="AC188" s="22">
        <f t="shared" si="163"/>
        <v>177.81013897609569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-8.8675733422860506E-14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217.53602321474159</v>
      </c>
      <c r="AO188" s="59">
        <f t="shared" si="144"/>
        <v>215.75909414893025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2.7709590140637794</v>
      </c>
      <c r="AV188" s="21">
        <f>EXP(-LN(2)/25)*AV187+(1-EXP(-LN(2)/25))/(LN(2)/25)*Calculateur!AQ188*Calculateur!AS188*VLOOKUP('Données projet'!$B$10,Paramètres!$A$1:$I$89,3,0)*0.475*44/12</f>
        <v>1.0884228536506679</v>
      </c>
      <c r="AW188" s="21">
        <f>EXP(-LN(2)/2)*AW187+(1-EXP(-LN(2)/2))/(LN(2)/2)*AQ188*AT188*VLOOKUP('Données projet'!$B$10,Paramètres!$A$1:$I$89,3,0)*0.475*44/12</f>
        <v>1.351216629088538E-16</v>
      </c>
      <c r="AX188" s="21">
        <f t="shared" si="166"/>
        <v>3.8593818677144474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-1.7053025658242404E-13</v>
      </c>
      <c r="BE188" s="13">
        <f>BD188*VLOOKUP('Données projet'!$B$11,Paramètres!$A$1:$I$89,3,0)*VLOOKUP('Données projet'!$B$11,Paramètres!$A$1:$I$89,5,0)</f>
        <v>-1.1439169611549005E-13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281.67293577289729</v>
      </c>
      <c r="BJ188" s="59">
        <f t="shared" si="146"/>
        <v>272.44904846480154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4.2813735267980588</v>
      </c>
      <c r="BQ188" s="21">
        <f>EXP(-LN(2)/25)*BQ187+(1-EXP(-LN(2)/25))/(LN(2)/25)*Calculateur!BL188*Calculateur!BN188*VLOOKUP('Données projet'!$B$11,Paramètres!$A$1:$I$89,3,0)*0.475*44/12</f>
        <v>1.9433432046474097</v>
      </c>
      <c r="BR188" s="21">
        <f>EXP(-LN(2)/2)*BR187+(1-EXP(-LN(2)/2))/(LN(2)/2)*BL188*BO188*VLOOKUP('Données projet'!$B$11,Paramètres!$A$1:$I$89,3,0)*0.475*44/12</f>
        <v>6.8811219416428728E-15</v>
      </c>
      <c r="BS188" s="22">
        <f t="shared" si="169"/>
        <v>6.2247167314454757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-1.7053025658242404E-13</v>
      </c>
      <c r="BZ188" s="13">
        <f>BY188*VLOOKUP('Données projet'!$B$12,Paramètres!$A$1:$I$89,3,0)*VLOOKUP('Données projet'!$B$12,Paramètres!$A$1:$I$89,5,0)</f>
        <v>-1.4897523215040567E-13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348.77506423101278</v>
      </c>
      <c r="CE188" s="59">
        <f t="shared" si="148"/>
        <v>336.13747591329548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5.5757422674579349</v>
      </c>
      <c r="CL188" s="21">
        <f>EXP(-LN(2)/25)*CL187+(1-EXP(-LN(2)/25))/(LN(2)/25)*Calculateur!CG188*Calculateur!CI188*VLOOKUP('Données projet'!$B$12,Paramètres!$A$1:$I$89,3,0)*0.475*44/12</f>
        <v>2.5308655688431352</v>
      </c>
      <c r="CM188" s="21">
        <f>EXP(-LN(2)/2)*CM187+(1-EXP(-LN(2)/2))/(LN(2)/2)*CG188*CJ188*VLOOKUP('Données projet'!$B$12,Paramètres!$A$1:$I$89,3,0)*0.475*44/12</f>
        <v>8.9614611333023588E-15</v>
      </c>
      <c r="CN188" s="22">
        <f t="shared" si="172"/>
        <v>8.1066078363010785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3.0825000000000031</v>
      </c>
      <c r="CT188" s="12">
        <f>IF('Données projet'!$A$140&gt;35,CT187+CS188-DB187,IF(A188&lt;'Données projet'!$A$140,$CQ$205^A188,IF(A188='Données projet'!$A$140,'Données projet'!$B$140,CT187+CS188-DB187)))</f>
        <v>202.0224999999997</v>
      </c>
      <c r="CU188" s="17">
        <f>CT188*VLOOKUP('Données projet'!$B$13,Paramètres!$A$1:$I$89,3,0)*VLOOKUP('Données projet'!$B$13,Paramètres!$A$1:$I$89,5,0)</f>
        <v>195.39616199999969</v>
      </c>
      <c r="CV188" s="13">
        <f t="shared" si="173"/>
        <v>48.731016217868188</v>
      </c>
      <c r="CW188" s="20">
        <f t="shared" si="174"/>
        <v>425.18816872945314</v>
      </c>
      <c r="CX188" s="59">
        <f t="shared" si="122"/>
        <v>714.92249205790688</v>
      </c>
      <c r="CY188" s="59">
        <f ca="1">AVERAGE(OFFSET($CX$3,0,0,'Données projet'!$E$13+1,1))-AVERAGE(OFFSET($H$3,0,0,'Données projet'!$E$13+1,1))</f>
        <v>557.48193674339791</v>
      </c>
      <c r="CZ188" s="59">
        <f t="shared" si="150"/>
        <v>271.51396593253048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93.680051073620319</v>
      </c>
      <c r="DG188" s="21">
        <f>EXP(-LN(2)/25)*DG187+(1-EXP(-LN(2)/25))/(LN(2)/25)*Calculateur!DB188*Calculateur!DD188*VLOOKUP('Données projet'!$B$13,Paramètres!$A$1:$I$89,3,0)*0.475*44/12</f>
        <v>36.854593625486238</v>
      </c>
      <c r="DH188" s="21">
        <f>EXP(-LN(2)/2)*DH187+(1-EXP(-LN(2)/2))/(LN(2)/2)*DB188*DE188*VLOOKUP('Données projet'!$B$13,Paramètres!$A$1:$I$89,3,0)*0.475*44/12</f>
        <v>3.7991100166564481E-6</v>
      </c>
      <c r="DI188" s="22">
        <f t="shared" si="175"/>
        <v>130.53464849821657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3.0825000000000031</v>
      </c>
      <c r="DO188" s="12">
        <f>IF('Données projet'!$A$166&gt;35,DO187+DN188-DW187,IF(A188&lt;'Données projet'!$A$166,$DL$205^A188,IF(A188='Données projet'!$A$166,'Données projet'!$B$166,DO187+DN188-DW187)))</f>
        <v>202.0224999999997</v>
      </c>
      <c r="DP188" s="17">
        <f>DO188*VLOOKUP('Données projet'!$B$14,Paramètres!$A$1:$I$89,3,0)*VLOOKUP('Données projet'!$B$14,Paramètres!$A$1:$I$89,5,0)</f>
        <v>217.45701899999969</v>
      </c>
      <c r="DQ188" s="13">
        <f t="shared" si="176"/>
        <v>53.561807932327227</v>
      </c>
      <c r="DR188" s="20">
        <f t="shared" si="177"/>
        <v>472.02445690713603</v>
      </c>
      <c r="DS188" s="59">
        <f t="shared" si="125"/>
        <v>761.75878023558971</v>
      </c>
      <c r="DT188" s="59">
        <f ca="1">AVERAGE(OFFSET($DS$3,0,0,'Données projet'!$E$14+1,1))-AVERAGE(OFFSET($H$3,0,0,'Données projet'!$E$14+1,1))</f>
        <v>610.05768948788375</v>
      </c>
      <c r="DU188" s="59">
        <f t="shared" si="152"/>
        <v>295.23928902444845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104.25683103354517</v>
      </c>
      <c r="EB188" s="21">
        <f>EXP(-LN(2)/25)*EB187+(1-EXP(-LN(2)/25))/(LN(2)/25)*Calculateur!DW188*Calculateur!DY188*VLOOKUP('Données projet'!$B$14,Paramètres!$A$1:$I$89,3,0)*0.475*44/12</f>
        <v>41.015596131589525</v>
      </c>
      <c r="EC188" s="21">
        <f>EXP(-LN(2)/2)*EC187+(1-EXP(-LN(2)/2))/(LN(2)/2)*DW188*DZ188*VLOOKUP('Données projet'!$B$14,Paramètres!$A$1:$I$89,3,0)*0.475*44/12</f>
        <v>4.2280417927305498E-6</v>
      </c>
      <c r="ED188" s="22">
        <f t="shared" si="178"/>
        <v>145.2724313931765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7.9580786405131221E-13</v>
      </c>
      <c r="O189" s="13">
        <f>N189*VLOOKUP('Données projet'!$B$9,Paramètres!$A$1:$I$89,3,0)*VLOOKUP('Données projet'!$B$9,Paramètres!$A$1:$I$89,5,0)</f>
        <v>7.2004695539362725E-13</v>
      </c>
      <c r="P189" s="13">
        <f t="shared" si="141"/>
        <v>8.5963894794935589E-12</v>
      </c>
      <c r="Q189" s="20">
        <f t="shared" si="162"/>
        <v>1.6226126790761848E-11</v>
      </c>
      <c r="R189" s="59">
        <f t="shared" si="109"/>
        <v>289.79675810587361</v>
      </c>
      <c r="S189" s="59">
        <f ca="1">AVERAGE(OFFSET($R$3,0,0,'Données projet'!$E$9+1,1))-AVERAGE(OFFSET($H$3,0,0,'Données projet'!$E$9+1,1))</f>
        <v>681.47578137804555</v>
      </c>
      <c r="T189" s="59">
        <f t="shared" si="142"/>
        <v>300.88511065995885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145.24038459878517</v>
      </c>
      <c r="AA189" s="21">
        <f>EXP(-LN(2)/25)*AA188+(1-EXP(-LN(2)/25))/(LN(2)/25)*Calculateur!V189*Calculateur!X189*VLOOKUP('Données projet'!$B$9,Paramètres!$A$1:$I$89,3,0)*0.475*44/12</f>
        <v>23.686464837685246</v>
      </c>
      <c r="AB189" s="21">
        <f>EXP(-LN(2)/2)*AB188+(1-EXP(-LN(2)/2))/(LN(2)/2)*V189*Y189*VLOOKUP('Données projet'!$B$9,Paramètres!$A$1:$I$89,3,0)*0.475*44/12</f>
        <v>3.7563852232046777</v>
      </c>
      <c r="AC189" s="22">
        <f t="shared" si="163"/>
        <v>172.68323465967509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-8.8675733422860506E-14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217.53602321474159</v>
      </c>
      <c r="AO189" s="59">
        <f t="shared" si="144"/>
        <v>215.75909414893025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2.7166221979161018</v>
      </c>
      <c r="AV189" s="21">
        <f>EXP(-LN(2)/25)*AV188+(1-EXP(-LN(2)/25))/(LN(2)/25)*Calculateur!AQ189*Calculateur!AS189*VLOOKUP('Données projet'!$B$10,Paramètres!$A$1:$I$89,3,0)*0.475*44/12</f>
        <v>1.0586598734799202</v>
      </c>
      <c r="AW189" s="21">
        <f>EXP(-LN(2)/2)*AW188+(1-EXP(-LN(2)/2))/(LN(2)/2)*AQ189*AT189*VLOOKUP('Données projet'!$B$10,Paramètres!$A$1:$I$89,3,0)*0.475*44/12</f>
        <v>9.554544412805332E-17</v>
      </c>
      <c r="AX189" s="21">
        <f t="shared" si="166"/>
        <v>3.7752820713960222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-1.7053025658242404E-13</v>
      </c>
      <c r="BE189" s="13">
        <f>BD189*VLOOKUP('Données projet'!$B$11,Paramètres!$A$1:$I$89,3,0)*VLOOKUP('Données projet'!$B$11,Paramètres!$A$1:$I$89,5,0)</f>
        <v>-1.1439169611549005E-13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281.67293577289729</v>
      </c>
      <c r="BJ189" s="59">
        <f t="shared" si="146"/>
        <v>272.44904846480154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4.1974184033175481</v>
      </c>
      <c r="BQ189" s="21">
        <f>EXP(-LN(2)/25)*BQ188+(1-EXP(-LN(2)/25))/(LN(2)/25)*Calculateur!BL189*Calculateur!BN189*VLOOKUP('Données projet'!$B$11,Paramètres!$A$1:$I$89,3,0)*0.475*44/12</f>
        <v>1.8902023825203487</v>
      </c>
      <c r="BR189" s="21">
        <f>EXP(-LN(2)/2)*BR188+(1-EXP(-LN(2)/2))/(LN(2)/2)*BL189*BO189*VLOOKUP('Données projet'!$B$11,Paramètres!$A$1:$I$89,3,0)*0.475*44/12</f>
        <v>4.8656879871072178E-15</v>
      </c>
      <c r="BS189" s="22">
        <f t="shared" si="169"/>
        <v>6.0876207858379017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-1.7053025658242404E-13</v>
      </c>
      <c r="BZ189" s="13">
        <f>BY189*VLOOKUP('Données projet'!$B$12,Paramètres!$A$1:$I$89,3,0)*VLOOKUP('Données projet'!$B$12,Paramètres!$A$1:$I$89,5,0)</f>
        <v>-1.4897523215040567E-13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348.77506423101278</v>
      </c>
      <c r="CE189" s="59">
        <f t="shared" si="148"/>
        <v>336.13747591329548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5.4664053624600601</v>
      </c>
      <c r="CL189" s="21">
        <f>EXP(-LN(2)/25)*CL188+(1-EXP(-LN(2)/25))/(LN(2)/25)*Calculateur!CG189*Calculateur!CI189*VLOOKUP('Données projet'!$B$12,Paramètres!$A$1:$I$89,3,0)*0.475*44/12</f>
        <v>2.4616589167706837</v>
      </c>
      <c r="CM189" s="21">
        <f>EXP(-LN(2)/2)*CM188+(1-EXP(-LN(2)/2))/(LN(2)/2)*CG189*CJ189*VLOOKUP('Données projet'!$B$12,Paramètres!$A$1:$I$89,3,0)*0.475*44/12</f>
        <v>6.3367099366977813E-15</v>
      </c>
      <c r="CN189" s="22">
        <f t="shared" si="172"/>
        <v>7.9280642792307505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3.0825000000000031</v>
      </c>
      <c r="CT189" s="12">
        <f>IF('Données projet'!$A$140&gt;35,CT188+CS189-DB188,IF(A189&lt;'Données projet'!$A$140,$CQ$205^A189,IF(A189='Données projet'!$A$140,'Données projet'!$B$140,CT188+CS189-DB188)))</f>
        <v>205.10499999999971</v>
      </c>
      <c r="CU189" s="17">
        <f>CT189*VLOOKUP('Données projet'!$B$13,Paramètres!$A$1:$I$89,3,0)*VLOOKUP('Données projet'!$B$13,Paramètres!$A$1:$I$89,5,0)</f>
        <v>198.37755599999971</v>
      </c>
      <c r="CV189" s="13">
        <f t="shared" si="173"/>
        <v>49.387434785250633</v>
      </c>
      <c r="CW189" s="20">
        <f t="shared" si="174"/>
        <v>431.52402561764438</v>
      </c>
      <c r="CX189" s="59">
        <f t="shared" si="122"/>
        <v>721.32078372350179</v>
      </c>
      <c r="CY189" s="59">
        <f ca="1">AVERAGE(OFFSET($CX$3,0,0,'Données projet'!$E$13+1,1))-AVERAGE(OFFSET($H$3,0,0,'Données projet'!$E$13+1,1))</f>
        <v>557.48193674339791</v>
      </c>
      <c r="CZ189" s="59">
        <f t="shared" si="150"/>
        <v>271.51396593253048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91.843042411255752</v>
      </c>
      <c r="DG189" s="21">
        <f>EXP(-LN(2)/25)*DG188+(1-EXP(-LN(2)/25))/(LN(2)/25)*Calculateur!DB189*Calculateur!DD189*VLOOKUP('Données projet'!$B$13,Paramètres!$A$1:$I$89,3,0)*0.475*44/12</f>
        <v>35.846802824698472</v>
      </c>
      <c r="DH189" s="21">
        <f>EXP(-LN(2)/2)*DH188+(1-EXP(-LN(2)/2))/(LN(2)/2)*DB189*DE189*VLOOKUP('Données projet'!$B$13,Paramètres!$A$1:$I$89,3,0)*0.475*44/12</f>
        <v>2.6863764552515121E-6</v>
      </c>
      <c r="DI189" s="22">
        <f t="shared" si="175"/>
        <v>127.68984792233069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3.0825000000000031</v>
      </c>
      <c r="DO189" s="12">
        <f>IF('Données projet'!$A$166&gt;35,DO188+DN189-DW188,IF(A189&lt;'Données projet'!$A$166,$DL$205^A189,IF(A189='Données projet'!$A$166,'Données projet'!$B$166,DO188+DN189-DW188)))</f>
        <v>205.10499999999971</v>
      </c>
      <c r="DP189" s="17">
        <f>DO189*VLOOKUP('Données projet'!$B$14,Paramètres!$A$1:$I$89,3,0)*VLOOKUP('Données projet'!$B$14,Paramètres!$A$1:$I$89,5,0)</f>
        <v>220.77502199999969</v>
      </c>
      <c r="DQ189" s="13">
        <f t="shared" si="176"/>
        <v>54.283298431769296</v>
      </c>
      <c r="DR189" s="20">
        <f t="shared" si="177"/>
        <v>479.05990808533096</v>
      </c>
      <c r="DS189" s="59">
        <f t="shared" si="125"/>
        <v>768.85666619118842</v>
      </c>
      <c r="DT189" s="59">
        <f ca="1">AVERAGE(OFFSET($DS$3,0,0,'Données projet'!$E$14+1,1))-AVERAGE(OFFSET($H$3,0,0,'Données projet'!$E$14+1,1))</f>
        <v>610.05768948788375</v>
      </c>
      <c r="DU189" s="59">
        <f t="shared" si="152"/>
        <v>295.23928902444845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102.21241816736524</v>
      </c>
      <c r="EB189" s="21">
        <f>EXP(-LN(2)/25)*EB188+(1-EXP(-LN(2)/25))/(LN(2)/25)*Calculateur!DW189*Calculateur!DY189*VLOOKUP('Données projet'!$B$14,Paramètres!$A$1:$I$89,3,0)*0.475*44/12</f>
        <v>39.894022498454753</v>
      </c>
      <c r="EC189" s="21">
        <f>EXP(-LN(2)/2)*EC188+(1-EXP(-LN(2)/2))/(LN(2)/2)*DW189*DZ189*VLOOKUP('Données projet'!$B$14,Paramètres!$A$1:$I$89,3,0)*0.475*44/12</f>
        <v>2.989677022779899E-6</v>
      </c>
      <c r="ED189" s="22">
        <f t="shared" si="178"/>
        <v>142.10644365549703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7.9580786405131221E-13</v>
      </c>
      <c r="O190" s="13">
        <f>N190*VLOOKUP('Données projet'!$B$9,Paramètres!$A$1:$I$89,3,0)*VLOOKUP('Données projet'!$B$9,Paramètres!$A$1:$I$89,5,0)</f>
        <v>7.2004695539362725E-13</v>
      </c>
      <c r="P190" s="13">
        <f t="shared" si="141"/>
        <v>8.5963894794935589E-12</v>
      </c>
      <c r="Q190" s="20">
        <f t="shared" si="162"/>
        <v>1.6226126790761848E-11</v>
      </c>
      <c r="R190" s="59">
        <f t="shared" si="109"/>
        <v>289.85810977947261</v>
      </c>
      <c r="S190" s="59">
        <f ca="1">AVERAGE(OFFSET($R$3,0,0,'Données projet'!$E$9+1,1))-AVERAGE(OFFSET($H$3,0,0,'Données projet'!$E$9+1,1))</f>
        <v>681.47578137804555</v>
      </c>
      <c r="T190" s="59">
        <f t="shared" si="142"/>
        <v>300.88511065995885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142.39230924469027</v>
      </c>
      <c r="AA190" s="21">
        <f>EXP(-LN(2)/25)*AA189+(1-EXP(-LN(2)/25))/(LN(2)/25)*Calculateur!V190*Calculateur!X190*VLOOKUP('Données projet'!$B$9,Paramètres!$A$1:$I$89,3,0)*0.475*44/12</f>
        <v>23.038757211081695</v>
      </c>
      <c r="AB190" s="21">
        <f>EXP(-LN(2)/2)*AB189+(1-EXP(-LN(2)/2))/(LN(2)/2)*V190*Y190*VLOOKUP('Données projet'!$B$9,Paramètres!$A$1:$I$89,3,0)*0.475*44/12</f>
        <v>2.6561654640769707</v>
      </c>
      <c r="AC190" s="22">
        <f t="shared" si="163"/>
        <v>168.08723191984893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-8.8675733422860506E-14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217.53602321474159</v>
      </c>
      <c r="AO190" s="59">
        <f t="shared" si="144"/>
        <v>215.75909414893025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2.6633508935908949</v>
      </c>
      <c r="AV190" s="21">
        <f>EXP(-LN(2)/25)*AV189+(1-EXP(-LN(2)/25))/(LN(2)/25)*Calculateur!AQ190*Calculateur!AS190*VLOOKUP('Données projet'!$B$10,Paramètres!$A$1:$I$89,3,0)*0.475*44/12</f>
        <v>1.0297107635671086</v>
      </c>
      <c r="AW190" s="21">
        <f>EXP(-LN(2)/2)*AW189+(1-EXP(-LN(2)/2))/(LN(2)/2)*AQ190*AT190*VLOOKUP('Données projet'!$B$10,Paramètres!$A$1:$I$89,3,0)*0.475*44/12</f>
        <v>6.75608314544269E-17</v>
      </c>
      <c r="AX190" s="21">
        <f t="shared" si="166"/>
        <v>3.6930616571580037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-1.7053025658242404E-13</v>
      </c>
      <c r="BE190" s="13">
        <f>BD190*VLOOKUP('Données projet'!$B$11,Paramètres!$A$1:$I$89,3,0)*VLOOKUP('Données projet'!$B$11,Paramètres!$A$1:$I$89,5,0)</f>
        <v>-1.1439169611549005E-13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281.67293577289729</v>
      </c>
      <c r="BJ190" s="59">
        <f t="shared" si="146"/>
        <v>272.44904846480154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4.1151095886009212</v>
      </c>
      <c r="BQ190" s="21">
        <f>EXP(-LN(2)/25)*BQ189+(1-EXP(-LN(2)/25))/(LN(2)/25)*Calculateur!BL190*Calculateur!BN190*VLOOKUP('Données projet'!$B$11,Paramètres!$A$1:$I$89,3,0)*0.475*44/12</f>
        <v>1.8385146989689065</v>
      </c>
      <c r="BR190" s="21">
        <f>EXP(-LN(2)/2)*BR189+(1-EXP(-LN(2)/2))/(LN(2)/2)*BL190*BO190*VLOOKUP('Données projet'!$B$11,Paramètres!$A$1:$I$89,3,0)*0.475*44/12</f>
        <v>3.4405609708214364E-15</v>
      </c>
      <c r="BS190" s="22">
        <f t="shared" si="169"/>
        <v>5.9536242875698315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-1.7053025658242404E-13</v>
      </c>
      <c r="BZ190" s="13">
        <f>BY190*VLOOKUP('Données projet'!$B$12,Paramètres!$A$1:$I$89,3,0)*VLOOKUP('Données projet'!$B$12,Paramètres!$A$1:$I$89,5,0)</f>
        <v>-1.4897523215040567E-13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348.77506423101278</v>
      </c>
      <c r="CE190" s="59">
        <f t="shared" si="148"/>
        <v>336.13747591329548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5.3592124874802671</v>
      </c>
      <c r="CL190" s="21">
        <f>EXP(-LN(2)/25)*CL189+(1-EXP(-LN(2)/25))/(LN(2)/25)*Calculateur!CG190*Calculateur!CI190*VLOOKUP('Données projet'!$B$12,Paramètres!$A$1:$I$89,3,0)*0.475*44/12</f>
        <v>2.3943447242385729</v>
      </c>
      <c r="CM190" s="21">
        <f>EXP(-LN(2)/2)*CM189+(1-EXP(-LN(2)/2))/(LN(2)/2)*CG190*CJ190*VLOOKUP('Données projet'!$B$12,Paramètres!$A$1:$I$89,3,0)*0.475*44/12</f>
        <v>4.4807305666511794E-15</v>
      </c>
      <c r="CN190" s="22">
        <f t="shared" si="172"/>
        <v>7.7535572117188449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3.0825000000000031</v>
      </c>
      <c r="CT190" s="12">
        <f>IF('Données projet'!$A$140&gt;35,CT189+CS190-DB189,IF(A190&lt;'Données projet'!$A$140,$CQ$205^A190,IF(A190='Données projet'!$A$140,'Données projet'!$B$140,CT189+CS190-DB189)))</f>
        <v>208.18749999999972</v>
      </c>
      <c r="CU190" s="17">
        <f>CT190*VLOOKUP('Données projet'!$B$13,Paramètres!$A$1:$I$89,3,0)*VLOOKUP('Données projet'!$B$13,Paramètres!$A$1:$I$89,5,0)</f>
        <v>201.35894999999971</v>
      </c>
      <c r="CV190" s="13">
        <f t="shared" si="173"/>
        <v>50.042705996748062</v>
      </c>
      <c r="CW190" s="20">
        <f t="shared" si="174"/>
        <v>437.85788419433567</v>
      </c>
      <c r="CX190" s="59">
        <f t="shared" si="122"/>
        <v>727.71599397379214</v>
      </c>
      <c r="CY190" s="59">
        <f ca="1">AVERAGE(OFFSET($CX$3,0,0,'Données projet'!$E$13+1,1))-AVERAGE(OFFSET($H$3,0,0,'Données projet'!$E$13+1,1))</f>
        <v>557.48193674339791</v>
      </c>
      <c r="CZ190" s="59">
        <f t="shared" si="150"/>
        <v>271.51396593253048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90.042056368295505</v>
      </c>
      <c r="DG190" s="21">
        <f>EXP(-LN(2)/25)*DG189+(1-EXP(-LN(2)/25))/(LN(2)/25)*Calculateur!DB190*Calculateur!DD190*VLOOKUP('Données projet'!$B$13,Paramètres!$A$1:$I$89,3,0)*0.475*44/12</f>
        <v>34.866570116355661</v>
      </c>
      <c r="DH190" s="21">
        <f>EXP(-LN(2)/2)*DH189+(1-EXP(-LN(2)/2))/(LN(2)/2)*DB190*DE190*VLOOKUP('Données projet'!$B$13,Paramètres!$A$1:$I$89,3,0)*0.475*44/12</f>
        <v>1.8995550083282243E-6</v>
      </c>
      <c r="DI190" s="22">
        <f t="shared" si="175"/>
        <v>124.90862838420617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3.0825000000000031</v>
      </c>
      <c r="DO190" s="12">
        <f>IF('Données projet'!$A$166&gt;35,DO189+DN190-DW189,IF(A190&lt;'Données projet'!$A$166,$DL$205^A190,IF(A190='Données projet'!$A$166,'Données projet'!$B$166,DO189+DN190-DW189)))</f>
        <v>208.18749999999972</v>
      </c>
      <c r="DP190" s="17">
        <f>DO190*VLOOKUP('Données projet'!$B$14,Paramètres!$A$1:$I$89,3,0)*VLOOKUP('Données projet'!$B$14,Paramètres!$A$1:$I$89,5,0)</f>
        <v>224.0930249999997</v>
      </c>
      <c r="DQ190" s="13">
        <f t="shared" si="176"/>
        <v>55.003527835910873</v>
      </c>
      <c r="DR190" s="20">
        <f t="shared" si="177"/>
        <v>486.09316285587761</v>
      </c>
      <c r="DS190" s="59">
        <f t="shared" si="125"/>
        <v>775.95127263533402</v>
      </c>
      <c r="DT190" s="59">
        <f ca="1">AVERAGE(OFFSET($DS$3,0,0,'Données projet'!$E$14+1,1))-AVERAGE(OFFSET($H$3,0,0,'Données projet'!$E$14+1,1))</f>
        <v>610.05768948788375</v>
      </c>
      <c r="DU190" s="59">
        <f t="shared" si="152"/>
        <v>295.23928902444845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100.2080949905224</v>
      </c>
      <c r="EB190" s="21">
        <f>EXP(-LN(2)/25)*EB189+(1-EXP(-LN(2)/25))/(LN(2)/25)*Calculateur!DW190*Calculateur!DY190*VLOOKUP('Données projet'!$B$14,Paramètres!$A$1:$I$89,3,0)*0.475*44/12</f>
        <v>38.803118355299041</v>
      </c>
      <c r="EC190" s="21">
        <f>EXP(-LN(2)/2)*EC189+(1-EXP(-LN(2)/2))/(LN(2)/2)*DW190*DZ190*VLOOKUP('Données projet'!$B$14,Paramètres!$A$1:$I$89,3,0)*0.475*44/12</f>
        <v>2.1140208963652749E-6</v>
      </c>
      <c r="ED190" s="22">
        <f t="shared" si="178"/>
        <v>139.01121545984233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7.9580786405131221E-13</v>
      </c>
      <c r="O191" s="13">
        <f>N191*VLOOKUP('Données projet'!$B$9,Paramètres!$A$1:$I$89,3,0)*VLOOKUP('Données projet'!$B$9,Paramètres!$A$1:$I$89,5,0)</f>
        <v>7.2004695539362725E-13</v>
      </c>
      <c r="P191" s="13">
        <f t="shared" si="141"/>
        <v>8.5963894794935589E-12</v>
      </c>
      <c r="Q191" s="20">
        <f t="shared" si="162"/>
        <v>1.6226126790761848E-11</v>
      </c>
      <c r="R191" s="59">
        <f t="shared" si="109"/>
        <v>289.91839713869643</v>
      </c>
      <c r="S191" s="59">
        <f ca="1">AVERAGE(OFFSET($R$3,0,0,'Données projet'!$E$9+1,1))-AVERAGE(OFFSET($H$3,0,0,'Données projet'!$E$9+1,1))</f>
        <v>681.47578137804555</v>
      </c>
      <c r="T191" s="59">
        <f t="shared" si="142"/>
        <v>300.88511065995885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139.60008291113473</v>
      </c>
      <c r="AA191" s="21">
        <f>EXP(-LN(2)/25)*AA190+(1-EXP(-LN(2)/25))/(LN(2)/25)*Calculateur!V191*Calculateur!X191*VLOOKUP('Données projet'!$B$9,Paramètres!$A$1:$I$89,3,0)*0.475*44/12</f>
        <v>22.408761183589078</v>
      </c>
      <c r="AB191" s="21">
        <f>EXP(-LN(2)/2)*AB190+(1-EXP(-LN(2)/2))/(LN(2)/2)*V191*Y191*VLOOKUP('Données projet'!$B$9,Paramètres!$A$1:$I$89,3,0)*0.475*44/12</f>
        <v>1.8781926116023391</v>
      </c>
      <c r="AC191" s="22">
        <f t="shared" si="163"/>
        <v>163.88703670632617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-8.8675733422860506E-14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217.53602321474159</v>
      </c>
      <c r="AO191" s="59">
        <f t="shared" si="144"/>
        <v>215.75909414893025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2.6111242070512182</v>
      </c>
      <c r="AV191" s="21">
        <f>EXP(-LN(2)/25)*AV190+(1-EXP(-LN(2)/25))/(LN(2)/25)*Calculateur!AQ191*Calculateur!AS191*VLOOKUP('Données projet'!$B$10,Paramètres!$A$1:$I$89,3,0)*0.475*44/12</f>
        <v>1.0015532685872304</v>
      </c>
      <c r="AW191" s="21">
        <f>EXP(-LN(2)/2)*AW190+(1-EXP(-LN(2)/2))/(LN(2)/2)*AQ191*AT191*VLOOKUP('Données projet'!$B$10,Paramètres!$A$1:$I$89,3,0)*0.475*44/12</f>
        <v>4.777272206402666E-17</v>
      </c>
      <c r="AX191" s="21">
        <f t="shared" si="166"/>
        <v>3.6126774756384483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-1.7053025658242404E-13</v>
      </c>
      <c r="BE191" s="13">
        <f>BD191*VLOOKUP('Données projet'!$B$11,Paramètres!$A$1:$I$89,3,0)*VLOOKUP('Données projet'!$B$11,Paramètres!$A$1:$I$89,5,0)</f>
        <v>-1.1439169611549005E-13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281.67293577289729</v>
      </c>
      <c r="BJ191" s="59">
        <f t="shared" si="146"/>
        <v>272.44904846480154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4.0344147995374673</v>
      </c>
      <c r="BQ191" s="21">
        <f>EXP(-LN(2)/25)*BQ190+(1-EXP(-LN(2)/25))/(LN(2)/25)*Calculateur!BL191*Calculateur!BN191*VLOOKUP('Données projet'!$B$11,Paramètres!$A$1:$I$89,3,0)*0.475*44/12</f>
        <v>1.7882404178423157</v>
      </c>
      <c r="BR191" s="21">
        <f>EXP(-LN(2)/2)*BR190+(1-EXP(-LN(2)/2))/(LN(2)/2)*BL191*BO191*VLOOKUP('Données projet'!$B$11,Paramètres!$A$1:$I$89,3,0)*0.475*44/12</f>
        <v>2.4328439935536089E-15</v>
      </c>
      <c r="BS191" s="22">
        <f t="shared" si="169"/>
        <v>5.8226552173797854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-1.7053025658242404E-13</v>
      </c>
      <c r="BZ191" s="13">
        <f>BY191*VLOOKUP('Données projet'!$B$12,Paramètres!$A$1:$I$89,3,0)*VLOOKUP('Données projet'!$B$12,Paramètres!$A$1:$I$89,5,0)</f>
        <v>-1.4897523215040567E-13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348.77506423101278</v>
      </c>
      <c r="CE191" s="59">
        <f t="shared" si="148"/>
        <v>336.13747591329548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5.2541215993976298</v>
      </c>
      <c r="CL191" s="21">
        <f>EXP(-LN(2)/25)*CL190+(1-EXP(-LN(2)/25))/(LN(2)/25)*Calculateur!CG191*Calculateur!CI191*VLOOKUP('Données projet'!$B$12,Paramètres!$A$1:$I$89,3,0)*0.475*44/12</f>
        <v>2.3288712418411524</v>
      </c>
      <c r="CM191" s="21">
        <f>EXP(-LN(2)/2)*CM190+(1-EXP(-LN(2)/2))/(LN(2)/2)*CG191*CJ191*VLOOKUP('Données projet'!$B$12,Paramètres!$A$1:$I$89,3,0)*0.475*44/12</f>
        <v>3.1683549683488907E-15</v>
      </c>
      <c r="CN191" s="22">
        <f t="shared" si="172"/>
        <v>7.5829928412387861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>
        <f>VLOOKUP(A191,'Données projet'!$A$139:$I$159,2,0)</f>
        <v>211.27</v>
      </c>
      <c r="CR191" s="12">
        <f>VLOOKUP(A191,'Données projet'!$A$139:$I$159,9,0)</f>
        <v>3.0825000000000031</v>
      </c>
      <c r="CS191" s="12">
        <f t="array" ref="CS191">INDEX(CR:CR,MIN(IF(ISNUMBER(CR191:CR387),ROW(CR191:CR387),"")))</f>
        <v>3.0825000000000031</v>
      </c>
      <c r="CT191" s="12">
        <f>IF('Données projet'!$A$140&gt;35,CT190+CS191-DB190,IF(A191&lt;'Données projet'!$A$140,$CQ$205^A191,IF(A191='Données projet'!$A$140,'Données projet'!$B$140,CT190+CS191-DB190)))</f>
        <v>211.26999999999973</v>
      </c>
      <c r="CU191" s="17">
        <f>CT191*VLOOKUP('Données projet'!$B$13,Paramètres!$A$1:$I$89,3,0)*VLOOKUP('Données projet'!$B$13,Paramètres!$A$1:$I$89,5,0)</f>
        <v>204.34034399999976</v>
      </c>
      <c r="CV191" s="13">
        <f t="shared" si="173"/>
        <v>50.696848803013133</v>
      </c>
      <c r="CW191" s="20">
        <f t="shared" si="174"/>
        <v>444.18977746524746</v>
      </c>
      <c r="CX191" s="59">
        <f t="shared" si="122"/>
        <v>734.10817460392764</v>
      </c>
      <c r="CY191" s="59">
        <f ca="1">AVERAGE(OFFSET($CX$3,0,0,'Données projet'!$E$13+1,1))-AVERAGE(OFFSET($H$3,0,0,'Données projet'!$E$13+1,1))</f>
        <v>557.48193674339791</v>
      </c>
      <c r="CZ191" s="59">
        <f t="shared" si="150"/>
        <v>271.51396593253048</v>
      </c>
      <c r="DA191" s="15">
        <f>IF(ISNA(VLOOKUP(A191,'Données projet'!$A$139:$I$159,3,0)),0,VLOOKUP(A191,'Données projet'!$A$139:$I$159,3,0))</f>
        <v>15</v>
      </c>
      <c r="DB191" s="15">
        <f>IF(ISNA(VLOOKUP(A191,'Données projet'!$A$139:$I$159,4,0)),0,VLOOKUP(A191,'Données projet'!$A$139:$I$159,4,0))</f>
        <v>72.180000000000007</v>
      </c>
      <c r="DC191" s="16">
        <f>IF(ISNA(VLOOKUP(A191,'Données projet'!$A$139:$I$159,5,0)),0%,VLOOKUP(A191,'Données projet'!$A$139:$I$159,5,0)*VLOOKUP('Données projet'!$B$13,Paramètres!$A$1:$I$89,7,0))</f>
        <v>0.215</v>
      </c>
      <c r="DD191" s="16">
        <f>IF(ISNA(VLOOKUP(A191,'Données projet'!$A$139:$I$159,6,0)),0%,VLOOKUP(A191,'Données projet'!$A$139:$I$159,6,0)*VLOOKUP('Données projet'!$B$13,Paramètres!$A$1:$I$89,7,0))</f>
        <v>8.6000000000000007E-2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104.86915054973615</v>
      </c>
      <c r="DG191" s="21">
        <f>EXP(-LN(2)/25)*DG190+(1-EXP(-LN(2)/25))/(LN(2)/25)*Calculateur!DB191*Calculateur!DD191*VLOOKUP('Données projet'!$B$13,Paramètres!$A$1:$I$89,3,0)*0.475*44/12</f>
        <v>40.524114703945678</v>
      </c>
      <c r="DH191" s="21">
        <f>EXP(-LN(2)/2)*DH190+(1-EXP(-LN(2)/2))/(LN(2)/2)*DB191*DE191*VLOOKUP('Données projet'!$B$13,Paramètres!$A$1:$I$89,3,0)*0.475*44/12</f>
        <v>1.3431882276257563E-6</v>
      </c>
      <c r="DI191" s="22">
        <f t="shared" si="175"/>
        <v>145.39326659687003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>
        <f>VLOOKUP(A191,'Données projet'!$A$165:$I$185,2,0)</f>
        <v>211.27</v>
      </c>
      <c r="DM191" s="12">
        <f>VLOOKUP(A191,'Données projet'!$A$165:$I$185,9,0)</f>
        <v>3.0825000000000031</v>
      </c>
      <c r="DN191" s="12">
        <f t="array" ref="DN191">INDEX(DM:DM,MIN(IF(ISNUMBER(DM191:DM387),ROW(DM191:DM387),"")))</f>
        <v>3.0825000000000031</v>
      </c>
      <c r="DO191" s="12">
        <f>IF('Données projet'!$A$166&gt;35,DO190+DN191-DW190,IF(A191&lt;'Données projet'!$A$166,$DL$205^A191,IF(A191='Données projet'!$A$166,'Données projet'!$B$166,DO190+DN191-DW190)))</f>
        <v>211.26999999999973</v>
      </c>
      <c r="DP191" s="17">
        <f>DO191*VLOOKUP('Données projet'!$B$14,Paramètres!$A$1:$I$89,3,0)*VLOOKUP('Données projet'!$B$14,Paramètres!$A$1:$I$89,5,0)</f>
        <v>227.41102799999967</v>
      </c>
      <c r="DQ191" s="13">
        <f t="shared" si="176"/>
        <v>55.72251697401623</v>
      </c>
      <c r="DR191" s="20">
        <f t="shared" si="177"/>
        <v>493.12425749641096</v>
      </c>
      <c r="DS191" s="59">
        <f t="shared" si="125"/>
        <v>783.04265463509114</v>
      </c>
      <c r="DT191" s="59">
        <f ca="1">AVERAGE(OFFSET($DS$3,0,0,'Données projet'!$E$14+1,1))-AVERAGE(OFFSET($H$3,0,0,'Données projet'!$E$14+1,1))</f>
        <v>610.05768948788375</v>
      </c>
      <c r="DU191" s="59">
        <f t="shared" si="152"/>
        <v>295.23928902444845</v>
      </c>
      <c r="DV191" s="15">
        <f>IF(ISNA(VLOOKUP(A191,'Données projet'!$A$165:$I$185,3,0)),0,VLOOKUP(A191,'Données projet'!$A$165:$I$185,3,0))</f>
        <v>15</v>
      </c>
      <c r="DW191" s="15">
        <f>IF(ISNA(VLOOKUP(A191,'Données projet'!$A$165:$I$185,4,0)),0,VLOOKUP(A191,'Données projet'!$A$165:$I$185,4,0))</f>
        <v>72.180000000000007</v>
      </c>
      <c r="DX191" s="16">
        <f>IF(ISNA(VLOOKUP(A191,'Données projet'!$A$165:$I$185,5,0)),0%,VLOOKUP(A191,'Données projet'!$A$165:$I$185,5,0)*VLOOKUP('Données projet'!$B$14,Paramètres!$A$1:$I$89,7,0))</f>
        <v>0.215</v>
      </c>
      <c r="DY191" s="16">
        <f>IF(ISNA(VLOOKUP(A191,'Données projet'!$A$165:$I$185,6,0)),0%,VLOOKUP(A191,'Données projet'!$A$165:$I$185,6,0)*VLOOKUP('Données projet'!$B$14,Paramètres!$A$1:$I$89,7,0))</f>
        <v>8.6000000000000007E-2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116.70921593438376</v>
      </c>
      <c r="EB191" s="21">
        <f>EXP(-LN(2)/25)*EB190+(1-EXP(-LN(2)/25))/(LN(2)/25)*Calculateur!DW191*Calculateur!DY191*VLOOKUP('Données projet'!$B$14,Paramètres!$A$1:$I$89,3,0)*0.475*44/12</f>
        <v>45.099417976971807</v>
      </c>
      <c r="EC191" s="21">
        <f>EXP(-LN(2)/2)*EC190+(1-EXP(-LN(2)/2))/(LN(2)/2)*DW191*DZ191*VLOOKUP('Données projet'!$B$14,Paramètres!$A$1:$I$89,3,0)*0.475*44/12</f>
        <v>1.4948385113899495E-6</v>
      </c>
      <c r="ED191" s="22">
        <f t="shared" si="178"/>
        <v>161.80863540619407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7.9580786405131221E-13</v>
      </c>
      <c r="O192" s="13">
        <f>N192*VLOOKUP('Données projet'!$B$9,Paramètres!$A$1:$I$89,3,0)*VLOOKUP('Données projet'!$B$9,Paramètres!$A$1:$I$89,5,0)</f>
        <v>7.2004695539362725E-13</v>
      </c>
      <c r="P192" s="13">
        <f t="shared" si="141"/>
        <v>8.5963894794935589E-12</v>
      </c>
      <c r="Q192" s="20">
        <f t="shared" si="162"/>
        <v>1.6226126790761848E-11</v>
      </c>
      <c r="R192" s="59">
        <f t="shared" si="109"/>
        <v>289.97763864702006</v>
      </c>
      <c r="S192" s="59">
        <f ca="1">AVERAGE(OFFSET($R$3,0,0,'Données projet'!$E$9+1,1))-AVERAGE(OFFSET($H$3,0,0,'Données projet'!$E$9+1,1))</f>
        <v>681.47578137804555</v>
      </c>
      <c r="T192" s="59">
        <f t="shared" si="142"/>
        <v>300.88511065995885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136.86261043289034</v>
      </c>
      <c r="AA192" s="21">
        <f>EXP(-LN(2)/25)*AA191+(1-EXP(-LN(2)/25))/(LN(2)/25)*Calculateur!V192*Calculateur!X192*VLOOKUP('Données projet'!$B$9,Paramètres!$A$1:$I$89,3,0)*0.475*44/12</f>
        <v>21.7959924305983</v>
      </c>
      <c r="AB192" s="21">
        <f>EXP(-LN(2)/2)*AB191+(1-EXP(-LN(2)/2))/(LN(2)/2)*V192*Y192*VLOOKUP('Données projet'!$B$9,Paramètres!$A$1:$I$89,3,0)*0.475*44/12</f>
        <v>1.3280827320384856</v>
      </c>
      <c r="AC192" s="22">
        <f t="shared" si="163"/>
        <v>159.98668559552712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-8.8675733422860506E-14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217.53602321474159</v>
      </c>
      <c r="AO192" s="59">
        <f t="shared" si="144"/>
        <v>215.75909414893025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2.5599216539794512</v>
      </c>
      <c r="AV192" s="21">
        <f>EXP(-LN(2)/25)*AV191+(1-EXP(-LN(2)/25))/(LN(2)/25)*Calculateur!AQ192*Calculateur!AS192*VLOOKUP('Données projet'!$B$10,Paramètres!$A$1:$I$89,3,0)*0.475*44/12</f>
        <v>0.97416574178831528</v>
      </c>
      <c r="AW192" s="21">
        <f>EXP(-LN(2)/2)*AW191+(1-EXP(-LN(2)/2))/(LN(2)/2)*AQ192*AT192*VLOOKUP('Données projet'!$B$10,Paramètres!$A$1:$I$89,3,0)*0.475*44/12</f>
        <v>3.378041572721345E-17</v>
      </c>
      <c r="AX192" s="21">
        <f t="shared" si="166"/>
        <v>3.5340873957677665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-1.7053025658242404E-13</v>
      </c>
      <c r="BE192" s="13">
        <f>BD192*VLOOKUP('Données projet'!$B$11,Paramètres!$A$1:$I$89,3,0)*VLOOKUP('Données projet'!$B$11,Paramètres!$A$1:$I$89,5,0)</f>
        <v>-1.1439169611549005E-13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281.67293577289729</v>
      </c>
      <c r="BJ192" s="59">
        <f t="shared" si="146"/>
        <v>272.44904846480154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3.9553023860685865</v>
      </c>
      <c r="BQ192" s="21">
        <f>EXP(-LN(2)/25)*BQ191+(1-EXP(-LN(2)/25))/(LN(2)/25)*Calculateur!BL192*Calculateur!BN192*VLOOKUP('Données projet'!$B$11,Paramètres!$A$1:$I$89,3,0)*0.475*44/12</f>
        <v>1.7393408895769411</v>
      </c>
      <c r="BR192" s="21">
        <f>EXP(-LN(2)/2)*BR191+(1-EXP(-LN(2)/2))/(LN(2)/2)*BL192*BO192*VLOOKUP('Données projet'!$B$11,Paramètres!$A$1:$I$89,3,0)*0.475*44/12</f>
        <v>1.7202804854107182E-15</v>
      </c>
      <c r="BS192" s="22">
        <f t="shared" si="169"/>
        <v>5.6946432756455296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-1.7053025658242404E-13</v>
      </c>
      <c r="BZ192" s="13">
        <f>BY192*VLOOKUP('Données projet'!$B$12,Paramètres!$A$1:$I$89,3,0)*VLOOKUP('Données projet'!$B$12,Paramètres!$A$1:$I$89,5,0)</f>
        <v>-1.4897523215040567E-13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348.77506423101278</v>
      </c>
      <c r="CE192" s="59">
        <f t="shared" si="148"/>
        <v>336.13747591329548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5.1510914795311802</v>
      </c>
      <c r="CL192" s="21">
        <f>EXP(-LN(2)/25)*CL191+(1-EXP(-LN(2)/25))/(LN(2)/25)*Calculateur!CG192*Calculateur!CI192*VLOOKUP('Données projet'!$B$12,Paramètres!$A$1:$I$89,3,0)*0.475*44/12</f>
        <v>2.2651881352629903</v>
      </c>
      <c r="CM192" s="21">
        <f>EXP(-LN(2)/2)*CM191+(1-EXP(-LN(2)/2))/(LN(2)/2)*CG192*CJ192*VLOOKUP('Données projet'!$B$12,Paramètres!$A$1:$I$89,3,0)*0.475*44/12</f>
        <v>2.2403652833255897E-15</v>
      </c>
      <c r="CN192" s="22">
        <f t="shared" si="172"/>
        <v>7.4162796147941732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1.9733333333333292</v>
      </c>
      <c r="CT192" s="12">
        <f>IF('Données projet'!$A$140&gt;35,CT191+CS192-DB191,IF(A192&lt;'Données projet'!$A$140,$CQ$205^A192,IF(A192='Données projet'!$A$140,'Données projet'!$B$140,CT191+CS192-DB191)))</f>
        <v>141.06333333333305</v>
      </c>
      <c r="CU192" s="17">
        <f>CT192*VLOOKUP('Données projet'!$B$13,Paramètres!$A$1:$I$89,3,0)*VLOOKUP('Données projet'!$B$13,Paramètres!$A$1:$I$89,5,0)</f>
        <v>136.43645599999974</v>
      </c>
      <c r="CV192" s="13">
        <f t="shared" si="173"/>
        <v>35.479426627606493</v>
      </c>
      <c r="CW192" s="20">
        <f t="shared" si="174"/>
        <v>299.42016224308082</v>
      </c>
      <c r="CX192" s="59">
        <f t="shared" si="122"/>
        <v>589.39780089008468</v>
      </c>
      <c r="CY192" s="59">
        <f ca="1">AVERAGE(OFFSET($CX$3,0,0,'Données projet'!$E$13+1,1))-AVERAGE(OFFSET($H$3,0,0,'Données projet'!$E$13+1,1))</f>
        <v>557.48193674339791</v>
      </c>
      <c r="CZ192" s="59">
        <f t="shared" si="150"/>
        <v>271.51396593253048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102.81273047132176</v>
      </c>
      <c r="DG192" s="21">
        <f>EXP(-LN(2)/25)*DG191+(1-EXP(-LN(2)/25))/(LN(2)/25)*Calculateur!DB192*Calculateur!DD192*VLOOKUP('Données projet'!$B$13,Paramètres!$A$1:$I$89,3,0)*0.475*44/12</f>
        <v>39.415980656295709</v>
      </c>
      <c r="DH192" s="21">
        <f>EXP(-LN(2)/2)*DH191+(1-EXP(-LN(2)/2))/(LN(2)/2)*DB192*DE192*VLOOKUP('Données projet'!$B$13,Paramètres!$A$1:$I$89,3,0)*0.475*44/12</f>
        <v>9.4977750416411223E-7</v>
      </c>
      <c r="DI192" s="22">
        <f t="shared" si="175"/>
        <v>142.22871207739496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1.9733333333333292</v>
      </c>
      <c r="DO192" s="12">
        <f>IF('Données projet'!$A$166&gt;35,DO191+DN192-DW191,IF(A192&lt;'Données projet'!$A$166,$DL$205^A192,IF(A192='Données projet'!$A$166,'Données projet'!$B$166,DO191+DN192-DW191)))</f>
        <v>141.06333333333305</v>
      </c>
      <c r="DP192" s="17">
        <f>DO192*VLOOKUP('Données projet'!$B$14,Paramètres!$A$1:$I$89,3,0)*VLOOKUP('Données projet'!$B$14,Paramètres!$A$1:$I$89,5,0)</f>
        <v>151.8405719999997</v>
      </c>
      <c r="DQ192" s="13">
        <f t="shared" si="176"/>
        <v>38.996564858833281</v>
      </c>
      <c r="DR192" s="20">
        <f t="shared" si="177"/>
        <v>332.37468002913414</v>
      </c>
      <c r="DS192" s="59">
        <f t="shared" si="125"/>
        <v>622.352318676138</v>
      </c>
      <c r="DT192" s="59">
        <f ca="1">AVERAGE(OFFSET($DS$3,0,0,'Données projet'!$E$14+1,1))-AVERAGE(OFFSET($H$3,0,0,'Données projet'!$E$14+1,1))</f>
        <v>610.05768948788375</v>
      </c>
      <c r="DU192" s="59">
        <f t="shared" si="152"/>
        <v>295.23928902444845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114.42061939550322</v>
      </c>
      <c r="EB192" s="21">
        <f>EXP(-LN(2)/25)*EB191+(1-EXP(-LN(2)/25))/(LN(2)/25)*Calculateur!DW192*Calculateur!DY192*VLOOKUP('Données projet'!$B$14,Paramètres!$A$1:$I$89,3,0)*0.475*44/12</f>
        <v>43.866172020716199</v>
      </c>
      <c r="EC192" s="21">
        <f>EXP(-LN(2)/2)*EC191+(1-EXP(-LN(2)/2))/(LN(2)/2)*DW192*DZ192*VLOOKUP('Données projet'!$B$14,Paramètres!$A$1:$I$89,3,0)*0.475*44/12</f>
        <v>1.0570104481826375E-6</v>
      </c>
      <c r="ED192" s="22">
        <f t="shared" si="178"/>
        <v>158.28679247322987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7.9580786405131221E-13</v>
      </c>
      <c r="O193" s="13">
        <f>N193*VLOOKUP('Données projet'!$B$9,Paramètres!$A$1:$I$89,3,0)*VLOOKUP('Données projet'!$B$9,Paramètres!$A$1:$I$89,5,0)</f>
        <v>7.2004695539362725E-13</v>
      </c>
      <c r="P193" s="13">
        <f t="shared" si="141"/>
        <v>8.5963894794935589E-12</v>
      </c>
      <c r="Q193" s="20">
        <f t="shared" si="162"/>
        <v>1.6226126790761848E-11</v>
      </c>
      <c r="R193" s="59">
        <f t="shared" si="109"/>
        <v>290.03585244761848</v>
      </c>
      <c r="S193" s="59">
        <f ca="1">AVERAGE(OFFSET($R$3,0,0,'Données projet'!$E$9+1,1))-AVERAGE(OFFSET($H$3,0,0,'Données projet'!$E$9+1,1))</f>
        <v>681.47578137804555</v>
      </c>
      <c r="T193" s="59">
        <f t="shared" si="142"/>
        <v>300.88511065995885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134.17881812025095</v>
      </c>
      <c r="AA193" s="21">
        <f>EXP(-LN(2)/25)*AA192+(1-EXP(-LN(2)/25))/(LN(2)/25)*Calculateur!V193*Calculateur!X193*VLOOKUP('Données projet'!$B$9,Paramètres!$A$1:$I$89,3,0)*0.475*44/12</f>
        <v>21.199979871382162</v>
      </c>
      <c r="AB193" s="21">
        <f>EXP(-LN(2)/2)*AB192+(1-EXP(-LN(2)/2))/(LN(2)/2)*V193*Y193*VLOOKUP('Données projet'!$B$9,Paramètres!$A$1:$I$89,3,0)*0.475*44/12</f>
        <v>0.93909630580116976</v>
      </c>
      <c r="AC193" s="22">
        <f t="shared" si="163"/>
        <v>156.31789429743429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-8.8675733422860506E-14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217.53602321474159</v>
      </c>
      <c r="AO193" s="59">
        <f t="shared" si="144"/>
        <v>215.75909414893025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2.5097231517429477</v>
      </c>
      <c r="AV193" s="21">
        <f>EXP(-LN(2)/25)*AV192+(1-EXP(-LN(2)/25))/(LN(2)/25)*Calculateur!AQ193*Calculateur!AS193*VLOOKUP('Données projet'!$B$10,Paramètres!$A$1:$I$89,3,0)*0.475*44/12</f>
        <v>0.94752712834996389</v>
      </c>
      <c r="AW193" s="21">
        <f>EXP(-LN(2)/2)*AW192+(1-EXP(-LN(2)/2))/(LN(2)/2)*AQ193*AT193*VLOOKUP('Données projet'!$B$10,Paramètres!$A$1:$I$89,3,0)*0.475*44/12</f>
        <v>2.388636103201333E-17</v>
      </c>
      <c r="AX193" s="21">
        <f t="shared" si="166"/>
        <v>3.4572502800929117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-1.7053025658242404E-13</v>
      </c>
      <c r="BE193" s="13">
        <f>BD193*VLOOKUP('Données projet'!$B$11,Paramètres!$A$1:$I$89,3,0)*VLOOKUP('Données projet'!$B$11,Paramètres!$A$1:$I$89,5,0)</f>
        <v>-1.1439169611549005E-13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281.67293577289729</v>
      </c>
      <c r="BJ193" s="59">
        <f t="shared" si="146"/>
        <v>272.44904846480154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3.8777413187740226</v>
      </c>
      <c r="BQ193" s="21">
        <f>EXP(-LN(2)/25)*BQ192+(1-EXP(-LN(2)/25))/(LN(2)/25)*Calculateur!BL193*Calculateur!BN193*VLOOKUP('Données projet'!$B$11,Paramètres!$A$1:$I$89,3,0)*0.475*44/12</f>
        <v>1.6917785214834975</v>
      </c>
      <c r="BR193" s="21">
        <f>EXP(-LN(2)/2)*BR192+(1-EXP(-LN(2)/2))/(LN(2)/2)*BL193*BO193*VLOOKUP('Données projet'!$B$11,Paramètres!$A$1:$I$89,3,0)*0.475*44/12</f>
        <v>1.2164219967768045E-15</v>
      </c>
      <c r="BS193" s="22">
        <f t="shared" si="169"/>
        <v>5.569519840257521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-1.7053025658242404E-13</v>
      </c>
      <c r="BZ193" s="13">
        <f>BY193*VLOOKUP('Données projet'!$B$12,Paramètres!$A$1:$I$89,3,0)*VLOOKUP('Données projet'!$B$12,Paramètres!$A$1:$I$89,5,0)</f>
        <v>-1.4897523215040567E-13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348.77506423101278</v>
      </c>
      <c r="CE193" s="59">
        <f t="shared" si="148"/>
        <v>336.13747591329548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5.0500817174731436</v>
      </c>
      <c r="CL193" s="21">
        <f>EXP(-LN(2)/25)*CL192+(1-EXP(-LN(2)/25))/(LN(2)/25)*Calculateur!CG193*Calculateur!CI193*VLOOKUP('Données projet'!$B$12,Paramètres!$A$1:$I$89,3,0)*0.475*44/12</f>
        <v>2.2032464465831572</v>
      </c>
      <c r="CM193" s="21">
        <f>EXP(-LN(2)/2)*CM192+(1-EXP(-LN(2)/2))/(LN(2)/2)*CG193*CJ193*VLOOKUP('Données projet'!$B$12,Paramètres!$A$1:$I$89,3,0)*0.475*44/12</f>
        <v>1.5841774841744453E-15</v>
      </c>
      <c r="CN193" s="22">
        <f t="shared" si="172"/>
        <v>7.2533281640563025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1.9733333333333292</v>
      </c>
      <c r="CT193" s="12">
        <f>IF('Données projet'!$A$140&gt;35,CT192+CS193-DB192,IF(A193&lt;'Données projet'!$A$140,$CQ$205^A193,IF(A193='Données projet'!$A$140,'Données projet'!$B$140,CT192+CS193-DB192)))</f>
        <v>143.03666666666638</v>
      </c>
      <c r="CU193" s="17">
        <f>CT193*VLOOKUP('Données projet'!$B$13,Paramètres!$A$1:$I$89,3,0)*VLOOKUP('Données projet'!$B$13,Paramètres!$A$1:$I$89,5,0)</f>
        <v>138.34506399999972</v>
      </c>
      <c r="CV193" s="13">
        <f t="shared" si="173"/>
        <v>35.917620913203898</v>
      </c>
      <c r="CW193" s="20">
        <f t="shared" si="174"/>
        <v>303.50750955716296</v>
      </c>
      <c r="CX193" s="59">
        <f t="shared" si="122"/>
        <v>593.54336200476519</v>
      </c>
      <c r="CY193" s="59">
        <f ca="1">AVERAGE(OFFSET($CX$3,0,0,'Données projet'!$E$13+1,1))-AVERAGE(OFFSET($H$3,0,0,'Données projet'!$E$13+1,1))</f>
        <v>557.48193674339791</v>
      </c>
      <c r="CZ193" s="59">
        <f t="shared" si="150"/>
        <v>271.51396593253048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100.79663553635267</v>
      </c>
      <c r="DG193" s="21">
        <f>EXP(-LN(2)/25)*DG192+(1-EXP(-LN(2)/25))/(LN(2)/25)*Calculateur!DB193*Calculateur!DD193*VLOOKUP('Données projet'!$B$13,Paramètres!$A$1:$I$89,3,0)*0.475*44/12</f>
        <v>38.338148592452967</v>
      </c>
      <c r="DH193" s="21">
        <f>EXP(-LN(2)/2)*DH192+(1-EXP(-LN(2)/2))/(LN(2)/2)*DB193*DE193*VLOOKUP('Données projet'!$B$13,Paramètres!$A$1:$I$89,3,0)*0.475*44/12</f>
        <v>6.7159411381287823E-7</v>
      </c>
      <c r="DI193" s="22">
        <f t="shared" si="175"/>
        <v>139.13478480039973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1.9733333333333292</v>
      </c>
      <c r="DO193" s="12">
        <f>IF('Données projet'!$A$166&gt;35,DO192+DN193-DW192,IF(A193&lt;'Données projet'!$A$166,$DL$205^A193,IF(A193='Données projet'!$A$166,'Données projet'!$B$166,DO192+DN193-DW192)))</f>
        <v>143.03666666666638</v>
      </c>
      <c r="DP193" s="17">
        <f>DO193*VLOOKUP('Données projet'!$B$14,Paramètres!$A$1:$I$89,3,0)*VLOOKUP('Données projet'!$B$14,Paramètres!$A$1:$I$89,5,0)</f>
        <v>153.96466799999968</v>
      </c>
      <c r="DQ193" s="13">
        <f t="shared" si="176"/>
        <v>39.478198117973221</v>
      </c>
      <c r="DR193" s="20">
        <f t="shared" si="177"/>
        <v>336.91299182213612</v>
      </c>
      <c r="DS193" s="59">
        <f t="shared" si="125"/>
        <v>626.9488442697384</v>
      </c>
      <c r="DT193" s="59">
        <f ca="1">AVERAGE(OFFSET($DS$3,0,0,'Données projet'!$E$14+1,1))-AVERAGE(OFFSET($H$3,0,0,'Données projet'!$E$14+1,1))</f>
        <v>610.05768948788375</v>
      </c>
      <c r="DU193" s="59">
        <f t="shared" si="152"/>
        <v>295.23928902444845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112.17690083884408</v>
      </c>
      <c r="EB193" s="21">
        <f>EXP(-LN(2)/25)*EB192+(1-EXP(-LN(2)/25))/(LN(2)/25)*Calculateur!DW193*Calculateur!DY193*VLOOKUP('Données projet'!$B$14,Paramètres!$A$1:$I$89,3,0)*0.475*44/12</f>
        <v>42.666649239987983</v>
      </c>
      <c r="EC193" s="21">
        <f>EXP(-LN(2)/2)*EC192+(1-EXP(-LN(2)/2))/(LN(2)/2)*DW193*DZ193*VLOOKUP('Données projet'!$B$14,Paramètres!$A$1:$I$89,3,0)*0.475*44/12</f>
        <v>7.4741925569497476E-7</v>
      </c>
      <c r="ED193" s="22">
        <f t="shared" si="178"/>
        <v>154.84355082625132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7.9580786405131221E-13</v>
      </c>
      <c r="O194" s="13">
        <f>N194*VLOOKUP('Données projet'!$B$9,Paramètres!$A$1:$I$89,3,0)*VLOOKUP('Données projet'!$B$9,Paramètres!$A$1:$I$89,5,0)</f>
        <v>7.2004695539362725E-13</v>
      </c>
      <c r="P194" s="13">
        <f t="shared" si="141"/>
        <v>8.5963894794935589E-12</v>
      </c>
      <c r="Q194" s="20">
        <f t="shared" si="162"/>
        <v>1.6226126790761848E-11</v>
      </c>
      <c r="R194" s="59">
        <f t="shared" si="109"/>
        <v>290.09305636892304</v>
      </c>
      <c r="S194" s="59">
        <f ca="1">AVERAGE(OFFSET($R$3,0,0,'Données projet'!$E$9+1,1))-AVERAGE(OFFSET($H$3,0,0,'Données projet'!$E$9+1,1))</f>
        <v>681.47578137804555</v>
      </c>
      <c r="T194" s="59">
        <f t="shared" si="142"/>
        <v>300.88511065995885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131.54765333791076</v>
      </c>
      <c r="AA194" s="21">
        <f>EXP(-LN(2)/25)*AA193+(1-EXP(-LN(2)/25))/(LN(2)/25)*Calculateur!V194*Calculateur!X194*VLOOKUP('Données projet'!$B$9,Paramètres!$A$1:$I$89,3,0)*0.475*44/12</f>
        <v>20.620265306940727</v>
      </c>
      <c r="AB194" s="21">
        <f>EXP(-LN(2)/2)*AB193+(1-EXP(-LN(2)/2))/(LN(2)/2)*V194*Y194*VLOOKUP('Données projet'!$B$9,Paramètres!$A$1:$I$89,3,0)*0.475*44/12</f>
        <v>0.66404136601924291</v>
      </c>
      <c r="AC194" s="22">
        <f t="shared" si="163"/>
        <v>152.83196001087072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-8.8675733422860506E-14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217.53602321474159</v>
      </c>
      <c r="AO194" s="59">
        <f t="shared" si="144"/>
        <v>215.75909414893025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2.4605090115172392</v>
      </c>
      <c r="AV194" s="21">
        <f>EXP(-LN(2)/25)*AV193+(1-EXP(-LN(2)/25))/(LN(2)/25)*Calculateur!AQ194*Calculateur!AS194*VLOOKUP('Données projet'!$B$10,Paramètres!$A$1:$I$89,3,0)*0.475*44/12</f>
        <v>0.92161694919694803</v>
      </c>
      <c r="AW194" s="21">
        <f>EXP(-LN(2)/2)*AW193+(1-EXP(-LN(2)/2))/(LN(2)/2)*AQ194*AT194*VLOOKUP('Données projet'!$B$10,Paramètres!$A$1:$I$89,3,0)*0.475*44/12</f>
        <v>1.6890207863606725E-17</v>
      </c>
      <c r="AX194" s="21">
        <f t="shared" si="166"/>
        <v>3.3821259607141871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-1.7053025658242404E-13</v>
      </c>
      <c r="BE194" s="13">
        <f>BD194*VLOOKUP('Données projet'!$B$11,Paramètres!$A$1:$I$89,3,0)*VLOOKUP('Données projet'!$B$11,Paramètres!$A$1:$I$89,5,0)</f>
        <v>-1.1439169611549005E-13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281.67293577289729</v>
      </c>
      <c r="BJ194" s="59">
        <f t="shared" si="146"/>
        <v>272.44904846480154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3.8017011767015254</v>
      </c>
      <c r="BQ194" s="21">
        <f>EXP(-LN(2)/25)*BQ193+(1-EXP(-LN(2)/25))/(LN(2)/25)*Calculateur!BL194*Calculateur!BN194*VLOOKUP('Données projet'!$B$11,Paramètres!$A$1:$I$89,3,0)*0.475*44/12</f>
        <v>1.6455167488467655</v>
      </c>
      <c r="BR194" s="21">
        <f>EXP(-LN(2)/2)*BR193+(1-EXP(-LN(2)/2))/(LN(2)/2)*BL194*BO194*VLOOKUP('Données projet'!$B$11,Paramètres!$A$1:$I$89,3,0)*0.475*44/12</f>
        <v>8.601402427053591E-16</v>
      </c>
      <c r="BS194" s="22">
        <f t="shared" si="169"/>
        <v>5.4472179255482915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-1.7053025658242404E-13</v>
      </c>
      <c r="BZ194" s="13">
        <f>BY194*VLOOKUP('Données projet'!$B$12,Paramètres!$A$1:$I$89,3,0)*VLOOKUP('Données projet'!$B$12,Paramètres!$A$1:$I$89,5,0)</f>
        <v>-1.4897523215040567E-13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348.77506423101278</v>
      </c>
      <c r="CE194" s="59">
        <f t="shared" si="148"/>
        <v>336.13747591329548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4.951052695239194</v>
      </c>
      <c r="CL194" s="21">
        <f>EXP(-LN(2)/25)*CL193+(1-EXP(-LN(2)/25))/(LN(2)/25)*Calculateur!CG194*Calculateur!CI194*VLOOKUP('Données projet'!$B$12,Paramètres!$A$1:$I$89,3,0)*0.475*44/12</f>
        <v>2.1429985566376457</v>
      </c>
      <c r="CM194" s="21">
        <f>EXP(-LN(2)/2)*CM193+(1-EXP(-LN(2)/2))/(LN(2)/2)*CG194*CJ194*VLOOKUP('Données projet'!$B$12,Paramètres!$A$1:$I$89,3,0)*0.475*44/12</f>
        <v>1.1201826416627948E-15</v>
      </c>
      <c r="CN194" s="22">
        <f t="shared" si="172"/>
        <v>7.0940512518768406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>
        <f>VLOOKUP(A194,'Données projet'!$A$139:$I$159,2,0)</f>
        <v>145.01</v>
      </c>
      <c r="CR194" s="12">
        <f>VLOOKUP(A194,'Données projet'!$A$139:$I$159,9,0)</f>
        <v>1.9733333333333292</v>
      </c>
      <c r="CS194" s="12">
        <f t="array" ref="CS194">INDEX(CR:CR,MIN(IF(ISNUMBER(CR194:CR390),ROW(CR194:CR390),"")))</f>
        <v>1.9733333333333292</v>
      </c>
      <c r="CT194" s="12">
        <f>IF('Données projet'!$A$140&gt;35,CT193+CS194-DB193,IF(A194&lt;'Données projet'!$A$140,$CQ$205^A194,IF(A194='Données projet'!$A$140,'Données projet'!$B$140,CT193+CS194-DB193)))</f>
        <v>145.00999999999971</v>
      </c>
      <c r="CU194" s="17">
        <f>CT194*VLOOKUP('Données projet'!$B$13,Paramètres!$A$1:$I$89,3,0)*VLOOKUP('Données projet'!$B$13,Paramètres!$A$1:$I$89,5,0)</f>
        <v>140.25367199999971</v>
      </c>
      <c r="CV194" s="13">
        <f t="shared" si="173"/>
        <v>36.355112063878522</v>
      </c>
      <c r="CW194" s="20">
        <f t="shared" si="174"/>
        <v>307.59363224458792</v>
      </c>
      <c r="CX194" s="59">
        <f t="shared" si="122"/>
        <v>597.68668861349477</v>
      </c>
      <c r="CY194" s="59">
        <f ca="1">AVERAGE(OFFSET($CX$3,0,0,'Données projet'!$E$13+1,1))-AVERAGE(OFFSET($H$3,0,0,'Données projet'!$E$13+1,1))</f>
        <v>557.48193674339791</v>
      </c>
      <c r="CZ194" s="59">
        <f t="shared" si="150"/>
        <v>271.51396593253048</v>
      </c>
      <c r="DA194" s="15">
        <f>IF(ISNA(VLOOKUP(A194,'Données projet'!$A$139:$I$159,3,0)),0,VLOOKUP(A194,'Données projet'!$A$139:$I$159,3,0))</f>
        <v>16</v>
      </c>
      <c r="DB194" s="15">
        <f>IF(ISNA(VLOOKUP(A194,'Données projet'!$A$139:$I$159,4,0)),0,VLOOKUP(A194,'Données projet'!$A$139:$I$159,4,0))</f>
        <v>145.01</v>
      </c>
      <c r="DC194" s="16">
        <f>IF(ISNA(VLOOKUP(A194,'Données projet'!$A$139:$I$159,5,0)),0%,VLOOKUP(A194,'Données projet'!$A$139:$I$159,5,0)*VLOOKUP('Données projet'!$B$13,Paramètres!$A$1:$I$89,7,0))</f>
        <v>0.19350000000000001</v>
      </c>
      <c r="DD194" s="16">
        <f>IF(ISNA(VLOOKUP(A194,'Données projet'!$A$139:$I$159,6,0)),0%,VLOOKUP(A194,'Données projet'!$A$139:$I$159,6,0)*VLOOKUP('Données projet'!$B$13,Paramètres!$A$1:$I$89,7,0))</f>
        <v>2.1500000000000002E-2</v>
      </c>
      <c r="DE194" s="16">
        <f>IF(ISNA(VLOOKUP(A194,'Données projet'!$A$139:$I$159,7,0)),0%,VLOOKUP(A194,'Données projet'!$A$139:$I$159,7,0))</f>
        <v>0.05</v>
      </c>
      <c r="DF194" s="21">
        <f>EXP(-LN(2)/35)*DF193+(1-EXP(-LN(2)/35))/(LN(2)/35)*DB194*DC194*VLOOKUP('Données projet'!$B$13,Paramètres!$A$1:$I$89,3,0)*0.475*44/12</f>
        <v>128.82153017659905</v>
      </c>
      <c r="DG194" s="21">
        <f>EXP(-LN(2)/25)*DG193+(1-EXP(-LN(2)/25))/(LN(2)/25)*Calculateur!DB194*Calculateur!DD194*VLOOKUP('Données projet'!$B$13,Paramètres!$A$1:$I$89,3,0)*0.475*44/12</f>
        <v>40.610159683380083</v>
      </c>
      <c r="DH194" s="21">
        <f>EXP(-LN(2)/2)*DH193+(1-EXP(-LN(2)/2))/(LN(2)/2)*DB194*DE194*VLOOKUP('Données projet'!$B$13,Paramètres!$A$1:$I$89,3,0)*0.475*44/12</f>
        <v>6.6166561951005587</v>
      </c>
      <c r="DI194" s="22">
        <f t="shared" si="175"/>
        <v>176.04834605507969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>
        <f>VLOOKUP(A194,'Données projet'!$A$165:$I$185,2,0)</f>
        <v>145.01</v>
      </c>
      <c r="DM194" s="12">
        <f>VLOOKUP(A194,'Données projet'!$A$165:$I$185,9,0)</f>
        <v>1.9733333333333292</v>
      </c>
      <c r="DN194" s="12">
        <f t="array" ref="DN194">INDEX(DM:DM,MIN(IF(ISNUMBER(DM194:DM390),ROW(DM194:DM390),"")))</f>
        <v>1.9733333333333292</v>
      </c>
      <c r="DO194" s="12">
        <f>IF('Données projet'!$A$166&gt;35,DO193+DN194-DW193,IF(A194&lt;'Données projet'!$A$166,$DL$205^A194,IF(A194='Données projet'!$A$166,'Données projet'!$B$166,DO193+DN194-DW193)))</f>
        <v>145.00999999999971</v>
      </c>
      <c r="DP194" s="17">
        <f>DO194*VLOOKUP('Données projet'!$B$14,Paramètres!$A$1:$I$89,3,0)*VLOOKUP('Données projet'!$B$14,Paramètres!$A$1:$I$89,5,0)</f>
        <v>156.08876399999968</v>
      </c>
      <c r="DQ194" s="13">
        <f t="shared" si="176"/>
        <v>39.959058539183467</v>
      </c>
      <c r="DR194" s="20">
        <f t="shared" si="177"/>
        <v>341.44995758907726</v>
      </c>
      <c r="DS194" s="59">
        <f t="shared" si="125"/>
        <v>631.54301395798416</v>
      </c>
      <c r="DT194" s="59">
        <f ca="1">AVERAGE(OFFSET($DS$3,0,0,'Données projet'!$E$14+1,1))-AVERAGE(OFFSET($H$3,0,0,'Données projet'!$E$14+1,1))</f>
        <v>610.05768948788375</v>
      </c>
      <c r="DU194" s="59">
        <f t="shared" si="152"/>
        <v>295.23928902444845</v>
      </c>
      <c r="DV194" s="15">
        <f>IF(ISNA(VLOOKUP(A194,'Données projet'!$A$165:$I$185,3,0)),0,VLOOKUP(A194,'Données projet'!$A$165:$I$185,3,0))</f>
        <v>16</v>
      </c>
      <c r="DW194" s="15">
        <f>IF(ISNA(VLOOKUP(A194,'Données projet'!$A$165:$I$185,4,0)),0,VLOOKUP(A194,'Données projet'!$A$165:$I$185,4,0))</f>
        <v>145.01</v>
      </c>
      <c r="DX194" s="16">
        <f>IF(ISNA(VLOOKUP(A194,'Données projet'!$A$165:$I$185,5,0)),0%,VLOOKUP(A194,'Données projet'!$A$165:$I$185,5,0)*VLOOKUP('Données projet'!$B$14,Paramètres!$A$1:$I$89,7,0))</f>
        <v>0.19350000000000001</v>
      </c>
      <c r="DY194" s="16">
        <f>IF(ISNA(VLOOKUP(A194,'Données projet'!$A$165:$I$185,6,0)),0%,VLOOKUP(A194,'Données projet'!$A$165:$I$185,6,0)*VLOOKUP('Données projet'!$B$14,Paramètres!$A$1:$I$89,7,0))</f>
        <v>2.1500000000000002E-2</v>
      </c>
      <c r="DZ194" s="16">
        <f>IF(ISNA(VLOOKUP(A194,'Données projet'!$A$165:$I$185,7,0)),0%,VLOOKUP(A194,'Données projet'!$A$165:$I$185,7,0))</f>
        <v>0.05</v>
      </c>
      <c r="EA194" s="21">
        <f>EXP(-LN(2)/35)*EA193+(1-EXP(-LN(2)/35))/(LN(2)/35)*DW194*DX194*VLOOKUP('Données projet'!$B$14,Paramètres!$A$1:$I$89,3,0)*0.475*44/12</f>
        <v>143.36589648686024</v>
      </c>
      <c r="EB194" s="21">
        <f>EXP(-LN(2)/25)*EB193+(1-EXP(-LN(2)/25))/(LN(2)/25)*Calculateur!DW194*Calculateur!DY194*VLOOKUP('Données projet'!$B$14,Paramètres!$A$1:$I$89,3,0)*0.475*44/12</f>
        <v>45.195177712148805</v>
      </c>
      <c r="EC194" s="21">
        <f>EXP(-LN(2)/2)*EC193+(1-EXP(-LN(2)/2))/(LN(2)/2)*DW194*DZ194*VLOOKUP('Données projet'!$B$14,Paramètres!$A$1:$I$89,3,0)*0.475*44/12</f>
        <v>7.3636980235796532</v>
      </c>
      <c r="ED194" s="22">
        <f t="shared" si="178"/>
        <v>195.9247722225887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7.9580786405131221E-13</v>
      </c>
      <c r="O195" s="13">
        <f>N195*VLOOKUP('Données projet'!$B$9,Paramètres!$A$1:$I$89,3,0)*VLOOKUP('Données projet'!$B$9,Paramètres!$A$1:$I$89,5,0)</f>
        <v>7.2004695539362725E-13</v>
      </c>
      <c r="P195" s="13">
        <f t="shared" si="141"/>
        <v>8.5963894794935589E-12</v>
      </c>
      <c r="Q195" s="20">
        <f t="shared" si="162"/>
        <v>1.6226126790761848E-11</v>
      </c>
      <c r="R195" s="59">
        <f t="shared" ref="R195:R203" si="191">Q195+(I195+J195)*44/12</f>
        <v>290.14926793008186</v>
      </c>
      <c r="S195" s="59">
        <f ca="1">AVERAGE(OFFSET($R$3,0,0,'Données projet'!$E$9+1,1))-AVERAGE(OFFSET($H$3,0,0,'Données projet'!$E$9+1,1))</f>
        <v>681.47578137804555</v>
      </c>
      <c r="T195" s="59">
        <f t="shared" si="142"/>
        <v>300.88511065995885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128.96808409210021</v>
      </c>
      <c r="AA195" s="21">
        <f>EXP(-LN(2)/25)*AA194+(1-EXP(-LN(2)/25))/(LN(2)/25)*Calculateur!V195*Calculateur!X195*VLOOKUP('Données projet'!$B$9,Paramètres!$A$1:$I$89,3,0)*0.475*44/12</f>
        <v>20.056403067749809</v>
      </c>
      <c r="AB195" s="21">
        <f>EXP(-LN(2)/2)*AB194+(1-EXP(-LN(2)/2))/(LN(2)/2)*V195*Y195*VLOOKUP('Données projet'!$B$9,Paramètres!$A$1:$I$89,3,0)*0.475*44/12</f>
        <v>0.46954815290058494</v>
      </c>
      <c r="AC195" s="22">
        <f t="shared" si="163"/>
        <v>149.49403531275061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-8.8675733422860506E-14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217.53602321474159</v>
      </c>
      <c r="AO195" s="59">
        <f t="shared" si="144"/>
        <v>215.75909414893025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2.4122599305636951</v>
      </c>
      <c r="AV195" s="21">
        <f>EXP(-LN(2)/25)*AV194+(1-EXP(-LN(2)/25))/(LN(2)/25)*Calculateur!AQ195*Calculateur!AS195*VLOOKUP('Données projet'!$B$10,Paramètres!$A$1:$I$89,3,0)*0.475*44/12</f>
        <v>0.89641528525542846</v>
      </c>
      <c r="AW195" s="21">
        <f>EXP(-LN(2)/2)*AW194+(1-EXP(-LN(2)/2))/(LN(2)/2)*AQ195*AT195*VLOOKUP('Données projet'!$B$10,Paramètres!$A$1:$I$89,3,0)*0.475*44/12</f>
        <v>1.1943180516006665E-17</v>
      </c>
      <c r="AX195" s="21">
        <f t="shared" si="166"/>
        <v>3.3086752158191235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-1.7053025658242404E-13</v>
      </c>
      <c r="BE195" s="13">
        <f>BD195*VLOOKUP('Données projet'!$B$11,Paramètres!$A$1:$I$89,3,0)*VLOOKUP('Données projet'!$B$11,Paramètres!$A$1:$I$89,5,0)</f>
        <v>-1.1439169611549005E-13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281.67293577289729</v>
      </c>
      <c r="BJ195" s="59">
        <f t="shared" si="146"/>
        <v>272.44904846480154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3.7271521354351629</v>
      </c>
      <c r="BQ195" s="21">
        <f>EXP(-LN(2)/25)*BQ194+(1-EXP(-LN(2)/25))/(LN(2)/25)*Calculateur!BL195*Calculateur!BN195*VLOOKUP('Données projet'!$B$11,Paramètres!$A$1:$I$89,3,0)*0.475*44/12</f>
        <v>1.6005200068155858</v>
      </c>
      <c r="BR195" s="21">
        <f>EXP(-LN(2)/2)*BR194+(1-EXP(-LN(2)/2))/(LN(2)/2)*BL195*BO195*VLOOKUP('Données projet'!$B$11,Paramètres!$A$1:$I$89,3,0)*0.475*44/12</f>
        <v>6.0821099838840223E-16</v>
      </c>
      <c r="BS195" s="22">
        <f t="shared" si="169"/>
        <v>5.3276721422507496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-1.7053025658242404E-13</v>
      </c>
      <c r="BZ195" s="13">
        <f>BY195*VLOOKUP('Données projet'!$B$12,Paramètres!$A$1:$I$89,3,0)*VLOOKUP('Données projet'!$B$12,Paramètres!$A$1:$I$89,5,0)</f>
        <v>-1.4897523215040567E-13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348.77506423101278</v>
      </c>
      <c r="CE195" s="59">
        <f t="shared" si="148"/>
        <v>336.13747591329548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4.8539655717295123</v>
      </c>
      <c r="CL195" s="21">
        <f>EXP(-LN(2)/25)*CL194+(1-EXP(-LN(2)/25))/(LN(2)/25)*Calculateur!CG195*Calculateur!CI195*VLOOKUP('Données projet'!$B$12,Paramètres!$A$1:$I$89,3,0)*0.475*44/12</f>
        <v>2.084398148410993</v>
      </c>
      <c r="CM195" s="21">
        <f>EXP(-LN(2)/2)*CM194+(1-EXP(-LN(2)/2))/(LN(2)/2)*CG195*CJ195*VLOOKUP('Données projet'!$B$12,Paramètres!$A$1:$I$89,3,0)*0.475*44/12</f>
        <v>7.9208874208722266E-16</v>
      </c>
      <c r="CN195" s="22">
        <f t="shared" si="172"/>
        <v>6.9383637201405062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-2.8421709430404007E-13</v>
      </c>
      <c r="CU195" s="17">
        <f>CT195*VLOOKUP('Données projet'!$B$13,Paramètres!$A$1:$I$89,3,0)*VLOOKUP('Données projet'!$B$13,Paramètres!$A$1:$I$89,5,0)</f>
        <v>-2.7489477361086758E-13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557.48193674339791</v>
      </c>
      <c r="CZ195" s="59">
        <f t="shared" si="150"/>
        <v>271.51396593253048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126.29541854321087</v>
      </c>
      <c r="DG195" s="21">
        <f>EXP(-LN(2)/25)*DG194+(1-EXP(-LN(2)/25))/(LN(2)/25)*Calculateur!DB195*Calculateur!DD195*VLOOKUP('Données projet'!$B$13,Paramètres!$A$1:$I$89,3,0)*0.475*44/12</f>
        <v>39.499672731242569</v>
      </c>
      <c r="DH195" s="21">
        <f>EXP(-LN(2)/2)*DH194+(1-EXP(-LN(2)/2))/(LN(2)/2)*DB195*DE195*VLOOKUP('Données projet'!$B$13,Paramètres!$A$1:$I$89,3,0)*0.475*44/12</f>
        <v>4.6786824643355853</v>
      </c>
      <c r="DI195" s="22">
        <f t="shared" si="175"/>
        <v>170.47377373878905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-2.8421709430404007E-13</v>
      </c>
      <c r="DP195" s="17">
        <f>DO195*VLOOKUP('Données projet'!$B$14,Paramètres!$A$1:$I$89,3,0)*VLOOKUP('Données projet'!$B$14,Paramètres!$A$1:$I$89,5,0)</f>
        <v>-3.0593128030886872E-13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610.05768948788375</v>
      </c>
      <c r="DU195" s="59">
        <f t="shared" si="152"/>
        <v>295.23928902444845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140.55457870131534</v>
      </c>
      <c r="EB195" s="21">
        <f>EXP(-LN(2)/25)*EB194+(1-EXP(-LN(2)/25))/(LN(2)/25)*Calculateur!DW195*Calculateur!DY195*VLOOKUP('Données projet'!$B$14,Paramètres!$A$1:$I$89,3,0)*0.475*44/12</f>
        <v>43.959313200898997</v>
      </c>
      <c r="EC195" s="21">
        <f>EXP(-LN(2)/2)*EC194+(1-EXP(-LN(2)/2))/(LN(2)/2)*DW195*DZ195*VLOOKUP('Données projet'!$B$14,Paramètres!$A$1:$I$89,3,0)*0.475*44/12</f>
        <v>5.2069208070831507</v>
      </c>
      <c r="ED195" s="22">
        <f t="shared" si="178"/>
        <v>189.72081270929749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7.9580786405131221E-13</v>
      </c>
      <c r="O196" s="13">
        <f>N196*VLOOKUP('Données projet'!$B$9,Paramètres!$A$1:$I$89,3,0)*VLOOKUP('Données projet'!$B$9,Paramètres!$A$1:$I$89,5,0)</f>
        <v>7.2004695539362725E-13</v>
      </c>
      <c r="P196" s="13">
        <f t="shared" si="141"/>
        <v>8.5963894794935589E-12</v>
      </c>
      <c r="Q196" s="20">
        <f t="shared" si="162"/>
        <v>1.6226126790761848E-11</v>
      </c>
      <c r="R196" s="59">
        <f t="shared" si="191"/>
        <v>290.20450434632471</v>
      </c>
      <c r="S196" s="59">
        <f ca="1">AVERAGE(OFFSET($R$3,0,0,'Données projet'!$E$9+1,1))-AVERAGE(OFFSET($H$3,0,0,'Données projet'!$E$9+1,1))</f>
        <v>681.47578137804555</v>
      </c>
      <c r="T196" s="59">
        <f t="shared" si="142"/>
        <v>300.88511065995885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126.43909862581812</v>
      </c>
      <c r="AA196" s="21">
        <f>EXP(-LN(2)/25)*AA195+(1-EXP(-LN(2)/25))/(LN(2)/25)*Calculateur!V196*Calculateur!X196*VLOOKUP('Données projet'!$B$9,Paramètres!$A$1:$I$89,3,0)*0.475*44/12</f>
        <v>19.507959671141794</v>
      </c>
      <c r="AB196" s="21">
        <f>EXP(-LN(2)/2)*AB195+(1-EXP(-LN(2)/2))/(LN(2)/2)*V196*Y196*VLOOKUP('Données projet'!$B$9,Paramètres!$A$1:$I$89,3,0)*0.475*44/12</f>
        <v>0.33202068300962151</v>
      </c>
      <c r="AC196" s="22">
        <f t="shared" si="163"/>
        <v>146.27907897996954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-8.8675733422860506E-14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217.53602321474159</v>
      </c>
      <c r="AO196" s="59">
        <f t="shared" si="144"/>
        <v>215.75909414893025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2.3649569846586167</v>
      </c>
      <c r="AV196" s="21">
        <f>EXP(-LN(2)/25)*AV195+(1-EXP(-LN(2)/25))/(LN(2)/25)*Calculateur!AQ196*Calculateur!AS196*VLOOKUP('Données projet'!$B$10,Paramètres!$A$1:$I$89,3,0)*0.475*44/12</f>
        <v>0.87190276213968776</v>
      </c>
      <c r="AW196" s="21">
        <f>EXP(-LN(2)/2)*AW195+(1-EXP(-LN(2)/2))/(LN(2)/2)*AQ196*AT196*VLOOKUP('Données projet'!$B$10,Paramètres!$A$1:$I$89,3,0)*0.475*44/12</f>
        <v>8.4451039318033624E-18</v>
      </c>
      <c r="AX196" s="21">
        <f t="shared" si="166"/>
        <v>3.2368597467983045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-1.7053025658242404E-13</v>
      </c>
      <c r="BE196" s="13">
        <f>BD196*VLOOKUP('Données projet'!$B$11,Paramètres!$A$1:$I$89,3,0)*VLOOKUP('Données projet'!$B$11,Paramètres!$A$1:$I$89,5,0)</f>
        <v>-1.1439169611549005E-13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281.67293577289729</v>
      </c>
      <c r="BJ196" s="59">
        <f t="shared" si="146"/>
        <v>272.44904846480154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3.6540649553976086</v>
      </c>
      <c r="BQ196" s="21">
        <f>EXP(-LN(2)/25)*BQ195+(1-EXP(-LN(2)/25))/(LN(2)/25)*Calculateur!BL196*Calculateur!BN196*VLOOKUP('Données projet'!$B$11,Paramètres!$A$1:$I$89,3,0)*0.475*44/12</f>
        <v>1.5567537030615246</v>
      </c>
      <c r="BR196" s="21">
        <f>EXP(-LN(2)/2)*BR195+(1-EXP(-LN(2)/2))/(LN(2)/2)*BL196*BO196*VLOOKUP('Données projet'!$B$11,Paramètres!$A$1:$I$89,3,0)*0.475*44/12</f>
        <v>4.3007012135267955E-16</v>
      </c>
      <c r="BS196" s="22">
        <f t="shared" si="169"/>
        <v>5.2108186584591332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-1.7053025658242404E-13</v>
      </c>
      <c r="BZ196" s="13">
        <f>BY196*VLOOKUP('Données projet'!$B$12,Paramètres!$A$1:$I$89,3,0)*VLOOKUP('Données projet'!$B$12,Paramètres!$A$1:$I$89,5,0)</f>
        <v>-1.4897523215040567E-13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348.77506423101278</v>
      </c>
      <c r="CE196" s="59">
        <f t="shared" si="148"/>
        <v>336.13747591329548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4.7587822674945572</v>
      </c>
      <c r="CL196" s="21">
        <f>EXP(-LN(2)/25)*CL195+(1-EXP(-LN(2)/25))/(LN(2)/25)*Calculateur!CG196*Calculateur!CI196*VLOOKUP('Données projet'!$B$12,Paramètres!$A$1:$I$89,3,0)*0.475*44/12</f>
        <v>2.0274001714289596</v>
      </c>
      <c r="CM196" s="21">
        <f>EXP(-LN(2)/2)*CM195+(1-EXP(-LN(2)/2))/(LN(2)/2)*CG196*CJ196*VLOOKUP('Données projet'!$B$12,Paramètres!$A$1:$I$89,3,0)*0.475*44/12</f>
        <v>5.6009132083139742E-16</v>
      </c>
      <c r="CN196" s="22">
        <f t="shared" si="172"/>
        <v>6.7861824389235172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-2.8421709430404007E-13</v>
      </c>
      <c r="CU196" s="17">
        <f>CT196*VLOOKUP('Données projet'!$B$13,Paramètres!$A$1:$I$89,3,0)*VLOOKUP('Données projet'!$B$13,Paramètres!$A$1:$I$89,5,0)</f>
        <v>-2.7489477361086758E-13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557.48193674339791</v>
      </c>
      <c r="CZ196" s="59">
        <f t="shared" si="150"/>
        <v>271.51396593253048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123.81884241817748</v>
      </c>
      <c r="DG196" s="21">
        <f>EXP(-LN(2)/25)*DG195+(1-EXP(-LN(2)/25))/(LN(2)/25)*Calculateur!DB196*Calculateur!DD196*VLOOKUP('Données projet'!$B$13,Paramètres!$A$1:$I$89,3,0)*0.475*44/12</f>
        <v>38.419552103209227</v>
      </c>
      <c r="DH196" s="21">
        <f>EXP(-LN(2)/2)*DH195+(1-EXP(-LN(2)/2))/(LN(2)/2)*DB196*DE196*VLOOKUP('Données projet'!$B$13,Paramètres!$A$1:$I$89,3,0)*0.475*44/12</f>
        <v>3.3083280975502798</v>
      </c>
      <c r="DI196" s="22">
        <f t="shared" si="175"/>
        <v>165.546722618937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-2.8421709430404007E-13</v>
      </c>
      <c r="DP196" s="17">
        <f>DO196*VLOOKUP('Données projet'!$B$14,Paramètres!$A$1:$I$89,3,0)*VLOOKUP('Données projet'!$B$14,Paramètres!$A$1:$I$89,5,0)</f>
        <v>-3.0593128030886872E-13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610.05768948788375</v>
      </c>
      <c r="DU196" s="59">
        <f t="shared" si="152"/>
        <v>295.23928902444845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137.79838914281044</v>
      </c>
      <c r="EB196" s="21">
        <f>EXP(-LN(2)/25)*EB195+(1-EXP(-LN(2)/25))/(LN(2)/25)*Calculateur!DW196*Calculateur!DY196*VLOOKUP('Données projet'!$B$14,Paramètres!$A$1:$I$89,3,0)*0.475*44/12</f>
        <v>42.757243469700605</v>
      </c>
      <c r="EC196" s="21">
        <f>EXP(-LN(2)/2)*EC195+(1-EXP(-LN(2)/2))/(LN(2)/2)*DW196*DZ196*VLOOKUP('Données projet'!$B$14,Paramètres!$A$1:$I$89,3,0)*0.475*44/12</f>
        <v>3.681849011789827</v>
      </c>
      <c r="ED196" s="22">
        <f t="shared" si="178"/>
        <v>184.23748162430087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7.9580786405131221E-13</v>
      </c>
      <c r="O197" s="13">
        <f>N197*VLOOKUP('Données projet'!$B$9,Paramètres!$A$1:$I$89,3,0)*VLOOKUP('Données projet'!$B$9,Paramètres!$A$1:$I$89,5,0)</f>
        <v>7.2004695539362725E-13</v>
      </c>
      <c r="P197" s="13">
        <f t="shared" ref="P197:P203" si="203">EXP(-1.0587+0.8836*LN(O197)+0.284)</f>
        <v>8.5963894794935589E-12</v>
      </c>
      <c r="Q197" s="20">
        <f t="shared" si="162"/>
        <v>1.6226126790761848E-11</v>
      </c>
      <c r="R197" s="59">
        <f t="shared" si="191"/>
        <v>290.25878253423593</v>
      </c>
      <c r="S197" s="59">
        <f ca="1">AVERAGE(OFFSET($R$3,0,0,'Données projet'!$E$9+1,1))-AVERAGE(OFFSET($H$3,0,0,'Données projet'!$E$9+1,1))</f>
        <v>681.47578137804555</v>
      </c>
      <c r="T197" s="59">
        <f t="shared" ref="T197:T203" si="204">$T$3</f>
        <v>300.88511065995885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123.959705022001</v>
      </c>
      <c r="AA197" s="21">
        <f>EXP(-LN(2)/25)*AA196+(1-EXP(-LN(2)/25))/(LN(2)/25)*Calculateur!V197*Calculateur!X197*VLOOKUP('Données projet'!$B$9,Paramètres!$A$1:$I$89,3,0)*0.475*44/12</f>
        <v>18.974513488055408</v>
      </c>
      <c r="AB197" s="21">
        <f>EXP(-LN(2)/2)*AB196+(1-EXP(-LN(2)/2))/(LN(2)/2)*V197*Y197*VLOOKUP('Données projet'!$B$9,Paramètres!$A$1:$I$89,3,0)*0.475*44/12</f>
        <v>0.2347740764502925</v>
      </c>
      <c r="AC197" s="22">
        <f t="shared" si="163"/>
        <v>143.1689925865067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-8.8675733422860506E-14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217.53602321474159</v>
      </c>
      <c r="AO197" s="59">
        <f t="shared" ref="AO197:AO203" si="205">$AO$3</f>
        <v>215.75909414893025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2.3185816206707885</v>
      </c>
      <c r="AV197" s="21">
        <f>EXP(-LN(2)/25)*AV196+(1-EXP(-LN(2)/25))/(LN(2)/25)*Calculateur!AQ197*Calculateur!AS197*VLOOKUP('Données projet'!$B$10,Paramètres!$A$1:$I$89,3,0)*0.475*44/12</f>
        <v>0.8480605352576045</v>
      </c>
      <c r="AW197" s="21">
        <f>EXP(-LN(2)/2)*AW196+(1-EXP(-LN(2)/2))/(LN(2)/2)*AQ197*AT197*VLOOKUP('Données projet'!$B$10,Paramètres!$A$1:$I$89,3,0)*0.475*44/12</f>
        <v>5.9715902580033325E-18</v>
      </c>
      <c r="AX197" s="21">
        <f t="shared" si="166"/>
        <v>3.1666421559283933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-1.7053025658242404E-13</v>
      </c>
      <c r="BE197" s="13">
        <f>BD197*VLOOKUP('Données projet'!$B$11,Paramètres!$A$1:$I$89,3,0)*VLOOKUP('Données projet'!$B$11,Paramètres!$A$1:$I$89,5,0)</f>
        <v>-1.1439169611549005E-13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281.67293577289729</v>
      </c>
      <c r="BJ197" s="59">
        <f t="shared" ref="BJ197:BJ203" si="206">$BJ$3</f>
        <v>272.44904846480154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3.5824109703818126</v>
      </c>
      <c r="BQ197" s="21">
        <f>EXP(-LN(2)/25)*BQ196+(1-EXP(-LN(2)/25))/(LN(2)/25)*Calculateur!BL197*Calculateur!BN197*VLOOKUP('Données projet'!$B$11,Paramètres!$A$1:$I$89,3,0)*0.475*44/12</f>
        <v>1.5141841911851879</v>
      </c>
      <c r="BR197" s="21">
        <f>EXP(-LN(2)/2)*BR196+(1-EXP(-LN(2)/2))/(LN(2)/2)*BL197*BO197*VLOOKUP('Données projet'!$B$11,Paramètres!$A$1:$I$89,3,0)*0.475*44/12</f>
        <v>3.0410549919420111E-16</v>
      </c>
      <c r="BS197" s="22">
        <f t="shared" si="169"/>
        <v>5.0965951615670004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-1.7053025658242404E-13</v>
      </c>
      <c r="BZ197" s="13">
        <f>BY197*VLOOKUP('Données projet'!$B$12,Paramètres!$A$1:$I$89,3,0)*VLOOKUP('Données projet'!$B$12,Paramètres!$A$1:$I$89,5,0)</f>
        <v>-1.4897523215040567E-13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348.77506423101278</v>
      </c>
      <c r="CE197" s="59">
        <f t="shared" ref="CE197:CE203" si="207">$CE$3</f>
        <v>336.13747591329548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4.6654654497995667</v>
      </c>
      <c r="CL197" s="21">
        <f>EXP(-LN(2)/25)*CL196+(1-EXP(-LN(2)/25))/(LN(2)/25)*Calculateur!CG197*Calculateur!CI197*VLOOKUP('Données projet'!$B$12,Paramètres!$A$1:$I$89,3,0)*0.475*44/12</f>
        <v>1.9719608071248933</v>
      </c>
      <c r="CM197" s="21">
        <f>EXP(-LN(2)/2)*CM196+(1-EXP(-LN(2)/2))/(LN(2)/2)*CG197*CJ197*VLOOKUP('Données projet'!$B$12,Paramètres!$A$1:$I$89,3,0)*0.475*44/12</f>
        <v>3.9604437104361133E-16</v>
      </c>
      <c r="CN197" s="22">
        <f t="shared" si="172"/>
        <v>6.63742625692446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-2.8421709430404007E-13</v>
      </c>
      <c r="CU197" s="17">
        <f>CT197*VLOOKUP('Données projet'!$B$13,Paramètres!$A$1:$I$89,3,0)*VLOOKUP('Données projet'!$B$13,Paramètres!$A$1:$I$89,5,0)</f>
        <v>-2.7489477361086758E-13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557.48193674339791</v>
      </c>
      <c r="CZ197" s="59">
        <f t="shared" ref="CZ197:CZ203" si="208">$CZ$3</f>
        <v>271.51396593253048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121.39083044039371</v>
      </c>
      <c r="DG197" s="21">
        <f>EXP(-LN(2)/25)*DG196+(1-EXP(-LN(2)/25))/(LN(2)/25)*Calculateur!DB197*Calculateur!DD197*VLOOKUP('Données projet'!$B$13,Paramètres!$A$1:$I$89,3,0)*0.475*44/12</f>
        <v>37.368967430550533</v>
      </c>
      <c r="DH197" s="21">
        <f>EXP(-LN(2)/2)*DH196+(1-EXP(-LN(2)/2))/(LN(2)/2)*DB197*DE197*VLOOKUP('Données projet'!$B$13,Paramètres!$A$1:$I$89,3,0)*0.475*44/12</f>
        <v>2.3393412321677931</v>
      </c>
      <c r="DI197" s="22">
        <f t="shared" si="175"/>
        <v>161.09913910311204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-2.8421709430404007E-13</v>
      </c>
      <c r="DP197" s="17">
        <f>DO197*VLOOKUP('Données projet'!$B$14,Paramètres!$A$1:$I$89,3,0)*VLOOKUP('Données projet'!$B$14,Paramètres!$A$1:$I$89,5,0)</f>
        <v>-3.0593128030886872E-13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610.05768948788375</v>
      </c>
      <c r="DU197" s="59">
        <f t="shared" ref="DU197:DU203" si="209">$DU$3</f>
        <v>295.23928902444845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135.09624678043818</v>
      </c>
      <c r="EB197" s="21">
        <f>EXP(-LN(2)/25)*EB196+(1-EXP(-LN(2)/25))/(LN(2)/25)*Calculateur!DW197*Calculateur!DY197*VLOOKUP('Données projet'!$B$14,Paramètres!$A$1:$I$89,3,0)*0.475*44/12</f>
        <v>41.588044398515933</v>
      </c>
      <c r="EC197" s="21">
        <f>EXP(-LN(2)/2)*EC196+(1-EXP(-LN(2)/2))/(LN(2)/2)*DW197*DZ197*VLOOKUP('Données projet'!$B$14,Paramètres!$A$1:$I$89,3,0)*0.475*44/12</f>
        <v>2.6034604035415758</v>
      </c>
      <c r="ED197" s="22">
        <f t="shared" si="178"/>
        <v>179.2877515824957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7.9580786405131221E-13</v>
      </c>
      <c r="O198" s="13">
        <f>N198*VLOOKUP('Données projet'!$B$9,Paramètres!$A$1:$I$89,3,0)*VLOOKUP('Données projet'!$B$9,Paramètres!$A$1:$I$89,5,0)</f>
        <v>7.2004695539362725E-13</v>
      </c>
      <c r="P198" s="13">
        <f t="shared" si="203"/>
        <v>8.5963894794935589E-12</v>
      </c>
      <c r="Q198" s="20">
        <f t="shared" si="162"/>
        <v>1.6226126790761848E-11</v>
      </c>
      <c r="R198" s="59">
        <f t="shared" si="191"/>
        <v>290.3121191169347</v>
      </c>
      <c r="S198" s="59">
        <f ca="1">AVERAGE(OFFSET($R$3,0,0,'Données projet'!$E$9+1,1))-AVERAGE(OFFSET($H$3,0,0,'Données projet'!$E$9+1,1))</f>
        <v>681.47578137804555</v>
      </c>
      <c r="T198" s="59">
        <f t="shared" si="204"/>
        <v>300.88511065995885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121.52893081447397</v>
      </c>
      <c r="AA198" s="21">
        <f>EXP(-LN(2)/25)*AA197+(1-EXP(-LN(2)/25))/(LN(2)/25)*Calculateur!V198*Calculateur!X198*VLOOKUP('Données projet'!$B$9,Paramètres!$A$1:$I$89,3,0)*0.475*44/12</f>
        <v>18.455654418898234</v>
      </c>
      <c r="AB198" s="21">
        <f>EXP(-LN(2)/2)*AB197+(1-EXP(-LN(2)/2))/(LN(2)/2)*V198*Y198*VLOOKUP('Données projet'!$B$9,Paramètres!$A$1:$I$89,3,0)*0.475*44/12</f>
        <v>0.16601034150481075</v>
      </c>
      <c r="AC198" s="22">
        <f t="shared" si="163"/>
        <v>140.150595574877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-8.8675733422860506E-14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217.53602321474159</v>
      </c>
      <c r="AO198" s="59">
        <f t="shared" si="205"/>
        <v>215.75909414893025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2.2731156492845828</v>
      </c>
      <c r="AV198" s="21">
        <f>EXP(-LN(2)/25)*AV197+(1-EXP(-LN(2)/25))/(LN(2)/25)*Calculateur!AQ198*Calculateur!AS198*VLOOKUP('Données projet'!$B$10,Paramètres!$A$1:$I$89,3,0)*0.475*44/12</f>
        <v>0.82487027532342005</v>
      </c>
      <c r="AW198" s="21">
        <f>EXP(-LN(2)/2)*AW197+(1-EXP(-LN(2)/2))/(LN(2)/2)*AQ198*AT198*VLOOKUP('Données projet'!$B$10,Paramètres!$A$1:$I$89,3,0)*0.475*44/12</f>
        <v>4.2225519659016812E-18</v>
      </c>
      <c r="AX198" s="21">
        <f t="shared" si="166"/>
        <v>3.097985924608003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-1.7053025658242404E-13</v>
      </c>
      <c r="BE198" s="13">
        <f>BD198*VLOOKUP('Données projet'!$B$11,Paramètres!$A$1:$I$89,3,0)*VLOOKUP('Données projet'!$B$11,Paramètres!$A$1:$I$89,5,0)</f>
        <v>-1.1439169611549005E-13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281.67293577289729</v>
      </c>
      <c r="BJ198" s="59">
        <f t="shared" si="206"/>
        <v>272.44904846480154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3.5121620763075607</v>
      </c>
      <c r="BQ198" s="21">
        <f>EXP(-LN(2)/25)*BQ197+(1-EXP(-LN(2)/25))/(LN(2)/25)*Calculateur!BL198*Calculateur!BN198*VLOOKUP('Données projet'!$B$11,Paramètres!$A$1:$I$89,3,0)*0.475*44/12</f>
        <v>1.4727787448497429</v>
      </c>
      <c r="BR198" s="21">
        <f>EXP(-LN(2)/2)*BR197+(1-EXP(-LN(2)/2))/(LN(2)/2)*BL198*BO198*VLOOKUP('Données projet'!$B$11,Paramètres!$A$1:$I$89,3,0)*0.475*44/12</f>
        <v>2.1503506067633977E-16</v>
      </c>
      <c r="BS198" s="22">
        <f t="shared" si="169"/>
        <v>4.9849408211573039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-1.7053025658242404E-13</v>
      </c>
      <c r="BZ198" s="13">
        <f>BY198*VLOOKUP('Données projet'!$B$12,Paramètres!$A$1:$I$89,3,0)*VLOOKUP('Données projet'!$B$12,Paramètres!$A$1:$I$89,5,0)</f>
        <v>-1.4897523215040567E-13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348.77506423101278</v>
      </c>
      <c r="CE198" s="59">
        <f t="shared" si="207"/>
        <v>336.13747591329548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4.5739785179819368</v>
      </c>
      <c r="CL198" s="21">
        <f>EXP(-LN(2)/25)*CL197+(1-EXP(-LN(2)/25))/(LN(2)/25)*Calculateur!CG198*Calculateur!CI198*VLOOKUP('Données projet'!$B$12,Paramètres!$A$1:$I$89,3,0)*0.475*44/12</f>
        <v>1.9180374351531513</v>
      </c>
      <c r="CM198" s="21">
        <f>EXP(-LN(2)/2)*CM197+(1-EXP(-LN(2)/2))/(LN(2)/2)*CG198*CJ198*VLOOKUP('Données projet'!$B$12,Paramètres!$A$1:$I$89,3,0)*0.475*44/12</f>
        <v>2.8004566041569871E-16</v>
      </c>
      <c r="CN198" s="22">
        <f t="shared" si="172"/>
        <v>6.4920159531350876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-2.8421709430404007E-13</v>
      </c>
      <c r="CU198" s="17">
        <f>CT198*VLOOKUP('Données projet'!$B$13,Paramètres!$A$1:$I$89,3,0)*VLOOKUP('Données projet'!$B$13,Paramètres!$A$1:$I$89,5,0)</f>
        <v>-2.7489477361086758E-13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557.48193674339791</v>
      </c>
      <c r="CZ198" s="59">
        <f t="shared" si="208"/>
        <v>271.51396593253048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119.01043029655321</v>
      </c>
      <c r="DG198" s="21">
        <f>EXP(-LN(2)/25)*DG197+(1-EXP(-LN(2)/25))/(LN(2)/25)*Calculateur!DB198*Calculateur!DD198*VLOOKUP('Données projet'!$B$13,Paramètres!$A$1:$I$89,3,0)*0.475*44/12</f>
        <v>36.347111051013542</v>
      </c>
      <c r="DH198" s="21">
        <f>EXP(-LN(2)/2)*DH197+(1-EXP(-LN(2)/2))/(LN(2)/2)*DB198*DE198*VLOOKUP('Données projet'!$B$13,Paramètres!$A$1:$I$89,3,0)*0.475*44/12</f>
        <v>1.6541640487751403</v>
      </c>
      <c r="DI198" s="22">
        <f t="shared" si="175"/>
        <v>157.01170539634188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-2.8421709430404007E-13</v>
      </c>
      <c r="DP198" s="17">
        <f>DO198*VLOOKUP('Données projet'!$B$14,Paramètres!$A$1:$I$89,3,0)*VLOOKUP('Données projet'!$B$14,Paramètres!$A$1:$I$89,5,0)</f>
        <v>-3.0593128030886872E-13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610.05768948788375</v>
      </c>
      <c r="DU198" s="59">
        <f t="shared" si="209"/>
        <v>295.23928902444845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132.44709178164794</v>
      </c>
      <c r="EB198" s="21">
        <f>EXP(-LN(2)/25)*EB197+(1-EXP(-LN(2)/25))/(LN(2)/25)*Calculateur!DW198*Calculateur!DY198*VLOOKUP('Données projet'!$B$14,Paramètres!$A$1:$I$89,3,0)*0.475*44/12</f>
        <v>40.450817137418312</v>
      </c>
      <c r="EC198" s="21">
        <f>EXP(-LN(2)/2)*EC197+(1-EXP(-LN(2)/2))/(LN(2)/2)*DW198*DZ198*VLOOKUP('Données projet'!$B$14,Paramètres!$A$1:$I$89,3,0)*0.475*44/12</f>
        <v>1.840924505894914</v>
      </c>
      <c r="ED198" s="22">
        <f t="shared" si="178"/>
        <v>174.73883342496117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7.9580786405131221E-13</v>
      </c>
      <c r="O199" s="13">
        <f>N199*VLOOKUP('Données projet'!$B$9,Paramètres!$A$1:$I$89,3,0)*VLOOKUP('Données projet'!$B$9,Paramètres!$A$1:$I$89,5,0)</f>
        <v>7.2004695539362725E-13</v>
      </c>
      <c r="P199" s="13">
        <f t="shared" si="203"/>
        <v>8.5963894794935589E-12</v>
      </c>
      <c r="Q199" s="20">
        <f t="shared" si="162"/>
        <v>1.6226126790761848E-11</v>
      </c>
      <c r="R199" s="59">
        <f t="shared" si="191"/>
        <v>290.36453042916639</v>
      </c>
      <c r="S199" s="59">
        <f ca="1">AVERAGE(OFFSET($R$3,0,0,'Données projet'!$E$9+1,1))-AVERAGE(OFFSET($H$3,0,0,'Données projet'!$E$9+1,1))</f>
        <v>681.47578137804555</v>
      </c>
      <c r="T199" s="59">
        <f t="shared" si="204"/>
        <v>300.88511065995885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119.14582260653066</v>
      </c>
      <c r="AA199" s="21">
        <f>EXP(-LN(2)/25)*AA198+(1-EXP(-LN(2)/25))/(LN(2)/25)*Calculateur!V199*Calculateur!X199*VLOOKUP('Données projet'!$B$9,Paramètres!$A$1:$I$89,3,0)*0.475*44/12</f>
        <v>17.950983578272776</v>
      </c>
      <c r="AB199" s="21">
        <f>EXP(-LN(2)/2)*AB198+(1-EXP(-LN(2)/2))/(LN(2)/2)*V199*Y199*VLOOKUP('Données projet'!$B$9,Paramètres!$A$1:$I$89,3,0)*0.475*44/12</f>
        <v>0.11738703822514625</v>
      </c>
      <c r="AC199" s="22">
        <f t="shared" si="163"/>
        <v>137.21419322302856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-8.8675733422860506E-14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217.53602321474159</v>
      </c>
      <c r="AO199" s="59">
        <f t="shared" si="205"/>
        <v>215.75909414893025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2.2285412378657563</v>
      </c>
      <c r="AV199" s="21">
        <f>EXP(-LN(2)/25)*AV198+(1-EXP(-LN(2)/25))/(LN(2)/25)*Calculateur!AQ199*Calculateur!AS199*VLOOKUP('Données projet'!$B$10,Paramètres!$A$1:$I$89,3,0)*0.475*44/12</f>
        <v>0.80231415426665864</v>
      </c>
      <c r="AW199" s="21">
        <f>EXP(-LN(2)/2)*AW198+(1-EXP(-LN(2)/2))/(LN(2)/2)*AQ199*AT199*VLOOKUP('Données projet'!$B$10,Paramètres!$A$1:$I$89,3,0)*0.475*44/12</f>
        <v>2.9857951290016662E-18</v>
      </c>
      <c r="AX199" s="21">
        <f t="shared" si="166"/>
        <v>3.0308553921324148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-1.7053025658242404E-13</v>
      </c>
      <c r="BE199" s="13">
        <f>BD199*VLOOKUP('Données projet'!$B$11,Paramètres!$A$1:$I$89,3,0)*VLOOKUP('Données projet'!$B$11,Paramètres!$A$1:$I$89,5,0)</f>
        <v>-1.1439169611549005E-13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281.67293577289729</v>
      </c>
      <c r="BJ199" s="59">
        <f t="shared" si="206"/>
        <v>272.44904846480154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3.4432907201985108</v>
      </c>
      <c r="BQ199" s="21">
        <f>EXP(-LN(2)/25)*BQ198+(1-EXP(-LN(2)/25))/(LN(2)/25)*Calculateur!BL199*Calculateur!BN199*VLOOKUP('Données projet'!$B$11,Paramètres!$A$1:$I$89,3,0)*0.475*44/12</f>
        <v>1.4325055326217586</v>
      </c>
      <c r="BR199" s="21">
        <f>EXP(-LN(2)/2)*BR198+(1-EXP(-LN(2)/2))/(LN(2)/2)*BL199*BO199*VLOOKUP('Données projet'!$B$11,Paramètres!$A$1:$I$89,3,0)*0.475*44/12</f>
        <v>1.5205274959710056E-16</v>
      </c>
      <c r="BS199" s="22">
        <f t="shared" si="169"/>
        <v>4.875796252820269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-1.7053025658242404E-13</v>
      </c>
      <c r="BZ199" s="13">
        <f>BY199*VLOOKUP('Données projet'!$B$12,Paramètres!$A$1:$I$89,3,0)*VLOOKUP('Données projet'!$B$12,Paramètres!$A$1:$I$89,5,0)</f>
        <v>-1.4897523215040567E-13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348.77506423101278</v>
      </c>
      <c r="CE199" s="59">
        <f t="shared" si="207"/>
        <v>336.13747591329548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4.484285589095732</v>
      </c>
      <c r="CL199" s="21">
        <f>EXP(-LN(2)/25)*CL198+(1-EXP(-LN(2)/25))/(LN(2)/25)*Calculateur!CG199*Calculateur!CI199*VLOOKUP('Données projet'!$B$12,Paramètres!$A$1:$I$89,3,0)*0.475*44/12</f>
        <v>1.8655886006236835</v>
      </c>
      <c r="CM199" s="21">
        <f>EXP(-LN(2)/2)*CM198+(1-EXP(-LN(2)/2))/(LN(2)/2)*CG199*CJ199*VLOOKUP('Données projet'!$B$12,Paramètres!$A$1:$I$89,3,0)*0.475*44/12</f>
        <v>1.9802218552180567E-16</v>
      </c>
      <c r="CN199" s="22">
        <f t="shared" si="172"/>
        <v>6.3498741897194151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-2.8421709430404007E-13</v>
      </c>
      <c r="CU199" s="17">
        <f>CT199*VLOOKUP('Données projet'!$B$13,Paramètres!$A$1:$I$89,3,0)*VLOOKUP('Données projet'!$B$13,Paramètres!$A$1:$I$89,5,0)</f>
        <v>-2.7489477361086758E-13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557.48193674339791</v>
      </c>
      <c r="CZ199" s="59">
        <f t="shared" si="208"/>
        <v>271.51396593253048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116.6767083476327</v>
      </c>
      <c r="DG199" s="21">
        <f>EXP(-LN(2)/25)*DG198+(1-EXP(-LN(2)/25))/(LN(2)/25)*Calculateur!DB199*Calculateur!DD199*VLOOKUP('Données projet'!$B$13,Paramètres!$A$1:$I$89,3,0)*0.475*44/12</f>
        <v>35.353197387912076</v>
      </c>
      <c r="DH199" s="21">
        <f>EXP(-LN(2)/2)*DH198+(1-EXP(-LN(2)/2))/(LN(2)/2)*DB199*DE199*VLOOKUP('Données projet'!$B$13,Paramètres!$A$1:$I$89,3,0)*0.475*44/12</f>
        <v>1.1696706160838968</v>
      </c>
      <c r="DI199" s="22">
        <f t="shared" si="175"/>
        <v>153.19957635162868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-2.8421709430404007E-13</v>
      </c>
      <c r="DP199" s="17">
        <f>DO199*VLOOKUP('Données projet'!$B$14,Paramètres!$A$1:$I$89,3,0)*VLOOKUP('Données projet'!$B$14,Paramètres!$A$1:$I$89,5,0)</f>
        <v>-3.0593128030886872E-13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610.05768948788375</v>
      </c>
      <c r="DU199" s="59">
        <f t="shared" si="209"/>
        <v>295.23928902444845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129.84988509655898</v>
      </c>
      <c r="EB199" s="21">
        <f>EXP(-LN(2)/25)*EB198+(1-EXP(-LN(2)/25))/(LN(2)/25)*Calculateur!DW199*Calculateur!DY199*VLOOKUP('Données projet'!$B$14,Paramètres!$A$1:$I$89,3,0)*0.475*44/12</f>
        <v>39.344687415579585</v>
      </c>
      <c r="EC199" s="21">
        <f>EXP(-LN(2)/2)*EC198+(1-EXP(-LN(2)/2))/(LN(2)/2)*DW199*DZ199*VLOOKUP('Données projet'!$B$14,Paramètres!$A$1:$I$89,3,0)*0.475*44/12</f>
        <v>1.3017302017707881</v>
      </c>
      <c r="ED199" s="22">
        <f t="shared" si="178"/>
        <v>170.49630271390936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7.9580786405131221E-13</v>
      </c>
      <c r="O200" s="13">
        <f>N200*VLOOKUP('Données projet'!$B$9,Paramètres!$A$1:$I$89,3,0)*VLOOKUP('Données projet'!$B$9,Paramètres!$A$1:$I$89,5,0)</f>
        <v>7.2004695539362725E-13</v>
      </c>
      <c r="P200" s="13">
        <f t="shared" si="203"/>
        <v>8.5963894794935589E-12</v>
      </c>
      <c r="Q200" s="20">
        <f t="shared" si="162"/>
        <v>1.6226126790761848E-11</v>
      </c>
      <c r="R200" s="59">
        <f t="shared" si="191"/>
        <v>290.41603252230499</v>
      </c>
      <c r="S200" s="59">
        <f ca="1">AVERAGE(OFFSET($R$3,0,0,'Données projet'!$E$9+1,1))-AVERAGE(OFFSET($H$3,0,0,'Données projet'!$E$9+1,1))</f>
        <v>681.47578137804555</v>
      </c>
      <c r="T200" s="59">
        <f t="shared" si="204"/>
        <v>300.88511065995885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116.80944569699264</v>
      </c>
      <c r="AA200" s="21">
        <f>EXP(-LN(2)/25)*AA199+(1-EXP(-LN(2)/25))/(LN(2)/25)*Calculateur!V200*Calculateur!X200*VLOOKUP('Données projet'!$B$9,Paramètres!$A$1:$I$89,3,0)*0.475*44/12</f>
        <v>17.460112988323708</v>
      </c>
      <c r="AB200" s="21">
        <f>EXP(-LN(2)/2)*AB199+(1-EXP(-LN(2)/2))/(LN(2)/2)*V200*Y200*VLOOKUP('Données projet'!$B$9,Paramètres!$A$1:$I$89,3,0)*0.475*44/12</f>
        <v>8.3005170752405377E-2</v>
      </c>
      <c r="AC200" s="22">
        <f t="shared" si="163"/>
        <v>134.35256385606877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-8.8675733422860506E-14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217.53602321474159</v>
      </c>
      <c r="AO200" s="59">
        <f t="shared" si="205"/>
        <v>215.75909414893025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2.1848409034671468</v>
      </c>
      <c r="AV200" s="21">
        <f>EXP(-LN(2)/25)*AV199+(1-EXP(-LN(2)/25))/(LN(2)/25)*Calculateur!AQ200*Calculateur!AS200*VLOOKUP('Données projet'!$B$10,Paramètres!$A$1:$I$89,3,0)*0.475*44/12</f>
        <v>0.78037483152636922</v>
      </c>
      <c r="AW200" s="21">
        <f>EXP(-LN(2)/2)*AW199+(1-EXP(-LN(2)/2))/(LN(2)/2)*AQ200*AT200*VLOOKUP('Données projet'!$B$10,Paramètres!$A$1:$I$89,3,0)*0.475*44/12</f>
        <v>2.1112759829508406E-18</v>
      </c>
      <c r="AX200" s="21">
        <f t="shared" si="166"/>
        <v>2.965215734993516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-1.7053025658242404E-13</v>
      </c>
      <c r="BE200" s="13">
        <f>BD200*VLOOKUP('Données projet'!$B$11,Paramètres!$A$1:$I$89,3,0)*VLOOKUP('Données projet'!$B$11,Paramètres!$A$1:$I$89,5,0)</f>
        <v>-1.1439169611549005E-13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281.67293577289729</v>
      </c>
      <c r="BJ200" s="59">
        <f t="shared" si="206"/>
        <v>272.44904846480154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3.3757698893753796</v>
      </c>
      <c r="BQ200" s="21">
        <f>EXP(-LN(2)/25)*BQ199+(1-EXP(-LN(2)/25))/(LN(2)/25)*Calculateur!BL200*Calculateur!BN200*VLOOKUP('Données projet'!$B$11,Paramètres!$A$1:$I$89,3,0)*0.475*44/12</f>
        <v>1.3933335935000246</v>
      </c>
      <c r="BR200" s="21">
        <f>EXP(-LN(2)/2)*BR199+(1-EXP(-LN(2)/2))/(LN(2)/2)*BL200*BO200*VLOOKUP('Données projet'!$B$11,Paramètres!$A$1:$I$89,3,0)*0.475*44/12</f>
        <v>1.0751753033816989E-16</v>
      </c>
      <c r="BS200" s="22">
        <f t="shared" si="169"/>
        <v>4.769103482875404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-1.7053025658242404E-13</v>
      </c>
      <c r="BZ200" s="13">
        <f>BY200*VLOOKUP('Données projet'!$B$12,Paramètres!$A$1:$I$89,3,0)*VLOOKUP('Données projet'!$B$12,Paramètres!$A$1:$I$89,5,0)</f>
        <v>-1.4897523215040567E-13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348.77506423101278</v>
      </c>
      <c r="CE200" s="59">
        <f t="shared" si="207"/>
        <v>336.13747591329548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4.3963514838377007</v>
      </c>
      <c r="CL200" s="21">
        <f>EXP(-LN(2)/25)*CL199+(1-EXP(-LN(2)/25))/(LN(2)/25)*Calculateur!CG200*Calculateur!CI200*VLOOKUP('Données projet'!$B$12,Paramètres!$A$1:$I$89,3,0)*0.475*44/12</f>
        <v>1.8145739822325881</v>
      </c>
      <c r="CM200" s="21">
        <f>EXP(-LN(2)/2)*CM199+(1-EXP(-LN(2)/2))/(LN(2)/2)*CG200*CJ200*VLOOKUP('Données projet'!$B$12,Paramètres!$A$1:$I$89,3,0)*0.475*44/12</f>
        <v>1.4002283020784936E-16</v>
      </c>
      <c r="CN200" s="22">
        <f t="shared" si="172"/>
        <v>6.2109254660702886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-2.8421709430404007E-13</v>
      </c>
      <c r="CU200" s="17">
        <f>CT200*VLOOKUP('Données projet'!$B$13,Paramètres!$A$1:$I$89,3,0)*VLOOKUP('Données projet'!$B$13,Paramètres!$A$1:$I$89,5,0)</f>
        <v>-2.7489477361086758E-13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557.48193674339791</v>
      </c>
      <c r="CZ200" s="59">
        <f t="shared" si="208"/>
        <v>271.51396593253048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114.38874926270067</v>
      </c>
      <c r="DG200" s="21">
        <f>EXP(-LN(2)/25)*DG199+(1-EXP(-LN(2)/25))/(LN(2)/25)*Calculateur!DB200*Calculateur!DD200*VLOOKUP('Données projet'!$B$13,Paramètres!$A$1:$I$89,3,0)*0.475*44/12</f>
        <v>34.386462346195771</v>
      </c>
      <c r="DH200" s="21">
        <f>EXP(-LN(2)/2)*DH199+(1-EXP(-LN(2)/2))/(LN(2)/2)*DB200*DE200*VLOOKUP('Données projet'!$B$13,Paramètres!$A$1:$I$89,3,0)*0.475*44/12</f>
        <v>0.82708202438757028</v>
      </c>
      <c r="DI200" s="22">
        <f t="shared" si="175"/>
        <v>149.60229363328401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-2.8421709430404007E-13</v>
      </c>
      <c r="DP200" s="17">
        <f>DO200*VLOOKUP('Données projet'!$B$14,Paramètres!$A$1:$I$89,3,0)*VLOOKUP('Données projet'!$B$14,Paramètres!$A$1:$I$89,5,0)</f>
        <v>-3.0593128030886872E-13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610.05768948788375</v>
      </c>
      <c r="DU200" s="59">
        <f t="shared" si="209"/>
        <v>295.23928902444845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127.30360805042496</v>
      </c>
      <c r="EB200" s="21">
        <f>EXP(-LN(2)/25)*EB199+(1-EXP(-LN(2)/25))/(LN(2)/25)*Calculateur!DW200*Calculateur!DY200*VLOOKUP('Données projet'!$B$14,Paramètres!$A$1:$I$89,3,0)*0.475*44/12</f>
        <v>38.268804869153371</v>
      </c>
      <c r="EC200" s="21">
        <f>EXP(-LN(2)/2)*EC199+(1-EXP(-LN(2)/2))/(LN(2)/2)*DW200*DZ200*VLOOKUP('Données projet'!$B$14,Paramètres!$A$1:$I$89,3,0)*0.475*44/12</f>
        <v>0.92046225294745709</v>
      </c>
      <c r="ED200" s="22">
        <f t="shared" si="178"/>
        <v>166.49287517252577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7.9580786405131221E-13</v>
      </c>
      <c r="O201" s="13">
        <f>N201*VLOOKUP('Données projet'!$B$9,Paramètres!$A$1:$I$89,3,0)*VLOOKUP('Données projet'!$B$9,Paramètres!$A$1:$I$89,5,0)</f>
        <v>7.2004695539362725E-13</v>
      </c>
      <c r="P201" s="13">
        <f t="shared" si="203"/>
        <v>8.5963894794935589E-12</v>
      </c>
      <c r="Q201" s="20">
        <f t="shared" si="162"/>
        <v>1.6226126790761848E-11</v>
      </c>
      <c r="R201" s="59">
        <f t="shared" si="191"/>
        <v>290.46664116926911</v>
      </c>
      <c r="S201" s="59">
        <f ca="1">AVERAGE(OFFSET($R$3,0,0,'Données projet'!$E$9+1,1))-AVERAGE(OFFSET($H$3,0,0,'Données projet'!$E$9+1,1))</f>
        <v>681.47578137804555</v>
      </c>
      <c r="T201" s="59">
        <f t="shared" si="204"/>
        <v>300.88511065995885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114.51888371360145</v>
      </c>
      <c r="AA201" s="21">
        <f>EXP(-LN(2)/25)*AA200+(1-EXP(-LN(2)/25))/(LN(2)/25)*Calculateur!V201*Calculateur!X201*VLOOKUP('Données projet'!$B$9,Paramètres!$A$1:$I$89,3,0)*0.475*44/12</f>
        <v>16.98266528047056</v>
      </c>
      <c r="AB201" s="21">
        <f>EXP(-LN(2)/2)*AB200+(1-EXP(-LN(2)/2))/(LN(2)/2)*V201*Y201*VLOOKUP('Données projet'!$B$9,Paramètres!$A$1:$I$89,3,0)*0.475*44/12</f>
        <v>5.8693519112573124E-2</v>
      </c>
      <c r="AC201" s="22">
        <f t="shared" si="163"/>
        <v>131.56024251318459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-8.8675733422860506E-14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217.53602321474159</v>
      </c>
      <c r="AO201" s="59">
        <f t="shared" si="205"/>
        <v>215.75909414893025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2.1419975059715215</v>
      </c>
      <c r="AV201" s="21">
        <f>EXP(-LN(2)/25)*AV200+(1-EXP(-LN(2)/25))/(LN(2)/25)*Calculateur!AQ201*Calculateur!AS201*VLOOKUP('Données projet'!$B$10,Paramètres!$A$1:$I$89,3,0)*0.475*44/12</f>
        <v>0.75903544072015183</v>
      </c>
      <c r="AW201" s="21">
        <f>EXP(-LN(2)/2)*AW200+(1-EXP(-LN(2)/2))/(LN(2)/2)*AQ201*AT201*VLOOKUP('Données projet'!$B$10,Paramètres!$A$1:$I$89,3,0)*0.475*44/12</f>
        <v>1.4928975645008331E-18</v>
      </c>
      <c r="AX201" s="21">
        <f t="shared" si="166"/>
        <v>2.9010329466916733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-1.7053025658242404E-13</v>
      </c>
      <c r="BE201" s="13">
        <f>BD201*VLOOKUP('Données projet'!$B$11,Paramètres!$A$1:$I$89,3,0)*VLOOKUP('Données projet'!$B$11,Paramètres!$A$1:$I$89,5,0)</f>
        <v>-1.1439169611549005E-13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281.67293577289729</v>
      </c>
      <c r="BJ201" s="59">
        <f t="shared" si="206"/>
        <v>272.44904846480154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3.3095731008610501</v>
      </c>
      <c r="BQ201" s="21">
        <f>EXP(-LN(2)/25)*BQ200+(1-EXP(-LN(2)/25))/(LN(2)/25)*Calculateur!BL201*Calculateur!BN201*VLOOKUP('Données projet'!$B$11,Paramètres!$A$1:$I$89,3,0)*0.475*44/12</f>
        <v>1.3552328131135372</v>
      </c>
      <c r="BR201" s="21">
        <f>EXP(-LN(2)/2)*BR200+(1-EXP(-LN(2)/2))/(LN(2)/2)*BL201*BO201*VLOOKUP('Données projet'!$B$11,Paramètres!$A$1:$I$89,3,0)*0.475*44/12</f>
        <v>7.6026374798550279E-17</v>
      </c>
      <c r="BS201" s="22">
        <f t="shared" si="169"/>
        <v>4.664805913974587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-1.7053025658242404E-13</v>
      </c>
      <c r="BZ201" s="13">
        <f>BY201*VLOOKUP('Données projet'!$B$12,Paramètres!$A$1:$I$89,3,0)*VLOOKUP('Données projet'!$B$12,Paramètres!$A$1:$I$89,5,0)</f>
        <v>-1.4897523215040567E-13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348.77506423101278</v>
      </c>
      <c r="CE201" s="59">
        <f t="shared" si="207"/>
        <v>336.13747591329548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4.3101417127492718</v>
      </c>
      <c r="CL201" s="21">
        <f>EXP(-LN(2)/25)*CL200+(1-EXP(-LN(2)/25))/(LN(2)/25)*Calculateur!CG201*Calculateur!CI201*VLOOKUP('Données projet'!$B$12,Paramètres!$A$1:$I$89,3,0)*0.475*44/12</f>
        <v>1.7649543612641396</v>
      </c>
      <c r="CM201" s="21">
        <f>EXP(-LN(2)/2)*CM200+(1-EXP(-LN(2)/2))/(LN(2)/2)*CG201*CJ201*VLOOKUP('Données projet'!$B$12,Paramètres!$A$1:$I$89,3,0)*0.475*44/12</f>
        <v>9.9011092760902833E-17</v>
      </c>
      <c r="CN201" s="22">
        <f t="shared" si="172"/>
        <v>6.0750960740134117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-2.8421709430404007E-13</v>
      </c>
      <c r="CU201" s="17">
        <f>CT201*VLOOKUP('Données projet'!$B$13,Paramètres!$A$1:$I$89,3,0)*VLOOKUP('Données projet'!$B$13,Paramètres!$A$1:$I$89,5,0)</f>
        <v>-2.7489477361086758E-13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557.48193674339791</v>
      </c>
      <c r="CZ201" s="59">
        <f t="shared" si="208"/>
        <v>271.51396593253048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112.14565565990692</v>
      </c>
      <c r="DG201" s="21">
        <f>EXP(-LN(2)/25)*DG200+(1-EXP(-LN(2)/25))/(LN(2)/25)*Calculateur!DB201*Calculateur!DD201*VLOOKUP('Données projet'!$B$13,Paramètres!$A$1:$I$89,3,0)*0.475*44/12</f>
        <v>33.446162725033581</v>
      </c>
      <c r="DH201" s="21">
        <f>EXP(-LN(2)/2)*DH200+(1-EXP(-LN(2)/2))/(LN(2)/2)*DB201*DE201*VLOOKUP('Données projet'!$B$13,Paramètres!$A$1:$I$89,3,0)*0.475*44/12</f>
        <v>0.5848353080419485</v>
      </c>
      <c r="DI201" s="22">
        <f t="shared" si="175"/>
        <v>146.17665369298246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-2.8421709430404007E-13</v>
      </c>
      <c r="DP201" s="17">
        <f>DO201*VLOOKUP('Données projet'!$B$14,Paramètres!$A$1:$I$89,3,0)*VLOOKUP('Données projet'!$B$14,Paramètres!$A$1:$I$89,5,0)</f>
        <v>-3.0593128030886872E-13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610.05768948788375</v>
      </c>
      <c r="DU201" s="59">
        <f t="shared" si="209"/>
        <v>295.23928902444845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124.80726194408997</v>
      </c>
      <c r="EB201" s="21">
        <f>EXP(-LN(2)/25)*EB200+(1-EXP(-LN(2)/25))/(LN(2)/25)*Calculateur!DW201*Calculateur!DY201*VLOOKUP('Données projet'!$B$14,Paramètres!$A$1:$I$89,3,0)*0.475*44/12</f>
        <v>37.222342387537388</v>
      </c>
      <c r="EC201" s="21">
        <f>EXP(-LN(2)/2)*EC200+(1-EXP(-LN(2)/2))/(LN(2)/2)*DW201*DZ201*VLOOKUP('Données projet'!$B$14,Paramètres!$A$1:$I$89,3,0)*0.475*44/12</f>
        <v>0.65086510088539418</v>
      </c>
      <c r="ED201" s="22">
        <f t="shared" si="178"/>
        <v>162.68046943251275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7.9580786405131221E-13</v>
      </c>
      <c r="O202" s="13">
        <f>N202*VLOOKUP('Données projet'!$B$9,Paramètres!$A$1:$I$89,3,0)*VLOOKUP('Données projet'!$B$9,Paramètres!$A$1:$I$89,5,0)</f>
        <v>7.2004695539362725E-13</v>
      </c>
      <c r="P202" s="13">
        <f t="shared" si="203"/>
        <v>8.5963894794935589E-12</v>
      </c>
      <c r="Q202" s="20">
        <f t="shared" si="162"/>
        <v>1.6226126790761848E-11</v>
      </c>
      <c r="R202" s="59">
        <f t="shared" si="191"/>
        <v>290.51637186935233</v>
      </c>
      <c r="S202" s="59">
        <f ca="1">AVERAGE(OFFSET($R$3,0,0,'Données projet'!$E$9+1,1))-AVERAGE(OFFSET($H$3,0,0,'Données projet'!$E$9+1,1))</f>
        <v>681.47578137804555</v>
      </c>
      <c r="T202" s="59">
        <f t="shared" si="204"/>
        <v>300.88511065995885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112.27323825359971</v>
      </c>
      <c r="AA202" s="21">
        <f>EXP(-LN(2)/25)*AA201+(1-EXP(-LN(2)/25))/(LN(2)/25)*Calculateur!V202*Calculateur!X202*VLOOKUP('Données projet'!$B$9,Paramètres!$A$1:$I$89,3,0)*0.475*44/12</f>
        <v>16.51827340529654</v>
      </c>
      <c r="AB202" s="21">
        <f>EXP(-LN(2)/2)*AB201+(1-EXP(-LN(2)/2))/(LN(2)/2)*V202*Y202*VLOOKUP('Données projet'!$B$9,Paramètres!$A$1:$I$89,3,0)*0.475*44/12</f>
        <v>4.1502585376202689E-2</v>
      </c>
      <c r="AC202" s="22">
        <f t="shared" si="163"/>
        <v>128.83301424427245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-8.8675733422860506E-14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217.53602321474159</v>
      </c>
      <c r="AO202" s="59">
        <f t="shared" si="205"/>
        <v>215.75909414893025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2.0999942413688935</v>
      </c>
      <c r="AV202" s="21">
        <f>EXP(-LN(2)/25)*AV201+(1-EXP(-LN(2)/25))/(LN(2)/25)*Calculateur!AQ202*Calculateur!AS202*VLOOKUP('Données projet'!$B$10,Paramètres!$A$1:$I$89,3,0)*0.475*44/12</f>
        <v>0.73827957667772026</v>
      </c>
      <c r="AW202" s="21">
        <f>EXP(-LN(2)/2)*AW201+(1-EXP(-LN(2)/2))/(LN(2)/2)*AQ202*AT202*VLOOKUP('Données projet'!$B$10,Paramètres!$A$1:$I$89,3,0)*0.475*44/12</f>
        <v>1.0556379914754203E-18</v>
      </c>
      <c r="AX202" s="21">
        <f t="shared" si="166"/>
        <v>2.8382738180466136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-1.7053025658242404E-13</v>
      </c>
      <c r="BE202" s="13">
        <f>BD202*VLOOKUP('Données projet'!$B$11,Paramètres!$A$1:$I$89,3,0)*VLOOKUP('Données projet'!$B$11,Paramètres!$A$1:$I$89,5,0)</f>
        <v>-1.1439169611549005E-13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281.67293577289729</v>
      </c>
      <c r="BJ202" s="59">
        <f t="shared" si="206"/>
        <v>272.44904846480154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3.2446743909934321</v>
      </c>
      <c r="BQ202" s="21">
        <f>EXP(-LN(2)/25)*BQ201+(1-EXP(-LN(2)/25))/(LN(2)/25)*Calculateur!BL202*Calculateur!BN202*VLOOKUP('Données projet'!$B$11,Paramètres!$A$1:$I$89,3,0)*0.475*44/12</f>
        <v>1.3181739005703512</v>
      </c>
      <c r="BR202" s="21">
        <f>EXP(-LN(2)/2)*BR201+(1-EXP(-LN(2)/2))/(LN(2)/2)*BL202*BO202*VLOOKUP('Données projet'!$B$11,Paramètres!$A$1:$I$89,3,0)*0.475*44/12</f>
        <v>5.3758765169084944E-17</v>
      </c>
      <c r="BS202" s="22">
        <f t="shared" si="169"/>
        <v>4.5628482915637836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-1.7053025658242404E-13</v>
      </c>
      <c r="BZ202" s="13">
        <f>BY202*VLOOKUP('Données projet'!$B$12,Paramètres!$A$1:$I$89,3,0)*VLOOKUP('Données projet'!$B$12,Paramètres!$A$1:$I$89,5,0)</f>
        <v>-1.4897523215040567E-13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348.77506423101278</v>
      </c>
      <c r="CE202" s="59">
        <f t="shared" si="207"/>
        <v>336.13747591329548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4.2256224626891186</v>
      </c>
      <c r="CL202" s="21">
        <f>EXP(-LN(2)/25)*CL201+(1-EXP(-LN(2)/25))/(LN(2)/25)*Calculateur!CG202*Calculateur!CI202*VLOOKUP('Données projet'!$B$12,Paramètres!$A$1:$I$89,3,0)*0.475*44/12</f>
        <v>1.7166915914404557</v>
      </c>
      <c r="CM202" s="21">
        <f>EXP(-LN(2)/2)*CM201+(1-EXP(-LN(2)/2))/(LN(2)/2)*CG202*CJ202*VLOOKUP('Données projet'!$B$12,Paramètres!$A$1:$I$89,3,0)*0.475*44/12</f>
        <v>7.0011415103924678E-17</v>
      </c>
      <c r="CN202" s="22">
        <f t="shared" si="172"/>
        <v>5.9423140541295743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-2.8421709430404007E-13</v>
      </c>
      <c r="CU202" s="17">
        <f>CT202*VLOOKUP('Données projet'!$B$13,Paramètres!$A$1:$I$89,3,0)*VLOOKUP('Données projet'!$B$13,Paramètres!$A$1:$I$89,5,0)</f>
        <v>-2.7489477361086758E-13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557.48193674339791</v>
      </c>
      <c r="CZ202" s="59">
        <f t="shared" si="208"/>
        <v>271.51396593253048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109.94654775451195</v>
      </c>
      <c r="DG202" s="21">
        <f>EXP(-LN(2)/25)*DG201+(1-EXP(-LN(2)/25))/(LN(2)/25)*Calculateur!DB202*Calculateur!DD202*VLOOKUP('Données projet'!$B$13,Paramètres!$A$1:$I$89,3,0)*0.475*44/12</f>
        <v>32.531575646460283</v>
      </c>
      <c r="DH202" s="21">
        <f>EXP(-LN(2)/2)*DH201+(1-EXP(-LN(2)/2))/(LN(2)/2)*DB202*DE202*VLOOKUP('Données projet'!$B$13,Paramètres!$A$1:$I$89,3,0)*0.475*44/12</f>
        <v>0.4135410121937852</v>
      </c>
      <c r="DI202" s="22">
        <f t="shared" si="175"/>
        <v>142.89166441316601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-2.8421709430404007E-13</v>
      </c>
      <c r="DP202" s="17">
        <f>DO202*VLOOKUP('Données projet'!$B$14,Paramètres!$A$1:$I$89,3,0)*VLOOKUP('Données projet'!$B$14,Paramètres!$A$1:$I$89,5,0)</f>
        <v>-3.0593128030886872E-13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610.05768948788375</v>
      </c>
      <c r="DU202" s="59">
        <f t="shared" si="209"/>
        <v>295.23928902444845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122.35986766227944</v>
      </c>
      <c r="EB202" s="21">
        <f>EXP(-LN(2)/25)*EB201+(1-EXP(-LN(2)/25))/(LN(2)/25)*Calculateur!DW202*Calculateur!DY202*VLOOKUP('Données projet'!$B$14,Paramètres!$A$1:$I$89,3,0)*0.475*44/12</f>
        <v>36.204495477512268</v>
      </c>
      <c r="EC202" s="21">
        <f>EXP(-LN(2)/2)*EC201+(1-EXP(-LN(2)/2))/(LN(2)/2)*DW202*DZ202*VLOOKUP('Données projet'!$B$14,Paramètres!$A$1:$I$89,3,0)*0.475*44/12</f>
        <v>0.46023112647372866</v>
      </c>
      <c r="ED202" s="22">
        <f t="shared" si="178"/>
        <v>159.02459426626544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7.9580786405131221E-13</v>
      </c>
      <c r="O203" s="13">
        <f>N203*VLOOKUP('Données projet'!$B$9,Paramètres!$A$1:$I$89,3,0)*VLOOKUP('Données projet'!$B$9,Paramètres!$A$1:$I$89,5,0)</f>
        <v>7.2004695539362725E-13</v>
      </c>
      <c r="P203" s="13">
        <f t="shared" si="203"/>
        <v>8.5963894794935589E-12</v>
      </c>
      <c r="Q203" s="20">
        <f t="shared" si="162"/>
        <v>1.6226126790761848E-11</v>
      </c>
      <c r="R203" s="59">
        <f t="shared" si="191"/>
        <v>290.56523985297031</v>
      </c>
      <c r="S203" s="59">
        <f ca="1">AVERAGE(OFFSET($R$3,0,0,'Données projet'!$E$9+1,1))-AVERAGE(OFFSET($H$3,0,0,'Données projet'!$E$9+1,1))</f>
        <v>681.47578137804555</v>
      </c>
      <c r="T203" s="59">
        <f t="shared" si="204"/>
        <v>300.88511065995885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110.07162853136013</v>
      </c>
      <c r="AA203" s="21">
        <f>EXP(-LN(2)/25)*AA202+(1-EXP(-LN(2)/25))/(LN(2)/25)*Calculateur!V203*Calculateur!X203*VLOOKUP('Données projet'!$B$9,Paramètres!$A$1:$I$89,3,0)*0.475*44/12</f>
        <v>16.066580350370462</v>
      </c>
      <c r="AB203" s="21">
        <f>EXP(-LN(2)/2)*AB202+(1-EXP(-LN(2)/2))/(LN(2)/2)*V203*Y203*VLOOKUP('Données projet'!$B$9,Paramètres!$A$1:$I$89,3,0)*0.475*44/12</f>
        <v>2.9346759556286562E-2</v>
      </c>
      <c r="AC203" s="22">
        <f t="shared" si="163"/>
        <v>126.16755564128688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-8.8675733422860506E-14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217.53602321474159</v>
      </c>
      <c r="AO203" s="59">
        <f t="shared" si="205"/>
        <v>215.75909414893025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2.0588146351656613</v>
      </c>
      <c r="AV203" s="21">
        <f>EXP(-LN(2)/25)*AV202+(1-EXP(-LN(2)/25))/(LN(2)/25)*Calculateur!AQ203*Calculateur!AS203*VLOOKUP('Données projet'!$B$10,Paramètres!$A$1:$I$89,3,0)*0.475*44/12</f>
        <v>0.71809128282903245</v>
      </c>
      <c r="AW203" s="21">
        <f>EXP(-LN(2)/2)*AW202+(1-EXP(-LN(2)/2))/(LN(2)/2)*AQ203*AT203*VLOOKUP('Données projet'!$B$10,Paramètres!$A$1:$I$89,3,0)*0.475*44/12</f>
        <v>7.4644878225041656E-19</v>
      </c>
      <c r="AX203" s="21">
        <f t="shared" si="166"/>
        <v>2.7769059179946938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-1.7053025658242404E-13</v>
      </c>
      <c r="BE203" s="13">
        <f>BD203*VLOOKUP('Données projet'!$B$11,Paramètres!$A$1:$I$89,3,0)*VLOOKUP('Données projet'!$B$11,Paramètres!$A$1:$I$89,5,0)</f>
        <v>-1.1439169611549005E-13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281.67293577289729</v>
      </c>
      <c r="BJ203" s="59">
        <f t="shared" si="206"/>
        <v>272.44904846480154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3.181048305242014</v>
      </c>
      <c r="BQ203" s="21">
        <f>EXP(-LN(2)/25)*BQ202+(1-EXP(-LN(2)/25))/(LN(2)/25)*Calculateur!BL203*Calculateur!BN203*VLOOKUP('Données projet'!$B$11,Paramètres!$A$1:$I$89,3,0)*0.475*44/12</f>
        <v>1.2821283659395022</v>
      </c>
      <c r="BR203" s="21">
        <f>EXP(-LN(2)/2)*BR202+(1-EXP(-LN(2)/2))/(LN(2)/2)*BL203*BO203*VLOOKUP('Données projet'!$B$11,Paramètres!$A$1:$I$89,3,0)*0.475*44/12</f>
        <v>3.8013187399275139E-17</v>
      </c>
      <c r="BS203" s="22">
        <f t="shared" si="169"/>
        <v>4.4631766711815164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-1.7053025658242404E-13</v>
      </c>
      <c r="BZ203" s="13">
        <f>BY203*VLOOKUP('Données projet'!$B$12,Paramètres!$A$1:$I$89,3,0)*VLOOKUP('Données projet'!$B$12,Paramètres!$A$1:$I$89,5,0)</f>
        <v>-1.4897523215040567E-13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348.77506423101278</v>
      </c>
      <c r="CE203" s="59">
        <f t="shared" si="207"/>
        <v>336.13747591329548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4.1427605835709924</v>
      </c>
      <c r="CL203" s="21">
        <f>EXP(-LN(2)/25)*CL202+(1-EXP(-LN(2)/25))/(LN(2)/25)*Calculateur!CG203*Calculateur!CI203*VLOOKUP('Données projet'!$B$12,Paramètres!$A$1:$I$89,3,0)*0.475*44/12</f>
        <v>1.6697485695956291</v>
      </c>
      <c r="CM203" s="21">
        <f>EXP(-LN(2)/2)*CM202+(1-EXP(-LN(2)/2))/(LN(2)/2)*CG203*CJ203*VLOOKUP('Données projet'!$B$12,Paramètres!$A$1:$I$89,3,0)*0.475*44/12</f>
        <v>4.9505546380451416E-17</v>
      </c>
      <c r="CN203" s="22">
        <f t="shared" si="172"/>
        <v>5.8125091531666211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-2.8421709430404007E-13</v>
      </c>
      <c r="CU203" s="17">
        <f>CT203*VLOOKUP('Données projet'!$B$13,Paramètres!$A$1:$I$89,3,0)*VLOOKUP('Données projet'!$B$13,Paramètres!$A$1:$I$89,5,0)</f>
        <v>-2.7489477361086758E-13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557.48193674339791</v>
      </c>
      <c r="CZ203" s="59">
        <f t="shared" si="208"/>
        <v>271.51396593253048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107.7905630138184</v>
      </c>
      <c r="DG203" s="21">
        <f>EXP(-LN(2)/25)*DG202+(1-EXP(-LN(2)/25))/(LN(2)/25)*Calculateur!DB203*Calculateur!DD203*VLOOKUP('Données projet'!$B$13,Paramètres!$A$1:$I$89,3,0)*0.475*44/12</f>
        <v>31.641997999646616</v>
      </c>
      <c r="DH203" s="21">
        <f>EXP(-LN(2)/2)*DH202+(1-EXP(-LN(2)/2))/(LN(2)/2)*DB203*DE203*VLOOKUP('Données projet'!$B$13,Paramètres!$A$1:$I$89,3,0)*0.475*44/12</f>
        <v>0.29241765402097425</v>
      </c>
      <c r="DI203" s="22">
        <f t="shared" si="175"/>
        <v>139.72497866748597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-2.8421709430404007E-13</v>
      </c>
      <c r="DP203" s="17">
        <f>DO203*VLOOKUP('Données projet'!$B$14,Paramètres!$A$1:$I$89,3,0)*VLOOKUP('Données projet'!$B$14,Paramètres!$A$1:$I$89,5,0)</f>
        <v>-3.0593128030886872E-13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610.05768948788375</v>
      </c>
      <c r="DU203" s="59">
        <f t="shared" si="209"/>
        <v>295.23928902444845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119.9604652895721</v>
      </c>
      <c r="EB203" s="21">
        <f>EXP(-LN(2)/25)*EB202+(1-EXP(-LN(2)/25))/(LN(2)/25)*Calculateur!DW203*Calculateur!DY203*VLOOKUP('Données projet'!$B$14,Paramètres!$A$1:$I$89,3,0)*0.475*44/12</f>
        <v>35.214481644768021</v>
      </c>
      <c r="EC203" s="21">
        <f>EXP(-LN(2)/2)*EC202+(1-EXP(-LN(2)/2))/(LN(2)/2)*DW203*DZ203*VLOOKUP('Données projet'!$B$14,Paramètres!$A$1:$I$89,3,0)*0.475*44/12</f>
        <v>0.32543255044269714</v>
      </c>
      <c r="ED203" s="22">
        <f t="shared" si="178"/>
        <v>155.5003794847828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1.1303799945549604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1.2414494093563335</v>
      </c>
      <c r="BA205" s="82">
        <f>EXP(LN('Données projet'!B88)/'Données projet'!A88)</f>
        <v>1.2721747796233518</v>
      </c>
      <c r="BV205" s="82">
        <f>EXP(LN('Données projet'!B114)/'Données projet'!A114)</f>
        <v>1.2721747796233518</v>
      </c>
      <c r="CQ205" s="82">
        <f>EXP(LN('Données projet'!B140)/'Données projet'!A140)</f>
        <v>1.0924684246274448</v>
      </c>
      <c r="DL205" s="82">
        <f>EXP(LN('Données projet'!B166)/'Données projet'!A166)</f>
        <v>1.0924684246274448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Q13" sqref="Q13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Chêne sessile</v>
      </c>
      <c r="B6" s="146">
        <f>'Données projet'!D9</f>
        <v>1.552</v>
      </c>
      <c r="C6" s="147">
        <f ca="1">IF(OR('Données projet'!B9="",'Données projet'!C9="",'Données projet'!C9=0%),0,Calculateur!S3)</f>
        <v>681.47578137804555</v>
      </c>
      <c r="D6" s="147">
        <f>IF(OR('Données projet'!B9="",'Données projet'!C9="",'Données projet'!C9=0%),0,Calculateur!T3)</f>
        <v>300.88511065995885</v>
      </c>
      <c r="E6" s="147">
        <f ca="1">MIN(C6,D6)</f>
        <v>300.88511065995885</v>
      </c>
      <c r="F6" s="147">
        <f ca="1">E6*B6</f>
        <v>466.97369174425614</v>
      </c>
      <c r="G6" s="147">
        <f ca="1">F6*(100%-'Données projet'!$C$24)*(100%-'Données projet'!$C$25)*(100%-'Données projet'!$C$26)*(100%-'Données projet'!$C$27)</f>
        <v>378.24869031284749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378.24869031284749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Merisier</v>
      </c>
      <c r="B7" s="154">
        <f>'Données projet'!D10</f>
        <v>4.3111111111111114E-2</v>
      </c>
      <c r="C7" s="147">
        <f ca="1">IF(OR('Données projet'!B10="",'Données projet'!C10="",'Données projet'!C10=0%),0,Calculateur!AN3)</f>
        <v>217.53602321474159</v>
      </c>
      <c r="D7" s="147">
        <f>IF(OR('Données projet'!B10="",'Données projet'!C10="",'Données projet'!C10=0%),0,Calculateur!AO3)</f>
        <v>215.75909414893025</v>
      </c>
      <c r="E7" s="147">
        <f t="shared" ref="E7:E15" ca="1" si="0">MIN(C7,D7)</f>
        <v>215.75909414893025</v>
      </c>
      <c r="F7" s="147">
        <f t="shared" ref="F7:F15" ca="1" si="1">E7*B7</f>
        <v>9.3016142810872164</v>
      </c>
      <c r="G7" s="147">
        <f ca="1">F7*(100%-'Données projet'!$C$24)*(100%-'Données projet'!$C$25)*(100%-'Données projet'!$C$26)*(100%-'Données projet'!$C$27)</f>
        <v>7.5343075676806457</v>
      </c>
      <c r="H7" s="155">
        <f>IF(OR('Données projet'!B10="",'Données projet'!C10="",'Données projet'!C10=0%),0,AVERAGE(Calculateur!$AX$3:$AX$33)*B7)</f>
        <v>6.4064225926675183E-2</v>
      </c>
      <c r="I7" s="149">
        <f>H7*(100%-'Données projet'!$C$24)*(100%-'Données projet'!$C$25)*(100%-'Données projet'!$C$26)*(100%-'Données projet'!$C$27)</f>
        <v>5.1892023000606906E-2</v>
      </c>
      <c r="J7" s="150">
        <f>IF(OR('Données projet'!B10="",'Données projet'!C10="",'Données projet'!C10=0%),0,SUM(Calculateur!$AQ$3:$AQ$33)*VLOOKUP('Données projet'!$B$10,Paramètres!$A$1:$I$89,9,0)*B7)</f>
        <v>0.37998575498575499</v>
      </c>
      <c r="K7" s="151">
        <f>J7*(100%-'Données projet'!$C$24)*(100%-'Données projet'!$C$25)*(100%-'Données projet'!$C$26)*(100%-'Données projet'!$C$27)</f>
        <v>0.30778846153846157</v>
      </c>
      <c r="L7" s="152">
        <f t="shared" ref="L7:L15" ca="1" si="2">G7+I7+K7</f>
        <v>7.8939880522197141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Tilleul</v>
      </c>
      <c r="B8" s="154">
        <f>'Données projet'!D11</f>
        <v>0.12933333333333333</v>
      </c>
      <c r="C8" s="147">
        <f ca="1">IF(OR('Données projet'!B11="",'Données projet'!C11="",'Données projet'!C11=0%),0,Calculateur!BI3)</f>
        <v>281.67293577289729</v>
      </c>
      <c r="D8" s="147">
        <f>IF(OR('Données projet'!B11="",'Données projet'!C11="",'Données projet'!C11=0%),0,Calculateur!BJ3)</f>
        <v>272.44904846480154</v>
      </c>
      <c r="E8" s="147">
        <f t="shared" ca="1" si="0"/>
        <v>272.44904846480154</v>
      </c>
      <c r="F8" s="147">
        <f t="shared" ca="1" si="1"/>
        <v>35.236743601447664</v>
      </c>
      <c r="G8" s="147">
        <f ca="1">F8*(100%-'Données projet'!$C$24)*(100%-'Données projet'!$C$25)*(100%-'Données projet'!$C$26)*(100%-'Données projet'!$C$27)</f>
        <v>28.541762317172608</v>
      </c>
      <c r="H8" s="155">
        <f>IF(OR('Données projet'!B11="",'Données projet'!C11="",'Données projet'!C11=0%),0,AVERAGE(Calculateur!$BS$3:$BS$33)*B8)</f>
        <v>0.43474976505869672</v>
      </c>
      <c r="I8" s="149">
        <f>H8*(100%-'Données projet'!$C$24)*(100%-'Données projet'!$C$25)*(100%-'Données projet'!$C$26)*(100%-'Données projet'!$C$27)</f>
        <v>0.35214730969754438</v>
      </c>
      <c r="J8" s="150">
        <f>IF(OR('Données projet'!B11="",'Données projet'!C11="",'Données projet'!C11=0%),0,SUM(Calculateur!$BL$3:$BL$33)*VLOOKUP('Données projet'!$B$11,Paramètres!$A$1:$I$89,9,0)*B8)</f>
        <v>3.2010000000000001</v>
      </c>
      <c r="K8" s="151">
        <f>J8*(100%-'Données projet'!$C$24)*(100%-'Données projet'!$C$25)*(100%-'Données projet'!$C$26)*(100%-'Données projet'!$C$27)</f>
        <v>2.5928100000000001</v>
      </c>
      <c r="L8" s="152">
        <f t="shared" ca="1" si="2"/>
        <v>31.486719626870151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>Erable champêtre</v>
      </c>
      <c r="B9" s="154">
        <f>'Données projet'!D12</f>
        <v>0.12933333333333333</v>
      </c>
      <c r="C9" s="147">
        <f ca="1">IF(OR('Données projet'!B12="",'Données projet'!C12="",'Données projet'!C12=0%),0,Calculateur!CD3)</f>
        <v>348.77506423101278</v>
      </c>
      <c r="D9" s="147">
        <f>IF(OR('Données projet'!B12="",'Données projet'!C12="",'Données projet'!C12=0%),0,Calculateur!CE3)</f>
        <v>336.13747591329548</v>
      </c>
      <c r="E9" s="147">
        <f t="shared" ca="1" si="0"/>
        <v>336.13747591329548</v>
      </c>
      <c r="F9" s="147">
        <f t="shared" ca="1" si="1"/>
        <v>43.473780218119543</v>
      </c>
      <c r="G9" s="147">
        <f ca="1">F9*(100%-'Données projet'!$C$24)*(100%-'Données projet'!$C$25)*(100%-'Données projet'!$C$26)*(100%-'Données projet'!$C$27)</f>
        <v>35.213761976676828</v>
      </c>
      <c r="H9" s="155">
        <f>IF(OR('Données projet'!B12="",'Données projet'!C12="",'Données projet'!C12=0%),0,AVERAGE(Calculateur!$CN$3:$CN$33)*B9)</f>
        <v>0.56618574054155857</v>
      </c>
      <c r="I9" s="149">
        <f>H9*(100%-'Données projet'!$C$24)*(100%-'Données projet'!$C$25)*(100%-'Données projet'!$C$26)*(100%-'Données projet'!$C$27)</f>
        <v>0.4586104498386625</v>
      </c>
      <c r="J9" s="150">
        <f>IF(OR('Données projet'!B12="",'Données projet'!C12="",'Données projet'!C12=0%),0,SUM(Calculateur!$CG$3:$CG$33)*VLOOKUP('Données projet'!$B$12,Paramètres!$A$1:$I$89,9,0)*B9)</f>
        <v>3.2010000000000001</v>
      </c>
      <c r="K9" s="151">
        <f>J9*(100%-'Données projet'!$C$24)*(100%-'Données projet'!$C$25)*(100%-'Données projet'!$C$26)*(100%-'Données projet'!$C$27)</f>
        <v>2.5928100000000001</v>
      </c>
      <c r="L9" s="152">
        <f t="shared" ca="1" si="2"/>
        <v>38.265182426515494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>Alisier torminal</v>
      </c>
      <c r="B10" s="154">
        <f>'Données projet'!D13</f>
        <v>4.3111111111111114E-2</v>
      </c>
      <c r="C10" s="147">
        <f ca="1">IF(OR('Données projet'!B13="",'Données projet'!C13="",'Données projet'!C13=0%),0,Calculateur!CY3)</f>
        <v>557.48193674339791</v>
      </c>
      <c r="D10" s="147">
        <f>IF(OR('Données projet'!B13="",'Données projet'!C13="",'Données projet'!C13=0%),0,Calculateur!CZ3)</f>
        <v>271.51396593253048</v>
      </c>
      <c r="E10" s="147">
        <f t="shared" ca="1" si="0"/>
        <v>271.51396593253048</v>
      </c>
      <c r="F10" s="147">
        <f t="shared" ca="1" si="1"/>
        <v>11.705268753535758</v>
      </c>
      <c r="G10" s="147">
        <f ca="1">F10*(100%-'Données projet'!$C$24)*(100%-'Données projet'!$C$25)*(100%-'Données projet'!$C$26)*(100%-'Données projet'!$C$27)</f>
        <v>9.4812676903639659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9.4812676903639659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>Cormier</v>
      </c>
      <c r="B11" s="154">
        <f>'Données projet'!D14</f>
        <v>4.3111111111111114E-2</v>
      </c>
      <c r="C11" s="147">
        <f ca="1">IF(OR('Données projet'!B14="",'Données projet'!C14="",'Données projet'!C14=0%),0,Calculateur!DT3)</f>
        <v>610.05768948788375</v>
      </c>
      <c r="D11" s="147">
        <f>IF(OR('Données projet'!B14="",'Données projet'!C14="",'Données projet'!C14=0%),0,Calculateur!DU3)</f>
        <v>295.23928902444845</v>
      </c>
      <c r="E11" s="147">
        <f t="shared" ca="1" si="0"/>
        <v>295.23928902444845</v>
      </c>
      <c r="F11" s="147">
        <f t="shared" ca="1" si="1"/>
        <v>12.728093793498445</v>
      </c>
      <c r="G11" s="147">
        <f ca="1">F11*(100%-'Données projet'!$C$24)*(100%-'Données projet'!$C$25)*(100%-'Données projet'!$C$26)*(100%-'Données projet'!$C$27)</f>
        <v>10.309755972733742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10.309755972733742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579.41919239194476</v>
      </c>
      <c r="G16" s="166">
        <f t="shared" ca="1" si="3"/>
        <v>469.32954583747522</v>
      </c>
      <c r="H16" s="167">
        <f t="shared" si="3"/>
        <v>1.0649997315269304</v>
      </c>
      <c r="I16" s="167">
        <f t="shared" si="3"/>
        <v>0.86264978253681379</v>
      </c>
      <c r="J16" s="168">
        <f t="shared" si="3"/>
        <v>6.7819857549857545</v>
      </c>
      <c r="K16" s="168">
        <f t="shared" si="3"/>
        <v>5.4934084615384613</v>
      </c>
      <c r="L16" s="169">
        <f t="shared" ca="1" si="3"/>
        <v>475.68560408155048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Merisier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Tilleul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>Erable champêtre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>Alisier torminal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>Cormier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1" zoomScale="80" zoomScaleNormal="80" workbookViewId="0">
      <selection activeCell="T23" sqref="T23:V23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657.68968547477937</v>
      </c>
      <c r="U10" s="178">
        <f>'Données projet'!D9</f>
        <v>1.552</v>
      </c>
      <c r="V10" s="177">
        <f>U10*T10</f>
        <v>1020.7343918568577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Merisier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683.00270138010364</v>
      </c>
      <c r="U11" s="178">
        <f>'Données projet'!D10</f>
        <v>4.3111111111111114E-2</v>
      </c>
      <c r="V11" s="177">
        <f t="shared" ref="V11" si="0">U11*T11</f>
        <v>29.445005348386694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Tilleul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856.58433878277822</v>
      </c>
      <c r="U12" s="178">
        <f>'Données projet'!D11</f>
        <v>0.12933333333333333</v>
      </c>
      <c r="V12" s="177">
        <f t="shared" ref="V12:V19" si="1">U12*T12</f>
        <v>110.78490781590598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Erable champêtre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856.58433878277822</v>
      </c>
      <c r="U13" s="178">
        <f>'Données projet'!D12</f>
        <v>0.12933333333333333</v>
      </c>
      <c r="V13" s="177">
        <f t="shared" si="1"/>
        <v>110.78490781590598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Alisier torminal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270.72656648937749</v>
      </c>
      <c r="U14" s="178">
        <f>'Données projet'!D13</f>
        <v>4.3111111111111114E-2</v>
      </c>
      <c r="V14" s="177">
        <f t="shared" si="1"/>
        <v>11.671323088653164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Cormier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270.72656648937749</v>
      </c>
      <c r="U15" s="178">
        <f>'Données projet'!D14</f>
        <v>4.3111111111111114E-2</v>
      </c>
      <c r="V15" s="177">
        <f t="shared" si="1"/>
        <v>11.671323088653164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f>18457.24/'Données projet'!C5</f>
        <v>9514.0412371134025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562.6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552.9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42</v>
      </c>
      <c r="B23" s="181">
        <f>'Données projet'!D36</f>
        <v>44.510000000000005</v>
      </c>
      <c r="C23" s="193">
        <v>12.5</v>
      </c>
      <c r="D23" s="182">
        <f>B23*C23</f>
        <v>556.37500000000011</v>
      </c>
      <c r="E23" s="193">
        <v>60</v>
      </c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-18306.745245114544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50</v>
      </c>
      <c r="B24" s="181">
        <f>'Données projet'!D37</f>
        <v>37.54000000000002</v>
      </c>
      <c r="C24" s="193">
        <v>12.5</v>
      </c>
      <c r="D24" s="182">
        <f t="shared" ref="D24:D42" si="2">B24*C24</f>
        <v>469.25000000000023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6877.2866230017762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58</v>
      </c>
      <c r="B25" s="181">
        <f>'Données projet'!D38</f>
        <v>47.789999999999992</v>
      </c>
      <c r="C25" s="193">
        <v>12.5</v>
      </c>
      <c r="D25" s="182">
        <f t="shared" si="2"/>
        <v>597.37499999999989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160</v>
      </c>
      <c r="Q25" s="234"/>
      <c r="R25" s="23"/>
      <c r="S25" s="186" t="s">
        <v>266</v>
      </c>
      <c r="T25" s="303">
        <f ca="1">T23-T24</f>
        <v>-25184.031868116319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66</v>
      </c>
      <c r="B26" s="181">
        <f>'Données projet'!D39</f>
        <v>53.679999999999978</v>
      </c>
      <c r="C26" s="193">
        <v>45.375</v>
      </c>
      <c r="D26" s="182">
        <f t="shared" si="2"/>
        <v>2435.7299999999991</v>
      </c>
      <c r="E26" s="193">
        <v>60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74</v>
      </c>
      <c r="B27" s="181">
        <f>'Données projet'!D40</f>
        <v>51.339999999999975</v>
      </c>
      <c r="C27" s="193">
        <v>45.375</v>
      </c>
      <c r="D27" s="182">
        <f t="shared" si="2"/>
        <v>2329.5524999999989</v>
      </c>
      <c r="E27" s="193">
        <v>60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84</v>
      </c>
      <c r="B28" s="181">
        <f>'Données projet'!D41</f>
        <v>66.69</v>
      </c>
      <c r="C28" s="193">
        <v>45.375</v>
      </c>
      <c r="D28" s="182">
        <f t="shared" si="2"/>
        <v>3026.0587499999997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94</v>
      </c>
      <c r="B29" s="181">
        <f>'Données projet'!D42</f>
        <v>67.350000000000023</v>
      </c>
      <c r="C29" s="193">
        <v>45.375</v>
      </c>
      <c r="D29" s="182">
        <f t="shared" si="2"/>
        <v>3056.0062500000008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104</v>
      </c>
      <c r="B30" s="181">
        <f>'Données projet'!D43</f>
        <v>66.089999999999975</v>
      </c>
      <c r="C30" s="193">
        <v>45.375</v>
      </c>
      <c r="D30" s="182">
        <f t="shared" si="2"/>
        <v>2998.8337499999989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3544.9931046400911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114</v>
      </c>
      <c r="B31" s="181">
        <f>'Données projet'!D44</f>
        <v>61.860000000000014</v>
      </c>
      <c r="C31" s="193">
        <v>45.375</v>
      </c>
      <c r="D31" s="182">
        <f t="shared" si="2"/>
        <v>2806.8975000000005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124</v>
      </c>
      <c r="B32" s="181">
        <f>'Données projet'!D45</f>
        <v>57.81</v>
      </c>
      <c r="C32" s="193">
        <v>45.375</v>
      </c>
      <c r="D32" s="182">
        <f t="shared" si="2"/>
        <v>2623.1287500000003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134</v>
      </c>
      <c r="B33" s="181">
        <f>'Données projet'!D46</f>
        <v>60.779999999999973</v>
      </c>
      <c r="C33" s="193">
        <v>138</v>
      </c>
      <c r="D33" s="182">
        <f t="shared" si="2"/>
        <v>8387.6399999999958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160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144</v>
      </c>
      <c r="B34" s="181">
        <f>'Données projet'!D47</f>
        <v>61.800000000000068</v>
      </c>
      <c r="C34" s="193">
        <v>138</v>
      </c>
      <c r="D34" s="182">
        <f t="shared" si="2"/>
        <v>8528.4000000000087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153.11004784688996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154</v>
      </c>
      <c r="B35" s="181">
        <f>'Données projet'!D48</f>
        <v>61.050000000000011</v>
      </c>
      <c r="C35" s="193">
        <v>138</v>
      </c>
      <c r="D35" s="182">
        <f t="shared" si="2"/>
        <v>8424.9000000000015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146.51679219798083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164</v>
      </c>
      <c r="B36" s="181">
        <f>'Données projet'!D49</f>
        <v>66.020000000000095</v>
      </c>
      <c r="C36" s="193">
        <v>138</v>
      </c>
      <c r="D36" s="182">
        <f t="shared" si="2"/>
        <v>9110.760000000013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140.2074566487855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174</v>
      </c>
      <c r="B37" s="181">
        <f>'Données projet'!D50</f>
        <v>240</v>
      </c>
      <c r="C37" s="193">
        <v>156.375</v>
      </c>
      <c r="D37" s="182">
        <f t="shared" si="2"/>
        <v>37530</v>
      </c>
      <c r="E37" s="193">
        <v>60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134.16981497491437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177</v>
      </c>
      <c r="B38" s="181">
        <f>'Données projet'!D51</f>
        <v>128.66000000000003</v>
      </c>
      <c r="C38" s="193">
        <v>156.375</v>
      </c>
      <c r="D38" s="182">
        <f t="shared" si="2"/>
        <v>20119.207500000004</v>
      </c>
      <c r="E38" s="193">
        <v>60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128.39216744010946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180</v>
      </c>
      <c r="B39" s="181">
        <f>'Données projet'!D52</f>
        <v>86.97</v>
      </c>
      <c r="C39" s="193">
        <v>156.375</v>
      </c>
      <c r="D39" s="182">
        <f t="shared" si="2"/>
        <v>13599.93375</v>
      </c>
      <c r="E39" s="193">
        <v>60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122.86331812450669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183</v>
      </c>
      <c r="B40" s="181">
        <f>'Données projet'!D53</f>
        <v>191.47</v>
      </c>
      <c r="C40" s="193">
        <v>156.375</v>
      </c>
      <c r="D40" s="182">
        <f t="shared" si="2"/>
        <v>29941.12125</v>
      </c>
      <c r="E40" s="193">
        <v>60</v>
      </c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117.57255322919299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112.50962031501726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107.66470843542322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103.02842912480692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98.59179820555687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Merisier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94.346218378523332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90.283462563180223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86.395657955196413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82.675270770522872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79.115091646433399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75.708221671228131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72.448059015529324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69.328286139262516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66.342857549533534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15</v>
      </c>
      <c r="B54" s="181">
        <f>'Données projet'!D62</f>
        <v>1.9230769230769229</v>
      </c>
      <c r="C54" s="191">
        <v>13.1625</v>
      </c>
      <c r="D54" s="179">
        <f>B54*C54</f>
        <v>25.312499999999996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63.485988085678009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20</v>
      </c>
      <c r="B55" s="181">
        <f>'Données projet'!D63</f>
        <v>16.025641025641026</v>
      </c>
      <c r="C55" s="191">
        <v>13.1625</v>
      </c>
      <c r="D55" s="179">
        <f t="shared" ref="D55:D73" si="4">B55*C55</f>
        <v>210.9375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60.752141708782808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25</v>
      </c>
      <c r="B56" s="181">
        <f>'Données projet'!D64</f>
        <v>17.307692307692307</v>
      </c>
      <c r="C56" s="191">
        <v>13.1625</v>
      </c>
      <c r="D56" s="179">
        <f t="shared" si="4"/>
        <v>227.81249999999997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58.136020773954833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31</v>
      </c>
      <c r="B57" s="181">
        <f>'Données projet'!D65</f>
        <v>23.076923076923077</v>
      </c>
      <c r="C57" s="191">
        <v>21.206250000000001</v>
      </c>
      <c r="D57" s="179">
        <f t="shared" si="4"/>
        <v>489.375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55.632555764550091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37</v>
      </c>
      <c r="B58" s="181">
        <f>'Données projet'!D66</f>
        <v>23.076923076923077</v>
      </c>
      <c r="C58" s="191">
        <v>21.206250000000001</v>
      </c>
      <c r="D58" s="179">
        <f t="shared" si="4"/>
        <v>489.375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53.236895468468994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44</v>
      </c>
      <c r="B59" s="181">
        <f>'Données projet'!D67</f>
        <v>27.564102564102562</v>
      </c>
      <c r="C59" s="191">
        <v>21.206250000000001</v>
      </c>
      <c r="D59" s="179">
        <f t="shared" si="4"/>
        <v>584.53125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50.944397577482306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52</v>
      </c>
      <c r="B60" s="181">
        <f>'Données projet'!D68</f>
        <v>30.769230769230766</v>
      </c>
      <c r="C60" s="191">
        <v>21.206250000000001</v>
      </c>
      <c r="D60" s="179">
        <f t="shared" si="4"/>
        <v>652.5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48.750619691370623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60</v>
      </c>
      <c r="B61" s="181">
        <f>'Données projet'!D69</f>
        <v>30.128205128205128</v>
      </c>
      <c r="C61" s="191">
        <v>24.862500000000001</v>
      </c>
      <c r="D61" s="179">
        <f t="shared" si="4"/>
        <v>749.0625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46.651310709445582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69</v>
      </c>
      <c r="B62" s="181">
        <f>'Données projet'!D70</f>
        <v>210.25641025641025</v>
      </c>
      <c r="C62" s="191">
        <v>26.690625000000001</v>
      </c>
      <c r="D62" s="179">
        <f t="shared" si="4"/>
        <v>5611.875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44.642402592770885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42.720002481120481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40.880385149397583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39.119985788897225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37.435393099423187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35.823342678873871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34.28071069748696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32.80450784448513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31.391873535392474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30.040070368796631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28.746478821814957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27.508592173985612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26.324011649747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25.190441770092828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Tilleul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24.105685904395049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23.067642013775171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22.074298577775281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21.123730696435683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20.214096360225529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19.343632880598602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18.510653474257037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17.713543994504345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16.950759803353439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15</v>
      </c>
      <c r="B85" s="181">
        <f>'Données projet'!D88</f>
        <v>15</v>
      </c>
      <c r="C85" s="191">
        <v>13.1625</v>
      </c>
      <c r="D85" s="179">
        <f>B85*C85</f>
        <v>197.4375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16.220822778328653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20</v>
      </c>
      <c r="B86" s="181">
        <f>'Données projet'!D89</f>
        <v>28</v>
      </c>
      <c r="C86" s="191">
        <v>13.1625</v>
      </c>
      <c r="D86" s="179">
        <f t="shared" ref="D86:D104" si="6">B86*C86</f>
        <v>368.55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15.522318448161391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25</v>
      </c>
      <c r="B87" s="181">
        <f>'Données projet'!D90</f>
        <v>28</v>
      </c>
      <c r="C87" s="191">
        <v>13.1625</v>
      </c>
      <c r="D87" s="179">
        <f t="shared" si="6"/>
        <v>368.55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14.853893251829088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30</v>
      </c>
      <c r="B88" s="181">
        <f>'Données projet'!D91</f>
        <v>28</v>
      </c>
      <c r="C88" s="191">
        <v>13.1625</v>
      </c>
      <c r="D88" s="179">
        <f t="shared" si="6"/>
        <v>368.55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14.214251915625919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35</v>
      </c>
      <c r="B89" s="181">
        <f>'Données projet'!D92</f>
        <v>28</v>
      </c>
      <c r="C89" s="191">
        <v>13.1625</v>
      </c>
      <c r="D89" s="179">
        <f t="shared" si="6"/>
        <v>368.55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13.6021549431827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40</v>
      </c>
      <c r="B90" s="181">
        <f>'Données projet'!D93</f>
        <v>28</v>
      </c>
      <c r="C90" s="191">
        <v>21.206250000000001</v>
      </c>
      <c r="D90" s="179">
        <f t="shared" si="6"/>
        <v>593.77499999999998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13.016416213571965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45</v>
      </c>
      <c r="B91" s="181">
        <f>'Données projet'!D94</f>
        <v>22</v>
      </c>
      <c r="C91" s="191">
        <v>21.206250000000001</v>
      </c>
      <c r="D91" s="179">
        <f t="shared" si="6"/>
        <v>466.53750000000002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12.455900682843987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50</v>
      </c>
      <c r="B92" s="181">
        <f>'Données projet'!D95</f>
        <v>17</v>
      </c>
      <c r="C92" s="191">
        <v>21.206250000000001</v>
      </c>
      <c r="D92" s="179">
        <f t="shared" si="6"/>
        <v>360.50625000000002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11.919522184539701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55</v>
      </c>
      <c r="B93" s="181">
        <f>'Données projet'!D96</f>
        <v>13</v>
      </c>
      <c r="C93" s="191">
        <v>21.206250000000001</v>
      </c>
      <c r="D93" s="179">
        <f t="shared" si="6"/>
        <v>275.68125000000003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11.406241324918376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60</v>
      </c>
      <c r="B94" s="181">
        <f>'Données projet'!D97</f>
        <v>12</v>
      </c>
      <c r="C94" s="191">
        <v>21.206250000000001</v>
      </c>
      <c r="D94" s="179">
        <f t="shared" si="6"/>
        <v>254.47500000000002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10.91506346882141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65</v>
      </c>
      <c r="B95" s="181">
        <f>'Données projet'!D98</f>
        <v>11</v>
      </c>
      <c r="C95" s="191">
        <v>21.206250000000001</v>
      </c>
      <c r="D95" s="179">
        <f t="shared" si="6"/>
        <v>233.26875000000001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10.445036812269297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70</v>
      </c>
      <c r="B96" s="181">
        <f>'Données projet'!D99</f>
        <v>10</v>
      </c>
      <c r="C96" s="191">
        <v>21.206250000000001</v>
      </c>
      <c r="D96" s="179">
        <f t="shared" si="6"/>
        <v>212.0625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9.9952505380567409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75</v>
      </c>
      <c r="B97" s="181">
        <f>'Données projet'!D100</f>
        <v>9</v>
      </c>
      <c r="C97" s="191">
        <v>21.206250000000001</v>
      </c>
      <c r="D97" s="179">
        <f t="shared" si="6"/>
        <v>190.85625000000002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9.5648330507720072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80</v>
      </c>
      <c r="B98" s="181">
        <f>'Données projet'!D101</f>
        <v>275</v>
      </c>
      <c r="C98" s="191">
        <v>21.206250000000001</v>
      </c>
      <c r="D98" s="179">
        <f t="shared" si="6"/>
        <v>5831.71875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9.1529502878201026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8.758804103177134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8.3816307207436687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8.0206992543001618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7.675310291196328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str">
        <f>IF(O102+1&lt;=MIN('Données projet'!$E$9:$E$18),O102+1,"STOP")</f>
        <v>STOP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>Erable champêtre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15</v>
      </c>
      <c r="B116" s="181">
        <f>'Données projet'!D114</f>
        <v>15</v>
      </c>
      <c r="C116" s="191">
        <v>13.1625</v>
      </c>
      <c r="D116" s="179">
        <f>B116*C116</f>
        <v>197.4375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20</v>
      </c>
      <c r="B117" s="181">
        <f>'Données projet'!D115</f>
        <v>28</v>
      </c>
      <c r="C117" s="191">
        <v>13.1625</v>
      </c>
      <c r="D117" s="179">
        <f t="shared" ref="D117:D135" si="8">B117*C117</f>
        <v>368.55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25</v>
      </c>
      <c r="B118" s="181">
        <f>'Données projet'!D116</f>
        <v>28</v>
      </c>
      <c r="C118" s="191">
        <v>13.1625</v>
      </c>
      <c r="D118" s="179">
        <f t="shared" si="8"/>
        <v>368.55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30</v>
      </c>
      <c r="B119" s="181">
        <f>'Données projet'!D117</f>
        <v>28</v>
      </c>
      <c r="C119" s="191">
        <v>13.1625</v>
      </c>
      <c r="D119" s="179">
        <f t="shared" si="8"/>
        <v>368.55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35</v>
      </c>
      <c r="B120" s="181">
        <f>'Données projet'!D118</f>
        <v>28</v>
      </c>
      <c r="C120" s="191">
        <v>13.1625</v>
      </c>
      <c r="D120" s="179">
        <f t="shared" si="8"/>
        <v>368.55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40</v>
      </c>
      <c r="B121" s="181">
        <f>'Données projet'!D119</f>
        <v>28</v>
      </c>
      <c r="C121" s="191">
        <v>21.206250000000001</v>
      </c>
      <c r="D121" s="179">
        <f t="shared" si="8"/>
        <v>593.77499999999998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45</v>
      </c>
      <c r="B122" s="181">
        <f>'Données projet'!D120</f>
        <v>22</v>
      </c>
      <c r="C122" s="191">
        <v>21.206250000000001</v>
      </c>
      <c r="D122" s="179">
        <f t="shared" si="8"/>
        <v>466.53750000000002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50</v>
      </c>
      <c r="B123" s="181">
        <f>'Données projet'!D121</f>
        <v>17</v>
      </c>
      <c r="C123" s="191">
        <v>21.206250000000001</v>
      </c>
      <c r="D123" s="179">
        <f t="shared" si="8"/>
        <v>360.50625000000002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55</v>
      </c>
      <c r="B124" s="181">
        <f>'Données projet'!D122</f>
        <v>13</v>
      </c>
      <c r="C124" s="191">
        <v>21.206250000000001</v>
      </c>
      <c r="D124" s="179">
        <f t="shared" si="8"/>
        <v>275.68125000000003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60</v>
      </c>
      <c r="B125" s="181">
        <f>'Données projet'!D123</f>
        <v>12</v>
      </c>
      <c r="C125" s="191">
        <v>21.206250000000001</v>
      </c>
      <c r="D125" s="179">
        <f t="shared" si="8"/>
        <v>254.47500000000002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65</v>
      </c>
      <c r="B126" s="181">
        <f>'Données projet'!D124</f>
        <v>11</v>
      </c>
      <c r="C126" s="191">
        <v>21.206250000000001</v>
      </c>
      <c r="D126" s="179">
        <f t="shared" si="8"/>
        <v>233.26875000000001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70</v>
      </c>
      <c r="B127" s="181">
        <f>'Données projet'!D125</f>
        <v>10</v>
      </c>
      <c r="C127" s="191">
        <v>21.206250000000001</v>
      </c>
      <c r="D127" s="179">
        <f t="shared" si="8"/>
        <v>212.0625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75</v>
      </c>
      <c r="B128" s="181">
        <f>'Données projet'!D126</f>
        <v>9</v>
      </c>
      <c r="C128" s="191">
        <v>21.206250000000001</v>
      </c>
      <c r="D128" s="179">
        <f t="shared" si="8"/>
        <v>190.85625000000002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80</v>
      </c>
      <c r="B129" s="181">
        <f>'Données projet'!D127</f>
        <v>275</v>
      </c>
      <c r="C129" s="191">
        <v>21.206250000000001</v>
      </c>
      <c r="D129" s="179">
        <f t="shared" si="8"/>
        <v>5831.71875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>Alisier torminal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60</v>
      </c>
      <c r="B147" s="175">
        <f>'Données projet'!D140</f>
        <v>72.87</v>
      </c>
      <c r="C147" s="191">
        <v>14.625000000000002</v>
      </c>
      <c r="D147" s="182">
        <f>B147*C147</f>
        <v>1065.7237500000001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69</v>
      </c>
      <c r="B148" s="175">
        <f>'Données projet'!D141</f>
        <v>42.22</v>
      </c>
      <c r="C148" s="191">
        <v>14.625000000000002</v>
      </c>
      <c r="D148" s="182">
        <f t="shared" ref="D148:D166" si="10">B148*C148</f>
        <v>617.46750000000009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77</v>
      </c>
      <c r="B149" s="175">
        <f>'Données projet'!D142</f>
        <v>33.950000000000017</v>
      </c>
      <c r="C149" s="191">
        <v>14.625000000000002</v>
      </c>
      <c r="D149" s="182">
        <f t="shared" si="10"/>
        <v>496.5187500000003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86</v>
      </c>
      <c r="B150" s="175">
        <f>'Données projet'!D143</f>
        <v>37.54000000000002</v>
      </c>
      <c r="C150" s="191">
        <v>47.069099999999999</v>
      </c>
      <c r="D150" s="182">
        <f t="shared" si="10"/>
        <v>1766.9740140000008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95</v>
      </c>
      <c r="B151" s="175">
        <f>'Données projet'!D144</f>
        <v>42.199999999999989</v>
      </c>
      <c r="C151" s="191">
        <v>47.069099999999999</v>
      </c>
      <c r="D151" s="182">
        <f t="shared" si="10"/>
        <v>1986.3160199999995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104</v>
      </c>
      <c r="B152" s="175">
        <f>'Données projet'!D145</f>
        <v>39.400000000000006</v>
      </c>
      <c r="C152" s="191">
        <v>47.069099999999999</v>
      </c>
      <c r="D152" s="182">
        <f t="shared" si="10"/>
        <v>1854.5225400000002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113</v>
      </c>
      <c r="B153" s="175">
        <f>'Données projet'!D146</f>
        <v>41.639999999999986</v>
      </c>
      <c r="C153" s="191">
        <v>47.069099999999999</v>
      </c>
      <c r="D153" s="182">
        <f t="shared" si="10"/>
        <v>1959.9573239999993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122</v>
      </c>
      <c r="B154" s="175">
        <f>'Données projet'!D147</f>
        <v>45.829999999999984</v>
      </c>
      <c r="C154" s="191">
        <v>47.069099999999999</v>
      </c>
      <c r="D154" s="182">
        <f t="shared" si="10"/>
        <v>2157.176852999999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132</v>
      </c>
      <c r="B155" s="175">
        <f>'Données projet'!D148</f>
        <v>48.699999999999989</v>
      </c>
      <c r="C155" s="191">
        <v>47.069099999999999</v>
      </c>
      <c r="D155" s="182">
        <f t="shared" si="10"/>
        <v>2292.2651699999992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144</v>
      </c>
      <c r="B156" s="175">
        <f>'Données projet'!D149</f>
        <v>60.949999999999989</v>
      </c>
      <c r="C156" s="191">
        <v>47.069099999999999</v>
      </c>
      <c r="D156" s="182">
        <f t="shared" si="10"/>
        <v>2868.8616449999995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156</v>
      </c>
      <c r="B157" s="175">
        <f>'Données projet'!D150</f>
        <v>65.69</v>
      </c>
      <c r="C157" s="191">
        <v>135.13499999999999</v>
      </c>
      <c r="D157" s="182">
        <f t="shared" si="10"/>
        <v>8877.0181499999999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168</v>
      </c>
      <c r="B158" s="175">
        <f>'Données projet'!D151</f>
        <v>71.37</v>
      </c>
      <c r="C158" s="191">
        <v>135.13499999999999</v>
      </c>
      <c r="D158" s="182">
        <f t="shared" si="10"/>
        <v>9644.5849500000004</v>
      </c>
      <c r="E158" s="193">
        <v>60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180</v>
      </c>
      <c r="B159" s="175">
        <f>'Données projet'!D152</f>
        <v>175.59000000000003</v>
      </c>
      <c r="C159" s="191">
        <v>135.13499999999999</v>
      </c>
      <c r="D159" s="182">
        <f t="shared" si="10"/>
        <v>23728.354650000001</v>
      </c>
      <c r="E159" s="193">
        <v>60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184</v>
      </c>
      <c r="B160" s="175">
        <f>'Données projet'!D153</f>
        <v>101.19999999999999</v>
      </c>
      <c r="C160" s="191">
        <v>135.13499999999999</v>
      </c>
      <c r="D160" s="182">
        <f t="shared" si="10"/>
        <v>13675.661999999998</v>
      </c>
      <c r="E160" s="193">
        <v>60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188</v>
      </c>
      <c r="B161" s="175">
        <f>'Données projet'!D154</f>
        <v>72.180000000000007</v>
      </c>
      <c r="C161" s="191">
        <v>135.13499999999999</v>
      </c>
      <c r="D161" s="182">
        <f t="shared" si="10"/>
        <v>9754.0442999999996</v>
      </c>
      <c r="E161" s="193">
        <v>60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191</v>
      </c>
      <c r="B162" s="175">
        <f>'Données projet'!D155</f>
        <v>145.01</v>
      </c>
      <c r="C162" s="191">
        <v>190.06649999999999</v>
      </c>
      <c r="D162" s="182">
        <f t="shared" si="10"/>
        <v>27561.543164999995</v>
      </c>
      <c r="E162" s="193">
        <v>60</v>
      </c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>Cormier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60</v>
      </c>
      <c r="B178" s="181">
        <f>'Données projet'!D166</f>
        <v>72.87</v>
      </c>
      <c r="C178" s="193">
        <v>14.625000000000002</v>
      </c>
      <c r="D178" s="179">
        <f>B178*C178</f>
        <v>1065.7237500000001</v>
      </c>
      <c r="E178" s="193">
        <v>60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69</v>
      </c>
      <c r="B179" s="181">
        <f>'Données projet'!D167</f>
        <v>42.22</v>
      </c>
      <c r="C179" s="193">
        <v>14.625000000000002</v>
      </c>
      <c r="D179" s="179">
        <f t="shared" ref="D179:D197" si="11">B179*C179</f>
        <v>617.46750000000009</v>
      </c>
      <c r="E179" s="193">
        <v>60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77</v>
      </c>
      <c r="B180" s="181">
        <f>'Données projet'!D168</f>
        <v>33.950000000000017</v>
      </c>
      <c r="C180" s="193">
        <v>14.625000000000002</v>
      </c>
      <c r="D180" s="179">
        <f t="shared" si="11"/>
        <v>496.5187500000003</v>
      </c>
      <c r="E180" s="193">
        <v>60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86</v>
      </c>
      <c r="B181" s="181">
        <f>'Données projet'!D169</f>
        <v>37.54000000000002</v>
      </c>
      <c r="C181" s="193">
        <v>47.069099999999999</v>
      </c>
      <c r="D181" s="179">
        <f t="shared" si="11"/>
        <v>1766.9740140000008</v>
      </c>
      <c r="E181" s="193">
        <v>60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95</v>
      </c>
      <c r="B182" s="181">
        <f>'Données projet'!D170</f>
        <v>42.199999999999989</v>
      </c>
      <c r="C182" s="193">
        <v>47.069099999999999</v>
      </c>
      <c r="D182" s="179">
        <f t="shared" si="11"/>
        <v>1986.3160199999995</v>
      </c>
      <c r="E182" s="193">
        <v>60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104</v>
      </c>
      <c r="B183" s="181">
        <f>'Données projet'!D171</f>
        <v>39.400000000000006</v>
      </c>
      <c r="C183" s="193">
        <v>47.069099999999999</v>
      </c>
      <c r="D183" s="179">
        <f t="shared" si="11"/>
        <v>1854.5225400000002</v>
      </c>
      <c r="E183" s="193">
        <v>60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113</v>
      </c>
      <c r="B184" s="181">
        <f>'Données projet'!D172</f>
        <v>41.639999999999986</v>
      </c>
      <c r="C184" s="193">
        <v>47.069099999999999</v>
      </c>
      <c r="D184" s="179">
        <f t="shared" si="11"/>
        <v>1959.9573239999993</v>
      </c>
      <c r="E184" s="193">
        <v>60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122</v>
      </c>
      <c r="B185" s="181">
        <f>'Données projet'!D173</f>
        <v>45.829999999999984</v>
      </c>
      <c r="C185" s="193">
        <v>47.069099999999999</v>
      </c>
      <c r="D185" s="179">
        <f t="shared" si="11"/>
        <v>2157.176852999999</v>
      </c>
      <c r="E185" s="193">
        <v>60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132</v>
      </c>
      <c r="B186" s="181">
        <f>'Données projet'!D174</f>
        <v>48.699999999999989</v>
      </c>
      <c r="C186" s="193">
        <v>47.069099999999999</v>
      </c>
      <c r="D186" s="179">
        <f t="shared" si="11"/>
        <v>2292.2651699999992</v>
      </c>
      <c r="E186" s="193">
        <v>60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144</v>
      </c>
      <c r="B187" s="181">
        <f>'Données projet'!D175</f>
        <v>60.949999999999989</v>
      </c>
      <c r="C187" s="193">
        <v>47.069099999999999</v>
      </c>
      <c r="D187" s="179">
        <f t="shared" si="11"/>
        <v>2868.8616449999995</v>
      </c>
      <c r="E187" s="193">
        <v>60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156</v>
      </c>
      <c r="B188" s="181">
        <f>'Données projet'!D176</f>
        <v>65.69</v>
      </c>
      <c r="C188" s="193">
        <v>135.13499999999999</v>
      </c>
      <c r="D188" s="179">
        <f t="shared" si="11"/>
        <v>8877.0181499999999</v>
      </c>
      <c r="E188" s="193">
        <v>60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168</v>
      </c>
      <c r="B189" s="181">
        <f>'Données projet'!D177</f>
        <v>71.37</v>
      </c>
      <c r="C189" s="193">
        <v>135.13499999999999</v>
      </c>
      <c r="D189" s="179">
        <f t="shared" si="11"/>
        <v>9644.5849500000004</v>
      </c>
      <c r="E189" s="193">
        <v>60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180</v>
      </c>
      <c r="B190" s="181">
        <f>'Données projet'!D178</f>
        <v>175.59000000000003</v>
      </c>
      <c r="C190" s="193">
        <v>135.13499999999999</v>
      </c>
      <c r="D190" s="179">
        <f t="shared" si="11"/>
        <v>23728.354650000001</v>
      </c>
      <c r="E190" s="193">
        <v>60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184</v>
      </c>
      <c r="B191" s="181">
        <f>'Données projet'!D179</f>
        <v>101.19999999999999</v>
      </c>
      <c r="C191" s="193">
        <v>135.13499999999999</v>
      </c>
      <c r="D191" s="179">
        <f t="shared" si="11"/>
        <v>13675.661999999998</v>
      </c>
      <c r="E191" s="193">
        <v>60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188</v>
      </c>
      <c r="B192" s="181">
        <f>'Données projet'!D180</f>
        <v>72.180000000000007</v>
      </c>
      <c r="C192" s="193">
        <v>135.13499999999999</v>
      </c>
      <c r="D192" s="179">
        <f t="shared" si="11"/>
        <v>9754.0442999999996</v>
      </c>
      <c r="E192" s="193">
        <v>60</v>
      </c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191</v>
      </c>
      <c r="B193" s="181">
        <f>'Données projet'!D181</f>
        <v>145.01</v>
      </c>
      <c r="C193" s="193">
        <v>190.06649999999999</v>
      </c>
      <c r="D193" s="179">
        <f t="shared" si="11"/>
        <v>27561.543164999995</v>
      </c>
      <c r="E193" s="193">
        <v>60</v>
      </c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38CE84D1-BF00-43A4-8A5C-70D1EFF462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2024-02-21T15:30:51Z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