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OCCI_OG\Documents\Olivier\C+FOR\CDC\Vendée - Aiguillon sur Vie\"/>
    </mc:Choice>
  </mc:AlternateContent>
  <bookViews>
    <workbookView xWindow="0" yWindow="0" windowWidth="28800" windowHeight="12435" tabRatio="866" activeTab="5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84" i="1" l="1"/>
  <c r="D282" i="1"/>
  <c r="D280" i="1"/>
  <c r="D278" i="1"/>
  <c r="D276" i="1"/>
  <c r="D274" i="1"/>
  <c r="D272" i="1"/>
  <c r="B286" i="1"/>
  <c r="D286" i="1" s="1"/>
  <c r="B285" i="1"/>
  <c r="B284" i="1"/>
  <c r="B283" i="1"/>
  <c r="B282" i="1"/>
  <c r="B281" i="1"/>
  <c r="B280" i="1"/>
  <c r="B279" i="1"/>
  <c r="B278" i="1"/>
  <c r="B277" i="1"/>
  <c r="B276" i="1"/>
  <c r="B275" i="1"/>
  <c r="B274" i="1"/>
  <c r="B273" i="1"/>
  <c r="B272" i="1"/>
  <c r="B271" i="1"/>
  <c r="B270" i="1"/>
  <c r="B159" i="1"/>
  <c r="D158" i="1"/>
  <c r="B158" i="1"/>
  <c r="D157" i="1"/>
  <c r="B157" i="1"/>
  <c r="D156" i="1"/>
  <c r="B156" i="1"/>
  <c r="D155" i="1"/>
  <c r="B155" i="1"/>
  <c r="D154" i="1"/>
  <c r="B154" i="1"/>
  <c r="D153" i="1"/>
  <c r="B153" i="1"/>
  <c r="B152" i="1"/>
  <c r="D151" i="1"/>
  <c r="B151" i="1"/>
  <c r="B150" i="1"/>
  <c r="D149" i="1"/>
  <c r="B149" i="1"/>
  <c r="B148" i="1"/>
  <c r="D147" i="1"/>
  <c r="B147" i="1"/>
  <c r="B146" i="1"/>
  <c r="D145" i="1"/>
  <c r="B145" i="1"/>
  <c r="B144" i="1"/>
  <c r="D159" i="1"/>
  <c r="D143" i="1"/>
  <c r="B143" i="1"/>
  <c r="B142" i="1"/>
  <c r="D227" i="1"/>
  <c r="D226" i="1"/>
  <c r="D224" i="1"/>
  <c r="D222" i="1"/>
  <c r="D220" i="1"/>
  <c r="D218" i="1"/>
  <c r="D228" i="1"/>
  <c r="B228" i="1"/>
  <c r="B227" i="1"/>
  <c r="B226" i="1"/>
  <c r="B225" i="1"/>
  <c r="B224" i="1"/>
  <c r="B223" i="1"/>
  <c r="B222" i="1"/>
  <c r="B221" i="1"/>
  <c r="B220" i="1"/>
  <c r="B219" i="1"/>
  <c r="B218" i="1"/>
  <c r="D49" i="1"/>
  <c r="B49" i="1"/>
  <c r="B48" i="1"/>
  <c r="D47" i="1"/>
  <c r="B47" i="1"/>
  <c r="B46" i="1"/>
  <c r="D45" i="1"/>
  <c r="B45" i="1"/>
  <c r="B44" i="1"/>
  <c r="D43" i="1"/>
  <c r="B43" i="1"/>
  <c r="B42" i="1"/>
  <c r="D41" i="1"/>
  <c r="B41" i="1"/>
  <c r="B40" i="1"/>
  <c r="D39" i="1"/>
  <c r="B39" i="1"/>
  <c r="B38" i="1"/>
  <c r="D37" i="1"/>
  <c r="B37" i="1"/>
  <c r="B36" i="1"/>
  <c r="D205" i="1" l="1"/>
  <c r="B205" i="1"/>
  <c r="B204" i="1"/>
  <c r="D203" i="1"/>
  <c r="B203" i="1"/>
  <c r="B202" i="1"/>
  <c r="D201" i="1"/>
  <c r="B201" i="1"/>
  <c r="B200" i="1"/>
  <c r="D199" i="1"/>
  <c r="B199" i="1"/>
  <c r="B198" i="1"/>
  <c r="D197" i="1"/>
  <c r="B197" i="1"/>
  <c r="B196" i="1"/>
  <c r="D195" i="1"/>
  <c r="B195" i="1"/>
  <c r="B194" i="1"/>
  <c r="D193" i="1"/>
  <c r="B193" i="1"/>
  <c r="B192" i="1"/>
  <c r="B255" i="1" l="1"/>
  <c r="D255" i="1" s="1"/>
  <c r="D254" i="1"/>
  <c r="B254" i="1"/>
  <c r="D253" i="1"/>
  <c r="B253" i="1"/>
  <c r="D252" i="1"/>
  <c r="B252" i="1"/>
  <c r="D251" i="1"/>
  <c r="B251" i="1"/>
  <c r="D250" i="1"/>
  <c r="B250" i="1"/>
  <c r="B249" i="1"/>
  <c r="D248" i="1"/>
  <c r="B248" i="1"/>
  <c r="B247" i="1"/>
  <c r="D246" i="1"/>
  <c r="B246" i="1"/>
  <c r="B245" i="1"/>
  <c r="B244" i="1"/>
  <c r="B124" i="1"/>
  <c r="D124" i="1" s="1"/>
  <c r="B123" i="1"/>
  <c r="D122" i="1"/>
  <c r="B122" i="1"/>
  <c r="D121" i="1"/>
  <c r="B121" i="1"/>
  <c r="D120" i="1"/>
  <c r="B120" i="1"/>
  <c r="D119" i="1"/>
  <c r="B119" i="1"/>
  <c r="D118" i="1"/>
  <c r="B118" i="1"/>
  <c r="B117" i="1"/>
  <c r="D116" i="1"/>
  <c r="B116" i="1"/>
  <c r="D115" i="1"/>
  <c r="B115" i="1"/>
  <c r="B114" i="1"/>
  <c r="B173" i="1"/>
  <c r="D172" i="1"/>
  <c r="B172" i="1"/>
  <c r="B171" i="1"/>
  <c r="D170" i="1"/>
  <c r="B170" i="1"/>
  <c r="B169" i="1"/>
  <c r="D168" i="1"/>
  <c r="B168" i="1"/>
  <c r="B167" i="1"/>
  <c r="B95" i="1"/>
  <c r="D94" i="1"/>
  <c r="B94" i="1"/>
  <c r="B93" i="1"/>
  <c r="D92" i="1"/>
  <c r="B92" i="1"/>
  <c r="B91" i="1"/>
  <c r="D90" i="1"/>
  <c r="B90" i="1"/>
  <c r="B89" i="1"/>
  <c r="B69" i="1"/>
  <c r="D68" i="1"/>
  <c r="B68" i="1"/>
  <c r="B67" i="1"/>
  <c r="D66" i="1"/>
  <c r="B66" i="1"/>
  <c r="B65" i="1"/>
  <c r="D64" i="1"/>
  <c r="B64" i="1"/>
  <c r="B63" i="1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EA4" i="2" s="1"/>
  <c r="GI4" i="2"/>
  <c r="GL4" i="2" s="1"/>
  <c r="CI4" i="2"/>
  <c r="ET4" i="2"/>
  <c r="DC4" i="2"/>
  <c r="BM4" i="2"/>
  <c r="DD4" i="2"/>
  <c r="CH4" i="2"/>
  <c r="BN4" i="2"/>
  <c r="BQ4" i="2" s="1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FR4" i="2" l="1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EA5" i="2" s="1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EC5" i="2" s="1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FR5" i="2" l="1"/>
  <c r="EX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EA6" i="2" s="1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FR6" i="2" l="1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A7" i="2" l="1"/>
  <c r="EX7" i="2"/>
  <c r="EW7" i="2"/>
  <c r="EV7" i="2"/>
  <c r="EB7" i="2"/>
  <c r="HI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FS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HG10" i="2" l="1"/>
  <c r="EA10" i="2"/>
  <c r="EB10" i="2"/>
  <c r="FS10" i="2"/>
  <c r="HH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HG11" i="2" l="1"/>
  <c r="EC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EV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G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B14" i="2" s="1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G14" i="2" l="1"/>
  <c r="EX14" i="2"/>
  <c r="HH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A16" i="2" l="1"/>
  <c r="HH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EA18" i="2"/>
  <c r="FS18" i="2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EV20" i="2"/>
  <c r="EC20" i="2"/>
  <c r="FS20" i="2"/>
  <c r="HG20" i="2"/>
  <c r="HH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EV21" i="2" s="1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W21" i="2" l="1"/>
  <c r="EB21" i="2"/>
  <c r="HH21" i="2"/>
  <c r="HI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W22" i="2" l="1"/>
  <c r="EB22" i="2"/>
  <c r="EC22" i="2"/>
  <c r="EA22" i="2"/>
  <c r="HG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EW24" i="2" l="1"/>
  <c r="FR24" i="2"/>
  <c r="HG24" i="2"/>
  <c r="HH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EC26" i="2" l="1"/>
  <c r="HH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FS27" i="2"/>
  <c r="HI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HG28" i="2" l="1"/>
  <c r="EV28" i="2"/>
  <c r="EB28" i="2"/>
  <c r="EC28" i="2"/>
  <c r="FS28" i="2"/>
  <c r="HI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X29" i="2" l="1"/>
  <c r="FS29" i="2"/>
  <c r="HI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H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EV33" i="2" s="1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HH33" i="2" l="1"/>
  <c r="EW33" i="2"/>
  <c r="EA33" i="2"/>
  <c r="EB33" i="2"/>
  <c r="HG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EA35" i="2" s="1"/>
  <c r="DC35" i="2"/>
  <c r="DD35" i="2"/>
  <c r="BN35" i="2"/>
  <c r="CI35" i="2"/>
  <c r="BM35" i="2"/>
  <c r="W35" i="2"/>
  <c r="FN35" i="2"/>
  <c r="DY35" i="2"/>
  <c r="EB35" i="2" s="1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FQ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B37" i="2" s="1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HG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HG38" i="2" l="1"/>
  <c r="EX38" i="2"/>
  <c r="EW38" i="2"/>
  <c r="FS38" i="2"/>
  <c r="HH38" i="2"/>
  <c r="HI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HH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EA42" i="2" s="1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V42" i="2" l="1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EA43" i="2" s="1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X43" i="2" l="1"/>
  <c r="DG43" i="2"/>
  <c r="HI43" i="2"/>
  <c r="HG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HG44" i="2" l="1"/>
  <c r="EW44" i="2"/>
  <c r="EC44" i="2"/>
  <c r="FS44" i="2"/>
  <c r="HH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HG45" i="2" l="1"/>
  <c r="EX45" i="2"/>
  <c r="EB45" i="2"/>
  <c r="HI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G46" i="2" l="1"/>
  <c r="EW46" i="2"/>
  <c r="EC46" i="2"/>
  <c r="HI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HG47" i="2" l="1"/>
  <c r="EA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G48" i="2" l="1"/>
  <c r="EC48" i="2"/>
  <c r="HI48" i="2"/>
  <c r="HH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C50" i="2" s="1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FS50" i="2"/>
  <c r="HG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B52" i="2" l="1"/>
  <c r="EV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C54" i="2" l="1"/>
  <c r="EX54" i="2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EX55" i="2" s="1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HI55" i="2" l="1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EB57" i="2" s="1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V57" i="2" l="1"/>
  <c r="FS57" i="2"/>
  <c r="HH57" i="2"/>
  <c r="HG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EC59" i="2" s="1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A59" i="2" l="1"/>
  <c r="EB59" i="2"/>
  <c r="HH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EV60" i="2"/>
  <c r="HI60" i="2"/>
  <c r="HH60" i="2"/>
  <c r="HG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EV61" i="2" s="1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W61" i="2" l="1"/>
  <c r="EX61" i="2"/>
  <c r="EA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EB62" i="2"/>
  <c r="HI62" i="2"/>
  <c r="HH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HG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C64" i="2" l="1"/>
  <c r="EV64" i="2"/>
  <c r="EA64" i="2"/>
  <c r="HH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EX66" i="2" l="1"/>
  <c r="FS66" i="2"/>
  <c r="HH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HH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FS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HI70" i="2" l="1"/>
  <c r="EW70" i="2"/>
  <c r="EB70" i="2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EW71" i="2" s="1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H72" i="2" l="1"/>
  <c r="EX72" i="2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HI73" i="2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EW74" i="2" l="1"/>
  <c r="FS74" i="2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EA75" i="2" s="1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FS75" i="2"/>
  <c r="HH75" i="2"/>
  <c r="HG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FS76" i="2" l="1"/>
  <c r="HH76" i="2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EA77" i="2" s="1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B77" i="2"/>
  <c r="HI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EB78" i="2" s="1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W78" i="2" l="1"/>
  <c r="EV78" i="2"/>
  <c r="EC78" i="2"/>
  <c r="HI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EB79" i="2" l="1"/>
  <c r="HH79" i="2"/>
  <c r="HG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H82" i="2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V83" i="2" l="1"/>
  <c r="EW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HG85" i="2" l="1"/>
  <c r="EV85" i="2"/>
  <c r="EW85" i="2"/>
  <c r="EC85" i="2"/>
  <c r="HH85" i="2"/>
  <c r="HI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A86" i="2" l="1"/>
  <c r="EB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EA87" i="2" s="1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B87" i="2" l="1"/>
  <c r="EX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I88" i="2" l="1"/>
  <c r="HG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HI89" i="2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HI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EX92" i="2" s="1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W92" i="2" l="1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HI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HG95" i="2" l="1"/>
  <c r="EB95" i="2"/>
  <c r="FQ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X98" i="2" l="1"/>
  <c r="EW98" i="2"/>
  <c r="FS98" i="2"/>
  <c r="HI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A103" i="2" l="1"/>
  <c r="HI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B105" i="2" l="1"/>
  <c r="FS105" i="2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EB107" i="2" s="1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HG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EB108" i="2" s="1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FS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EB110" i="2" s="1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HG110" i="2" l="1"/>
  <c r="HH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HI112" i="2" l="1"/>
  <c r="EX112" i="2"/>
  <c r="EC112" i="2"/>
  <c r="EB112" i="2"/>
  <c r="FQ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EB113" i="2" s="1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HI113" i="2" l="1"/>
  <c r="EX113" i="2"/>
  <c r="EC113" i="2"/>
  <c r="EW113" i="2"/>
  <c r="FS113" i="2"/>
  <c r="HG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V114" i="2" l="1"/>
  <c r="EW114" i="2"/>
  <c r="HG114" i="2"/>
  <c r="HH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FS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A116" i="2" l="1"/>
  <c r="EC116" i="2"/>
  <c r="EV116" i="2"/>
  <c r="HG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EX118" i="2" l="1"/>
  <c r="EC118" i="2"/>
  <c r="FS118" i="2"/>
  <c r="FQ118" i="2"/>
  <c r="HH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EX119" i="2" s="1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FR119" i="2" l="1"/>
  <c r="HG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FR120" i="2"/>
  <c r="FQ120" i="2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A121" i="2"/>
  <c r="EB121" i="2"/>
  <c r="FR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I122" i="2" l="1"/>
  <c r="HH122" i="2"/>
  <c r="EW122" i="2"/>
  <c r="EC122" i="2"/>
  <c r="FS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EX124" i="2"/>
  <c r="FS124" i="2"/>
  <c r="HG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HI125" i="2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EA126" i="2" l="1"/>
  <c r="FS126" i="2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V127" i="2" s="1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FS127" i="2" l="1"/>
  <c r="HI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EV128" i="2" s="1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B128" i="2" l="1"/>
  <c r="EX128" i="2"/>
  <c r="FS128" i="2"/>
  <c r="HG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EV129" i="2" s="1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HI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EB130" i="2" s="1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H130" i="2" l="1"/>
  <c r="EW130" i="2"/>
  <c r="EX130" i="2"/>
  <c r="FS130" i="2"/>
  <c r="HG130" i="2"/>
  <c r="HI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FS132" i="2"/>
  <c r="HG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EV133" i="2"/>
  <c r="HH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EW134" i="2" s="1"/>
  <c r="FO134" i="2"/>
  <c r="FN134" i="2"/>
  <c r="ES134" i="2"/>
  <c r="EV134" i="2" s="1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I134" i="2" l="1"/>
  <c r="HG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EX135" i="2"/>
  <c r="EA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EX137" i="2" l="1"/>
  <c r="HH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C138" i="2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B139" i="2" l="1"/>
  <c r="EA139" i="2"/>
  <c r="EW139" i="2"/>
  <c r="FS139" i="2"/>
  <c r="HH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EB140" i="2" s="1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C140" i="2"/>
  <c r="FR140" i="2"/>
  <c r="FS140" i="2"/>
  <c r="HG140" i="2"/>
  <c r="HH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EB141" i="2" s="1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G141" i="2" l="1"/>
  <c r="HH141" i="2"/>
  <c r="EA141" i="2"/>
  <c r="FS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EW142" i="2"/>
  <c r="EC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A143" i="2" l="1"/>
  <c r="FS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EA144" i="2" s="1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B144" i="2" l="1"/>
  <c r="EX144" i="2"/>
  <c r="FR144" i="2"/>
  <c r="HH144" i="2"/>
  <c r="HG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EX145" i="2" s="1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HH145" i="2" l="1"/>
  <c r="FR145" i="2"/>
  <c r="HG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EA146" i="2" s="1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HH146" i="2" l="1"/>
  <c r="HG146" i="2"/>
  <c r="FR146" i="2"/>
  <c r="FS146" i="2"/>
  <c r="HI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EX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X149" i="2" l="1"/>
  <c r="EC149" i="2"/>
  <c r="HH149" i="2"/>
  <c r="HG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HH150" i="2" l="1"/>
  <c r="EV150" i="2"/>
  <c r="FS150" i="2"/>
  <c r="HI150" i="2"/>
  <c r="HG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EC151" i="2" s="1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X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EV152" i="2" s="1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HI152" i="2" l="1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EA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B154" i="2" s="1"/>
  <c r="AX150" i="2"/>
  <c r="Z153" i="2"/>
  <c r="AC152" i="2"/>
  <c r="HH154" i="2" l="1"/>
  <c r="HG154" i="2"/>
  <c r="EX154" i="2"/>
  <c r="AA154" i="2"/>
  <c r="EV154" i="2"/>
  <c r="EY154" i="2" s="1"/>
  <c r="EC154" i="2"/>
  <c r="EA154" i="2"/>
  <c r="ED154" i="2" s="1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HH155" i="2" s="1"/>
  <c r="GK155" i="2"/>
  <c r="FB155" i="2"/>
  <c r="HF155" i="2"/>
  <c r="FC155" i="2"/>
  <c r="FW155" i="2"/>
  <c r="FL155" i="2"/>
  <c r="ES155" i="2"/>
  <c r="ER155" i="2"/>
  <c r="DW155" i="2"/>
  <c r="ET155" i="2"/>
  <c r="EW155" i="2" s="1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D194" i="2"/>
  <c r="G194" i="2" s="1"/>
  <c r="DI153" i="2"/>
  <c r="FT153" i="2"/>
  <c r="CN153" i="2"/>
  <c r="HJ153" i="2"/>
  <c r="GO153" i="2"/>
  <c r="EY153" i="2"/>
  <c r="ED153" i="2"/>
  <c r="AC153" i="2"/>
  <c r="AX151" i="2"/>
  <c r="DI154" i="2" l="1"/>
  <c r="HJ154" i="2"/>
  <c r="EX155" i="2"/>
  <c r="EA155" i="2"/>
  <c r="HG155" i="2"/>
  <c r="AC154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Y155" i="2" s="1"/>
  <c r="EB155" i="2"/>
  <c r="ED155" i="2" s="1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E156" i="2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AB156" i="2" s="1"/>
  <c r="H194" i="2"/>
  <c r="D195" i="2"/>
  <c r="G195" i="2" s="1"/>
  <c r="AX152" i="2"/>
  <c r="HH156" i="2" l="1"/>
  <c r="EB156" i="2"/>
  <c r="DH156" i="2"/>
  <c r="FS156" i="2"/>
  <c r="HG156" i="2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B157" i="2" s="1"/>
  <c r="EG157" i="2"/>
  <c r="EH157" i="2"/>
  <c r="GK157" i="2"/>
  <c r="ER157" i="2"/>
  <c r="EX157" i="2" s="1"/>
  <c r="DM157" i="2"/>
  <c r="ES157" i="2"/>
  <c r="ET157" i="2"/>
  <c r="DW157" i="2"/>
  <c r="CQ157" i="2"/>
  <c r="BW157" i="2"/>
  <c r="FB157" i="2"/>
  <c r="DX157" i="2"/>
  <c r="EA157" i="2" s="1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HH157" i="2" l="1"/>
  <c r="HG157" i="2"/>
  <c r="EC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H158" i="2" l="1"/>
  <c r="HG158" i="2"/>
  <c r="EW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EC159" i="2"/>
  <c r="ED158" i="2"/>
  <c r="EA159" i="2"/>
  <c r="HI159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HH160" i="2" l="1"/>
  <c r="EC160" i="2"/>
  <c r="EY159" i="2"/>
  <c r="DG160" i="2"/>
  <c r="FS160" i="2"/>
  <c r="HI160" i="2"/>
  <c r="HG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GJ161" i="2"/>
  <c r="HE161" i="2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AB161" i="2" s="1"/>
  <c r="H199" i="2"/>
  <c r="AX158" i="2"/>
  <c r="D200" i="2"/>
  <c r="G200" i="2" s="1"/>
  <c r="HH161" i="2" l="1"/>
  <c r="EX161" i="2"/>
  <c r="EA161" i="2"/>
  <c r="EB161" i="2"/>
  <c r="ED160" i="2"/>
  <c r="FS161" i="2"/>
  <c r="HG161" i="2"/>
  <c r="AW161" i="2"/>
  <c r="EC161" i="2"/>
  <c r="EW161" i="2"/>
  <c r="HI161" i="2"/>
  <c r="GN161" i="2"/>
  <c r="DH161" i="2"/>
  <c r="DG161" i="2"/>
  <c r="DF161" i="2"/>
  <c r="FR161" i="2"/>
  <c r="FQ161" i="2"/>
  <c r="CN160" i="2"/>
  <c r="GL161" i="2"/>
  <c r="GM161" i="2"/>
  <c r="EV161" i="2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HH162" i="2" l="1"/>
  <c r="ED161" i="2"/>
  <c r="EB162" i="2"/>
  <c r="EY161" i="2"/>
  <c r="EW162" i="2"/>
  <c r="EC162" i="2"/>
  <c r="DI161" i="2"/>
  <c r="HG162" i="2"/>
  <c r="FS162" i="2"/>
  <c r="AU162" i="2"/>
  <c r="EX162" i="2"/>
  <c r="EA162" i="2"/>
  <c r="EV162" i="2"/>
  <c r="EY162" i="2" s="1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GJ163" i="2"/>
  <c r="HE163" i="2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EB163" i="2" s="1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AX160" i="2"/>
  <c r="HH163" i="2" l="1"/>
  <c r="ED162" i="2"/>
  <c r="HG163" i="2"/>
  <c r="EV163" i="2"/>
  <c r="EA163" i="2"/>
  <c r="HI163" i="2"/>
  <c r="FS163" i="2"/>
  <c r="EC163" i="2"/>
  <c r="ED163" i="2" s="1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EV164" i="2" s="1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HG164" i="2" l="1"/>
  <c r="HH164" i="2"/>
  <c r="EY163" i="2"/>
  <c r="EA164" i="2"/>
  <c r="EX164" i="2"/>
  <c r="DH164" i="2"/>
  <c r="DI163" i="2"/>
  <c r="FR164" i="2"/>
  <c r="FS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HH165" i="2" l="1"/>
  <c r="HG165" i="2"/>
  <c r="EA165" i="2"/>
  <c r="EX165" i="2"/>
  <c r="EB165" i="2"/>
  <c r="EC165" i="2"/>
  <c r="ED165" i="2" s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G166" i="2" l="1"/>
  <c r="FS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EC167" i="2" s="1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HJ166" i="2" l="1"/>
  <c r="DG167" i="2"/>
  <c r="EB167" i="2"/>
  <c r="EX167" i="2"/>
  <c r="EA167" i="2"/>
  <c r="FR167" i="2"/>
  <c r="HI167" i="2"/>
  <c r="HH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DG168" i="2" l="1"/>
  <c r="EB168" i="2"/>
  <c r="HI168" i="2"/>
  <c r="EV168" i="2"/>
  <c r="EW168" i="2"/>
  <c r="DI167" i="2"/>
  <c r="HH168" i="2"/>
  <c r="FS168" i="2"/>
  <c r="EX168" i="2"/>
  <c r="EY168" i="2" s="1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HH169" i="2" l="1"/>
  <c r="EB169" i="2"/>
  <c r="EX169" i="2"/>
  <c r="EA169" i="2"/>
  <c r="FS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A171" i="2" l="1"/>
  <c r="EB171" i="2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Y171" i="2" l="1"/>
  <c r="EA172" i="2"/>
  <c r="ED171" i="2"/>
  <c r="EV172" i="2"/>
  <c r="EW172" i="2"/>
  <c r="EB172" i="2"/>
  <c r="HG172" i="2"/>
  <c r="HI172" i="2"/>
  <c r="EC172" i="2"/>
  <c r="ED172" i="2" s="1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EB173" i="2" s="1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W173" i="2" l="1"/>
  <c r="HJ172" i="2"/>
  <c r="EX173" i="2"/>
  <c r="HH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EY173" i="2" l="1"/>
  <c r="EC174" i="2"/>
  <c r="HH174" i="2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AX172" i="2"/>
  <c r="EB175" i="2" l="1"/>
  <c r="EW175" i="2"/>
  <c r="ED174" i="2"/>
  <c r="EA175" i="2"/>
  <c r="FS175" i="2"/>
  <c r="HI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Y175" i="2" l="1"/>
  <c r="EC176" i="2"/>
  <c r="HH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FQ177" i="2" l="1"/>
  <c r="FS177" i="2"/>
  <c r="HH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HH178" i="2" l="1"/>
  <c r="EB178" i="2"/>
  <c r="EA178" i="2"/>
  <c r="FQ178" i="2"/>
  <c r="FS178" i="2"/>
  <c r="HG178" i="2"/>
  <c r="HI178" i="2"/>
  <c r="EX178" i="2"/>
  <c r="EC178" i="2"/>
  <c r="ED178" i="2" s="1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HH179" i="2" l="1"/>
  <c r="DF179" i="2"/>
  <c r="EB179" i="2"/>
  <c r="EA179" i="2"/>
  <c r="HG179" i="2"/>
  <c r="EV179" i="2"/>
  <c r="HI179" i="2"/>
  <c r="FS179" i="2"/>
  <c r="EX179" i="2"/>
  <c r="AW179" i="2"/>
  <c r="EC179" i="2"/>
  <c r="ED179" i="2" s="1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AX177" i="2"/>
  <c r="HG180" i="2" l="1"/>
  <c r="EY179" i="2"/>
  <c r="EX180" i="2"/>
  <c r="HI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ED180" i="2" s="1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HG181" i="2" l="1"/>
  <c r="EW181" i="2"/>
  <c r="FS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X182" i="2" l="1"/>
  <c r="EC182" i="2"/>
  <c r="DG182" i="2"/>
  <c r="FS182" i="2"/>
  <c r="EA182" i="2"/>
  <c r="EV182" i="2"/>
  <c r="EY182" i="2" s="1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EA183" i="2" s="1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 l="1"/>
  <c r="EB183" i="2"/>
  <c r="FS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HI184" i="2" l="1"/>
  <c r="FS184" i="2"/>
  <c r="EX184" i="2"/>
  <c r="EC184" i="2"/>
  <c r="AW184" i="2"/>
  <c r="EB184" i="2"/>
  <c r="EV184" i="2"/>
  <c r="EY184" i="2" s="1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AX182" i="2"/>
  <c r="HG185" i="2" l="1"/>
  <c r="ED184" i="2"/>
  <c r="EW185" i="2"/>
  <c r="EV185" i="2"/>
  <c r="EB185" i="2"/>
  <c r="EA185" i="2"/>
  <c r="HI185" i="2"/>
  <c r="HH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G186" i="2" l="1"/>
  <c r="EA186" i="2"/>
  <c r="ED185" i="2"/>
  <c r="FR186" i="2"/>
  <c r="FS186" i="2"/>
  <c r="HH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HG187" i="2" s="1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EB187" i="2" l="1"/>
  <c r="EC187" i="2"/>
  <c r="HH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E188" i="2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HI188" i="2"/>
  <c r="HH188" i="2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EB189" i="2" s="1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A189" i="2" s="1"/>
  <c r="AX186" i="2"/>
  <c r="HH189" i="2" l="1"/>
  <c r="EY188" i="2"/>
  <c r="EV189" i="2"/>
  <c r="EC189" i="2"/>
  <c r="FS189" i="2"/>
  <c r="HI189" i="2"/>
  <c r="EX189" i="2"/>
  <c r="EA189" i="2"/>
  <c r="ED189" i="2" s="1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EV190" i="2" s="1"/>
  <c r="DY190" i="2"/>
  <c r="EB190" i="2" s="1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AX187" i="2"/>
  <c r="HJ189" i="2" l="1"/>
  <c r="EY189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ED190" i="2" s="1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HH191" i="2" l="1"/>
  <c r="HI191" i="2"/>
  <c r="HG191" i="2"/>
  <c r="EC191" i="2"/>
  <c r="EX191" i="2"/>
  <c r="FS191" i="2"/>
  <c r="EA191" i="2"/>
  <c r="EV191" i="2"/>
  <c r="EY191" i="2" s="1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EW192" i="2" s="1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AX189" i="2"/>
  <c r="HH192" i="2" l="1"/>
  <c r="EV192" i="2"/>
  <c r="EC192" i="2"/>
  <c r="EA192" i="2"/>
  <c r="EB192" i="2"/>
  <c r="HG192" i="2"/>
  <c r="HI192" i="2"/>
  <c r="AW192" i="2"/>
  <c r="EX192" i="2"/>
  <c r="EY192" i="2" s="1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AX190" i="2"/>
  <c r="EA193" i="2" l="1"/>
  <c r="EX193" i="2"/>
  <c r="ED192" i="2"/>
  <c r="EB193" i="2"/>
  <c r="DI192" i="2"/>
  <c r="FQ193" i="2"/>
  <c r="HI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 l="1"/>
  <c r="EB194" i="2"/>
  <c r="FQ194" i="2"/>
  <c r="HG194" i="2"/>
  <c r="HI194" i="2"/>
  <c r="AW194" i="2"/>
  <c r="DI193" i="2"/>
  <c r="FS194" i="2"/>
  <c r="DF194" i="2"/>
  <c r="EX194" i="2"/>
  <c r="EC194" i="2"/>
  <c r="ED194" i="2" s="1"/>
  <c r="GN194" i="2"/>
  <c r="HH194" i="2"/>
  <c r="DG194" i="2"/>
  <c r="DH194" i="2"/>
  <c r="FR194" i="2"/>
  <c r="GM194" i="2"/>
  <c r="GL194" i="2"/>
  <c r="EV194" i="2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DY195" i="2"/>
  <c r="EB195" i="2" s="1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A195" i="2" s="1"/>
  <c r="AX192" i="2"/>
  <c r="HG195" i="2" l="1"/>
  <c r="EX195" i="2"/>
  <c r="EY194" i="2"/>
  <c r="DH195" i="2"/>
  <c r="FQ195" i="2"/>
  <c r="HI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W196" i="2" l="1"/>
  <c r="EY195" i="2"/>
  <c r="HH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GJ197" i="2"/>
  <c r="HE197" i="2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HG197" i="2" l="1"/>
  <c r="HH197" i="2"/>
  <c r="EY196" i="2"/>
  <c r="EA197" i="2"/>
  <c r="EC197" i="2"/>
  <c r="FS197" i="2"/>
  <c r="EX197" i="2"/>
  <c r="EB197" i="2"/>
  <c r="ED197" i="2" s="1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EW198" i="2" s="1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AX195" i="2"/>
  <c r="EV198" i="2" l="1"/>
  <c r="HI198" i="2"/>
  <c r="FS198" i="2"/>
  <c r="EX198" i="2"/>
  <c r="EY198" i="2" s="1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FS199" i="2" l="1"/>
  <c r="HG199" i="2"/>
  <c r="HH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HJ199" i="2" l="1"/>
  <c r="EX200" i="2"/>
  <c r="HI200" i="2"/>
  <c r="FS200" i="2"/>
  <c r="EC200" i="2"/>
  <c r="HH200" i="2"/>
  <c r="GN200" i="2"/>
  <c r="HG200" i="2"/>
  <c r="DG200" i="2"/>
  <c r="DF200" i="2"/>
  <c r="DH200" i="2"/>
  <c r="FR200" i="2"/>
  <c r="FQ200" i="2"/>
  <c r="GL200" i="2"/>
  <c r="GM200" i="2"/>
  <c r="EV200" i="2"/>
  <c r="EY200" i="2" s="1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HJ200" i="2" l="1"/>
  <c r="DI200" i="2"/>
  <c r="ED200" i="2"/>
  <c r="EA201" i="2"/>
  <c r="EB201" i="2"/>
  <c r="FS201" i="2"/>
  <c r="HG201" i="2"/>
  <c r="HH201" i="2"/>
  <c r="HI201" i="2"/>
  <c r="EX201" i="2"/>
  <c r="AI5" i="2"/>
  <c r="EW201" i="2"/>
  <c r="EC201" i="2"/>
  <c r="GN201" i="2"/>
  <c r="DG201" i="2"/>
  <c r="DF201" i="2"/>
  <c r="DH201" i="2"/>
  <c r="FR201" i="2"/>
  <c r="FQ201" i="2"/>
  <c r="CM201" i="2"/>
  <c r="GL201" i="2"/>
  <c r="GM201" i="2"/>
  <c r="EV201" i="2"/>
  <c r="EY201" i="2" s="1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GJ202" i="2"/>
  <c r="HD202" i="2"/>
  <c r="GK202" i="2"/>
  <c r="HE202" i="2"/>
  <c r="FC202" i="2"/>
  <c r="FP202" i="2"/>
  <c r="EG202" i="2"/>
  <c r="FL202" i="2"/>
  <c r="ES202" i="2"/>
  <c r="FM202" i="2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HH202" i="2" l="1"/>
  <c r="HG202" i="2"/>
  <c r="HI202" i="2"/>
  <c r="FS202" i="2"/>
  <c r="EW202" i="2"/>
  <c r="FR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R203" i="2" s="1"/>
  <c r="FP203" i="2"/>
  <c r="DX203" i="2"/>
  <c r="DD203" i="2"/>
  <c r="EG203" i="2"/>
  <c r="DY203" i="2"/>
  <c r="DE203" i="2"/>
  <c r="ER203" i="2"/>
  <c r="DW203" i="2"/>
  <c r="FM203" i="2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BP203" i="2" s="1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50" i="2" a="1"/>
  <c r="FY50" i="2" s="1"/>
  <c r="FY90" i="2" a="1"/>
  <c r="FY90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AH92" i="2" a="1"/>
  <c r="AH92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EI195" i="2" a="1"/>
  <c r="EI195" i="2" s="1"/>
  <c r="DN123" i="2" a="1"/>
  <c r="DN123" i="2" s="1"/>
  <c r="CS137" i="2" a="1"/>
  <c r="CS137" i="2" s="1"/>
  <c r="AH151" i="2" a="1"/>
  <c r="AH151" i="2" s="1"/>
  <c r="DN103" i="2" a="1"/>
  <c r="DN103" i="2" s="1"/>
  <c r="DN114" i="2" a="1"/>
  <c r="DN114" i="2" s="1"/>
  <c r="AH90" i="2" a="1"/>
  <c r="AH90" i="2" s="1"/>
  <c r="AH19" i="2" a="1"/>
  <c r="AH19" i="2" s="1"/>
  <c r="AH166" i="2" a="1"/>
  <c r="AH166" i="2" s="1"/>
  <c r="AH199" i="2" a="1"/>
  <c r="AH199" i="2" s="1"/>
  <c r="AH62" i="2" a="1"/>
  <c r="AH62" i="2" s="1"/>
  <c r="AH163" i="2" a="1"/>
  <c r="AH163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188" i="2" a="1"/>
  <c r="FD188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38" i="2" a="1"/>
  <c r="GT38" i="2" s="1"/>
  <c r="GT138" i="2" a="1"/>
  <c r="GT138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EY202" i="2"/>
  <c r="AX200" i="2"/>
  <c r="GT178" i="2" l="1" a="1"/>
  <c r="GT178" i="2" s="1"/>
  <c r="GT11" i="2" a="1"/>
  <c r="GT11" i="2" s="1"/>
  <c r="GT51" i="2" a="1"/>
  <c r="GT51" i="2" s="1"/>
  <c r="HJ202" i="2"/>
  <c r="GT133" i="2" a="1"/>
  <c r="GT133" i="2" s="1"/>
  <c r="GT126" i="2" a="1"/>
  <c r="GT126" i="2" s="1"/>
  <c r="GT121" i="2" a="1"/>
  <c r="GT121" i="2" s="1"/>
  <c r="GT15" i="2" a="1"/>
  <c r="GT15" i="2" s="1"/>
  <c r="GT74" i="2" a="1"/>
  <c r="GT74" i="2" s="1"/>
  <c r="GT122" i="2" a="1"/>
  <c r="GT122" i="2" s="1"/>
  <c r="GT107" i="2" a="1"/>
  <c r="GT107" i="2" s="1"/>
  <c r="GT189" i="2" a="1"/>
  <c r="GT189" i="2" s="1"/>
  <c r="GT102" i="2" a="1"/>
  <c r="GT102" i="2" s="1"/>
  <c r="GT68" i="2" a="1"/>
  <c r="GT68" i="2" s="1"/>
  <c r="GT174" i="2" a="1"/>
  <c r="GT174" i="2" s="1"/>
  <c r="GT198" i="2" a="1"/>
  <c r="GT198" i="2" s="1"/>
  <c r="GT147" i="2" a="1"/>
  <c r="GT147" i="2" s="1"/>
  <c r="GT181" i="2" a="1"/>
  <c r="GT181" i="2" s="1"/>
  <c r="GT190" i="2" a="1"/>
  <c r="GT190" i="2" s="1"/>
  <c r="GT21" i="2" a="1"/>
  <c r="GT21" i="2" s="1"/>
  <c r="GT152" i="2" a="1"/>
  <c r="GT152" i="2" s="1"/>
  <c r="GT184" i="2" a="1"/>
  <c r="GT184" i="2" s="1"/>
  <c r="GT191" i="2" a="1"/>
  <c r="GT191" i="2" s="1"/>
  <c r="GT12" i="2" a="1"/>
  <c r="GT12" i="2" s="1"/>
  <c r="GT33" i="2" a="1"/>
  <c r="GT33" i="2" s="1"/>
  <c r="GT115" i="2" a="1"/>
  <c r="GT115" i="2" s="1"/>
  <c r="CS116" i="2" a="1"/>
  <c r="CS116" i="2" s="1"/>
  <c r="CS105" i="2" a="1"/>
  <c r="CS105" i="2" s="1"/>
  <c r="CS52" i="2" a="1"/>
  <c r="CS52" i="2" s="1"/>
  <c r="CS77" i="2" a="1"/>
  <c r="CS77" i="2" s="1"/>
  <c r="CS161" i="2" a="1"/>
  <c r="CS161" i="2" s="1"/>
  <c r="CS129" i="2" a="1"/>
  <c r="CS129" i="2" s="1"/>
  <c r="HH203" i="2"/>
  <c r="HG203" i="2"/>
  <c r="FD167" i="2" a="1"/>
  <c r="FD167" i="2" s="1"/>
  <c r="FD160" i="2" a="1"/>
  <c r="FD160" i="2" s="1"/>
  <c r="FD107" i="2" a="1"/>
  <c r="FD107" i="2" s="1"/>
  <c r="FD44" i="2" a="1"/>
  <c r="FD44" i="2" s="1"/>
  <c r="FD131" i="2" a="1"/>
  <c r="FD131" i="2" s="1"/>
  <c r="FD60" i="2" a="1"/>
  <c r="FD60" i="2" s="1"/>
  <c r="FD194" i="2" a="1"/>
  <c r="FD194" i="2" s="1"/>
  <c r="FD43" i="2" a="1"/>
  <c r="FD43" i="2" s="1"/>
  <c r="FD59" i="2" a="1"/>
  <c r="FD59" i="2" s="1"/>
  <c r="FD187" i="2" a="1"/>
  <c r="FD187" i="2" s="1"/>
  <c r="FD19" i="2" a="1"/>
  <c r="FD19" i="2" s="1"/>
  <c r="FD64" i="2" a="1"/>
  <c r="FD64" i="2" s="1"/>
  <c r="FD144" i="2" a="1"/>
  <c r="FD144" i="2" s="1"/>
  <c r="FS203" i="2"/>
  <c r="FD21" i="2" a="1"/>
  <c r="FD21" i="2" s="1"/>
  <c r="FD137" i="2" a="1"/>
  <c r="FD137" i="2" s="1"/>
  <c r="FD14" i="2" a="1"/>
  <c r="FD14" i="2" s="1"/>
  <c r="FD189" i="2" a="1"/>
  <c r="FD189" i="2" s="1"/>
  <c r="FD159" i="2" a="1"/>
  <c r="FD159" i="2" s="1"/>
  <c r="FD48" i="2" a="1"/>
  <c r="FD48" i="2" s="1"/>
  <c r="FY57" i="2" a="1"/>
  <c r="FY57" i="2" s="1"/>
  <c r="FY54" i="2" a="1"/>
  <c r="FY54" i="2" s="1"/>
  <c r="FY109" i="2" a="1"/>
  <c r="FY109" i="2" s="1"/>
  <c r="FY79" i="2" a="1"/>
  <c r="FY79" i="2" s="1"/>
  <c r="FY47" i="2" a="1"/>
  <c r="FY47" i="2" s="1"/>
  <c r="FY22" i="2" a="1"/>
  <c r="FY22" i="2" s="1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DI203" i="2" l="1"/>
  <c r="FZ13" i="2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FK3" i="2" s="1"/>
  <c r="D13" i="4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FE65" i="2" l="1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GE153" i="2" l="1"/>
  <c r="GE11" i="2"/>
  <c r="GE200" i="2"/>
  <c r="GE69" i="2"/>
  <c r="GE115" i="2"/>
  <c r="GE196" i="2"/>
  <c r="GE129" i="2"/>
  <c r="GE96" i="2"/>
  <c r="GE121" i="2"/>
  <c r="GE66" i="2"/>
  <c r="GE72" i="2"/>
  <c r="GE133" i="2"/>
  <c r="GE147" i="2"/>
  <c r="GE92" i="2"/>
  <c r="GE172" i="2"/>
  <c r="GE195" i="2"/>
  <c r="GE116" i="2"/>
  <c r="GE119" i="2"/>
  <c r="GE71" i="2"/>
  <c r="GE21" i="2"/>
  <c r="GE22" i="2"/>
  <c r="GE9" i="2"/>
  <c r="GE89" i="2"/>
  <c r="GE55" i="2"/>
  <c r="GE50" i="2"/>
  <c r="GE56" i="2"/>
  <c r="GE156" i="2"/>
  <c r="GE155" i="2"/>
  <c r="GE134" i="2"/>
  <c r="GE84" i="2"/>
  <c r="GE126" i="2"/>
  <c r="GE94" i="2"/>
  <c r="GE16" i="2"/>
  <c r="GE51" i="2"/>
  <c r="GE197" i="2"/>
  <c r="GE168" i="2"/>
  <c r="GE181" i="2"/>
  <c r="GE104" i="2"/>
  <c r="GE149" i="2"/>
  <c r="GE194" i="2"/>
  <c r="GE35" i="2"/>
  <c r="GE179" i="2"/>
  <c r="GE202" i="2"/>
  <c r="GE160" i="2"/>
  <c r="GE32" i="2"/>
  <c r="GE176" i="2"/>
  <c r="GE93" i="2"/>
  <c r="GE29" i="2"/>
  <c r="GE86" i="2"/>
  <c r="GE139" i="2"/>
  <c r="GE131" i="2"/>
  <c r="GE103" i="2"/>
  <c r="GE140" i="2"/>
  <c r="GE188" i="2"/>
  <c r="GE186" i="2"/>
  <c r="GE59" i="2"/>
  <c r="GE112" i="2"/>
  <c r="GE43" i="2"/>
  <c r="GE201" i="2"/>
  <c r="GE68" i="2"/>
  <c r="GE70" i="2"/>
  <c r="GE30" i="2"/>
  <c r="GE20" i="2"/>
  <c r="GE18" i="2"/>
  <c r="GE15" i="2"/>
  <c r="GE101" i="2"/>
  <c r="GE182" i="2"/>
  <c r="GE60" i="2"/>
  <c r="GE123" i="2"/>
  <c r="GE152" i="2"/>
  <c r="GE138" i="2"/>
  <c r="GE25" i="2"/>
  <c r="GE75" i="2"/>
  <c r="GE132" i="2"/>
  <c r="GE114" i="2"/>
  <c r="GE90" i="2"/>
  <c r="GE171" i="2"/>
  <c r="GE128" i="2"/>
  <c r="GE127" i="2"/>
  <c r="GE175" i="2"/>
  <c r="GE49" i="2"/>
  <c r="GE74" i="2"/>
  <c r="GE169" i="2"/>
  <c r="GE62" i="2"/>
  <c r="GE144" i="2"/>
  <c r="GE4" i="2"/>
  <c r="GE166" i="2"/>
  <c r="GE185" i="2"/>
  <c r="GE79" i="2"/>
  <c r="GE53" i="2"/>
  <c r="GE8" i="2"/>
  <c r="GE78" i="2"/>
  <c r="GE135" i="2"/>
  <c r="GE125" i="2"/>
  <c r="GE141" i="2"/>
  <c r="GE190" i="2"/>
  <c r="GE19" i="2"/>
  <c r="GE113" i="2"/>
  <c r="GE54" i="2"/>
  <c r="GE83" i="2"/>
  <c r="GE159" i="2"/>
  <c r="GE44" i="2"/>
  <c r="GE100" i="2"/>
  <c r="GE12" i="2"/>
  <c r="GE124" i="2"/>
  <c r="GE110" i="2"/>
  <c r="GE13" i="2"/>
  <c r="GE180" i="2"/>
  <c r="GE80" i="2"/>
  <c r="GE120" i="2"/>
  <c r="GE145" i="2"/>
  <c r="GE37" i="2"/>
  <c r="GE45" i="2"/>
  <c r="GE39" i="2"/>
  <c r="GE109" i="2"/>
  <c r="GE150" i="2"/>
  <c r="GE40" i="2"/>
  <c r="GE65" i="2"/>
  <c r="GE38" i="2"/>
  <c r="GE76" i="2"/>
  <c r="GE3" i="2"/>
  <c r="C14" i="4" s="1"/>
  <c r="E14" i="4" s="1"/>
  <c r="F14" i="4" s="1"/>
  <c r="G14" i="4" s="1"/>
  <c r="L14" i="4" s="1"/>
  <c r="GE122" i="2"/>
  <c r="GE95" i="2"/>
  <c r="GE7" i="2"/>
  <c r="GE23" i="2"/>
  <c r="GE108" i="2"/>
  <c r="GE192" i="2"/>
  <c r="GE146" i="2"/>
  <c r="GE77" i="2"/>
  <c r="GE203" i="2"/>
  <c r="GE52" i="2"/>
  <c r="GE142" i="2"/>
  <c r="GE46" i="2"/>
  <c r="GE26" i="2"/>
  <c r="GE99" i="2"/>
  <c r="GE137" i="2"/>
  <c r="GE189" i="2"/>
  <c r="GE107" i="2"/>
  <c r="GE148" i="2"/>
  <c r="GE98" i="2"/>
  <c r="GE24" i="2"/>
  <c r="GE136" i="2"/>
  <c r="GE63" i="2"/>
  <c r="GE14" i="2"/>
  <c r="GE33" i="2"/>
  <c r="GE10" i="2"/>
  <c r="GE87" i="2"/>
  <c r="GE143" i="2"/>
  <c r="GE88" i="2"/>
  <c r="GE157" i="2"/>
  <c r="GE173" i="2"/>
  <c r="GE163" i="2"/>
  <c r="GE162" i="2"/>
  <c r="GE151" i="2"/>
  <c r="GE118" i="2"/>
  <c r="GE64" i="2"/>
  <c r="GE6" i="2"/>
  <c r="GE67" i="2"/>
  <c r="GE5" i="2"/>
  <c r="GE47" i="2"/>
  <c r="GE61" i="2"/>
  <c r="GE193" i="2"/>
  <c r="GE106" i="2"/>
  <c r="GE183" i="2"/>
  <c r="GE161" i="2"/>
  <c r="GE81" i="2"/>
  <c r="GE198" i="2"/>
  <c r="GE28" i="2"/>
  <c r="GE48" i="2"/>
  <c r="GE102" i="2"/>
  <c r="GE184" i="2"/>
  <c r="GE31" i="2"/>
  <c r="GE42" i="2"/>
  <c r="GE177" i="2"/>
  <c r="GE158" i="2"/>
  <c r="GE97" i="2"/>
  <c r="GE91" i="2"/>
  <c r="GE58" i="2"/>
  <c r="GE178" i="2"/>
  <c r="GE105" i="2"/>
  <c r="GE117" i="2"/>
  <c r="GE73" i="2"/>
  <c r="GE41" i="2"/>
  <c r="GE164" i="2"/>
  <c r="GE57" i="2"/>
  <c r="GE174" i="2"/>
  <c r="GE199" i="2"/>
  <c r="GE170" i="2"/>
  <c r="GE191" i="2"/>
  <c r="GE27" i="2"/>
  <c r="GE34" i="2"/>
  <c r="GE17" i="2"/>
  <c r="GE85" i="2"/>
  <c r="GE82" i="2"/>
  <c r="GE130" i="2"/>
  <c r="GE167" i="2"/>
  <c r="GE111" i="2"/>
  <c r="GE36" i="2"/>
  <c r="GE165" i="2"/>
  <c r="GE154" i="2"/>
  <c r="GE187" i="2"/>
  <c r="FE85" i="2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Z195" i="2" l="1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GZ118" i="2" l="1"/>
  <c r="GZ149" i="2"/>
  <c r="GZ152" i="2"/>
  <c r="GZ144" i="2"/>
  <c r="GZ48" i="2"/>
  <c r="GZ117" i="2"/>
  <c r="GZ196" i="2"/>
  <c r="GZ139" i="2"/>
  <c r="GZ34" i="2"/>
  <c r="GZ193" i="2"/>
  <c r="GZ142" i="2"/>
  <c r="GZ116" i="2"/>
  <c r="GZ110" i="2"/>
  <c r="GZ150" i="2"/>
  <c r="GZ113" i="2"/>
  <c r="GZ123" i="2"/>
  <c r="GZ60" i="2"/>
  <c r="GZ197" i="2"/>
  <c r="GZ180" i="2"/>
  <c r="GZ50" i="2"/>
  <c r="GZ9" i="2"/>
  <c r="GZ198" i="2"/>
  <c r="GZ70" i="2"/>
  <c r="GZ176" i="2"/>
  <c r="GZ127" i="2"/>
  <c r="GZ64" i="2"/>
  <c r="GZ40" i="2"/>
  <c r="GZ184" i="2"/>
  <c r="GZ37" i="2"/>
  <c r="GZ7" i="2"/>
  <c r="GZ121" i="2"/>
  <c r="GZ59" i="2"/>
  <c r="GZ11" i="2"/>
  <c r="GZ63" i="2"/>
  <c r="GZ39" i="2"/>
  <c r="GZ61" i="2"/>
  <c r="GZ163" i="2"/>
  <c r="GZ18" i="2"/>
  <c r="GZ195" i="2"/>
  <c r="GZ145" i="2"/>
  <c r="GZ136" i="2"/>
  <c r="GZ162" i="2"/>
  <c r="GZ143" i="2"/>
  <c r="GZ75" i="2"/>
  <c r="GZ168" i="2"/>
  <c r="GZ200" i="2"/>
  <c r="GZ71" i="2"/>
  <c r="GZ85" i="2"/>
  <c r="GZ68" i="2"/>
  <c r="GZ15" i="2"/>
  <c r="GZ52" i="2"/>
  <c r="GZ23" i="2"/>
  <c r="GZ124" i="2"/>
  <c r="GZ151" i="2"/>
  <c r="GZ72" i="2"/>
  <c r="GZ51" i="2"/>
  <c r="GZ171" i="2"/>
  <c r="GZ38" i="2"/>
  <c r="GZ129" i="2"/>
  <c r="GZ33" i="2"/>
  <c r="GZ12" i="2"/>
  <c r="GZ173" i="2"/>
  <c r="GZ47" i="2"/>
  <c r="GZ119" i="2"/>
  <c r="GZ169" i="2"/>
  <c r="GZ161" i="2"/>
  <c r="GZ84" i="2"/>
  <c r="GZ202" i="2"/>
  <c r="GZ112" i="2"/>
  <c r="GZ147" i="2"/>
  <c r="GZ78" i="2"/>
  <c r="GZ24" i="2"/>
  <c r="GZ30" i="2"/>
  <c r="GZ135" i="2"/>
  <c r="GZ86" i="2"/>
  <c r="GZ43" i="2"/>
  <c r="GZ96" i="2"/>
  <c r="GZ111" i="2"/>
  <c r="GZ132" i="2"/>
  <c r="GZ36" i="2"/>
  <c r="GZ125" i="2"/>
  <c r="GZ128" i="2"/>
  <c r="GZ22" i="2"/>
  <c r="GZ26" i="2"/>
  <c r="GZ99" i="2"/>
  <c r="GZ148" i="2"/>
  <c r="GZ97" i="2"/>
  <c r="GZ92" i="2"/>
  <c r="GZ137" i="2"/>
  <c r="GZ54" i="2"/>
  <c r="GZ167" i="2"/>
  <c r="GZ166" i="2"/>
  <c r="GZ178" i="2"/>
  <c r="GZ93" i="2"/>
  <c r="GZ66" i="2"/>
  <c r="GZ35" i="2"/>
  <c r="GZ106" i="2"/>
  <c r="GZ189" i="2"/>
  <c r="GZ160" i="2"/>
  <c r="GZ154" i="2"/>
  <c r="GZ109" i="2"/>
  <c r="GZ157" i="2"/>
  <c r="GZ89" i="2"/>
  <c r="GZ138" i="2"/>
  <c r="GZ120" i="2"/>
  <c r="GZ19" i="2"/>
  <c r="GZ17" i="2"/>
  <c r="GZ76" i="2"/>
  <c r="GZ10" i="2"/>
  <c r="GZ158" i="2"/>
  <c r="GZ13" i="2"/>
  <c r="GZ28" i="2"/>
  <c r="GZ73" i="2"/>
  <c r="GZ175" i="2"/>
  <c r="GZ155" i="2"/>
  <c r="GZ27" i="2"/>
  <c r="GZ182" i="2"/>
  <c r="GZ174" i="2"/>
  <c r="GZ45" i="2"/>
  <c r="GZ87" i="2"/>
  <c r="GZ201" i="2"/>
  <c r="GZ105" i="2"/>
  <c r="GZ104" i="2"/>
  <c r="GZ107" i="2"/>
  <c r="GZ21" i="2"/>
  <c r="GZ103" i="2"/>
  <c r="GZ29" i="2"/>
  <c r="GZ55" i="2"/>
  <c r="GZ74" i="2"/>
  <c r="GZ185" i="2"/>
  <c r="GZ32" i="2"/>
  <c r="GZ20" i="2"/>
  <c r="GZ81" i="2"/>
  <c r="GZ69" i="2"/>
  <c r="GZ156" i="2"/>
  <c r="GZ41" i="2"/>
  <c r="GZ126" i="2"/>
  <c r="GZ188" i="2"/>
  <c r="GZ14" i="2"/>
  <c r="GZ115" i="2"/>
  <c r="GZ94" i="2"/>
  <c r="GZ203" i="2"/>
  <c r="GZ140" i="2"/>
  <c r="GZ130" i="2"/>
  <c r="GZ6" i="2"/>
  <c r="GZ133" i="2"/>
  <c r="GZ122" i="2"/>
  <c r="GZ102" i="2"/>
  <c r="GZ46" i="2"/>
  <c r="GZ77" i="2"/>
  <c r="GZ98" i="2"/>
  <c r="GZ170" i="2"/>
  <c r="GZ164" i="2"/>
  <c r="GZ83" i="2"/>
  <c r="GZ134" i="2"/>
  <c r="GZ108" i="2"/>
  <c r="GZ44" i="2"/>
  <c r="GZ62" i="2"/>
  <c r="GZ192" i="2"/>
  <c r="GZ141" i="2"/>
  <c r="GZ159" i="2"/>
  <c r="GZ31" i="2"/>
  <c r="GZ172" i="2"/>
  <c r="GZ191" i="2"/>
  <c r="GZ25" i="2"/>
  <c r="GZ53" i="2"/>
  <c r="GZ67" i="2"/>
  <c r="GZ4" i="2"/>
  <c r="GZ190" i="2"/>
  <c r="GZ42" i="2"/>
  <c r="GZ101" i="2"/>
  <c r="GZ90" i="2"/>
  <c r="GZ56" i="2"/>
  <c r="GZ100" i="2"/>
  <c r="GZ187" i="2"/>
  <c r="GZ80" i="2"/>
  <c r="GZ79" i="2"/>
  <c r="GZ5" i="2"/>
  <c r="GZ194" i="2"/>
  <c r="GZ16" i="2"/>
  <c r="GZ153" i="2"/>
  <c r="GZ114" i="2"/>
  <c r="GZ177" i="2"/>
  <c r="GZ88" i="2"/>
  <c r="GZ165" i="2"/>
  <c r="GZ199" i="2"/>
  <c r="GZ186" i="2"/>
  <c r="GZ131" i="2"/>
  <c r="GZ82" i="2"/>
  <c r="GZ95" i="2"/>
  <c r="GZ49" i="2"/>
  <c r="GZ57" i="2"/>
  <c r="GZ91" i="2"/>
  <c r="GZ65" i="2"/>
  <c r="GZ8" i="2"/>
  <c r="GZ179" i="2"/>
  <c r="GZ181" i="2"/>
  <c r="GZ146" i="2"/>
  <c r="GZ58" i="2"/>
  <c r="GZ183" i="2"/>
  <c r="GZ3" i="2"/>
  <c r="C15" i="4" s="1"/>
  <c r="E15" i="4" s="1"/>
  <c r="F15" i="4" s="1"/>
  <c r="G15" i="4" s="1"/>
  <c r="L15" i="4" s="1"/>
  <c r="FE136" i="2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CY199" i="2" l="1"/>
  <c r="CY20" i="2"/>
  <c r="CY31" i="2"/>
  <c r="CY29" i="2"/>
  <c r="CY64" i="2"/>
  <c r="CY141" i="2"/>
  <c r="CY72" i="2"/>
  <c r="CY129" i="2"/>
  <c r="CY85" i="2"/>
  <c r="CY47" i="2"/>
  <c r="CY11" i="2"/>
  <c r="CY130" i="2"/>
  <c r="CY166" i="2"/>
  <c r="CY83" i="2"/>
  <c r="CY115" i="2"/>
  <c r="CY144" i="2"/>
  <c r="CY37" i="2"/>
  <c r="CY9" i="2"/>
  <c r="CY201" i="2"/>
  <c r="CY137" i="2"/>
  <c r="CY125" i="2"/>
  <c r="CY30" i="2"/>
  <c r="CY126" i="2"/>
  <c r="CY50" i="2"/>
  <c r="CY196" i="2"/>
  <c r="CY165" i="2"/>
  <c r="CY57" i="2"/>
  <c r="CY148" i="2"/>
  <c r="CY8" i="2"/>
  <c r="CY153" i="2"/>
  <c r="CY32" i="2"/>
  <c r="CY94" i="2"/>
  <c r="CY161" i="2"/>
  <c r="CY123" i="2"/>
  <c r="CY121" i="2"/>
  <c r="CY174" i="2"/>
  <c r="CY26" i="2"/>
  <c r="CY36" i="2"/>
  <c r="CY178" i="2"/>
  <c r="CY116" i="2"/>
  <c r="CY156" i="2"/>
  <c r="CY7" i="2"/>
  <c r="CY6" i="2"/>
  <c r="CY159" i="2"/>
  <c r="CY192" i="2"/>
  <c r="CY133" i="2"/>
  <c r="CY124" i="2"/>
  <c r="CY17" i="2"/>
  <c r="CY143" i="2"/>
  <c r="CY187" i="2"/>
  <c r="CY139" i="2"/>
  <c r="CY111" i="2"/>
  <c r="CY53" i="2"/>
  <c r="CY89" i="2"/>
  <c r="CY77" i="2"/>
  <c r="CY120" i="2"/>
  <c r="CY184" i="2"/>
  <c r="CY198" i="2"/>
  <c r="CY76" i="2"/>
  <c r="CY160" i="2"/>
  <c r="CY40" i="2"/>
  <c r="CY107" i="2"/>
  <c r="CY197" i="2"/>
  <c r="CY69" i="2"/>
  <c r="CY134" i="2"/>
  <c r="CY168" i="2"/>
  <c r="CY189" i="2"/>
  <c r="CY62" i="2"/>
  <c r="CY82" i="2"/>
  <c r="CY19" i="2"/>
  <c r="CY193" i="2"/>
  <c r="CY186" i="2"/>
  <c r="CY51" i="2"/>
  <c r="CY18" i="2"/>
  <c r="CY147" i="2"/>
  <c r="CY81" i="2"/>
  <c r="CY154" i="2"/>
  <c r="CY190" i="2"/>
  <c r="CY44" i="2"/>
  <c r="CY24" i="2"/>
  <c r="CY96" i="2"/>
  <c r="CY68" i="2"/>
  <c r="CY169" i="2"/>
  <c r="CY12" i="2"/>
  <c r="CY158" i="2"/>
  <c r="CY179" i="2"/>
  <c r="CY128" i="2"/>
  <c r="CY102" i="2"/>
  <c r="CY176" i="2"/>
  <c r="CY138" i="2"/>
  <c r="CY87" i="2"/>
  <c r="CY46" i="2"/>
  <c r="CY117" i="2"/>
  <c r="CY100" i="2"/>
  <c r="CY39" i="2"/>
  <c r="CY110" i="2"/>
  <c r="CY73" i="2"/>
  <c r="CY95" i="2"/>
  <c r="CY15" i="2"/>
  <c r="CY14" i="2"/>
  <c r="CY49" i="2"/>
  <c r="CY146" i="2"/>
  <c r="CY188" i="2"/>
  <c r="CY98" i="2"/>
  <c r="CY157" i="2"/>
  <c r="CY163" i="2"/>
  <c r="CY91" i="2"/>
  <c r="CY119" i="2"/>
  <c r="CY78" i="2"/>
  <c r="CY60" i="2"/>
  <c r="CY63" i="2"/>
  <c r="CY22" i="2"/>
  <c r="CY113" i="2"/>
  <c r="CY200" i="2"/>
  <c r="CY27" i="2"/>
  <c r="CY80" i="2"/>
  <c r="CY101" i="2"/>
  <c r="CY67" i="2"/>
  <c r="CY48" i="2"/>
  <c r="CY172" i="2"/>
  <c r="CY42" i="2"/>
  <c r="CY16" i="2"/>
  <c r="CY164" i="2"/>
  <c r="CY33" i="2"/>
  <c r="CY23" i="2"/>
  <c r="CY92" i="2"/>
  <c r="CY191" i="2"/>
  <c r="CY149" i="2"/>
  <c r="CY108" i="2"/>
  <c r="CY203" i="2"/>
  <c r="CY150" i="2"/>
  <c r="CY177" i="2"/>
  <c r="CY10" i="2"/>
  <c r="CY70" i="2"/>
  <c r="CY86" i="2"/>
  <c r="CY45" i="2"/>
  <c r="CY140" i="2"/>
  <c r="CY56" i="2"/>
  <c r="CY103" i="2"/>
  <c r="CY65" i="2"/>
  <c r="CY136" i="2"/>
  <c r="CY180" i="2"/>
  <c r="CY109" i="2"/>
  <c r="CY145" i="2"/>
  <c r="CY131" i="2"/>
  <c r="CY152" i="2"/>
  <c r="CY25" i="2"/>
  <c r="CY5" i="2"/>
  <c r="CY194" i="2"/>
  <c r="CY104" i="2"/>
  <c r="CY170" i="2"/>
  <c r="CY58" i="2"/>
  <c r="CY54" i="2"/>
  <c r="CY99" i="2"/>
  <c r="CY61" i="2"/>
  <c r="CY55" i="2"/>
  <c r="CY195" i="2"/>
  <c r="CY59" i="2"/>
  <c r="CY90" i="2"/>
  <c r="CY118" i="2"/>
  <c r="CY155" i="2"/>
  <c r="CY171" i="2"/>
  <c r="CY202" i="2"/>
  <c r="CY71" i="2"/>
  <c r="CY181" i="2"/>
  <c r="CY28" i="2"/>
  <c r="CY74" i="2"/>
  <c r="CY43" i="2"/>
  <c r="CY97" i="2"/>
  <c r="CY93" i="2"/>
  <c r="CY182" i="2"/>
  <c r="CY106" i="2"/>
  <c r="CY127" i="2"/>
  <c r="CY84" i="2"/>
  <c r="CY3" i="2"/>
  <c r="C10" i="4" s="1"/>
  <c r="E10" i="4" s="1"/>
  <c r="F10" i="4" s="1"/>
  <c r="G10" i="4" s="1"/>
  <c r="L10" i="4" s="1"/>
  <c r="CY66" i="2"/>
  <c r="CY13" i="2"/>
  <c r="CY167" i="2"/>
  <c r="CY114" i="2"/>
  <c r="CY21" i="2"/>
  <c r="CY35" i="2"/>
  <c r="CY142" i="2"/>
  <c r="CY88" i="2"/>
  <c r="CY132" i="2"/>
  <c r="CY122" i="2"/>
  <c r="CY183" i="2"/>
  <c r="CY185" i="2"/>
  <c r="CY105" i="2"/>
  <c r="CY52" i="2"/>
  <c r="CY162" i="2"/>
  <c r="CY4" i="2"/>
  <c r="CY75" i="2"/>
  <c r="CY79" i="2"/>
  <c r="CY173" i="2"/>
  <c r="CY151" i="2"/>
  <c r="CY175" i="2"/>
  <c r="CY38" i="2"/>
  <c r="CY34" i="2"/>
  <c r="CY112" i="2"/>
  <c r="CY41" i="2"/>
  <c r="CY135" i="2"/>
  <c r="DT72" i="2"/>
  <c r="DT166" i="2"/>
  <c r="DT186" i="2"/>
  <c r="DT52" i="2"/>
  <c r="DT115" i="2"/>
  <c r="DT111" i="2"/>
  <c r="DT105" i="2"/>
  <c r="DT49" i="2"/>
  <c r="DT42" i="2"/>
  <c r="DT143" i="2"/>
  <c r="DT66" i="2"/>
  <c r="DT83" i="2"/>
  <c r="DT136" i="2"/>
  <c r="DT126" i="2"/>
  <c r="DT108" i="2"/>
  <c r="DT28" i="2"/>
  <c r="DT138" i="2"/>
  <c r="DT158" i="2"/>
  <c r="DT175" i="2"/>
  <c r="DT125" i="2"/>
  <c r="DT122" i="2"/>
  <c r="DT161" i="2"/>
  <c r="DT99" i="2"/>
  <c r="DT152" i="2"/>
  <c r="DT201" i="2"/>
  <c r="DT16" i="2"/>
  <c r="DT59" i="2"/>
  <c r="DT51" i="2"/>
  <c r="DT177" i="2"/>
  <c r="DT43" i="2"/>
  <c r="DT142" i="2"/>
  <c r="DT7" i="2"/>
  <c r="DT17" i="2"/>
  <c r="DT11" i="2"/>
  <c r="DT47" i="2"/>
  <c r="DT171" i="2"/>
  <c r="DT104" i="2"/>
  <c r="DT31" i="2"/>
  <c r="DT41" i="2"/>
  <c r="DT20" i="2"/>
  <c r="DT35" i="2"/>
  <c r="DT61" i="2"/>
  <c r="DT36" i="2"/>
  <c r="DT45" i="2"/>
  <c r="DT32" i="2"/>
  <c r="DT128" i="2"/>
  <c r="DT160" i="2"/>
  <c r="DT164" i="2"/>
  <c r="DT130" i="2"/>
  <c r="DT145" i="2"/>
  <c r="DT182" i="2"/>
  <c r="DT14" i="2"/>
  <c r="DT188" i="2"/>
  <c r="DT156" i="2"/>
  <c r="DT71" i="2"/>
  <c r="DT22" i="2"/>
  <c r="DT165" i="2"/>
  <c r="DT202" i="2"/>
  <c r="DT75" i="2"/>
  <c r="DT50" i="2"/>
  <c r="DT170" i="2"/>
  <c r="DT198" i="2"/>
  <c r="DT179" i="2"/>
  <c r="DT89" i="2"/>
  <c r="DT91" i="2"/>
  <c r="DT21" i="2"/>
  <c r="DT12" i="2"/>
  <c r="DT62" i="2"/>
  <c r="DT181" i="2"/>
  <c r="DT150" i="2"/>
  <c r="DT96" i="2"/>
  <c r="DT123" i="2"/>
  <c r="DT117" i="2"/>
  <c r="DT190" i="2"/>
  <c r="DT119" i="2"/>
  <c r="DT60" i="2"/>
  <c r="DT149" i="2"/>
  <c r="DT38" i="2"/>
  <c r="DT132" i="2"/>
  <c r="DT8" i="2"/>
  <c r="DT73" i="2"/>
  <c r="DT139" i="2"/>
  <c r="DT178" i="2"/>
  <c r="DT64" i="2"/>
  <c r="DT58" i="2"/>
  <c r="DT44" i="2"/>
  <c r="DT131" i="2"/>
  <c r="DT84" i="2"/>
  <c r="DT191" i="2"/>
  <c r="DT23" i="2"/>
  <c r="DT121" i="2"/>
  <c r="DT195" i="2"/>
  <c r="DT86" i="2"/>
  <c r="DT146" i="2"/>
  <c r="DT169" i="2"/>
  <c r="DT103" i="2"/>
  <c r="DT163" i="2"/>
  <c r="DT80" i="2"/>
  <c r="DT53" i="2"/>
  <c r="DT200" i="2"/>
  <c r="DT183" i="2"/>
  <c r="DT69" i="2"/>
  <c r="DT196" i="2"/>
  <c r="DT6" i="2"/>
  <c r="DT187" i="2"/>
  <c r="DT134" i="2"/>
  <c r="DT78" i="2"/>
  <c r="DT174" i="2"/>
  <c r="DT13" i="2"/>
  <c r="DT57" i="2"/>
  <c r="DT120" i="2"/>
  <c r="DT30" i="2"/>
  <c r="DT151" i="2"/>
  <c r="DT110" i="2"/>
  <c r="DT15" i="2"/>
  <c r="DT167" i="2"/>
  <c r="DT135" i="2"/>
  <c r="DT37" i="2"/>
  <c r="DT81" i="2"/>
  <c r="DT144" i="2"/>
  <c r="DT118" i="2"/>
  <c r="DT162" i="2"/>
  <c r="DT95" i="2"/>
  <c r="DT4" i="2"/>
  <c r="DT124" i="2"/>
  <c r="DT148" i="2"/>
  <c r="DT129" i="2"/>
  <c r="DT48" i="2"/>
  <c r="DT168" i="2"/>
  <c r="DT157" i="2"/>
  <c r="DT176" i="2"/>
  <c r="DT79" i="2"/>
  <c r="DT184" i="2"/>
  <c r="DT88" i="2"/>
  <c r="DT39" i="2"/>
  <c r="DT46" i="2"/>
  <c r="DT26" i="2"/>
  <c r="DT106" i="2"/>
  <c r="DT137" i="2"/>
  <c r="DT98" i="2"/>
  <c r="DT90" i="2"/>
  <c r="DT173" i="2"/>
  <c r="DT155" i="2"/>
  <c r="DT29" i="2"/>
  <c r="DT189" i="2"/>
  <c r="DT87" i="2"/>
  <c r="DT77" i="2"/>
  <c r="DT102" i="2"/>
  <c r="DT9" i="2"/>
  <c r="DT101" i="2"/>
  <c r="DT5" i="2"/>
  <c r="DT180" i="2"/>
  <c r="DT140" i="2"/>
  <c r="DT94" i="2"/>
  <c r="DT76" i="2"/>
  <c r="DT109" i="2"/>
  <c r="DT67" i="2"/>
  <c r="DT54" i="2"/>
  <c r="DT92" i="2"/>
  <c r="DT192" i="2"/>
  <c r="DT85" i="2"/>
  <c r="DT3" i="2"/>
  <c r="C11" i="4" s="1"/>
  <c r="E11" i="4" s="1"/>
  <c r="F11" i="4" s="1"/>
  <c r="G11" i="4" s="1"/>
  <c r="L11" i="4" s="1"/>
  <c r="DT33" i="2"/>
  <c r="DT133" i="2"/>
  <c r="DT27" i="2"/>
  <c r="DT114" i="2"/>
  <c r="DT159" i="2"/>
  <c r="DT68" i="2"/>
  <c r="DT194" i="2"/>
  <c r="DT203" i="2"/>
  <c r="DT24" i="2"/>
  <c r="DT82" i="2"/>
  <c r="DT55" i="2"/>
  <c r="DT185" i="2"/>
  <c r="DT153" i="2"/>
  <c r="DT141" i="2"/>
  <c r="DT107" i="2"/>
  <c r="DT154" i="2"/>
  <c r="DT199" i="2"/>
  <c r="DT40" i="2"/>
  <c r="DT193" i="2"/>
  <c r="DT74" i="2"/>
  <c r="DT10" i="2"/>
  <c r="DT34" i="2"/>
  <c r="DT127" i="2"/>
  <c r="DT97" i="2"/>
  <c r="DT197" i="2"/>
  <c r="DT65" i="2"/>
  <c r="DT112" i="2"/>
  <c r="DT18" i="2"/>
  <c r="DT63" i="2"/>
  <c r="DT116" i="2"/>
  <c r="DT147" i="2"/>
  <c r="DT113" i="2"/>
  <c r="DT70" i="2"/>
  <c r="DT93" i="2"/>
  <c r="DT172" i="2"/>
  <c r="DT100" i="2"/>
  <c r="DT56" i="2"/>
  <c r="DT25" i="2"/>
  <c r="DT19" i="2"/>
  <c r="FE155" i="2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I70" i="2" l="1"/>
  <c r="BI142" i="2"/>
  <c r="BI149" i="2"/>
  <c r="BI131" i="2"/>
  <c r="BI168" i="2"/>
  <c r="BI55" i="2"/>
  <c r="BI141" i="2"/>
  <c r="BI15" i="2"/>
  <c r="BI75" i="2"/>
  <c r="BI111" i="2"/>
  <c r="BI152" i="2"/>
  <c r="BI40" i="2"/>
  <c r="BI175" i="2"/>
  <c r="BI45" i="2"/>
  <c r="BI34" i="2"/>
  <c r="BI115" i="2"/>
  <c r="BI47" i="2"/>
  <c r="BI85" i="2"/>
  <c r="BI150" i="2"/>
  <c r="BI56" i="2"/>
  <c r="BI197" i="2"/>
  <c r="BI38" i="2"/>
  <c r="BI80" i="2"/>
  <c r="BI90" i="2"/>
  <c r="BI28" i="2"/>
  <c r="BI23" i="2"/>
  <c r="BI124" i="2"/>
  <c r="BI96" i="2"/>
  <c r="BI121" i="2"/>
  <c r="BI46" i="2"/>
  <c r="BI157" i="2"/>
  <c r="BI12" i="2"/>
  <c r="BI39" i="2"/>
  <c r="BI66" i="2"/>
  <c r="BI179" i="2"/>
  <c r="BI89" i="2"/>
  <c r="BI122" i="2"/>
  <c r="BI192" i="2"/>
  <c r="BI198" i="2"/>
  <c r="BI191" i="2"/>
  <c r="BI27" i="2"/>
  <c r="BI79" i="2"/>
  <c r="BI101" i="2"/>
  <c r="BI106" i="2"/>
  <c r="BI158" i="2"/>
  <c r="BI94" i="2"/>
  <c r="BI194" i="2"/>
  <c r="BI53" i="2"/>
  <c r="BI129" i="2"/>
  <c r="BI199" i="2"/>
  <c r="BI189" i="2"/>
  <c r="BI147" i="2"/>
  <c r="BI5" i="2"/>
  <c r="BI33" i="2"/>
  <c r="BI99" i="2"/>
  <c r="BI114" i="2"/>
  <c r="BI57" i="2"/>
  <c r="BI16" i="2"/>
  <c r="BI146" i="2"/>
  <c r="BI52" i="2"/>
  <c r="BI103" i="2"/>
  <c r="BI69" i="2"/>
  <c r="BI125" i="2"/>
  <c r="BI138" i="2"/>
  <c r="BI117" i="2"/>
  <c r="BI167" i="2"/>
  <c r="BI113" i="2"/>
  <c r="BI30" i="2"/>
  <c r="BI14" i="2"/>
  <c r="BI63" i="2"/>
  <c r="BI156" i="2"/>
  <c r="BI139" i="2"/>
  <c r="BI166" i="2"/>
  <c r="BI11" i="2"/>
  <c r="BI151" i="2"/>
  <c r="BI9" i="2"/>
  <c r="BI4" i="2"/>
  <c r="BI201" i="2"/>
  <c r="BI7" i="2"/>
  <c r="BI135" i="2"/>
  <c r="BI54" i="2"/>
  <c r="BI98" i="2"/>
  <c r="BI123" i="2"/>
  <c r="BI172" i="2"/>
  <c r="BI130" i="2"/>
  <c r="BI190" i="2"/>
  <c r="BI140" i="2"/>
  <c r="BI6" i="2"/>
  <c r="BI88" i="2"/>
  <c r="BI148" i="2"/>
  <c r="BI97" i="2"/>
  <c r="BI186" i="2"/>
  <c r="BI31" i="2"/>
  <c r="BI177" i="2"/>
  <c r="BI17" i="2"/>
  <c r="BI68" i="2"/>
  <c r="BI76" i="2"/>
  <c r="BI161" i="2"/>
  <c r="BI22" i="2"/>
  <c r="BI127" i="2"/>
  <c r="BI21" i="2"/>
  <c r="BI10" i="2"/>
  <c r="BI144" i="2"/>
  <c r="BI95" i="2"/>
  <c r="BI91" i="2"/>
  <c r="BI105" i="2"/>
  <c r="BI181" i="2"/>
  <c r="BI92" i="2"/>
  <c r="BI74" i="2"/>
  <c r="BI104" i="2"/>
  <c r="BI29" i="2"/>
  <c r="BI110" i="2"/>
  <c r="BI196" i="2"/>
  <c r="BI182" i="2"/>
  <c r="BI26" i="2"/>
  <c r="BI13" i="2"/>
  <c r="BI171" i="2"/>
  <c r="BI67" i="2"/>
  <c r="BI200" i="2"/>
  <c r="BI84" i="2"/>
  <c r="BI19" i="2"/>
  <c r="BI48" i="2"/>
  <c r="BI126" i="2"/>
  <c r="BI170" i="2"/>
  <c r="BI82" i="2"/>
  <c r="BI44" i="2"/>
  <c r="BI50" i="2"/>
  <c r="BI64" i="2"/>
  <c r="BI58" i="2"/>
  <c r="BI41" i="2"/>
  <c r="BI83" i="2"/>
  <c r="BI87" i="2"/>
  <c r="BI35" i="2"/>
  <c r="BI81" i="2"/>
  <c r="BI188" i="2"/>
  <c r="BI178" i="2"/>
  <c r="BI86" i="2"/>
  <c r="BI93" i="2"/>
  <c r="BI59" i="2"/>
  <c r="BI176" i="2"/>
  <c r="BI165" i="2"/>
  <c r="BI134" i="2"/>
  <c r="BI20" i="2"/>
  <c r="BI195" i="2"/>
  <c r="BI137" i="2"/>
  <c r="BI37" i="2"/>
  <c r="BI118" i="2"/>
  <c r="BI173" i="2"/>
  <c r="BI132" i="2"/>
  <c r="BI109" i="2"/>
  <c r="BI136" i="2"/>
  <c r="BI202" i="2"/>
  <c r="BI32" i="2"/>
  <c r="BI159" i="2"/>
  <c r="BI65" i="2"/>
  <c r="BI36" i="2"/>
  <c r="BI8" i="2"/>
  <c r="BI143" i="2"/>
  <c r="BI107" i="2"/>
  <c r="BI160" i="2"/>
  <c r="BI72" i="2"/>
  <c r="BI145" i="2"/>
  <c r="BI71" i="2"/>
  <c r="BI203" i="2"/>
  <c r="BI60" i="2"/>
  <c r="BI112" i="2"/>
  <c r="BI62" i="2"/>
  <c r="BI187" i="2"/>
  <c r="BI73" i="2"/>
  <c r="BI169" i="2"/>
  <c r="BI184" i="2"/>
  <c r="BI102" i="2"/>
  <c r="BI18" i="2"/>
  <c r="BI128" i="2"/>
  <c r="BI100" i="2"/>
  <c r="BI24" i="2"/>
  <c r="BI116" i="2"/>
  <c r="BI180" i="2"/>
  <c r="BI120" i="2"/>
  <c r="BI183" i="2"/>
  <c r="BI77" i="2"/>
  <c r="BI78" i="2"/>
  <c r="BI162" i="2"/>
  <c r="BI25" i="2"/>
  <c r="BI108" i="2"/>
  <c r="BI133" i="2"/>
  <c r="BI119" i="2"/>
  <c r="BI61" i="2"/>
  <c r="BI51" i="2"/>
  <c r="BI3" i="2"/>
  <c r="C8" i="4" s="1"/>
  <c r="E8" i="4" s="1"/>
  <c r="F8" i="4" s="1"/>
  <c r="G8" i="4" s="1"/>
  <c r="L8" i="4" s="1"/>
  <c r="BI164" i="2"/>
  <c r="BI174" i="2"/>
  <c r="BI185" i="2"/>
  <c r="BI42" i="2"/>
  <c r="BI153" i="2"/>
  <c r="BI193" i="2"/>
  <c r="BI163" i="2"/>
  <c r="BI49" i="2"/>
  <c r="BI43" i="2"/>
  <c r="BI154" i="2"/>
  <c r="BI155" i="2"/>
  <c r="BS152" i="2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<sst xmlns="http://schemas.openxmlformats.org/spreadsheetml/2006/main" count="1179" uniqueCount="324">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</sst>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2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3.0562900081048716</c:v>
                </c:pt>
                <c:pt idx="2">
                  <c:v>3.8516445674544162</c:v>
                </c:pt>
                <c:pt idx="3">
                  <c:v>4.8547804100799219</c:v>
                </c:pt>
                <c:pt idx="4">
                  <c:v>6.1201763242133866</c:v>
                </c:pt>
                <c:pt idx="5">
                  <c:v>7.7166433859878012</c:v>
                </c:pt>
                <c:pt idx="6">
                  <c:v>9.7311072999956902</c:v>
                </c:pt>
                <c:pt idx="7">
                  <c:v>12.273391783795576</c:v>
                </c:pt>
                <c:pt idx="8">
                  <c:v>15.4822686316353</c:v>
                </c:pt>
                <c:pt idx="9">
                  <c:v>19.53311074960536</c:v>
                </c:pt>
                <c:pt idx="10">
                  <c:v>24.647573946215513</c:v>
                </c:pt>
                <c:pt idx="11">
                  <c:v>31.105846619534645</c:v>
                </c:pt>
                <c:pt idx="12">
                  <c:v>39.262150081012997</c:v>
                </c:pt>
                <c:pt idx="13">
                  <c:v>49.564354179988463</c:v>
                </c:pt>
                <c:pt idx="14">
                  <c:v>62.578803388802356</c:v>
                </c:pt>
                <c:pt idx="15">
                  <c:v>79.021740567855332</c:v>
                </c:pt>
                <c:pt idx="16">
                  <c:v>92.212001931830386</c:v>
                </c:pt>
                <c:pt idx="17">
                  <c:v>105.35503866631923</c:v>
                </c:pt>
                <c:pt idx="18">
                  <c:v>118.45758522816597</c:v>
                </c:pt>
                <c:pt idx="19">
                  <c:v>131.52475843384721</c:v>
                </c:pt>
                <c:pt idx="20">
                  <c:v>144.56057213518989</c:v>
                </c:pt>
                <c:pt idx="21">
                  <c:v>123.52840635605497</c:v>
                </c:pt>
                <c:pt idx="22">
                  <c:v>137.11517211565118</c:v>
                </c:pt>
                <c:pt idx="23">
                  <c:v>150.66954916498568</c:v>
                </c:pt>
                <c:pt idx="24">
                  <c:v>164.19486426810479</c:v>
                </c:pt>
                <c:pt idx="25">
                  <c:v>177.69385032373035</c:v>
                </c:pt>
                <c:pt idx="26">
                  <c:v>191.16879046159409</c:v>
                </c:pt>
                <c:pt idx="27">
                  <c:v>204.62161925684799</c:v>
                </c:pt>
                <c:pt idx="28">
                  <c:v>218.05399586508807</c:v>
                </c:pt>
                <c:pt idx="29">
                  <c:v>231.46735815462407</c:v>
                </c:pt>
                <c:pt idx="30">
                  <c:v>244.86296361177938</c:v>
                </c:pt>
                <c:pt idx="31">
                  <c:v>205.41231020128509</c:v>
                </c:pt>
                <c:pt idx="32">
                  <c:v>218.58035954454417</c:v>
                </c:pt>
                <c:pt idx="33">
                  <c:v>231.73018391404943</c:v>
                </c:pt>
                <c:pt idx="34">
                  <c:v>244.86296361177938</c:v>
                </c:pt>
                <c:pt idx="35">
                  <c:v>257.97974191077316</c:v>
                </c:pt>
                <c:pt idx="36">
                  <c:v>270.03384538640671</c:v>
                </c:pt>
                <c:pt idx="37">
                  <c:v>282.07584211332164</c:v>
                </c:pt>
                <c:pt idx="38">
                  <c:v>294.10632197650165</c:v>
                </c:pt>
                <c:pt idx="39">
                  <c:v>306.12582263909667</c:v>
                </c:pt>
                <c:pt idx="40">
                  <c:v>318.13483607832239</c:v>
                </c:pt>
                <c:pt idx="41">
                  <c:v>271.08144727175642</c:v>
                </c:pt>
                <c:pt idx="42">
                  <c:v>282.86078360632649</c:v>
                </c:pt>
                <c:pt idx="43">
                  <c:v>294.62913355147111</c:v>
                </c:pt>
                <c:pt idx="44">
                  <c:v>306.3869979576524</c:v>
                </c:pt>
                <c:pt idx="45">
                  <c:v>318.13483607832245</c:v>
                </c:pt>
                <c:pt idx="46">
                  <c:v>329.35156958294141</c:v>
                </c:pt>
                <c:pt idx="47">
                  <c:v>340.55987511500985</c:v>
                </c:pt>
                <c:pt idx="48">
                  <c:v>351.76006924925832</c:v>
                </c:pt>
                <c:pt idx="49">
                  <c:v>362.95244674780406</c:v>
                </c:pt>
                <c:pt idx="50">
                  <c:v>374.13728270377402</c:v>
                </c:pt>
                <c:pt idx="51">
                  <c:v>322.30950996229876</c:v>
                </c:pt>
                <c:pt idx="52">
                  <c:v>333.00169481114159</c:v>
                </c:pt>
                <c:pt idx="53">
                  <c:v>343.68631362725654</c:v>
                </c:pt>
                <c:pt idx="54">
                  <c:v>354.36363488362491</c:v>
                </c:pt>
                <c:pt idx="55">
                  <c:v>365.03390954723886</c:v>
                </c:pt>
                <c:pt idx="56">
                  <c:v>374.91734538946031</c:v>
                </c:pt>
                <c:pt idx="57">
                  <c:v>384.79510627137751</c:v>
                </c:pt>
                <c:pt idx="58">
                  <c:v>394.66735847110516</c:v>
                </c:pt>
                <c:pt idx="59">
                  <c:v>404.5342592660088</c:v>
                </c:pt>
                <c:pt idx="60">
                  <c:v>414.39595763230813</c:v>
                </c:pt>
                <c:pt idx="61">
                  <c:v>363.99321066425381</c:v>
                </c:pt>
                <c:pt idx="62">
                  <c:v>373.35718456856483</c:v>
                </c:pt>
                <c:pt idx="63">
                  <c:v>382.71604088568387</c:v>
                </c:pt>
                <c:pt idx="64">
                  <c:v>392.0699224681141</c:v>
                </c:pt>
                <c:pt idx="65">
                  <c:v>401.4189647926537</c:v>
                </c:pt>
                <c:pt idx="66">
                  <c:v>410.2442884418852</c:v>
                </c:pt>
                <c:pt idx="67">
                  <c:v>419.0655135735251</c:v>
                </c:pt>
                <c:pt idx="68">
                  <c:v>427.8827386661892</c:v>
                </c:pt>
                <c:pt idx="69">
                  <c:v>436.69605780694877</c:v>
                </c:pt>
                <c:pt idx="70">
                  <c:v>445.50556097376784</c:v>
                </c:pt>
                <c:pt idx="71">
                  <c:v>395.70622896203434</c:v>
                </c:pt>
                <c:pt idx="72">
                  <c:v>404.27467126938308</c:v>
                </c:pt>
                <c:pt idx="73">
                  <c:v>412.83918737669751</c:v>
                </c:pt>
                <c:pt idx="74">
                  <c:v>421.39987026288964</c:v>
                </c:pt>
                <c:pt idx="75">
                  <c:v>429.95680881908919</c:v>
                </c:pt>
                <c:pt idx="76">
                  <c:v>437.99181019525372</c:v>
                </c:pt>
                <c:pt idx="77">
                  <c:v>446.02365006516737</c:v>
                </c:pt>
                <c:pt idx="78">
                  <c:v>454.05239341686462</c:v>
                </c:pt>
                <c:pt idx="79">
                  <c:v>462.0781027515323</c:v>
                </c:pt>
                <c:pt idx="80">
                  <c:v>470.1008382211549</c:v>
                </c:pt>
                <c:pt idx="81">
                  <c:v>422.17792718748893</c:v>
                </c:pt>
                <c:pt idx="82">
                  <c:v>429.95680881908919</c:v>
                </c:pt>
                <c:pt idx="83">
                  <c:v>437.73266630566582</c:v>
                </c:pt>
                <c:pt idx="84">
                  <c:v>445.50556097376779</c:v>
                </c:pt>
                <c:pt idx="85">
                  <c:v>453.27555183427711</c:v>
                </c:pt>
                <c:pt idx="86">
                  <c:v>460.52497358173349</c:v>
                </c:pt>
                <c:pt idx="87">
                  <c:v>467.77195987462483</c:v>
                </c:pt>
                <c:pt idx="88">
                  <c:v>475.01655378575668</c:v>
                </c:pt>
                <c:pt idx="89">
                  <c:v>482.25879696627726</c:v>
                </c:pt>
                <c:pt idx="90">
                  <c:v>489.49872971371423</c:v>
                </c:pt>
                <c:pt idx="91">
                  <c:v>444.98745897736353</c:v>
                </c:pt>
                <c:pt idx="92">
                  <c:v>452.23971876405511</c:v>
                </c:pt>
                <c:pt idx="93">
                  <c:v>459.489492035924</c:v>
                </c:pt>
                <c:pt idx="94">
                  <c:v>466.73682357974229</c:v>
                </c:pt>
                <c:pt idx="95">
                  <c:v>473.98175667722558</c:v>
                </c:pt>
                <c:pt idx="96">
                  <c:v>480.70708356712709</c:v>
                </c:pt>
                <c:pt idx="97">
                  <c:v>487.4304109605867</c:v>
                </c:pt>
                <c:pt idx="98">
                  <c:v>494.15177034208205</c:v>
                </c:pt>
                <c:pt idx="99">
                  <c:v>500.87119226930128</c:v>
                </c:pt>
                <c:pt idx="100">
                  <c:v>507.58870641276644</c:v>
                </c:pt>
                <c:pt idx="101">
                  <c:v>465.96043924488595</c:v>
                </c:pt>
                <c:pt idx="102">
                  <c:v>472.17074594472138</c:v>
                </c:pt>
                <c:pt idx="103">
                  <c:v>478.37931369911365</c:v>
                </c:pt>
                <c:pt idx="104">
                  <c:v>484.58616827417546</c:v>
                </c:pt>
                <c:pt idx="105">
                  <c:v>490.79133472172845</c:v>
                </c:pt>
                <c:pt idx="106">
                  <c:v>496.99483740808415</c:v>
                </c:pt>
                <c:pt idx="107">
                  <c:v>503.19670004131422</c:v>
                </c:pt>
                <c:pt idx="108">
                  <c:v>509.39694569710491</c:v>
                </c:pt>
                <c:pt idx="109">
                  <c:v>515.59559684328622</c:v>
                </c:pt>
                <c:pt idx="110">
                  <c:v>521.79267536312125</c:v>
                </c:pt>
                <c:pt idx="111">
                  <c:v>527.60102717911309</c:v>
                </c:pt>
                <c:pt idx="112">
                  <c:v>533.40803268292484</c:v>
                </c:pt>
                <c:pt idx="113">
                  <c:v>539.21370860599507</c:v>
                </c:pt>
                <c:pt idx="114">
                  <c:v>545.0180712899114</c:v>
                </c:pt>
                <c:pt idx="115">
                  <c:v>550.82113669964031</c:v>
                </c:pt>
                <c:pt idx="116">
                  <c:v>556.6229204361706</c:v>
                </c:pt>
                <c:pt idx="117">
                  <c:v>562.42343774860331</c:v>
                </c:pt>
                <c:pt idx="118">
                  <c:v>568.22270354571481</c:v>
                </c:pt>
                <c:pt idx="119">
                  <c:v>574.02073240702464</c:v>
                </c:pt>
                <c:pt idx="120">
                  <c:v>579.81753859339335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243274656"/>
        <c:axId val="-1243280640"/>
      </c:scatterChart>
      <c:valAx>
        <c:axId val="-12432746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243280640"/>
        <c:crosses val="autoZero"/>
        <c:crossBetween val="midCat"/>
      </c:valAx>
      <c:valAx>
        <c:axId val="-12432806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2432746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1.4380138466054599</c:v>
                </c:pt>
                <c:pt idx="2">
                  <c:v>1.6875991845994376</c:v>
                </c:pt>
                <c:pt idx="3">
                  <c:v>1.9806665306831832</c:v>
                </c:pt>
                <c:pt idx="4">
                  <c:v>2.32481817880418</c:v>
                </c:pt>
                <c:pt idx="5">
                  <c:v>2.7289900330905534</c:v>
                </c:pt>
                <c:pt idx="6">
                  <c:v>3.203686281221815</c:v>
                </c:pt>
                <c:pt idx="7">
                  <c:v>3.7612554820460891</c:v>
                </c:pt>
                <c:pt idx="8">
                  <c:v>4.4162153954838086</c:v>
                </c:pt>
                <c:pt idx="9">
                  <c:v>5.1856351825720131</c:v>
                </c:pt>
                <c:pt idx="10">
                  <c:v>6.0895851343840945</c:v>
                </c:pt>
                <c:pt idx="11">
                  <c:v>7.1516658916658464</c:v>
                </c:pt>
                <c:pt idx="12">
                  <c:v>8.3996312408642595</c:v>
                </c:pt>
                <c:pt idx="13">
                  <c:v>9.8661210739520406</c:v>
                </c:pt>
                <c:pt idx="14">
                  <c:v>11.589524046435578</c:v>
                </c:pt>
                <c:pt idx="15">
                  <c:v>13.614992939574798</c:v>
                </c:pt>
                <c:pt idx="16">
                  <c:v>15.995639822719939</c:v>
                </c:pt>
                <c:pt idx="17">
                  <c:v>18.793942930082366</c:v>
                </c:pt>
                <c:pt idx="18">
                  <c:v>22.083402843214927</c:v>
                </c:pt>
                <c:pt idx="19">
                  <c:v>25.950492259231435</c:v>
                </c:pt>
                <c:pt idx="20">
                  <c:v>30.49695150599419</c:v>
                </c:pt>
                <c:pt idx="21">
                  <c:v>35.842491252095542</c:v>
                </c:pt>
                <c:pt idx="22">
                  <c:v>42.127974802498365</c:v>
                </c:pt>
                <c:pt idx="23">
                  <c:v>49.51916526613595</c:v>
                </c:pt>
                <c:pt idx="24">
                  <c:v>58.211138078518069</c:v>
                </c:pt>
                <c:pt idx="25">
                  <c:v>68.433477271807831</c:v>
                </c:pt>
                <c:pt idx="26">
                  <c:v>80.456394991923858</c:v>
                </c:pt>
                <c:pt idx="27">
                  <c:v>94.597938638820423</c:v>
                </c:pt>
                <c:pt idx="28">
                  <c:v>111.23247932645454</c:v>
                </c:pt>
                <c:pt idx="29">
                  <c:v>130.80070991807179</c:v>
                </c:pt>
                <c:pt idx="30">
                  <c:v>153.82142162778047</c:v>
                </c:pt>
                <c:pt idx="31">
                  <c:v>164.57801198230447</c:v>
                </c:pt>
                <c:pt idx="32">
                  <c:v>175.31799361293915</c:v>
                </c:pt>
                <c:pt idx="33">
                  <c:v>186.04252831212725</c:v>
                </c:pt>
                <c:pt idx="34">
                  <c:v>196.75263281402923</c:v>
                </c:pt>
                <c:pt idx="35">
                  <c:v>207.44920399039486</c:v>
                </c:pt>
                <c:pt idx="36">
                  <c:v>218.13303856852312</c:v>
                </c:pt>
                <c:pt idx="37">
                  <c:v>228.80484877789547</c:v>
                </c:pt>
                <c:pt idx="38">
                  <c:v>239.46527492078837</c:v>
                </c:pt>
                <c:pt idx="39">
                  <c:v>250.11489558446848</c:v>
                </c:pt>
                <c:pt idx="40">
                  <c:v>260.75423602111408</c:v>
                </c:pt>
                <c:pt idx="41">
                  <c:v>273.0472896688355</c:v>
                </c:pt>
                <c:pt idx="42">
                  <c:v>285.32790448844588</c:v>
                </c:pt>
                <c:pt idx="43">
                  <c:v>297.59669148533732</c:v>
                </c:pt>
                <c:pt idx="44">
                  <c:v>309.85420715072837</c:v>
                </c:pt>
                <c:pt idx="45">
                  <c:v>322.10096033563519</c:v>
                </c:pt>
                <c:pt idx="46">
                  <c:v>334.337418024199</c:v>
                </c:pt>
                <c:pt idx="47">
                  <c:v>346.56401021725725</c:v>
                </c:pt>
                <c:pt idx="48">
                  <c:v>358.78113409048046</c:v>
                </c:pt>
                <c:pt idx="49">
                  <c:v>370.98915755637017</c:v>
                </c:pt>
                <c:pt idx="50">
                  <c:v>383.18842233279247</c:v>
                </c:pt>
                <c:pt idx="51">
                  <c:v>395.37924660026175</c:v>
                </c:pt>
                <c:pt idx="52">
                  <c:v>236.25024475085775</c:v>
                </c:pt>
                <c:pt idx="53">
                  <c:v>247.59615286649509</c:v>
                </c:pt>
                <c:pt idx="54">
                  <c:v>258.93026223231527</c:v>
                </c:pt>
                <c:pt idx="55">
                  <c:v>270.25316238981276</c:v>
                </c:pt>
                <c:pt idx="56">
                  <c:v>281.56538941412128</c:v>
                </c:pt>
                <c:pt idx="57">
                  <c:v>292.67919777140111</c:v>
                </c:pt>
                <c:pt idx="58">
                  <c:v>303.78358590566432</c:v>
                </c:pt>
                <c:pt idx="59">
                  <c:v>314.87894685838472</c:v>
                </c:pt>
                <c:pt idx="60">
                  <c:v>325.96564369687235</c:v>
                </c:pt>
                <c:pt idx="61">
                  <c:v>337.04401276379787</c:v>
                </c:pt>
                <c:pt idx="62">
                  <c:v>252.21456919520065</c:v>
                </c:pt>
                <c:pt idx="63">
                  <c:v>262.44542146430354</c:v>
                </c:pt>
                <c:pt idx="64">
                  <c:v>272.66727459691896</c:v>
                </c:pt>
                <c:pt idx="65">
                  <c:v>282.88051374655532</c:v>
                </c:pt>
                <c:pt idx="66">
                  <c:v>293.08549396442709</c:v>
                </c:pt>
                <c:pt idx="67">
                  <c:v>303.28254354108338</c:v>
                </c:pt>
                <c:pt idx="68">
                  <c:v>313.7582524161748</c:v>
                </c:pt>
                <c:pt idx="69">
                  <c:v>324.22620744324928</c:v>
                </c:pt>
                <c:pt idx="70">
                  <c:v>334.68669438075665</c:v>
                </c:pt>
                <c:pt idx="71">
                  <c:v>345.13997965752452</c:v>
                </c:pt>
                <c:pt idx="72">
                  <c:v>355.58631223872879</c:v>
                </c:pt>
                <c:pt idx="73">
                  <c:v>366.02592526105173</c:v>
                </c:pt>
                <c:pt idx="74">
                  <c:v>281.81632883541465</c:v>
                </c:pt>
                <c:pt idx="75">
                  <c:v>291.28277988050218</c:v>
                </c:pt>
                <c:pt idx="76">
                  <c:v>300.74236004002955</c:v>
                </c:pt>
                <c:pt idx="77">
                  <c:v>310.19531605992978</c:v>
                </c:pt>
                <c:pt idx="78">
                  <c:v>319.6418784088774</c:v>
                </c:pt>
                <c:pt idx="79">
                  <c:v>329.08226281184676</c:v>
                </c:pt>
                <c:pt idx="80">
                  <c:v>338.69481657281045</c:v>
                </c:pt>
                <c:pt idx="81">
                  <c:v>348.30136779641316</c:v>
                </c:pt>
                <c:pt idx="82">
                  <c:v>357.90210547556245</c:v>
                </c:pt>
                <c:pt idx="83">
                  <c:v>367.4972076306401</c:v>
                </c:pt>
                <c:pt idx="84">
                  <c:v>377.08684222260217</c:v>
                </c:pt>
                <c:pt idx="85">
                  <c:v>386.67116796831169</c:v>
                </c:pt>
                <c:pt idx="86">
                  <c:v>310.20302068238681</c:v>
                </c:pt>
                <c:pt idx="87">
                  <c:v>318.8834575745966</c:v>
                </c:pt>
                <c:pt idx="88">
                  <c:v>327.55866418727186</c:v>
                </c:pt>
                <c:pt idx="89">
                  <c:v>336.22879868133299</c:v>
                </c:pt>
                <c:pt idx="90">
                  <c:v>344.89401038910336</c:v>
                </c:pt>
                <c:pt idx="91">
                  <c:v>353.55444052140359</c:v>
                </c:pt>
                <c:pt idx="92">
                  <c:v>362.31388021108495</c:v>
                </c:pt>
                <c:pt idx="93">
                  <c:v>371.06869139569397</c:v>
                </c:pt>
                <c:pt idx="94">
                  <c:v>379.81899874468553</c:v>
                </c:pt>
                <c:pt idx="95">
                  <c:v>388.56492071108028</c:v>
                </c:pt>
                <c:pt idx="96">
                  <c:v>397.30656997742784</c:v>
                </c:pt>
                <c:pt idx="97">
                  <c:v>406.04405386046113</c:v>
                </c:pt>
                <c:pt idx="98">
                  <c:v>334.39312563623599</c:v>
                </c:pt>
                <c:pt idx="99">
                  <c:v>342.24703403704694</c:v>
                </c:pt>
                <c:pt idx="100">
                  <c:v>350.09698079823966</c:v>
                </c:pt>
                <c:pt idx="101">
                  <c:v>357.94306734951579</c:v>
                </c:pt>
                <c:pt idx="102">
                  <c:v>365.78539030752978</c:v>
                </c:pt>
                <c:pt idx="103">
                  <c:v>373.62404180484191</c:v>
                </c:pt>
                <c:pt idx="104">
                  <c:v>381.51151922303683</c:v>
                </c:pt>
                <c:pt idx="105">
                  <c:v>389.39545073608269</c:v>
                </c:pt>
                <c:pt idx="106">
                  <c:v>397.27591831089302</c:v>
                </c:pt>
                <c:pt idx="107">
                  <c:v>405.15300039508821</c:v>
                </c:pt>
                <c:pt idx="108">
                  <c:v>413.02677213508372</c:v>
                </c:pt>
                <c:pt idx="109">
                  <c:v>420.89730557667332</c:v>
                </c:pt>
                <c:pt idx="110">
                  <c:v>347.56231546624463</c:v>
                </c:pt>
                <c:pt idx="111">
                  <c:v>354.64786759228599</c:v>
                </c:pt>
                <c:pt idx="112">
                  <c:v>361.73031893174402</c:v>
                </c:pt>
                <c:pt idx="113">
                  <c:v>368.80973881426394</c:v>
                </c:pt>
                <c:pt idx="114">
                  <c:v>375.88619368839096</c:v>
                </c:pt>
                <c:pt idx="115">
                  <c:v>382.95974729448511</c:v>
                </c:pt>
                <c:pt idx="116">
                  <c:v>390.02023951163716</c:v>
                </c:pt>
                <c:pt idx="117">
                  <c:v>397.07795839700174</c:v>
                </c:pt>
                <c:pt idx="118">
                  <c:v>404.13296023549515</c:v>
                </c:pt>
                <c:pt idx="119">
                  <c:v>411.18529918508108</c:v>
                </c:pt>
                <c:pt idx="120">
                  <c:v>418.235027393054</c:v>
                </c:pt>
                <c:pt idx="121">
                  <c:v>425.28219510406774</c:v>
                </c:pt>
                <c:pt idx="122">
                  <c:v>223.15332793340841</c:v>
                </c:pt>
                <c:pt idx="123">
                  <c:v>228.35256653094197</c:v>
                </c:pt>
                <c:pt idx="124">
                  <c:v>233.54909656198762</c:v>
                </c:pt>
                <c:pt idx="125">
                  <c:v>238.74298690714286</c:v>
                </c:pt>
                <c:pt idx="126">
                  <c:v>243.93430319999132</c:v>
                </c:pt>
                <c:pt idx="127">
                  <c:v>248.62911644730306</c:v>
                </c:pt>
                <c:pt idx="128">
                  <c:v>253.3219181823894</c:v>
                </c:pt>
                <c:pt idx="129">
                  <c:v>258.01275099580977</c:v>
                </c:pt>
                <c:pt idx="130">
                  <c:v>262.70165580030124</c:v>
                </c:pt>
                <c:pt idx="131">
                  <c:v>267.38867192633211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243283904"/>
        <c:axId val="-1243277376"/>
      </c:scatterChart>
      <c:valAx>
        <c:axId val="-1243283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243277376"/>
        <c:crosses val="autoZero"/>
        <c:crossBetween val="midCat"/>
      </c:valAx>
      <c:valAx>
        <c:axId val="-1243277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243283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2.7663252338256172</c:v>
                </c:pt>
                <c:pt idx="2">
                  <c:v>3.3122877098209038</c:v>
                </c:pt>
                <c:pt idx="3">
                  <c:v>3.966401906447405</c:v>
                </c:pt>
                <c:pt idx="4">
                  <c:v>4.7501668593059909</c:v>
                </c:pt>
                <c:pt idx="5">
                  <c:v>5.6893692517736758</c:v>
                </c:pt>
                <c:pt idx="6">
                  <c:v>6.8149411073641248</c:v>
                </c:pt>
                <c:pt idx="7">
                  <c:v>8.1639895318585136</c:v>
                </c:pt>
                <c:pt idx="8">
                  <c:v>9.7810331060211926</c:v>
                </c:pt>
                <c:pt idx="9">
                  <c:v>11.719486504501022</c:v>
                </c:pt>
                <c:pt idx="10">
                  <c:v>14.043443300253207</c:v>
                </c:pt>
                <c:pt idx="11">
                  <c:v>16.829816991658799</c:v>
                </c:pt>
                <c:pt idx="12">
                  <c:v>20.170912404444739</c:v>
                </c:pt>
                <c:pt idx="13">
                  <c:v>24.177514185044988</c:v>
                </c:pt>
                <c:pt idx="14">
                  <c:v>28.982596612402116</c:v>
                </c:pt>
                <c:pt idx="15">
                  <c:v>34.745780008276633</c:v>
                </c:pt>
                <c:pt idx="16">
                  <c:v>41.658684339935689</c:v>
                </c:pt>
                <c:pt idx="17">
                  <c:v>49.951361047417038</c:v>
                </c:pt>
                <c:pt idx="18">
                  <c:v>59.900020729580547</c:v>
                </c:pt>
                <c:pt idx="19">
                  <c:v>71.836318339091292</c:v>
                </c:pt>
                <c:pt idx="20">
                  <c:v>86.158510470515978</c:v>
                </c:pt>
                <c:pt idx="21">
                  <c:v>97.318927922969635</c:v>
                </c:pt>
                <c:pt idx="22">
                  <c:v>108.4475019129206</c:v>
                </c:pt>
                <c:pt idx="23">
                  <c:v>119.54796628555846</c:v>
                </c:pt>
                <c:pt idx="24">
                  <c:v>130.62330272297189</c:v>
                </c:pt>
                <c:pt idx="25">
                  <c:v>141.67594470663133</c:v>
                </c:pt>
                <c:pt idx="26">
                  <c:v>155.46288225618903</c:v>
                </c:pt>
                <c:pt idx="27">
                  <c:v>169.22076873606747</c:v>
                </c:pt>
                <c:pt idx="28">
                  <c:v>182.95230030612535</c:v>
                </c:pt>
                <c:pt idx="29">
                  <c:v>196.65973476943884</c:v>
                </c:pt>
                <c:pt idx="30">
                  <c:v>210.34498910896306</c:v>
                </c:pt>
                <c:pt idx="31">
                  <c:v>169.22076873606747</c:v>
                </c:pt>
                <c:pt idx="32">
                  <c:v>184.91193253803269</c:v>
                </c:pt>
                <c:pt idx="33">
                  <c:v>200.57199414028256</c:v>
                </c:pt>
                <c:pt idx="34">
                  <c:v>216.20372460175972</c:v>
                </c:pt>
                <c:pt idx="35">
                  <c:v>231.8094611658297</c:v>
                </c:pt>
                <c:pt idx="36">
                  <c:v>248.16968942779488</c:v>
                </c:pt>
                <c:pt idx="37">
                  <c:v>264.50544806917611</c:v>
                </c:pt>
                <c:pt idx="38">
                  <c:v>280.81846105391611</c:v>
                </c:pt>
                <c:pt idx="39">
                  <c:v>297.11023564036316</c:v>
                </c:pt>
                <c:pt idx="40">
                  <c:v>313.38210026249641</c:v>
                </c:pt>
                <c:pt idx="41">
                  <c:v>248.16968942779496</c:v>
                </c:pt>
                <c:pt idx="42">
                  <c:v>264.50544806917623</c:v>
                </c:pt>
                <c:pt idx="43">
                  <c:v>280.81846105391611</c:v>
                </c:pt>
                <c:pt idx="44">
                  <c:v>297.11023564036327</c:v>
                </c:pt>
                <c:pt idx="45">
                  <c:v>313.38210026249641</c:v>
                </c:pt>
                <c:pt idx="46">
                  <c:v>329.24846413649914</c:v>
                </c:pt>
                <c:pt idx="47">
                  <c:v>345.09796018035962</c:v>
                </c:pt>
                <c:pt idx="48">
                  <c:v>360.93147205550491</c:v>
                </c:pt>
                <c:pt idx="49">
                  <c:v>376.74979957167847</c:v>
                </c:pt>
                <c:pt idx="50">
                  <c:v>392.55366990377706</c:v>
                </c:pt>
                <c:pt idx="51">
                  <c:v>326.9276331083118</c:v>
                </c:pt>
                <c:pt idx="52">
                  <c:v>342.393103483792</c:v>
                </c:pt>
                <c:pt idx="53">
                  <c:v>357.84322260194625</c:v>
                </c:pt>
                <c:pt idx="54">
                  <c:v>373.27874650728046</c:v>
                </c:pt>
                <c:pt idx="55">
                  <c:v>388.70036362009404</c:v>
                </c:pt>
                <c:pt idx="56">
                  <c:v>403.33859253105862</c:v>
                </c:pt>
                <c:pt idx="57">
                  <c:v>417.96533499156266</c:v>
                </c:pt>
                <c:pt idx="58">
                  <c:v>432.58104952108766</c:v>
                </c:pt>
                <c:pt idx="59">
                  <c:v>447.18616113243911</c:v>
                </c:pt>
                <c:pt idx="60">
                  <c:v>461.78106481747727</c:v>
                </c:pt>
                <c:pt idx="61">
                  <c:v>394.86525935006392</c:v>
                </c:pt>
                <c:pt idx="62">
                  <c:v>408.72870365690932</c:v>
                </c:pt>
                <c:pt idx="63">
                  <c:v>422.5819944009279</c:v>
                </c:pt>
                <c:pt idx="64">
                  <c:v>436.42551129808606</c:v>
                </c:pt>
                <c:pt idx="65">
                  <c:v>450.25960801246725</c:v>
                </c:pt>
                <c:pt idx="66">
                  <c:v>463.31679190893482</c:v>
                </c:pt>
                <c:pt idx="67">
                  <c:v>476.36612856926143</c:v>
                </c:pt>
                <c:pt idx="68">
                  <c:v>489.40786321667775</c:v>
                </c:pt>
                <c:pt idx="69">
                  <c:v>502.44222694105241</c:v>
                </c:pt>
                <c:pt idx="70">
                  <c:v>515.4694378666801</c:v>
                </c:pt>
                <c:pt idx="71">
                  <c:v>446.80194854061978</c:v>
                </c:pt>
                <c:pt idx="72">
                  <c:v>458.70928319621316</c:v>
                </c:pt>
                <c:pt idx="73">
                  <c:v>470.61001955868869</c:v>
                </c:pt>
                <c:pt idx="74">
                  <c:v>482.50434799892832</c:v>
                </c:pt>
                <c:pt idx="75">
                  <c:v>494.39244873679587</c:v>
                </c:pt>
                <c:pt idx="76">
                  <c:v>505.89129373820577</c:v>
                </c:pt>
                <c:pt idx="77">
                  <c:v>517.38461348648957</c:v>
                </c:pt>
                <c:pt idx="78">
                  <c:v>528.87254801147833</c:v>
                </c:pt>
                <c:pt idx="79">
                  <c:v>540.35523076412733</c:v>
                </c:pt>
                <c:pt idx="80">
                  <c:v>551.83278906179692</c:v>
                </c:pt>
                <c:pt idx="81">
                  <c:v>482.12075813367829</c:v>
                </c:pt>
                <c:pt idx="82">
                  <c:v>492.85884412246605</c:v>
                </c:pt>
                <c:pt idx="83">
                  <c:v>503.59197136026643</c:v>
                </c:pt>
                <c:pt idx="84">
                  <c:v>514.32026043494204</c:v>
                </c:pt>
                <c:pt idx="85">
                  <c:v>525.04382649327351</c:v>
                </c:pt>
                <c:pt idx="86">
                  <c:v>535.76277959494894</c:v>
                </c:pt>
                <c:pt idx="87">
                  <c:v>546.47722503675357</c:v>
                </c:pt>
                <c:pt idx="88">
                  <c:v>557.18726365001555</c:v>
                </c:pt>
                <c:pt idx="89">
                  <c:v>567.89299207399438</c:v>
                </c:pt>
                <c:pt idx="90">
                  <c:v>578.59450300758806</c:v>
                </c:pt>
                <c:pt idx="91">
                  <c:v>507.61564043595672</c:v>
                </c:pt>
                <c:pt idx="92">
                  <c:v>517.00159034875594</c:v>
                </c:pt>
                <c:pt idx="93">
                  <c:v>526.3839456981226</c:v>
                </c:pt>
                <c:pt idx="94">
                  <c:v>535.76277959494894</c:v>
                </c:pt>
                <c:pt idx="95">
                  <c:v>545.13816238142283</c:v>
                </c:pt>
                <c:pt idx="96">
                  <c:v>554.51016178271254</c:v>
                </c:pt>
                <c:pt idx="97">
                  <c:v>563.87884304786564</c:v>
                </c:pt>
                <c:pt idx="98">
                  <c:v>573.24426908085582</c:v>
                </c:pt>
                <c:pt idx="99">
                  <c:v>582.60650056262409</c:v>
                </c:pt>
                <c:pt idx="100">
                  <c:v>591.9655960648646</c:v>
                </c:pt>
                <c:pt idx="101">
                  <c:v>520.06560820994252</c:v>
                </c:pt>
                <c:pt idx="102">
                  <c:v>528.48970219589648</c:v>
                </c:pt>
                <c:pt idx="103">
                  <c:v>536.91096968482657</c:v>
                </c:pt>
                <c:pt idx="104">
                  <c:v>545.32946126916943</c:v>
                </c:pt>
                <c:pt idx="105">
                  <c:v>553.74522585166278</c:v>
                </c:pt>
                <c:pt idx="106">
                  <c:v>562.15831072715287</c:v>
                </c:pt>
                <c:pt idx="107">
                  <c:v>570.56876165925303</c:v>
                </c:pt>
                <c:pt idx="108">
                  <c:v>578.97662295224757</c:v>
                </c:pt>
                <c:pt idx="109">
                  <c:v>587.38193751859842</c:v>
                </c:pt>
                <c:pt idx="110">
                  <c:v>595.7847469423923</c:v>
                </c:pt>
                <c:pt idx="111">
                  <c:v>528.29827709857079</c:v>
                </c:pt>
                <c:pt idx="112">
                  <c:v>535.38003807305233</c:v>
                </c:pt>
                <c:pt idx="113">
                  <c:v>542.45982974283959</c:v>
                </c:pt>
                <c:pt idx="114">
                  <c:v>549.53768144295657</c:v>
                </c:pt>
                <c:pt idx="115">
                  <c:v>556.61362169091774</c:v>
                </c:pt>
                <c:pt idx="116">
                  <c:v>563.68767821983818</c:v>
                </c:pt>
                <c:pt idx="117">
                  <c:v>570.75987800979885</c:v>
                </c:pt>
                <c:pt idx="118">
                  <c:v>577.8302473175728</c:v>
                </c:pt>
                <c:pt idx="119">
                  <c:v>584.89881170482306</c:v>
                </c:pt>
                <c:pt idx="120">
                  <c:v>591.96559606486414</c:v>
                </c:pt>
                <c:pt idx="121">
                  <c:v>531.16950054399888</c:v>
                </c:pt>
                <c:pt idx="122">
                  <c:v>537.29368823845141</c:v>
                </c:pt>
                <c:pt idx="123">
                  <c:v>543.41640891561519</c:v>
                </c:pt>
                <c:pt idx="124">
                  <c:v>549.53768144295634</c:v>
                </c:pt>
                <c:pt idx="125">
                  <c:v>555.65752423315837</c:v>
                </c:pt>
                <c:pt idx="126">
                  <c:v>561.77595526008167</c:v>
                </c:pt>
                <c:pt idx="127">
                  <c:v>567.89299207399313</c:v>
                </c:pt>
                <c:pt idx="128">
                  <c:v>574.00865181610322</c:v>
                </c:pt>
                <c:pt idx="129">
                  <c:v>580.12295123245383</c:v>
                </c:pt>
                <c:pt idx="130">
                  <c:v>586.23590668718714</c:v>
                </c:pt>
                <c:pt idx="131">
                  <c:v>532.12650235188266</c:v>
                </c:pt>
                <c:pt idx="132">
                  <c:v>537.29368823845118</c:v>
                </c:pt>
                <c:pt idx="133">
                  <c:v>542.45982974283925</c:v>
                </c:pt>
                <c:pt idx="134">
                  <c:v>547.62493821970475</c:v>
                </c:pt>
                <c:pt idx="135">
                  <c:v>552.78902479193243</c:v>
                </c:pt>
                <c:pt idx="136">
                  <c:v>557.95210035753337</c:v>
                </c:pt>
                <c:pt idx="137">
                  <c:v>563.11417559627546</c:v>
                </c:pt>
                <c:pt idx="138">
                  <c:v>568.27526097606062</c:v>
                </c:pt>
                <c:pt idx="139">
                  <c:v>573.43536675905443</c:v>
                </c:pt>
                <c:pt idx="140">
                  <c:v>578.59450300758647</c:v>
                </c:pt>
                <c:pt idx="141">
                  <c:v>531.55230561741405</c:v>
                </c:pt>
                <c:pt idx="142">
                  <c:v>536.14551536775082</c:v>
                </c:pt>
                <c:pt idx="143">
                  <c:v>540.73789791143247</c:v>
                </c:pt>
                <c:pt idx="144">
                  <c:v>545.32946126916829</c:v>
                </c:pt>
                <c:pt idx="145">
                  <c:v>549.92021331550427</c:v>
                </c:pt>
                <c:pt idx="146">
                  <c:v>554.51016178271107</c:v>
                </c:pt>
                <c:pt idx="147">
                  <c:v>559.09931426453841</c:v>
                </c:pt>
                <c:pt idx="148">
                  <c:v>563.68767821983727</c:v>
                </c:pt>
                <c:pt idx="149">
                  <c:v>568.27526097606028</c:v>
                </c:pt>
                <c:pt idx="150">
                  <c:v>572.86206973264132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243274112"/>
        <c:axId val="-1243275744"/>
      </c:scatterChart>
      <c:valAx>
        <c:axId val="-12432741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243275744"/>
        <c:crosses val="autoZero"/>
        <c:crossBetween val="midCat"/>
      </c:valAx>
      <c:valAx>
        <c:axId val="-12432757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2432741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3.0873954293069432</c:v>
                </c:pt>
                <c:pt idx="2">
                  <c:v>3.6969523327533285</c:v>
                </c:pt>
                <c:pt idx="3">
                  <c:v>4.4273012249221102</c:v>
                </c:pt>
                <c:pt idx="4">
                  <c:v>5.3024617849498643</c:v>
                </c:pt>
                <c:pt idx="5">
                  <c:v>6.3512455158746723</c:v>
                </c:pt>
                <c:pt idx="6">
                  <c:v>7.6082145638704972</c:v>
                </c:pt>
                <c:pt idx="7">
                  <c:v>9.1148329231718037</c:v>
                </c:pt>
                <c:pt idx="8">
                  <c:v>10.92084872649014</c:v>
                </c:pt>
                <c:pt idx="9">
                  <c:v>13.085954123475267</c:v>
                </c:pt>
                <c:pt idx="10">
                  <c:v>15.681778629035497</c:v>
                </c:pt>
                <c:pt idx="11">
                  <c:v>18.794283098237205</c:v>
                </c:pt>
                <c:pt idx="12">
                  <c:v>22.526635038894295</c:v>
                </c:pt>
                <c:pt idx="13">
                  <c:v>27.002662268531896</c:v>
                </c:pt>
                <c:pt idx="14">
                  <c:v>32.371001514529802</c:v>
                </c:pt>
                <c:pt idx="15">
                  <c:v>38.810082112983899</c:v>
                </c:pt>
                <c:pt idx="16">
                  <c:v>46.534113286836906</c:v>
                </c:pt>
                <c:pt idx="17">
                  <c:v>55.800277543955367</c:v>
                </c:pt>
                <c:pt idx="18">
                  <c:v>66.917373694244205</c:v>
                </c:pt>
                <c:pt idx="19">
                  <c:v>80.256202241032796</c:v>
                </c:pt>
                <c:pt idx="20">
                  <c:v>96.262045139603686</c:v>
                </c:pt>
                <c:pt idx="21">
                  <c:v>108.73492274451898</c:v>
                </c:pt>
                <c:pt idx="22">
                  <c:v>121.17258390131538</c:v>
                </c:pt>
                <c:pt idx="23">
                  <c:v>133.57915795884725</c:v>
                </c:pt>
                <c:pt idx="24">
                  <c:v>145.95794243077449</c:v>
                </c:pt>
                <c:pt idx="25">
                  <c:v>158.31162856255909</c:v>
                </c:pt>
                <c:pt idx="26">
                  <c:v>173.72181380960993</c:v>
                </c:pt>
                <c:pt idx="27">
                  <c:v>189.09987078266829</c:v>
                </c:pt>
                <c:pt idx="28">
                  <c:v>204.4487812295192</c:v>
                </c:pt>
                <c:pt idx="29">
                  <c:v>219.7710421086791</c:v>
                </c:pt>
                <c:pt idx="30">
                  <c:v>235.06877345752704</c:v>
                </c:pt>
                <c:pt idx="31">
                  <c:v>189.09987078266829</c:v>
                </c:pt>
                <c:pt idx="32">
                  <c:v>206.63925413557971</c:v>
                </c:pt>
                <c:pt idx="33">
                  <c:v>224.14424082064872</c:v>
                </c:pt>
                <c:pt idx="34">
                  <c:v>241.61789541835174</c:v>
                </c:pt>
                <c:pt idx="35">
                  <c:v>259.06280274212457</c:v>
                </c:pt>
                <c:pt idx="36">
                  <c:v>277.35142797945286</c:v>
                </c:pt>
                <c:pt idx="37">
                  <c:v>295.61299167711019</c:v>
                </c:pt>
                <c:pt idx="38">
                  <c:v>313.84940040812506</c:v>
                </c:pt>
                <c:pt idx="39">
                  <c:v>332.06232108561716</c:v>
                </c:pt>
                <c:pt idx="40">
                  <c:v>350.25322285655176</c:v>
                </c:pt>
                <c:pt idx="41">
                  <c:v>277.35142797945298</c:v>
                </c:pt>
                <c:pt idx="42">
                  <c:v>295.61299167711024</c:v>
                </c:pt>
                <c:pt idx="43">
                  <c:v>313.84940040812506</c:v>
                </c:pt>
                <c:pt idx="44">
                  <c:v>332.06232108561721</c:v>
                </c:pt>
                <c:pt idx="45">
                  <c:v>350.25322285655193</c:v>
                </c:pt>
                <c:pt idx="46">
                  <c:v>367.991017900744</c:v>
                </c:pt>
                <c:pt idx="47">
                  <c:v>385.71015840744536</c:v>
                </c:pt>
                <c:pt idx="48">
                  <c:v>403.4116216390002</c:v>
                </c:pt>
                <c:pt idx="49">
                  <c:v>421.09629212416644</c:v>
                </c:pt>
                <c:pt idx="50">
                  <c:v>438.76497406308476</c:v>
                </c:pt>
                <c:pt idx="51">
                  <c:v>365.39643285792187</c:v>
                </c:pt>
                <c:pt idx="52">
                  <c:v>382.68621644309741</c:v>
                </c:pt>
                <c:pt idx="53">
                  <c:v>399.95902270499568</c:v>
                </c:pt>
                <c:pt idx="54">
                  <c:v>417.21568777134962</c:v>
                </c:pt>
                <c:pt idx="55">
                  <c:v>434.45697298266236</c:v>
                </c:pt>
                <c:pt idx="56">
                  <c:v>450.82258294436616</c:v>
                </c:pt>
                <c:pt idx="57">
                  <c:v>467.17548976530185</c:v>
                </c:pt>
                <c:pt idx="58">
                  <c:v>483.51620053314986</c:v>
                </c:pt>
                <c:pt idx="59">
                  <c:v>499.8451852797545</c:v>
                </c:pt>
                <c:pt idx="60">
                  <c:v>516.16288083607753</c:v>
                </c:pt>
                <c:pt idx="61">
                  <c:v>441.3493386190641</c:v>
                </c:pt>
                <c:pt idx="62">
                  <c:v>456.84878825602163</c:v>
                </c:pt>
                <c:pt idx="63">
                  <c:v>472.33700882458015</c:v>
                </c:pt>
                <c:pt idx="64">
                  <c:v>487.81442026172425</c:v>
                </c:pt>
                <c:pt idx="65">
                  <c:v>503.281413693037</c:v>
                </c:pt>
                <c:pt idx="66">
                  <c:v>517.87989315697871</c:v>
                </c:pt>
                <c:pt idx="67">
                  <c:v>532.46969417446041</c:v>
                </c:pt>
                <c:pt idx="68">
                  <c:v>547.05108794372802</c:v>
                </c:pt>
                <c:pt idx="69">
                  <c:v>561.62433003260401</c:v>
                </c:pt>
                <c:pt idx="70">
                  <c:v>576.189661669972</c:v>
                </c:pt>
                <c:pt idx="71">
                  <c:v>499.41562163511867</c:v>
                </c:pt>
                <c:pt idx="72">
                  <c:v>512.72849407235992</c:v>
                </c:pt>
                <c:pt idx="73">
                  <c:v>526.034069299154</c:v>
                </c:pt>
                <c:pt idx="74">
                  <c:v>539.3325578512198</c:v>
                </c:pt>
                <c:pt idx="75">
                  <c:v>552.62415903802309</c:v>
                </c:pt>
                <c:pt idx="76">
                  <c:v>565.48061924570618</c:v>
                </c:pt>
                <c:pt idx="77">
                  <c:v>578.33096894357777</c:v>
                </c:pt>
                <c:pt idx="78">
                  <c:v>591.17536299398307</c:v>
                </c:pt>
                <c:pt idx="79">
                  <c:v>604.01394898353044</c:v>
                </c:pt>
                <c:pt idx="80">
                  <c:v>616.84686771553959</c:v>
                </c:pt>
                <c:pt idx="81">
                  <c:v>538.90368289481694</c:v>
                </c:pt>
                <c:pt idx="82">
                  <c:v>550.9094940154298</c:v>
                </c:pt>
                <c:pt idx="83">
                  <c:v>562.90982113451889</c:v>
                </c:pt>
                <c:pt idx="84">
                  <c:v>574.90479761309098</c:v>
                </c:pt>
                <c:pt idx="85">
                  <c:v>586.89455079472907</c:v>
                </c:pt>
                <c:pt idx="86">
                  <c:v>598.87920239707967</c:v>
                </c:pt>
                <c:pt idx="87">
                  <c:v>610.85886887038032</c:v>
                </c:pt>
                <c:pt idx="88">
                  <c:v>622.83366172641229</c:v>
                </c:pt>
                <c:pt idx="89">
                  <c:v>634.8036878408484</c:v>
                </c:pt>
                <c:pt idx="90">
                  <c:v>646.76904973162061</c:v>
                </c:pt>
                <c:pt idx="91">
                  <c:v>567.40855737534105</c:v>
                </c:pt>
                <c:pt idx="92">
                  <c:v>577.90272074471397</c:v>
                </c:pt>
                <c:pt idx="93">
                  <c:v>588.39290880026408</c:v>
                </c:pt>
                <c:pt idx="94">
                  <c:v>598.87920239707967</c:v>
                </c:pt>
                <c:pt idx="95">
                  <c:v>609.36167932827175</c:v>
                </c:pt>
                <c:pt idx="96">
                  <c:v>619.84041449272581</c:v>
                </c:pt>
                <c:pt idx="97">
                  <c:v>630.31548005092702</c:v>
                </c:pt>
                <c:pt idx="98">
                  <c:v>640.78694556988739</c:v>
                </c:pt>
                <c:pt idx="99">
                  <c:v>651.25487815811346</c:v>
                </c:pt>
                <c:pt idx="100">
                  <c:v>661.71934259144484</c:v>
                </c:pt>
                <c:pt idx="101">
                  <c:v>581.3285213801496</c:v>
                </c:pt>
                <c:pt idx="102">
                  <c:v>590.74731089993509</c:v>
                </c:pt>
                <c:pt idx="103">
                  <c:v>600.16297452894128</c:v>
                </c:pt>
                <c:pt idx="104">
                  <c:v>609.57556821855712</c:v>
                </c:pt>
                <c:pt idx="105">
                  <c:v>618.98514605149137</c:v>
                </c:pt>
                <c:pt idx="106">
                  <c:v>628.39176033224737</c:v>
                </c:pt>
                <c:pt idx="107">
                  <c:v>637.79546167190244</c:v>
                </c:pt>
                <c:pt idx="108">
                  <c:v>647.19629906762464</c:v>
                </c:pt>
                <c:pt idx="109">
                  <c:v>656.59431997733509</c:v>
                </c:pt>
                <c:pt idx="110">
                  <c:v>665.98957038987078</c:v>
                </c:pt>
                <c:pt idx="111">
                  <c:v>590.53328243145177</c:v>
                </c:pt>
                <c:pt idx="112">
                  <c:v>598.45126564391705</c:v>
                </c:pt>
                <c:pt idx="113">
                  <c:v>606.36707095513827</c:v>
                </c:pt>
                <c:pt idx="114">
                  <c:v>614.28073080742126</c:v>
                </c:pt>
                <c:pt idx="115">
                  <c:v>622.19227673896842</c:v>
                </c:pt>
                <c:pt idx="116">
                  <c:v>630.10173942049676</c:v>
                </c:pt>
                <c:pt idx="117">
                  <c:v>638.00914868992402</c:v>
                </c:pt>
                <c:pt idx="118">
                  <c:v>645.91453358524438</c:v>
                </c:pt>
                <c:pt idx="119">
                  <c:v>653.81792237571324</c:v>
                </c:pt>
                <c:pt idx="120">
                  <c:v>661.71934259144427</c:v>
                </c:pt>
                <c:pt idx="121">
                  <c:v>593.74354023634271</c:v>
                </c:pt>
                <c:pt idx="122">
                  <c:v>600.59088588094244</c:v>
                </c:pt>
                <c:pt idx="123">
                  <c:v>607.43660911597419</c:v>
                </c:pt>
                <c:pt idx="124">
                  <c:v>614.28073080742081</c:v>
                </c:pt>
                <c:pt idx="125">
                  <c:v>621.12327131831046</c:v>
                </c:pt>
                <c:pt idx="126">
                  <c:v>627.96425052636573</c:v>
                </c:pt>
                <c:pt idx="127">
                  <c:v>634.80368784084692</c:v>
                </c:pt>
                <c:pt idx="128">
                  <c:v>641.64160221862994</c:v>
                </c:pt>
                <c:pt idx="129">
                  <c:v>648.47801217956373</c:v>
                </c:pt>
                <c:pt idx="130">
                  <c:v>655.31293582114483</c:v>
                </c:pt>
                <c:pt idx="131">
                  <c:v>594.81354579947072</c:v>
                </c:pt>
                <c:pt idx="132">
                  <c:v>600.59088588094198</c:v>
                </c:pt>
                <c:pt idx="133">
                  <c:v>606.36707095513759</c:v>
                </c:pt>
                <c:pt idx="134">
                  <c:v>612.14211357944589</c:v>
                </c:pt>
                <c:pt idx="135">
                  <c:v>617.91602605493142</c:v>
                </c:pt>
                <c:pt idx="136">
                  <c:v>623.68882043396547</c:v>
                </c:pt>
                <c:pt idx="137">
                  <c:v>629.4605085275598</c:v>
                </c:pt>
                <c:pt idx="138">
                  <c:v>635.23110191241733</c:v>
                </c:pt>
                <c:pt idx="139">
                  <c:v>641.0006119377133</c:v>
                </c:pt>
                <c:pt idx="140">
                  <c:v>646.76904973161891</c:v>
                </c:pt>
                <c:pt idx="141">
                  <c:v>594.17154727265245</c:v>
                </c:pt>
                <c:pt idx="142">
                  <c:v>599.30713279218094</c:v>
                </c:pt>
                <c:pt idx="143">
                  <c:v>604.44180348405064</c:v>
                </c:pt>
                <c:pt idx="144">
                  <c:v>609.57556821855599</c:v>
                </c:pt>
                <c:pt idx="145">
                  <c:v>614.7084357043459</c:v>
                </c:pt>
                <c:pt idx="146">
                  <c:v>619.84041449272411</c:v>
                </c:pt>
                <c:pt idx="147">
                  <c:v>624.97151298179995</c:v>
                </c:pt>
                <c:pt idx="148">
                  <c:v>630.10173942049585</c:v>
                </c:pt>
                <c:pt idx="149">
                  <c:v>635.23110191241688</c:v>
                </c:pt>
                <c:pt idx="150">
                  <c:v>640.3596084195899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243273568"/>
        <c:axId val="-1243278464"/>
      </c:scatterChart>
      <c:valAx>
        <c:axId val="-12432735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243278464"/>
        <c:crosses val="autoZero"/>
        <c:crossBetween val="midCat"/>
      </c:valAx>
      <c:valAx>
        <c:axId val="-1243278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2432735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1.8723031649007107</c:v>
                </c:pt>
                <c:pt idx="2">
                  <c:v>2.4119576082137919</c:v>
                </c:pt>
                <c:pt idx="3">
                  <c:v>3.1077875147547922</c:v>
                </c:pt>
                <c:pt idx="4">
                  <c:v>4.0051622306374703</c:v>
                </c:pt>
                <c:pt idx="5">
                  <c:v>5.1626778961505897</c:v>
                </c:pt>
                <c:pt idx="6">
                  <c:v>6.6560262423418139</c:v>
                </c:pt>
                <c:pt idx="7">
                  <c:v>8.5829984321267663</c:v>
                </c:pt>
                <c:pt idx="8">
                  <c:v>11.069957874647789</c:v>
                </c:pt>
                <c:pt idx="9">
                  <c:v>14.280214431149867</c:v>
                </c:pt>
                <c:pt idx="10">
                  <c:v>18.424860035282308</c:v>
                </c:pt>
                <c:pt idx="11">
                  <c:v>23.776791095098442</c:v>
                </c:pt>
                <c:pt idx="12">
                  <c:v>30.688857312292658</c:v>
                </c:pt>
                <c:pt idx="13">
                  <c:v>39.617354250979595</c:v>
                </c:pt>
                <c:pt idx="14">
                  <c:v>51.152436925971216</c:v>
                </c:pt>
                <c:pt idx="15">
                  <c:v>66.057498260618672</c:v>
                </c:pt>
                <c:pt idx="16">
                  <c:v>85.320161140728672</c:v>
                </c:pt>
                <c:pt idx="17">
                  <c:v>110.21831702865047</c:v>
                </c:pt>
                <c:pt idx="18">
                  <c:v>142.40566097813468</c:v>
                </c:pt>
                <c:pt idx="19">
                  <c:v>184.02249153410344</c:v>
                </c:pt>
                <c:pt idx="20">
                  <c:v>203.3007266873141</c:v>
                </c:pt>
                <c:pt idx="21">
                  <c:v>222.53665149290285</c:v>
                </c:pt>
                <c:pt idx="22">
                  <c:v>168.7566706161912</c:v>
                </c:pt>
                <c:pt idx="23">
                  <c:v>188.97408626306844</c:v>
                </c:pt>
                <c:pt idx="24">
                  <c:v>209.14106954499582</c:v>
                </c:pt>
                <c:pt idx="25">
                  <c:v>229.2631686584871</c:v>
                </c:pt>
                <c:pt idx="26">
                  <c:v>249.34487716008644</c:v>
                </c:pt>
                <c:pt idx="27">
                  <c:v>269.38990512338609</c:v>
                </c:pt>
                <c:pt idx="28">
                  <c:v>289.40136514946488</c:v>
                </c:pt>
                <c:pt idx="29">
                  <c:v>242.80327727023806</c:v>
                </c:pt>
                <c:pt idx="30">
                  <c:v>264.55540625187342</c:v>
                </c:pt>
                <c:pt idx="31">
                  <c:v>286.26720910143649</c:v>
                </c:pt>
                <c:pt idx="32">
                  <c:v>307.94217323717999</c:v>
                </c:pt>
                <c:pt idx="33">
                  <c:v>329.58325501039627</c:v>
                </c:pt>
                <c:pt idx="34">
                  <c:v>351.19299087374634</c:v>
                </c:pt>
                <c:pt idx="35">
                  <c:v>372.77357972834852</c:v>
                </c:pt>
                <c:pt idx="36">
                  <c:v>310.37056459620067</c:v>
                </c:pt>
                <c:pt idx="37">
                  <c:v>332.16291001549854</c:v>
                </c:pt>
                <c:pt idx="38">
                  <c:v>353.92374107920119</c:v>
                </c:pt>
                <c:pt idx="39">
                  <c:v>375.65526675033772</c:v>
                </c:pt>
                <c:pt idx="40">
                  <c:v>397.35941965516298</c:v>
                </c:pt>
                <c:pt idx="41">
                  <c:v>419.03790416885482</c:v>
                </c:pt>
                <c:pt idx="42">
                  <c:v>440.69223402870375</c:v>
                </c:pt>
                <c:pt idx="43">
                  <c:v>365.57312204300916</c:v>
                </c:pt>
                <c:pt idx="44">
                  <c:v>386.44458202636088</c:v>
                </c:pt>
                <c:pt idx="45">
                  <c:v>407.29156713376295</c:v>
                </c:pt>
                <c:pt idx="46">
                  <c:v>428.11550550227406</c:v>
                </c:pt>
                <c:pt idx="47">
                  <c:v>448.91767507952318</c:v>
                </c:pt>
                <c:pt idx="48">
                  <c:v>469.69922578809798</c:v>
                </c:pt>
                <c:pt idx="49">
                  <c:v>490.46119756343563</c:v>
                </c:pt>
                <c:pt idx="50">
                  <c:v>402.3588366856095</c:v>
                </c:pt>
                <c:pt idx="51">
                  <c:v>421.65245364552828</c:v>
                </c:pt>
                <c:pt idx="52">
                  <c:v>440.92706835035841</c:v>
                </c:pt>
                <c:pt idx="53">
                  <c:v>460.18362785912103</c:v>
                </c:pt>
                <c:pt idx="54">
                  <c:v>479.42299355003178</c:v>
                </c:pt>
                <c:pt idx="55">
                  <c:v>498.64595206966368</c:v>
                </c:pt>
                <c:pt idx="56">
                  <c:v>517.85322450630554</c:v>
                </c:pt>
                <c:pt idx="57">
                  <c:v>445.53319473983174</c:v>
                </c:pt>
                <c:pt idx="58">
                  <c:v>463.13961636412461</c:v>
                </c:pt>
                <c:pt idx="59">
                  <c:v>480.73176524290039</c:v>
                </c:pt>
                <c:pt idx="60">
                  <c:v>498.31023693169209</c:v>
                </c:pt>
                <c:pt idx="61">
                  <c:v>515.87558156393777</c:v>
                </c:pt>
                <c:pt idx="62">
                  <c:v>533.42830877562324</c:v>
                </c:pt>
                <c:pt idx="63">
                  <c:v>550.96889194826019</c:v>
                </c:pt>
                <c:pt idx="64">
                  <c:v>472.44484575319535</c:v>
                </c:pt>
                <c:pt idx="65">
                  <c:v>488.29251559091125</c:v>
                </c:pt>
                <c:pt idx="66">
                  <c:v>504.12927484272382</c:v>
                </c:pt>
                <c:pt idx="67">
                  <c:v>519.95551437581287</c:v>
                </c:pt>
                <c:pt idx="68">
                  <c:v>535.7715993334549</c:v>
                </c:pt>
                <c:pt idx="69">
                  <c:v>551.57787155305971</c:v>
                </c:pt>
                <c:pt idx="70">
                  <c:v>566.74332225455612</c:v>
                </c:pt>
                <c:pt idx="71">
                  <c:v>3.4554122145673649E-12</c:v>
                </c:pt>
                <c:pt idx="72">
                  <c:v>3.4554122145673649E-12</c:v>
                </c:pt>
                <c:pt idx="73">
                  <c:v>3.4554122145673649E-12</c:v>
                </c:pt>
                <c:pt idx="74">
                  <c:v>3.4554122145673649E-12</c:v>
                </c:pt>
                <c:pt idx="75">
                  <c:v>3.4554122145673649E-12</c:v>
                </c:pt>
                <c:pt idx="76">
                  <c:v>3.4554122145673649E-12</c:v>
                </c:pt>
                <c:pt idx="77">
                  <c:v>3.4554122145673649E-12</c:v>
                </c:pt>
                <c:pt idx="78">
                  <c:v>3.4554122145673649E-12</c:v>
                </c:pt>
                <c:pt idx="79">
                  <c:v>3.4554122145673649E-12</c:v>
                </c:pt>
                <c:pt idx="80">
                  <c:v>3.4554122145673649E-12</c:v>
                </c:pt>
                <c:pt idx="81">
                  <c:v>3.4554122145673649E-12</c:v>
                </c:pt>
                <c:pt idx="82">
                  <c:v>3.4554122145673649E-12</c:v>
                </c:pt>
                <c:pt idx="83">
                  <c:v>3.4554122145673649E-12</c:v>
                </c:pt>
                <c:pt idx="84">
                  <c:v>3.4554122145673649E-12</c:v>
                </c:pt>
                <c:pt idx="85">
                  <c:v>3.4554122145673649E-12</c:v>
                </c:pt>
                <c:pt idx="86">
                  <c:v>3.4554122145673649E-12</c:v>
                </c:pt>
                <c:pt idx="87">
                  <c:v>3.4554122145673649E-12</c:v>
                </c:pt>
                <c:pt idx="88">
                  <c:v>3.4554122145673649E-12</c:v>
                </c:pt>
                <c:pt idx="89">
                  <c:v>3.4554122145673649E-12</c:v>
                </c:pt>
                <c:pt idx="90">
                  <c:v>3.4554122145673649E-12</c:v>
                </c:pt>
                <c:pt idx="91">
                  <c:v>3.4554122145673649E-12</c:v>
                </c:pt>
                <c:pt idx="92">
                  <c:v>3.4554122145673649E-12</c:v>
                </c:pt>
                <c:pt idx="93">
                  <c:v>3.4554122145673649E-12</c:v>
                </c:pt>
                <c:pt idx="94">
                  <c:v>3.4554122145673649E-12</c:v>
                </c:pt>
                <c:pt idx="95">
                  <c:v>3.4554122145673649E-12</c:v>
                </c:pt>
                <c:pt idx="96">
                  <c:v>3.4554122145673649E-12</c:v>
                </c:pt>
                <c:pt idx="97">
                  <c:v>3.4554122145673649E-12</c:v>
                </c:pt>
                <c:pt idx="98">
                  <c:v>3.4554122145673649E-12</c:v>
                </c:pt>
                <c:pt idx="99">
                  <c:v>3.4554122145673649E-12</c:v>
                </c:pt>
                <c:pt idx="100">
                  <c:v>3.4554122145673649E-12</c:v>
                </c:pt>
                <c:pt idx="101">
                  <c:v>3.4554122145673649E-12</c:v>
                </c:pt>
                <c:pt idx="102">
                  <c:v>3.4554122145673649E-12</c:v>
                </c:pt>
                <c:pt idx="103">
                  <c:v>3.4554122145673649E-12</c:v>
                </c:pt>
                <c:pt idx="104">
                  <c:v>3.4554122145673649E-12</c:v>
                </c:pt>
                <c:pt idx="105">
                  <c:v>3.4554122145673649E-12</c:v>
                </c:pt>
                <c:pt idx="106">
                  <c:v>3.4554122145673649E-12</c:v>
                </c:pt>
                <c:pt idx="107">
                  <c:v>3.4554122145673649E-12</c:v>
                </c:pt>
                <c:pt idx="108">
                  <c:v>3.4554122145673649E-12</c:v>
                </c:pt>
                <c:pt idx="109">
                  <c:v>3.4554122145673649E-12</c:v>
                </c:pt>
                <c:pt idx="110">
                  <c:v>3.4554122145673649E-12</c:v>
                </c:pt>
                <c:pt idx="111">
                  <c:v>3.4554122145673649E-12</c:v>
                </c:pt>
                <c:pt idx="112">
                  <c:v>3.4554122145673649E-12</c:v>
                </c:pt>
                <c:pt idx="113">
                  <c:v>3.4554122145673649E-12</c:v>
                </c:pt>
                <c:pt idx="114">
                  <c:v>3.4554122145673649E-12</c:v>
                </c:pt>
                <c:pt idx="115">
                  <c:v>3.4554122145673649E-12</c:v>
                </c:pt>
                <c:pt idx="116">
                  <c:v>3.4554122145673649E-12</c:v>
                </c:pt>
                <c:pt idx="117">
                  <c:v>3.4554122145673649E-12</c:v>
                </c:pt>
                <c:pt idx="118">
                  <c:v>3.4554122145673649E-12</c:v>
                </c:pt>
                <c:pt idx="119">
                  <c:v>3.4554122145673649E-12</c:v>
                </c:pt>
                <c:pt idx="120">
                  <c:v>3.4554122145673649E-12</c:v>
                </c:pt>
                <c:pt idx="121">
                  <c:v>3.4554122145673649E-12</c:v>
                </c:pt>
                <c:pt idx="122">
                  <c:v>3.4554122145673649E-12</c:v>
                </c:pt>
                <c:pt idx="123">
                  <c:v>3.4554122145673649E-12</c:v>
                </c:pt>
                <c:pt idx="124">
                  <c:v>3.4554122145673649E-12</c:v>
                </c:pt>
                <c:pt idx="125">
                  <c:v>3.4554122145673649E-12</c:v>
                </c:pt>
                <c:pt idx="126">
                  <c:v>3.4554122145673649E-12</c:v>
                </c:pt>
                <c:pt idx="127">
                  <c:v>3.4554122145673649E-12</c:v>
                </c:pt>
                <c:pt idx="128">
                  <c:v>3.4554122145673649E-12</c:v>
                </c:pt>
                <c:pt idx="129">
                  <c:v>3.4554122145673649E-12</c:v>
                </c:pt>
                <c:pt idx="130">
                  <c:v>3.4554122145673649E-12</c:v>
                </c:pt>
                <c:pt idx="131">
                  <c:v>3.4554122145673649E-12</c:v>
                </c:pt>
                <c:pt idx="132">
                  <c:v>3.4554122145673649E-12</c:v>
                </c:pt>
                <c:pt idx="133">
                  <c:v>3.4554122145673649E-12</c:v>
                </c:pt>
                <c:pt idx="134">
                  <c:v>3.4554122145673649E-12</c:v>
                </c:pt>
                <c:pt idx="135">
                  <c:v>3.4554122145673649E-12</c:v>
                </c:pt>
                <c:pt idx="136">
                  <c:v>3.4554122145673649E-12</c:v>
                </c:pt>
                <c:pt idx="137">
                  <c:v>3.4554122145673649E-12</c:v>
                </c:pt>
                <c:pt idx="138">
                  <c:v>3.4554122145673649E-12</c:v>
                </c:pt>
                <c:pt idx="139">
                  <c:v>3.4554122145673649E-12</c:v>
                </c:pt>
                <c:pt idx="140">
                  <c:v>3.4554122145673649E-12</c:v>
                </c:pt>
                <c:pt idx="141">
                  <c:v>3.4554122145673649E-12</c:v>
                </c:pt>
                <c:pt idx="142">
                  <c:v>3.4554122145673649E-12</c:v>
                </c:pt>
                <c:pt idx="143">
                  <c:v>3.4554122145673649E-12</c:v>
                </c:pt>
                <c:pt idx="144">
                  <c:v>3.4554122145673649E-12</c:v>
                </c:pt>
                <c:pt idx="145">
                  <c:v>3.4554122145673649E-12</c:v>
                </c:pt>
                <c:pt idx="146">
                  <c:v>3.4554122145673649E-12</c:v>
                </c:pt>
                <c:pt idx="147">
                  <c:v>3.4554122145673649E-12</c:v>
                </c:pt>
                <c:pt idx="148">
                  <c:v>3.4554122145673649E-12</c:v>
                </c:pt>
                <c:pt idx="149">
                  <c:v>3.4554122145673649E-12</c:v>
                </c:pt>
                <c:pt idx="150">
                  <c:v>3.4554122145673649E-12</c:v>
                </c:pt>
                <c:pt idx="151">
                  <c:v>3.4554122145673649E-12</c:v>
                </c:pt>
                <c:pt idx="152">
                  <c:v>3.4554122145673649E-12</c:v>
                </c:pt>
                <c:pt idx="153">
                  <c:v>3.4554122145673649E-12</c:v>
                </c:pt>
                <c:pt idx="154">
                  <c:v>3.4554122145673649E-12</c:v>
                </c:pt>
                <c:pt idx="155">
                  <c:v>3.4554122145673649E-12</c:v>
                </c:pt>
                <c:pt idx="156">
                  <c:v>3.4554122145673649E-12</c:v>
                </c:pt>
                <c:pt idx="157">
                  <c:v>3.4554122145673649E-12</c:v>
                </c:pt>
                <c:pt idx="158">
                  <c:v>3.4554122145673649E-12</c:v>
                </c:pt>
                <c:pt idx="159">
                  <c:v>3.4554122145673649E-12</c:v>
                </c:pt>
                <c:pt idx="160">
                  <c:v>3.4554122145673649E-12</c:v>
                </c:pt>
                <c:pt idx="161">
                  <c:v>3.4554122145673649E-12</c:v>
                </c:pt>
                <c:pt idx="162">
                  <c:v>3.4554122145673649E-12</c:v>
                </c:pt>
                <c:pt idx="163">
                  <c:v>3.4554122145673649E-12</c:v>
                </c:pt>
                <c:pt idx="164">
                  <c:v>3.4554122145673649E-12</c:v>
                </c:pt>
                <c:pt idx="165">
                  <c:v>3.4554122145673649E-12</c:v>
                </c:pt>
                <c:pt idx="166">
                  <c:v>3.4554122145673649E-12</c:v>
                </c:pt>
                <c:pt idx="167">
                  <c:v>3.4554122145673649E-12</c:v>
                </c:pt>
                <c:pt idx="168">
                  <c:v>3.4554122145673649E-12</c:v>
                </c:pt>
                <c:pt idx="169">
                  <c:v>3.4554122145673649E-12</c:v>
                </c:pt>
                <c:pt idx="170">
                  <c:v>3.4554122145673649E-12</c:v>
                </c:pt>
                <c:pt idx="171">
                  <c:v>3.4554122145673649E-12</c:v>
                </c:pt>
                <c:pt idx="172">
                  <c:v>3.4554122145673649E-12</c:v>
                </c:pt>
                <c:pt idx="173">
                  <c:v>3.4554122145673649E-12</c:v>
                </c:pt>
                <c:pt idx="174">
                  <c:v>3.4554122145673649E-12</c:v>
                </c:pt>
                <c:pt idx="175">
                  <c:v>3.4554122145673649E-12</c:v>
                </c:pt>
                <c:pt idx="176">
                  <c:v>3.4554122145673649E-12</c:v>
                </c:pt>
                <c:pt idx="177">
                  <c:v>3.4554122145673649E-12</c:v>
                </c:pt>
                <c:pt idx="178">
                  <c:v>3.4554122145673649E-12</c:v>
                </c:pt>
                <c:pt idx="179">
                  <c:v>3.4554122145673649E-12</c:v>
                </c:pt>
                <c:pt idx="180">
                  <c:v>3.4554122145673649E-12</c:v>
                </c:pt>
                <c:pt idx="181">
                  <c:v>3.4554122145673649E-12</c:v>
                </c:pt>
                <c:pt idx="182">
                  <c:v>3.4554122145673649E-12</c:v>
                </c:pt>
                <c:pt idx="183">
                  <c:v>3.4554122145673649E-12</c:v>
                </c:pt>
                <c:pt idx="184">
                  <c:v>3.4554122145673649E-12</c:v>
                </c:pt>
                <c:pt idx="185">
                  <c:v>3.4554122145673649E-12</c:v>
                </c:pt>
                <c:pt idx="186">
                  <c:v>3.4554122145673649E-12</c:v>
                </c:pt>
                <c:pt idx="187">
                  <c:v>3.4554122145673649E-12</c:v>
                </c:pt>
                <c:pt idx="188">
                  <c:v>3.4554122145673649E-12</c:v>
                </c:pt>
                <c:pt idx="189">
                  <c:v>3.4554122145673649E-12</c:v>
                </c:pt>
                <c:pt idx="190">
                  <c:v>3.4554122145673649E-12</c:v>
                </c:pt>
                <c:pt idx="191">
                  <c:v>3.4554122145673649E-12</c:v>
                </c:pt>
                <c:pt idx="192">
                  <c:v>3.4554122145673649E-12</c:v>
                </c:pt>
                <c:pt idx="193">
                  <c:v>3.4554122145673649E-12</c:v>
                </c:pt>
                <c:pt idx="194">
                  <c:v>3.4554122145673649E-12</c:v>
                </c:pt>
                <c:pt idx="195">
                  <c:v>3.4554122145673649E-12</c:v>
                </c:pt>
                <c:pt idx="196">
                  <c:v>3.4554122145673649E-12</c:v>
                </c:pt>
                <c:pt idx="197">
                  <c:v>3.4554122145673649E-12</c:v>
                </c:pt>
                <c:pt idx="198">
                  <c:v>3.4554122145673649E-12</c:v>
                </c:pt>
                <c:pt idx="199">
                  <c:v>3.4554122145673649E-12</c:v>
                </c:pt>
                <c:pt idx="200">
                  <c:v>3.4554122145673649E-12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243275200"/>
        <c:axId val="-1243279008"/>
      </c:scatterChart>
      <c:valAx>
        <c:axId val="-12432752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243279008"/>
        <c:crosses val="autoZero"/>
        <c:crossBetween val="midCat"/>
      </c:valAx>
      <c:valAx>
        <c:axId val="-12432790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2432752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3.2877822830537951</c:v>
                </c:pt>
                <c:pt idx="2">
                  <c:v>3.7486563824478041</c:v>
                </c:pt>
                <c:pt idx="3">
                  <c:v>4.2743621988779381</c:v>
                </c:pt>
                <c:pt idx="4">
                  <c:v>4.8740498871689484</c:v>
                </c:pt>
                <c:pt idx="5">
                  <c:v>5.5581650240281348</c:v>
                </c:pt>
                <c:pt idx="6">
                  <c:v>6.3386325329171171</c:v>
                </c:pt>
                <c:pt idx="7">
                  <c:v>7.2290667920123957</c:v>
                </c:pt>
                <c:pt idx="8">
                  <c:v>8.2450116617021205</c:v>
                </c:pt>
                <c:pt idx="9">
                  <c:v>9.4042147024631397</c:v>
                </c:pt>
                <c:pt idx="10">
                  <c:v>10.72694046494486</c:v>
                </c:pt>
                <c:pt idx="11">
                  <c:v>12.236328432650803</c:v>
                </c:pt>
                <c:pt idx="12">
                  <c:v>13.958801996331969</c:v>
                </c:pt>
                <c:pt idx="13">
                  <c:v>15.924535752475025</c:v>
                </c:pt>
                <c:pt idx="14">
                  <c:v>18.16798946253861</c:v>
                </c:pt>
                <c:pt idx="15">
                  <c:v>20.728518203687273</c:v>
                </c:pt>
                <c:pt idx="16">
                  <c:v>23.651069607227843</c:v>
                </c:pt>
                <c:pt idx="17">
                  <c:v>26.986980642400102</c:v>
                </c:pt>
                <c:pt idx="18">
                  <c:v>30.794888188792299</c:v>
                </c:pt>
                <c:pt idx="19">
                  <c:v>35.141769682679019</c:v>
                </c:pt>
                <c:pt idx="20">
                  <c:v>40.104132457894728</c:v>
                </c:pt>
                <c:pt idx="21">
                  <c:v>45.769373072652449</c:v>
                </c:pt>
                <c:pt idx="22">
                  <c:v>52.237330968265496</c:v>
                </c:pt>
                <c:pt idx="23">
                  <c:v>59.622064299257012</c:v>
                </c:pt>
                <c:pt idx="24">
                  <c:v>68.053879770033035</c:v>
                </c:pt>
                <c:pt idx="25">
                  <c:v>77.681652883443277</c:v>
                </c:pt>
                <c:pt idx="26">
                  <c:v>89.749527295102055</c:v>
                </c:pt>
                <c:pt idx="27">
                  <c:v>101.77669150071307</c:v>
                </c:pt>
                <c:pt idx="28">
                  <c:v>113.76864450731324</c:v>
                </c:pt>
                <c:pt idx="29">
                  <c:v>125.72962687559315</c:v>
                </c:pt>
                <c:pt idx="30">
                  <c:v>137.6630039822968</c:v>
                </c:pt>
                <c:pt idx="31">
                  <c:v>150.06719138513347</c:v>
                </c:pt>
                <c:pt idx="32">
                  <c:v>162.44693439980156</c:v>
                </c:pt>
                <c:pt idx="33">
                  <c:v>174.80435986940384</c:v>
                </c:pt>
                <c:pt idx="34">
                  <c:v>187.14126892541751</c:v>
                </c:pt>
                <c:pt idx="35">
                  <c:v>199.45920552954112</c:v>
                </c:pt>
                <c:pt idx="36">
                  <c:v>212.74280550238689</c:v>
                </c:pt>
                <c:pt idx="37">
                  <c:v>226.0072993730474</c:v>
                </c:pt>
                <c:pt idx="38">
                  <c:v>239.25396690458032</c:v>
                </c:pt>
                <c:pt idx="39">
                  <c:v>252.48393447665805</c:v>
                </c:pt>
                <c:pt idx="40">
                  <c:v>265.69820071594569</c:v>
                </c:pt>
                <c:pt idx="41">
                  <c:v>213.23441535885948</c:v>
                </c:pt>
                <c:pt idx="42">
                  <c:v>226.9891306675197</c:v>
                </c:pt>
                <c:pt idx="43">
                  <c:v>240.72476870476387</c:v>
                </c:pt>
                <c:pt idx="44">
                  <c:v>254.44257166922989</c:v>
                </c:pt>
                <c:pt idx="45">
                  <c:v>268.14363680502896</c:v>
                </c:pt>
                <c:pt idx="46">
                  <c:v>281.82894001768102</c:v>
                </c:pt>
                <c:pt idx="47">
                  <c:v>295.49935465856686</c:v>
                </c:pt>
                <c:pt idx="48">
                  <c:v>309.15566664872</c:v>
                </c:pt>
                <c:pt idx="49">
                  <c:v>322.79858678882687</c:v>
                </c:pt>
                <c:pt idx="50">
                  <c:v>336.42876087816649</c:v>
                </c:pt>
                <c:pt idx="51">
                  <c:v>281.82894001768102</c:v>
                </c:pt>
                <c:pt idx="52">
                  <c:v>295.49935465856686</c:v>
                </c:pt>
                <c:pt idx="53">
                  <c:v>309.15566664872</c:v>
                </c:pt>
                <c:pt idx="54">
                  <c:v>322.79858678882687</c:v>
                </c:pt>
                <c:pt idx="55">
                  <c:v>336.42876087816643</c:v>
                </c:pt>
                <c:pt idx="56">
                  <c:v>349.56062346502364</c:v>
                </c:pt>
                <c:pt idx="57">
                  <c:v>362.68166682559905</c:v>
                </c:pt>
                <c:pt idx="58">
                  <c:v>375.79233755971472</c:v>
                </c:pt>
                <c:pt idx="59">
                  <c:v>388.89304855885024</c:v>
                </c:pt>
                <c:pt idx="60">
                  <c:v>401.98418262418676</c:v>
                </c:pt>
                <c:pt idx="61">
                  <c:v>347.12962722715201</c:v>
                </c:pt>
                <c:pt idx="62">
                  <c:v>360.25263938461012</c:v>
                </c:pt>
                <c:pt idx="63">
                  <c:v>373.36519887198909</c:v>
                </c:pt>
                <c:pt idx="64">
                  <c:v>386.46772453378168</c:v>
                </c:pt>
                <c:pt idx="65">
                  <c:v>399.56060449432636</c:v>
                </c:pt>
                <c:pt idx="66">
                  <c:v>411.67535507613917</c:v>
                </c:pt>
                <c:pt idx="67">
                  <c:v>423.78241272923668</c:v>
                </c:pt>
                <c:pt idx="68">
                  <c:v>435.88202822157626</c:v>
                </c:pt>
                <c:pt idx="69">
                  <c:v>447.97443726246598</c:v>
                </c:pt>
                <c:pt idx="70">
                  <c:v>460.05986179752409</c:v>
                </c:pt>
                <c:pt idx="71">
                  <c:v>404.40744459656599</c:v>
                </c:pt>
                <c:pt idx="72">
                  <c:v>416.51908689232135</c:v>
                </c:pt>
                <c:pt idx="73">
                  <c:v>428.62313846306932</c:v>
                </c:pt>
                <c:pt idx="74">
                  <c:v>440.71984388784927</c:v>
                </c:pt>
                <c:pt idx="75">
                  <c:v>452.80943322358308</c:v>
                </c:pt>
                <c:pt idx="76">
                  <c:v>463.92575704181422</c:v>
                </c:pt>
                <c:pt idx="77">
                  <c:v>475.03640106431271</c:v>
                </c:pt>
                <c:pt idx="78">
                  <c:v>486.14151686903102</c:v>
                </c:pt>
                <c:pt idx="79">
                  <c:v>497.24124854369643</c:v>
                </c:pt>
                <c:pt idx="80">
                  <c:v>508.33573321843437</c:v>
                </c:pt>
                <c:pt idx="81">
                  <c:v>451.35905094331798</c:v>
                </c:pt>
                <c:pt idx="82">
                  <c:v>461.99289571537264</c:v>
                </c:pt>
                <c:pt idx="83">
                  <c:v>472.62151904574694</c:v>
                </c:pt>
                <c:pt idx="84">
                  <c:v>483.24505492401107</c:v>
                </c:pt>
                <c:pt idx="85">
                  <c:v>493.86363096746396</c:v>
                </c:pt>
                <c:pt idx="86">
                  <c:v>503.99502952494453</c:v>
                </c:pt>
                <c:pt idx="87">
                  <c:v>514.12212091948061</c:v>
                </c:pt>
                <c:pt idx="88">
                  <c:v>524.24500195940652</c:v>
                </c:pt>
                <c:pt idx="89">
                  <c:v>534.36376540932827</c:v>
                </c:pt>
                <c:pt idx="90">
                  <c:v>544.47850023404101</c:v>
                </c:pt>
                <c:pt idx="91">
                  <c:v>485.90015906795071</c:v>
                </c:pt>
                <c:pt idx="92">
                  <c:v>494.82871437010823</c:v>
                </c:pt>
                <c:pt idx="93">
                  <c:v>503.7538561970336</c:v>
                </c:pt>
                <c:pt idx="94">
                  <c:v>512.67565356716716</c:v>
                </c:pt>
                <c:pt idx="95">
                  <c:v>521.59417290035935</c:v>
                </c:pt>
                <c:pt idx="96">
                  <c:v>530.50947815942641</c:v>
                </c:pt>
                <c:pt idx="97">
                  <c:v>539.42163098169567</c:v>
                </c:pt>
                <c:pt idx="98">
                  <c:v>548.33069080140467</c:v>
                </c:pt>
                <c:pt idx="99">
                  <c:v>557.23671496373197</c:v>
                </c:pt>
                <c:pt idx="100">
                  <c:v>566.13975883115859</c:v>
                </c:pt>
                <c:pt idx="101">
                  <c:v>506.16547976848875</c:v>
                </c:pt>
                <c:pt idx="102">
                  <c:v>513.63997469556182</c:v>
                </c:pt>
                <c:pt idx="103">
                  <c:v>521.11217350977029</c:v>
                </c:pt>
                <c:pt idx="104">
                  <c:v>528.58211378930378</c:v>
                </c:pt>
                <c:pt idx="105">
                  <c:v>536.04983196327203</c:v>
                </c:pt>
                <c:pt idx="106">
                  <c:v>543.51536336270794</c:v>
                </c:pt>
                <c:pt idx="107">
                  <c:v>550.97874226862484</c:v>
                </c:pt>
                <c:pt idx="108">
                  <c:v>558.44000195733122</c:v>
                </c:pt>
                <c:pt idx="109">
                  <c:v>565.89917474319907</c:v>
                </c:pt>
                <c:pt idx="110">
                  <c:v>573.35629201905965</c:v>
                </c:pt>
                <c:pt idx="111">
                  <c:v>515.08638473795259</c:v>
                </c:pt>
                <c:pt idx="112">
                  <c:v>521.8351690736157</c:v>
                </c:pt>
                <c:pt idx="113">
                  <c:v>528.58211378930378</c:v>
                </c:pt>
                <c:pt idx="114">
                  <c:v>535.3272456875585</c:v>
                </c:pt>
                <c:pt idx="115">
                  <c:v>542.07059084014872</c:v>
                </c:pt>
                <c:pt idx="116">
                  <c:v>548.81217461703852</c:v>
                </c:pt>
                <c:pt idx="117">
                  <c:v>555.55202171385451</c:v>
                </c:pt>
                <c:pt idx="118">
                  <c:v>562.29015617795346</c:v>
                </c:pt>
                <c:pt idx="119">
                  <c:v>569.02660143317269</c:v>
                </c:pt>
                <c:pt idx="120">
                  <c:v>575.76138030334926</c:v>
                </c:pt>
                <c:pt idx="121">
                  <c:v>521.35317437949072</c:v>
                </c:pt>
                <c:pt idx="122">
                  <c:v>527.13649343324948</c:v>
                </c:pt>
                <c:pt idx="123">
                  <c:v>532.91847645941255</c:v>
                </c:pt>
                <c:pt idx="124">
                  <c:v>538.69914000531935</c:v>
                </c:pt>
                <c:pt idx="125">
                  <c:v>544.47850023404089</c:v>
                </c:pt>
                <c:pt idx="126">
                  <c:v>550.25657293737629</c:v>
                </c:pt>
                <c:pt idx="127">
                  <c:v>556.03337354827602</c:v>
                </c:pt>
                <c:pt idx="128">
                  <c:v>561.80891715272367</c:v>
                </c:pt>
                <c:pt idx="129">
                  <c:v>567.58321850109894</c:v>
                </c:pt>
                <c:pt idx="130">
                  <c:v>573.35629201905988</c:v>
                </c:pt>
                <c:pt idx="131">
                  <c:v>526.41365195916649</c:v>
                </c:pt>
                <c:pt idx="132">
                  <c:v>530.02765090640912</c:v>
                </c:pt>
                <c:pt idx="133">
                  <c:v>533.64113122661854</c:v>
                </c:pt>
                <c:pt idx="134">
                  <c:v>537.25409692975597</c:v>
                </c:pt>
                <c:pt idx="135">
                  <c:v>540.8665519674106</c:v>
                </c:pt>
                <c:pt idx="136">
                  <c:v>544.47850023404101</c:v>
                </c:pt>
                <c:pt idx="137">
                  <c:v>548.08994556818436</c:v>
                </c:pt>
                <c:pt idx="138">
                  <c:v>551.70089175363034</c:v>
                </c:pt>
                <c:pt idx="139">
                  <c:v>555.3113425205629</c:v>
                </c:pt>
                <c:pt idx="140">
                  <c:v>558.92130154667154</c:v>
                </c:pt>
                <c:pt idx="141">
                  <c:v>521.35317437949072</c:v>
                </c:pt>
                <c:pt idx="142">
                  <c:v>524.72694048857738</c:v>
                </c:pt>
                <c:pt idx="143">
                  <c:v>528.100249598907</c:v>
                </c:pt>
                <c:pt idx="144">
                  <c:v>531.47310504385689</c:v>
                </c:pt>
                <c:pt idx="145">
                  <c:v>534.84551011100996</c:v>
                </c:pt>
                <c:pt idx="146">
                  <c:v>538.21746804307611</c:v>
                </c:pt>
                <c:pt idx="147">
                  <c:v>541.58898203878778</c:v>
                </c:pt>
                <c:pt idx="148">
                  <c:v>544.96005525377302</c:v>
                </c:pt>
                <c:pt idx="149">
                  <c:v>548.33069080140524</c:v>
                </c:pt>
                <c:pt idx="150">
                  <c:v>551.70089175363034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243273024"/>
        <c:axId val="-1243279552"/>
      </c:scatterChart>
      <c:valAx>
        <c:axId val="-12432730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243279552"/>
        <c:crosses val="autoZero"/>
        <c:crossBetween val="midCat"/>
      </c:valAx>
      <c:valAx>
        <c:axId val="-12432795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2432730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2.5822836422111366</c:v>
                </c:pt>
                <c:pt idx="2">
                  <c:v>3.0918035815284672</c:v>
                </c:pt>
                <c:pt idx="3">
                  <c:v>3.7022337622707653</c:v>
                </c:pt>
                <c:pt idx="4">
                  <c:v>4.4336295362791462</c:v>
                </c:pt>
                <c:pt idx="5">
                  <c:v>5.3100452071463202</c:v>
                </c:pt>
                <c:pt idx="6">
                  <c:v>6.3603338288932347</c:v>
                </c:pt>
                <c:pt idx="7">
                  <c:v>7.6191074146970825</c:v>
                </c:pt>
                <c:pt idx="8">
                  <c:v>9.127889810760573</c:v>
                </c:pt>
                <c:pt idx="9">
                  <c:v>10.93650099145758</c:v>
                </c:pt>
                <c:pt idx="10">
                  <c:v>13.104719346021051</c:v>
                </c:pt>
                <c:pt idx="11">
                  <c:v>15.70427791998471</c:v>
                </c:pt>
                <c:pt idx="12">
                  <c:v>18.82126186594877</c:v>
                </c:pt>
                <c:pt idx="13">
                  <c:v>22.558987932416557</c:v>
                </c:pt>
                <c:pt idx="14">
                  <c:v>27.041463138816312</c:v>
                </c:pt>
                <c:pt idx="15">
                  <c:v>32.417539405558351</c:v>
                </c:pt>
                <c:pt idx="16">
                  <c:v>38.865904499125939</c:v>
                </c:pt>
                <c:pt idx="17">
                  <c:v>46.601078018602493</c:v>
                </c:pt>
                <c:pt idx="18">
                  <c:v>55.880615259949991</c:v>
                </c:pt>
                <c:pt idx="19">
                  <c:v>67.013762812651535</c:v>
                </c:pt>
                <c:pt idx="20">
                  <c:v>80.371859071508723</c:v>
                </c:pt>
                <c:pt idx="21">
                  <c:v>90.780755313309626</c:v>
                </c:pt>
                <c:pt idx="22">
                  <c:v>101.159756563508</c:v>
                </c:pt>
                <c:pt idx="23">
                  <c:v>111.5123681968909</c:v>
                </c:pt>
                <c:pt idx="24">
                  <c:v>121.84138944928242</c:v>
                </c:pt>
                <c:pt idx="25">
                  <c:v>132.14910489975807</c:v>
                </c:pt>
                <c:pt idx="26">
                  <c:v>145.00665050019282</c:v>
                </c:pt>
                <c:pt idx="27">
                  <c:v>157.83692263801234</c:v>
                </c:pt>
                <c:pt idx="28">
                  <c:v>170.6424524976421</c:v>
                </c:pt>
                <c:pt idx="29">
                  <c:v>183.42535972935536</c:v>
                </c:pt>
                <c:pt idx="30">
                  <c:v>196.18744401776075</c:v>
                </c:pt>
                <c:pt idx="31">
                  <c:v>157.83692263801234</c:v>
                </c:pt>
                <c:pt idx="32">
                  <c:v>172.46992207510786</c:v>
                </c:pt>
                <c:pt idx="33">
                  <c:v>187.07372242622981</c:v>
                </c:pt>
                <c:pt idx="34">
                  <c:v>201.65092519188457</c:v>
                </c:pt>
                <c:pt idx="35">
                  <c:v>216.20372460175975</c:v>
                </c:pt>
                <c:pt idx="36">
                  <c:v>231.45994723108012</c:v>
                </c:pt>
                <c:pt idx="37">
                  <c:v>246.69319751240889</c:v>
                </c:pt>
                <c:pt idx="38">
                  <c:v>261.90509392198993</c:v>
                </c:pt>
                <c:pt idx="39">
                  <c:v>277.0970514904804</c:v>
                </c:pt>
                <c:pt idx="40">
                  <c:v>292.27031736625912</c:v>
                </c:pt>
                <c:pt idx="41">
                  <c:v>231.45994723108015</c:v>
                </c:pt>
                <c:pt idx="42">
                  <c:v>246.69319751240889</c:v>
                </c:pt>
                <c:pt idx="43">
                  <c:v>261.90509392198993</c:v>
                </c:pt>
                <c:pt idx="44">
                  <c:v>277.0970514904804</c:v>
                </c:pt>
                <c:pt idx="45">
                  <c:v>292.27031736625918</c:v>
                </c:pt>
                <c:pt idx="46">
                  <c:v>307.06534562328858</c:v>
                </c:pt>
                <c:pt idx="47">
                  <c:v>321.84453817650837</c:v>
                </c:pt>
                <c:pt idx="48">
                  <c:v>336.60872461695169</c:v>
                </c:pt>
                <c:pt idx="49">
                  <c:v>351.35865581477151</c:v>
                </c:pt>
                <c:pt idx="50">
                  <c:v>366.09501444973074</c:v>
                </c:pt>
                <c:pt idx="51">
                  <c:v>304.90122958502047</c:v>
                </c:pt>
                <c:pt idx="52">
                  <c:v>319.32234555972747</c:v>
                </c:pt>
                <c:pt idx="53">
                  <c:v>333.72904960580678</c:v>
                </c:pt>
                <c:pt idx="54">
                  <c:v>348.12205150612681</c:v>
                </c:pt>
                <c:pt idx="55">
                  <c:v>362.50199755720968</c:v>
                </c:pt>
                <c:pt idx="56">
                  <c:v>376.1513920342295</c:v>
                </c:pt>
                <c:pt idx="57">
                  <c:v>389.79000290566495</c:v>
                </c:pt>
                <c:pt idx="58">
                  <c:v>403.41826063463105</c:v>
                </c:pt>
                <c:pt idx="59">
                  <c:v>417.03656422780779</c:v>
                </c:pt>
                <c:pt idx="60">
                  <c:v>430.64528450788231</c:v>
                </c:pt>
                <c:pt idx="61">
                  <c:v>368.25045438962269</c:v>
                </c:pt>
                <c:pt idx="62">
                  <c:v>381.17737444442332</c:v>
                </c:pt>
                <c:pt idx="63">
                  <c:v>394.09476222315897</c:v>
                </c:pt>
                <c:pt idx="64">
                  <c:v>407.00297420734051</c:v>
                </c:pt>
                <c:pt idx="65">
                  <c:v>419.90234242068573</c:v>
                </c:pt>
                <c:pt idx="66">
                  <c:v>432.07723822137638</c:v>
                </c:pt>
                <c:pt idx="67">
                  <c:v>444.24476695077215</c:v>
                </c:pt>
                <c:pt idx="68">
                  <c:v>456.40515882712975</c:v>
                </c:pt>
                <c:pt idx="69">
                  <c:v>468.55863080015001</c:v>
                </c:pt>
                <c:pt idx="70">
                  <c:v>480.70538764731208</c:v>
                </c:pt>
                <c:pt idx="71">
                  <c:v>416.67831216352141</c:v>
                </c:pt>
                <c:pt idx="72">
                  <c:v>427.7810696781832</c:v>
                </c:pt>
                <c:pt idx="73">
                  <c:v>438.87763264294864</c:v>
                </c:pt>
                <c:pt idx="74">
                  <c:v>449.96817978008789</c:v>
                </c:pt>
                <c:pt idx="75">
                  <c:v>461.05288028198464</c:v>
                </c:pt>
                <c:pt idx="76">
                  <c:v>471.77459416013545</c:v>
                </c:pt>
                <c:pt idx="77">
                  <c:v>482.4911208700949</c:v>
                </c:pt>
                <c:pt idx="78">
                  <c:v>493.20259187340275</c:v>
                </c:pt>
                <c:pt idx="79">
                  <c:v>503.90913245527832</c:v>
                </c:pt>
                <c:pt idx="80">
                  <c:v>514.61086214265538</c:v>
                </c:pt>
                <c:pt idx="81">
                  <c:v>449.61051233832995</c:v>
                </c:pt>
                <c:pt idx="82">
                  <c:v>459.62291917328042</c:v>
                </c:pt>
                <c:pt idx="83">
                  <c:v>469.6306706784556</c:v>
                </c:pt>
                <c:pt idx="84">
                  <c:v>479.63388006306309</c:v>
                </c:pt>
                <c:pt idx="85">
                  <c:v>489.6326554281622</c:v>
                </c:pt>
                <c:pt idx="86">
                  <c:v>499.62710009899462</c:v>
                </c:pt>
                <c:pt idx="87">
                  <c:v>509.61731292933632</c:v>
                </c:pt>
                <c:pt idx="88">
                  <c:v>519.60338858074306</c:v>
                </c:pt>
                <c:pt idx="89">
                  <c:v>529.58541777921107</c:v>
                </c:pt>
                <c:pt idx="90">
                  <c:v>539.56348755148178</c:v>
                </c:pt>
                <c:pt idx="91">
                  <c:v>473.38240056334689</c:v>
                </c:pt>
                <c:pt idx="92">
                  <c:v>482.13398547834095</c:v>
                </c:pt>
                <c:pt idx="93">
                  <c:v>490.88219577778773</c:v>
                </c:pt>
                <c:pt idx="94">
                  <c:v>499.62710009899462</c:v>
                </c:pt>
                <c:pt idx="95">
                  <c:v>508.36876447997855</c:v>
                </c:pt>
                <c:pt idx="96">
                  <c:v>517.10725250186931</c:v>
                </c:pt>
                <c:pt idx="97">
                  <c:v>525.84262542118813</c:v>
                </c:pt>
                <c:pt idx="98">
                  <c:v>534.57494229287533</c:v>
                </c:pt>
                <c:pt idx="99">
                  <c:v>543.30426008486279</c:v>
                </c:pt>
                <c:pt idx="100">
                  <c:v>552.03063378489958</c:v>
                </c:pt>
                <c:pt idx="101">
                  <c:v>484.99091160498818</c:v>
                </c:pt>
                <c:pt idx="102">
                  <c:v>492.84562295362815</c:v>
                </c:pt>
                <c:pt idx="103">
                  <c:v>500.69768075588348</c:v>
                </c:pt>
                <c:pt idx="104">
                  <c:v>508.54713250848886</c:v>
                </c:pt>
                <c:pt idx="105">
                  <c:v>516.39402412186962</c:v>
                </c:pt>
                <c:pt idx="106">
                  <c:v>524.2383999969461</c:v>
                </c:pt>
                <c:pt idx="107">
                  <c:v>532.08030309710023</c:v>
                </c:pt>
                <c:pt idx="108">
                  <c:v>539.91977501567897</c:v>
                </c:pt>
                <c:pt idx="109">
                  <c:v>547.75685603937313</c:v>
                </c:pt>
                <c:pt idx="110">
                  <c:v>555.59158520777794</c:v>
                </c:pt>
                <c:pt idx="111">
                  <c:v>492.66713643818139</c:v>
                </c:pt>
                <c:pt idx="112">
                  <c:v>499.27022909127487</c:v>
                </c:pt>
                <c:pt idx="113">
                  <c:v>505.87147293953734</c:v>
                </c:pt>
                <c:pt idx="114">
                  <c:v>512.47089552301156</c:v>
                </c:pt>
                <c:pt idx="115">
                  <c:v>519.06852361425183</c:v>
                </c:pt>
                <c:pt idx="116">
                  <c:v>525.66438324941146</c:v>
                </c:pt>
                <c:pt idx="117">
                  <c:v>532.25849975768563</c:v>
                </c:pt>
                <c:pt idx="118">
                  <c:v>538.85089778922088</c:v>
                </c:pt>
                <c:pt idx="119">
                  <c:v>545.44160134158631</c:v>
                </c:pt>
                <c:pt idx="120">
                  <c:v>552.0306337848989</c:v>
                </c:pt>
                <c:pt idx="121">
                  <c:v>495.34429051823003</c:v>
                </c:pt>
                <c:pt idx="122">
                  <c:v>501.05453020073833</c:v>
                </c:pt>
                <c:pt idx="123">
                  <c:v>506.76339263133724</c:v>
                </c:pt>
                <c:pt idx="124">
                  <c:v>512.47089552301134</c:v>
                </c:pt>
                <c:pt idx="125">
                  <c:v>518.17705616178876</c:v>
                </c:pt>
                <c:pt idx="126">
                  <c:v>523.88189142172769</c:v>
                </c:pt>
                <c:pt idx="127">
                  <c:v>529.58541777920993</c:v>
                </c:pt>
                <c:pt idx="128">
                  <c:v>535.28765132659282</c:v>
                </c:pt>
                <c:pt idx="129">
                  <c:v>540.98860778524329</c:v>
                </c:pt>
                <c:pt idx="130">
                  <c:v>546.68830251799761</c:v>
                </c:pt>
                <c:pt idx="131">
                  <c:v>496.23660698450158</c:v>
                </c:pt>
                <c:pt idx="132">
                  <c:v>501.0545302007381</c:v>
                </c:pt>
                <c:pt idx="133">
                  <c:v>505.87147293953677</c:v>
                </c:pt>
                <c:pt idx="134">
                  <c:v>510.68744586077599</c:v>
                </c:pt>
                <c:pt idx="135">
                  <c:v>515.50245940674063</c:v>
                </c:pt>
                <c:pt idx="136">
                  <c:v>520.31652380860351</c:v>
                </c:pt>
                <c:pt idx="137">
                  <c:v>525.12964909264781</c:v>
                </c:pt>
                <c:pt idx="138">
                  <c:v>529.94184508625449</c:v>
                </c:pt>
                <c:pt idx="139">
                  <c:v>534.75312142365681</c:v>
                </c:pt>
                <c:pt idx="140">
                  <c:v>539.56348755148042</c:v>
                </c:pt>
                <c:pt idx="141">
                  <c:v>495.70122118881187</c:v>
                </c:pt>
                <c:pt idx="142">
                  <c:v>499.98396570940122</c:v>
                </c:pt>
                <c:pt idx="143">
                  <c:v>504.26593363931647</c:v>
                </c:pt>
                <c:pt idx="144">
                  <c:v>508.54713250848772</c:v>
                </c:pt>
                <c:pt idx="145">
                  <c:v>512.82756970962453</c:v>
                </c:pt>
                <c:pt idx="146">
                  <c:v>517.10725250186795</c:v>
                </c:pt>
                <c:pt idx="147">
                  <c:v>521.38618801431301</c:v>
                </c:pt>
                <c:pt idx="148">
                  <c:v>525.66438324941055</c:v>
                </c:pt>
                <c:pt idx="149">
                  <c:v>529.94184508625403</c:v>
                </c:pt>
                <c:pt idx="150">
                  <c:v>534.21858028375061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243277920"/>
        <c:axId val="-1243286624"/>
      </c:scatterChart>
      <c:valAx>
        <c:axId val="-124327792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243286624"/>
        <c:crosses val="autoZero"/>
        <c:crossBetween val="midCat"/>
      </c:valAx>
      <c:valAx>
        <c:axId val="-12432866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24327792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3.3772547136744788</c:v>
                </c:pt>
                <c:pt idx="2">
                  <c:v>4.2967678594880176</c:v>
                </c:pt>
                <c:pt idx="3">
                  <c:v>5.4676067846813901</c:v>
                </c:pt>
                <c:pt idx="4">
                  <c:v>6.9587152757032529</c:v>
                </c:pt>
                <c:pt idx="5">
                  <c:v>8.8580138850107826</c:v>
                </c:pt>
                <c:pt idx="6">
                  <c:v>11.277639634244201</c:v>
                </c:pt>
                <c:pt idx="7">
                  <c:v>14.360636618031165</c:v>
                </c:pt>
                <c:pt idx="8">
                  <c:v>18.289500324456991</c:v>
                </c:pt>
                <c:pt idx="9">
                  <c:v>23.297090589245332</c:v>
                </c:pt>
                <c:pt idx="10">
                  <c:v>29.68057146585582</c:v>
                </c:pt>
                <c:pt idx="11">
                  <c:v>37.81921965926626</c:v>
                </c:pt>
                <c:pt idx="12">
                  <c:v>48.19717771885275</c:v>
                </c:pt>
                <c:pt idx="13">
                  <c:v>61.432528228223397</c:v>
                </c:pt>
                <c:pt idx="14">
                  <c:v>78.314449088901185</c:v>
                </c:pt>
                <c:pt idx="15">
                  <c:v>99.850701125907918</c:v>
                </c:pt>
                <c:pt idx="16">
                  <c:v>116.89897174448413</c:v>
                </c:pt>
                <c:pt idx="17">
                  <c:v>133.88642258251903</c:v>
                </c:pt>
                <c:pt idx="18">
                  <c:v>150.82187042131599</c:v>
                </c:pt>
                <c:pt idx="19">
                  <c:v>167.71198305973982</c:v>
                </c:pt>
                <c:pt idx="20">
                  <c:v>184.5619720949239</c:v>
                </c:pt>
                <c:pt idx="21">
                  <c:v>174.1078359548145</c:v>
                </c:pt>
                <c:pt idx="22">
                  <c:v>192.6833587340993</c:v>
                </c:pt>
                <c:pt idx="23">
                  <c:v>211.21721472573688</c:v>
                </c:pt>
                <c:pt idx="24">
                  <c:v>229.71357517594777</c:v>
                </c:pt>
                <c:pt idx="25">
                  <c:v>248.1758840777369</c:v>
                </c:pt>
                <c:pt idx="26">
                  <c:v>266.89478382272023</c:v>
                </c:pt>
                <c:pt idx="27">
                  <c:v>285.58411013783433</c:v>
                </c:pt>
                <c:pt idx="28">
                  <c:v>304.2460702284032</c:v>
                </c:pt>
                <c:pt idx="29">
                  <c:v>322.88257839605905</c:v>
                </c:pt>
                <c:pt idx="30">
                  <c:v>341.49530992621681</c:v>
                </c:pt>
                <c:pt idx="31">
                  <c:v>309.98300923549448</c:v>
                </c:pt>
                <c:pt idx="32">
                  <c:v>328.61203297364347</c:v>
                </c:pt>
                <c:pt idx="33">
                  <c:v>347.21775415165695</c:v>
                </c:pt>
                <c:pt idx="34">
                  <c:v>365.80159667179151</c:v>
                </c:pt>
                <c:pt idx="35">
                  <c:v>384.36482798638843</c:v>
                </c:pt>
                <c:pt idx="36">
                  <c:v>401.76797181151136</c:v>
                </c:pt>
                <c:pt idx="37">
                  <c:v>419.15481104959866</c:v>
                </c:pt>
                <c:pt idx="38">
                  <c:v>436.52611695280945</c:v>
                </c:pt>
                <c:pt idx="39">
                  <c:v>453.882594406436</c:v>
                </c:pt>
                <c:pt idx="40">
                  <c:v>471.22489001161836</c:v>
                </c:pt>
                <c:pt idx="41">
                  <c:v>426.84562257899694</c:v>
                </c:pt>
                <c:pt idx="42">
                  <c:v>443.64118268121075</c:v>
                </c:pt>
                <c:pt idx="43">
                  <c:v>460.42312514382979</c:v>
                </c:pt>
                <c:pt idx="44">
                  <c:v>477.19201598429891</c:v>
                </c:pt>
                <c:pt idx="45">
                  <c:v>493.94837821219221</c:v>
                </c:pt>
                <c:pt idx="46">
                  <c:v>510.12528475995458</c:v>
                </c:pt>
                <c:pt idx="47">
                  <c:v>526.29135672631048</c:v>
                </c:pt>
                <c:pt idx="48">
                  <c:v>542.44697361896976</c:v>
                </c:pt>
                <c:pt idx="49">
                  <c:v>558.59249050833625</c:v>
                </c:pt>
                <c:pt idx="50">
                  <c:v>574.72824027648051</c:v>
                </c:pt>
                <c:pt idx="51">
                  <c:v>525.72430526117284</c:v>
                </c:pt>
                <c:pt idx="52">
                  <c:v>540.4635014450364</c:v>
                </c:pt>
                <c:pt idx="53">
                  <c:v>555.19425684011514</c:v>
                </c:pt>
                <c:pt idx="54">
                  <c:v>569.9168268534562</c:v>
                </c:pt>
                <c:pt idx="55">
                  <c:v>584.63145262638295</c:v>
                </c:pt>
                <c:pt idx="56">
                  <c:v>598.77285184523532</c:v>
                </c:pt>
                <c:pt idx="57">
                  <c:v>612.90730919838427</c:v>
                </c:pt>
                <c:pt idx="58">
                  <c:v>627.0350072500172</c:v>
                </c:pt>
                <c:pt idx="59">
                  <c:v>641.15611967114455</c:v>
                </c:pt>
                <c:pt idx="60">
                  <c:v>655.27081186319685</c:v>
                </c:pt>
                <c:pt idx="61">
                  <c:v>603.57933688097762</c:v>
                </c:pt>
                <c:pt idx="62">
                  <c:v>616.8637383622148</c:v>
                </c:pt>
                <c:pt idx="63">
                  <c:v>630.14221113425515</c:v>
                </c:pt>
                <c:pt idx="64">
                  <c:v>643.41489767433734</c:v>
                </c:pt>
                <c:pt idx="65">
                  <c:v>656.68193410508013</c:v>
                </c:pt>
                <c:pt idx="66">
                  <c:v>669.09713331979674</c:v>
                </c:pt>
                <c:pt idx="67">
                  <c:v>681.50759720748795</c:v>
                </c:pt>
                <c:pt idx="68">
                  <c:v>693.9134241101043</c:v>
                </c:pt>
                <c:pt idx="69">
                  <c:v>706.31470856837097</c:v>
                </c:pt>
                <c:pt idx="70">
                  <c:v>718.71154153427142</c:v>
                </c:pt>
                <c:pt idx="71">
                  <c:v>666.84017953064927</c:v>
                </c:pt>
                <c:pt idx="72">
                  <c:v>678.40541972773406</c:v>
                </c:pt>
                <c:pt idx="73">
                  <c:v>689.96661270613185</c:v>
                </c:pt>
                <c:pt idx="74">
                  <c:v>701.52383580999742</c:v>
                </c:pt>
                <c:pt idx="75">
                  <c:v>713.07716362846907</c:v>
                </c:pt>
                <c:pt idx="76">
                  <c:v>724.0633653183146</c:v>
                </c:pt>
                <c:pt idx="77">
                  <c:v>735.04616748819899</c:v>
                </c:pt>
                <c:pt idx="78">
                  <c:v>746.02562806754156</c:v>
                </c:pt>
                <c:pt idx="79">
                  <c:v>757.00180314246427</c:v>
                </c:pt>
                <c:pt idx="80">
                  <c:v>767.97474704088302</c:v>
                </c:pt>
                <c:pt idx="81">
                  <c:v>717.86644252238546</c:v>
                </c:pt>
                <c:pt idx="82">
                  <c:v>728.28791910331404</c:v>
                </c:pt>
                <c:pt idx="83">
                  <c:v>738.70635616237803</c:v>
                </c:pt>
                <c:pt idx="84">
                  <c:v>749.12180259138086</c:v>
                </c:pt>
                <c:pt idx="85">
                  <c:v>759.53430581236807</c:v>
                </c:pt>
                <c:pt idx="86">
                  <c:v>769.38130375816024</c:v>
                </c:pt>
                <c:pt idx="87">
                  <c:v>779.22574710902393</c:v>
                </c:pt>
                <c:pt idx="88">
                  <c:v>789.06767267264502</c:v>
                </c:pt>
                <c:pt idx="89">
                  <c:v>798.90711626410837</c:v>
                </c:pt>
                <c:pt idx="90">
                  <c:v>808.74411274481815</c:v>
                </c:pt>
                <c:pt idx="91">
                  <c:v>760.09706088223095</c:v>
                </c:pt>
                <c:pt idx="92">
                  <c:v>769.09999658881623</c:v>
                </c:pt>
                <c:pt idx="93">
                  <c:v>778.10079598278446</c:v>
                </c:pt>
                <c:pt idx="94">
                  <c:v>787.09948724980256</c:v>
                </c:pt>
                <c:pt idx="95">
                  <c:v>796.09609787878674</c:v>
                </c:pt>
                <c:pt idx="96">
                  <c:v>805.09065468697361</c:v>
                </c:pt>
                <c:pt idx="97">
                  <c:v>814.08318384381209</c:v>
                </c:pt>
                <c:pt idx="98">
                  <c:v>823.07371089374408</c:v>
                </c:pt>
                <c:pt idx="99">
                  <c:v>832.06226077794065</c:v>
                </c:pt>
                <c:pt idx="100">
                  <c:v>841.04885785504882</c:v>
                </c:pt>
                <c:pt idx="101">
                  <c:v>795.81498502259194</c:v>
                </c:pt>
                <c:pt idx="102">
                  <c:v>803.96644650371218</c:v>
                </c:pt>
                <c:pt idx="103">
                  <c:v>812.11624004649639</c:v>
                </c:pt>
                <c:pt idx="104">
                  <c:v>820.26438474191684</c:v>
                </c:pt>
                <c:pt idx="105">
                  <c:v>828.41089927090161</c:v>
                </c:pt>
                <c:pt idx="106">
                  <c:v>836.55580191717229</c:v>
                </c:pt>
                <c:pt idx="107">
                  <c:v>844.69911057955676</c:v>
                </c:pt>
                <c:pt idx="108">
                  <c:v>852.84084278380351</c:v>
                </c:pt>
                <c:pt idx="109">
                  <c:v>860.98101569391963</c:v>
                </c:pt>
                <c:pt idx="110">
                  <c:v>869.11964612306019</c:v>
                </c:pt>
                <c:pt idx="111">
                  <c:v>826.02329556609175</c:v>
                </c:pt>
                <c:pt idx="112">
                  <c:v>833.46654468526685</c:v>
                </c:pt>
                <c:pt idx="113">
                  <c:v>840.90845717188552</c:v>
                </c:pt>
                <c:pt idx="114">
                  <c:v>848.34904651767317</c:v>
                </c:pt>
                <c:pt idx="115">
                  <c:v>855.78832595849883</c:v>
                </c:pt>
                <c:pt idx="116">
                  <c:v>863.22630848145536</c:v>
                </c:pt>
                <c:pt idx="117">
                  <c:v>870.66300683168481</c:v>
                </c:pt>
                <c:pt idx="118">
                  <c:v>878.09843351895722</c:v>
                </c:pt>
                <c:pt idx="119">
                  <c:v>885.53260082401755</c:v>
                </c:pt>
                <c:pt idx="120">
                  <c:v>892.96552080470462</c:v>
                </c:pt>
                <c:pt idx="121">
                  <c:v>853.40228388530807</c:v>
                </c:pt>
                <c:pt idx="122">
                  <c:v>860.13900065517464</c:v>
                </c:pt>
                <c:pt idx="123">
                  <c:v>866.87465980730406</c:v>
                </c:pt>
                <c:pt idx="124">
                  <c:v>873.60927071459162</c:v>
                </c:pt>
                <c:pt idx="125">
                  <c:v>880.34284259370236</c:v>
                </c:pt>
                <c:pt idx="126">
                  <c:v>887.07538450887421</c:v>
                </c:pt>
                <c:pt idx="127">
                  <c:v>893.80690537560247</c:v>
                </c:pt>
                <c:pt idx="128">
                  <c:v>900.53741396420571</c:v>
                </c:pt>
                <c:pt idx="129">
                  <c:v>907.26691890328073</c:v>
                </c:pt>
                <c:pt idx="130">
                  <c:v>913.99542868304843</c:v>
                </c:pt>
                <c:pt idx="131">
                  <c:v>1.4881570057821194E-11</c:v>
                </c:pt>
                <c:pt idx="132">
                  <c:v>1.4881570057821194E-11</c:v>
                </c:pt>
                <c:pt idx="133">
                  <c:v>1.4881570057821194E-11</c:v>
                </c:pt>
                <c:pt idx="134">
                  <c:v>1.4881570057821194E-11</c:v>
                </c:pt>
                <c:pt idx="135">
                  <c:v>1.4881570057821194E-11</c:v>
                </c:pt>
                <c:pt idx="136">
                  <c:v>1.4881570057821194E-11</c:v>
                </c:pt>
                <c:pt idx="137">
                  <c:v>1.4881570057821194E-11</c:v>
                </c:pt>
                <c:pt idx="138">
                  <c:v>1.4881570057821194E-11</c:v>
                </c:pt>
                <c:pt idx="139">
                  <c:v>1.4881570057821194E-11</c:v>
                </c:pt>
                <c:pt idx="140">
                  <c:v>1.4881570057821194E-11</c:v>
                </c:pt>
                <c:pt idx="141">
                  <c:v>1.4881570057821194E-11</c:v>
                </c:pt>
                <c:pt idx="142">
                  <c:v>1.4881570057821194E-11</c:v>
                </c:pt>
                <c:pt idx="143">
                  <c:v>1.4881570057821194E-11</c:v>
                </c:pt>
                <c:pt idx="144">
                  <c:v>1.4881570057821194E-11</c:v>
                </c:pt>
                <c:pt idx="145">
                  <c:v>1.4881570057821194E-11</c:v>
                </c:pt>
                <c:pt idx="146">
                  <c:v>1.4881570057821194E-11</c:v>
                </c:pt>
                <c:pt idx="147">
                  <c:v>1.4881570057821194E-11</c:v>
                </c:pt>
                <c:pt idx="148">
                  <c:v>1.4881570057821194E-11</c:v>
                </c:pt>
                <c:pt idx="149">
                  <c:v>1.4881570057821194E-11</c:v>
                </c:pt>
                <c:pt idx="150">
                  <c:v>1.4881570057821194E-11</c:v>
                </c:pt>
                <c:pt idx="151">
                  <c:v>1.4881570057821194E-11</c:v>
                </c:pt>
                <c:pt idx="152">
                  <c:v>1.4881570057821194E-11</c:v>
                </c:pt>
                <c:pt idx="153">
                  <c:v>1.4881570057821194E-11</c:v>
                </c:pt>
                <c:pt idx="154">
                  <c:v>1.4881570057821194E-11</c:v>
                </c:pt>
                <c:pt idx="155">
                  <c:v>1.4881570057821194E-11</c:v>
                </c:pt>
                <c:pt idx="156">
                  <c:v>1.4881570057821194E-11</c:v>
                </c:pt>
                <c:pt idx="157">
                  <c:v>1.4881570057821194E-11</c:v>
                </c:pt>
                <c:pt idx="158">
                  <c:v>1.4881570057821194E-11</c:v>
                </c:pt>
                <c:pt idx="159">
                  <c:v>1.4881570057821194E-11</c:v>
                </c:pt>
                <c:pt idx="160">
                  <c:v>1.4881570057821194E-11</c:v>
                </c:pt>
                <c:pt idx="161">
                  <c:v>1.4881570057821194E-11</c:v>
                </c:pt>
                <c:pt idx="162">
                  <c:v>1.4881570057821194E-11</c:v>
                </c:pt>
                <c:pt idx="163">
                  <c:v>1.4881570057821194E-11</c:v>
                </c:pt>
                <c:pt idx="164">
                  <c:v>1.4881570057821194E-11</c:v>
                </c:pt>
                <c:pt idx="165">
                  <c:v>1.4881570057821194E-11</c:v>
                </c:pt>
                <c:pt idx="166">
                  <c:v>1.4881570057821194E-11</c:v>
                </c:pt>
                <c:pt idx="167">
                  <c:v>1.4881570057821194E-11</c:v>
                </c:pt>
                <c:pt idx="168">
                  <c:v>1.4881570057821194E-11</c:v>
                </c:pt>
                <c:pt idx="169">
                  <c:v>1.4881570057821194E-11</c:v>
                </c:pt>
                <c:pt idx="170">
                  <c:v>1.4881570057821194E-11</c:v>
                </c:pt>
                <c:pt idx="171">
                  <c:v>1.4881570057821194E-11</c:v>
                </c:pt>
                <c:pt idx="172">
                  <c:v>1.4881570057821194E-11</c:v>
                </c:pt>
                <c:pt idx="173">
                  <c:v>1.4881570057821194E-11</c:v>
                </c:pt>
                <c:pt idx="174">
                  <c:v>1.4881570057821194E-11</c:v>
                </c:pt>
                <c:pt idx="175">
                  <c:v>1.4881570057821194E-11</c:v>
                </c:pt>
                <c:pt idx="176">
                  <c:v>1.4881570057821194E-11</c:v>
                </c:pt>
                <c:pt idx="177">
                  <c:v>1.4881570057821194E-11</c:v>
                </c:pt>
                <c:pt idx="178">
                  <c:v>1.4881570057821194E-11</c:v>
                </c:pt>
                <c:pt idx="179">
                  <c:v>1.4881570057821194E-11</c:v>
                </c:pt>
                <c:pt idx="180">
                  <c:v>1.4881570057821194E-11</c:v>
                </c:pt>
                <c:pt idx="181">
                  <c:v>1.4881570057821194E-11</c:v>
                </c:pt>
                <c:pt idx="182">
                  <c:v>1.4881570057821194E-11</c:v>
                </c:pt>
                <c:pt idx="183">
                  <c:v>1.4881570057821194E-11</c:v>
                </c:pt>
                <c:pt idx="184">
                  <c:v>1.4881570057821194E-11</c:v>
                </c:pt>
                <c:pt idx="185">
                  <c:v>1.4881570057821194E-11</c:v>
                </c:pt>
                <c:pt idx="186">
                  <c:v>1.4881570057821194E-11</c:v>
                </c:pt>
                <c:pt idx="187">
                  <c:v>1.4881570057821194E-11</c:v>
                </c:pt>
                <c:pt idx="188">
                  <c:v>1.4881570057821194E-11</c:v>
                </c:pt>
                <c:pt idx="189">
                  <c:v>1.4881570057821194E-11</c:v>
                </c:pt>
                <c:pt idx="190">
                  <c:v>1.4881570057821194E-11</c:v>
                </c:pt>
                <c:pt idx="191">
                  <c:v>1.4881570057821194E-11</c:v>
                </c:pt>
                <c:pt idx="192">
                  <c:v>1.4881570057821194E-11</c:v>
                </c:pt>
                <c:pt idx="193">
                  <c:v>1.4881570057821194E-11</c:v>
                </c:pt>
                <c:pt idx="194">
                  <c:v>1.4881570057821194E-11</c:v>
                </c:pt>
                <c:pt idx="195">
                  <c:v>1.4881570057821194E-11</c:v>
                </c:pt>
                <c:pt idx="196">
                  <c:v>1.4881570057821194E-11</c:v>
                </c:pt>
                <c:pt idx="197">
                  <c:v>1.4881570057821194E-11</c:v>
                </c:pt>
                <c:pt idx="198">
                  <c:v>1.4881570057821194E-11</c:v>
                </c:pt>
                <c:pt idx="199">
                  <c:v>1.4881570057821194E-11</c:v>
                </c:pt>
                <c:pt idx="200">
                  <c:v>1.4881570057821194E-11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243272480"/>
        <c:axId val="-1243282816"/>
      </c:scatterChart>
      <c:valAx>
        <c:axId val="-124327248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243282816"/>
        <c:crosses val="autoZero"/>
        <c:crossBetween val="midCat"/>
      </c:valAx>
      <c:valAx>
        <c:axId val="-12432828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24327248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2.0397714284229629</c:v>
                </c:pt>
                <c:pt idx="2">
                  <c:v>2.6830501318721502</c:v>
                </c:pt>
                <c:pt idx="3">
                  <c:v>3.5300330763175403</c:v>
                </c:pt>
                <c:pt idx="4">
                  <c:v>4.6454756176067766</c:v>
                </c:pt>
                <c:pt idx="5">
                  <c:v>6.1147922436081394</c:v>
                </c:pt>
                <c:pt idx="6">
                  <c:v>8.0506694835935235</c:v>
                </c:pt>
                <c:pt idx="7">
                  <c:v>10.601802064162893</c:v>
                </c:pt>
                <c:pt idx="8">
                  <c:v>13.96443594132149</c:v>
                </c:pt>
                <c:pt idx="9">
                  <c:v>18.397622508108167</c:v>
                </c:pt>
                <c:pt idx="10">
                  <c:v>24.243380340766453</c:v>
                </c:pt>
                <c:pt idx="11">
                  <c:v>31.953347449743802</c:v>
                </c:pt>
                <c:pt idx="12">
                  <c:v>42.124018808482084</c:v>
                </c:pt>
                <c:pt idx="13">
                  <c:v>55.543341570302402</c:v>
                </c:pt>
                <c:pt idx="14">
                  <c:v>73.252337685254929</c:v>
                </c:pt>
                <c:pt idx="15">
                  <c:v>96.626611933989992</c:v>
                </c:pt>
                <c:pt idx="16">
                  <c:v>127.4841772510066</c:v>
                </c:pt>
                <c:pt idx="17">
                  <c:v>168.22811392921565</c:v>
                </c:pt>
                <c:pt idx="18">
                  <c:v>132.88578577838067</c:v>
                </c:pt>
                <c:pt idx="19">
                  <c:v>152.3357449577359</c:v>
                </c:pt>
                <c:pt idx="20">
                  <c:v>171.72653739413659</c:v>
                </c:pt>
                <c:pt idx="21">
                  <c:v>191.06578969549196</c:v>
                </c:pt>
                <c:pt idx="22">
                  <c:v>210.3594549163457</c:v>
                </c:pt>
                <c:pt idx="23">
                  <c:v>229.61230319271121</c:v>
                </c:pt>
                <c:pt idx="24">
                  <c:v>214.15259565629083</c:v>
                </c:pt>
                <c:pt idx="25">
                  <c:v>198.66710978758559</c:v>
                </c:pt>
                <c:pt idx="26">
                  <c:v>165.63687897780574</c:v>
                </c:pt>
                <c:pt idx="27">
                  <c:v>202.68391088760765</c:v>
                </c:pt>
                <c:pt idx="28">
                  <c:v>239.57372577552442</c:v>
                </c:pt>
                <c:pt idx="29">
                  <c:v>276.33397636592605</c:v>
                </c:pt>
                <c:pt idx="30">
                  <c:v>233.28890252169231</c:v>
                </c:pt>
                <c:pt idx="31">
                  <c:v>205.46426433752086</c:v>
                </c:pt>
                <c:pt idx="32">
                  <c:v>239.10831344731594</c:v>
                </c:pt>
                <c:pt idx="33">
                  <c:v>272.6444159477835</c:v>
                </c:pt>
                <c:pt idx="34">
                  <c:v>306.08771631790279</c:v>
                </c:pt>
                <c:pt idx="35">
                  <c:v>324.77611046953086</c:v>
                </c:pt>
                <c:pt idx="36">
                  <c:v>343.44074860711902</c:v>
                </c:pt>
                <c:pt idx="37">
                  <c:v>277.62973055304423</c:v>
                </c:pt>
                <c:pt idx="38">
                  <c:v>294.46806816615475</c:v>
                </c:pt>
                <c:pt idx="39">
                  <c:v>311.28492766597054</c:v>
                </c:pt>
                <c:pt idx="40">
                  <c:v>328.08163252709295</c:v>
                </c:pt>
                <c:pt idx="41">
                  <c:v>344.85935964677805</c:v>
                </c:pt>
                <c:pt idx="42">
                  <c:v>361.61916206920574</c:v>
                </c:pt>
                <c:pt idx="43">
                  <c:v>378.36198727524101</c:v>
                </c:pt>
                <c:pt idx="44">
                  <c:v>395.17402811417611</c:v>
                </c:pt>
                <c:pt idx="45">
                  <c:v>327.78033099259108</c:v>
                </c:pt>
                <c:pt idx="46">
                  <c:v>342.65491458987918</c:v>
                </c:pt>
                <c:pt idx="47">
                  <c:v>357.51530938507517</c:v>
                </c:pt>
                <c:pt idx="48">
                  <c:v>372.36218816092605</c:v>
                </c:pt>
                <c:pt idx="49">
                  <c:v>387.1961656731425</c:v>
                </c:pt>
                <c:pt idx="50">
                  <c:v>402.01780573308957</c:v>
                </c:pt>
                <c:pt idx="51">
                  <c:v>416.82762719136468</c:v>
                </c:pt>
                <c:pt idx="52">
                  <c:v>431.62610902660225</c:v>
                </c:pt>
                <c:pt idx="53">
                  <c:v>369.30691243069487</c:v>
                </c:pt>
                <c:pt idx="54">
                  <c:v>382.16975058085364</c:v>
                </c:pt>
                <c:pt idx="55">
                  <c:v>395.02317765474822</c:v>
                </c:pt>
                <c:pt idx="56">
                  <c:v>407.86754303767771</c:v>
                </c:pt>
                <c:pt idx="57">
                  <c:v>420.70317231305671</c:v>
                </c:pt>
                <c:pt idx="58">
                  <c:v>433.53036957597305</c:v>
                </c:pt>
                <c:pt idx="59">
                  <c:v>446.34941945865057</c:v>
                </c:pt>
                <c:pt idx="60">
                  <c:v>459.16058891110237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243287712"/>
        <c:axId val="-1243284992"/>
      </c:scatterChart>
      <c:valAx>
        <c:axId val="-1243287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243284992"/>
        <c:crosses val="autoZero"/>
        <c:crossBetween val="midCat"/>
      </c:valAx>
      <c:valAx>
        <c:axId val="-12432849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243287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1.9508946107432275</c:v>
                </c:pt>
                <c:pt idx="2">
                  <c:v>2.4541577777849692</c:v>
                </c:pt>
                <c:pt idx="3">
                  <c:v>3.0877594432242415</c:v>
                </c:pt>
                <c:pt idx="4">
                  <c:v>3.8855812951691147</c:v>
                </c:pt>
                <c:pt idx="5">
                  <c:v>4.8903432539889566</c:v>
                </c:pt>
                <c:pt idx="6">
                  <c:v>6.1559164125763592</c:v>
                </c:pt>
                <c:pt idx="7">
                  <c:v>7.7502430654644883</c:v>
                </c:pt>
                <c:pt idx="8">
                  <c:v>9.759023606181179</c:v>
                </c:pt>
                <c:pt idx="9">
                  <c:v>12.290372228750266</c:v>
                </c:pt>
                <c:pt idx="10">
                  <c:v>15.480696673450021</c:v>
                </c:pt>
                <c:pt idx="11">
                  <c:v>19.502124662623089</c:v>
                </c:pt>
                <c:pt idx="12">
                  <c:v>24.571884917422917</c:v>
                </c:pt>
                <c:pt idx="13">
                  <c:v>30.964158461385495</c:v>
                </c:pt>
                <c:pt idx="14">
                  <c:v>39.025052288726734</c:v>
                </c:pt>
                <c:pt idx="15">
                  <c:v>49.1915199822785</c:v>
                </c:pt>
                <c:pt idx="16">
                  <c:v>66.657384980595054</c:v>
                </c:pt>
                <c:pt idx="17">
                  <c:v>84.004272555239865</c:v>
                </c:pt>
                <c:pt idx="18">
                  <c:v>101.26043228511077</c:v>
                </c:pt>
                <c:pt idx="19">
                  <c:v>118.4435774600118</c:v>
                </c:pt>
                <c:pt idx="20">
                  <c:v>135.56582181617225</c:v>
                </c:pt>
                <c:pt idx="21">
                  <c:v>152.635953308398</c:v>
                </c:pt>
                <c:pt idx="22">
                  <c:v>172.96879566591463</c:v>
                </c:pt>
                <c:pt idx="23">
                  <c:v>118.91172145652443</c:v>
                </c:pt>
                <c:pt idx="24">
                  <c:v>133.60360008678595</c:v>
                </c:pt>
                <c:pt idx="25">
                  <c:v>151.40834557678431</c:v>
                </c:pt>
                <c:pt idx="26">
                  <c:v>169.16318954630938</c:v>
                </c:pt>
                <c:pt idx="27">
                  <c:v>186.87411053311584</c:v>
                </c:pt>
                <c:pt idx="28">
                  <c:v>158.76051047616974</c:v>
                </c:pt>
                <c:pt idx="29">
                  <c:v>175.59896515661092</c:v>
                </c:pt>
                <c:pt idx="30">
                  <c:v>192.39950654022343</c:v>
                </c:pt>
                <c:pt idx="31">
                  <c:v>209.16591247422164</c:v>
                </c:pt>
                <c:pt idx="32">
                  <c:v>225.90130495746598</c:v>
                </c:pt>
                <c:pt idx="33">
                  <c:v>242.60830522574884</c:v>
                </c:pt>
                <c:pt idx="34">
                  <c:v>203.58097513744312</c:v>
                </c:pt>
                <c:pt idx="35">
                  <c:v>220.02792534458783</c:v>
                </c:pt>
                <c:pt idx="36">
                  <c:v>236.44664825214025</c:v>
                </c:pt>
                <c:pt idx="37">
                  <c:v>252.83938003643593</c:v>
                </c:pt>
                <c:pt idx="38">
                  <c:v>269.20804307840717</c:v>
                </c:pt>
                <c:pt idx="39">
                  <c:v>285.5543068085463</c:v>
                </c:pt>
                <c:pt idx="40">
                  <c:v>301.87963387321696</c:v>
                </c:pt>
                <c:pt idx="41">
                  <c:v>318.18531578207211</c:v>
                </c:pt>
                <c:pt idx="42">
                  <c:v>258.41598708702196</c:v>
                </c:pt>
                <c:pt idx="43">
                  <c:v>273.64897539352847</c:v>
                </c:pt>
                <c:pt idx="44">
                  <c:v>288.86291050410284</c:v>
                </c:pt>
                <c:pt idx="45">
                  <c:v>304.0589372536673</c:v>
                </c:pt>
                <c:pt idx="46">
                  <c:v>319.23807668113335</c:v>
                </c:pt>
                <c:pt idx="47">
                  <c:v>334.40124478994869</c:v>
                </c:pt>
                <c:pt idx="48">
                  <c:v>349.54926772624771</c:v>
                </c:pt>
                <c:pt idx="49">
                  <c:v>364.68289418741483</c:v>
                </c:pt>
                <c:pt idx="50">
                  <c:v>379.80280566271296</c:v>
                </c:pt>
                <c:pt idx="51">
                  <c:v>322.84049712168786</c:v>
                </c:pt>
                <c:pt idx="52">
                  <c:v>336.4690093627658</c:v>
                </c:pt>
                <c:pt idx="53">
                  <c:v>350.08536930552191</c:v>
                </c:pt>
                <c:pt idx="54">
                  <c:v>363.69011622210314</c:v>
                </c:pt>
                <c:pt idx="55">
                  <c:v>377.28374574247232</c:v>
                </c:pt>
                <c:pt idx="56">
                  <c:v>390.8667148646162</c:v>
                </c:pt>
                <c:pt idx="57">
                  <c:v>404.43944623185251</c:v>
                </c:pt>
                <c:pt idx="58">
                  <c:v>418.00233180594455</c:v>
                </c:pt>
                <c:pt idx="59">
                  <c:v>431.55573603859693</c:v>
                </c:pt>
                <c:pt idx="60">
                  <c:v>445.09999862375895</c:v>
                </c:pt>
                <c:pt idx="61">
                  <c:v>387.77711671492489</c:v>
                </c:pt>
                <c:pt idx="62">
                  <c:v>399.46857547560211</c:v>
                </c:pt>
                <c:pt idx="63">
                  <c:v>411.15262834415722</c:v>
                </c:pt>
                <c:pt idx="64">
                  <c:v>422.82951547202788</c:v>
                </c:pt>
                <c:pt idx="65">
                  <c:v>434.4994626626833</c:v>
                </c:pt>
                <c:pt idx="66">
                  <c:v>446.16268259938084</c:v>
                </c:pt>
                <c:pt idx="67">
                  <c:v>457.81937593784551</c:v>
                </c:pt>
                <c:pt idx="68">
                  <c:v>469.46973228186403</c:v>
                </c:pt>
                <c:pt idx="69">
                  <c:v>481.11393105699329</c:v>
                </c:pt>
                <c:pt idx="70">
                  <c:v>492.75214229528314</c:v>
                </c:pt>
                <c:pt idx="71">
                  <c:v>435.52165251525486</c:v>
                </c:pt>
                <c:pt idx="72">
                  <c:v>445.12148725674388</c:v>
                </c:pt>
                <c:pt idx="73">
                  <c:v>454.71688879830623</c:v>
                </c:pt>
                <c:pt idx="74">
                  <c:v>464.30796390444101</c:v>
                </c:pt>
                <c:pt idx="75">
                  <c:v>473.8948145679185</c:v>
                </c:pt>
                <c:pt idx="76">
                  <c:v>483.47753831734195</c:v>
                </c:pt>
                <c:pt idx="77">
                  <c:v>493.05622849905507</c:v>
                </c:pt>
                <c:pt idx="78">
                  <c:v>502.63097453599829</c:v>
                </c:pt>
                <c:pt idx="79">
                  <c:v>512.20186216581487</c:v>
                </c:pt>
                <c:pt idx="80">
                  <c:v>521.76897366023286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243283360"/>
        <c:axId val="-1243276288"/>
      </c:scatterChart>
      <c:valAx>
        <c:axId val="-12432833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243276288"/>
        <c:crosses val="autoZero"/>
        <c:crossBetween val="midCat"/>
      </c:valAx>
      <c:valAx>
        <c:axId val="-124327628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2432833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=""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=""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=""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=""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=""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=""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=""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=""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=""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=""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1"/>
  <dimension ref="B12:M31"/>
  <sheetViews>
    <sheetView showGridLines="0" showRowColHeaders="0" zoomScale="80" zoomScaleNormal="80" workbookViewId="0">
      <selection activeCell="B12" sqref="B12:M1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92" t="s">
        <v>291</v>
      </c>
      <c r="C12" s="292"/>
      <c r="D12" s="292"/>
      <c r="E12" s="292"/>
      <c r="F12" s="292"/>
      <c r="G12" s="292"/>
      <c r="H12" s="292"/>
      <c r="I12" s="292"/>
      <c r="J12" s="292"/>
      <c r="K12" s="292"/>
      <c r="L12" s="292"/>
      <c r="M12" s="292"/>
    </row>
    <row r="13" spans="2:13" ht="15" customHeight="1" x14ac:dyDescent="0.25">
      <c r="B13" s="292"/>
      <c r="C13" s="292"/>
      <c r="D13" s="292"/>
      <c r="E13" s="292"/>
      <c r="F13" s="292"/>
      <c r="G13" s="292"/>
      <c r="H13" s="292"/>
      <c r="I13" s="292"/>
      <c r="J13" s="292"/>
      <c r="K13" s="292"/>
      <c r="L13" s="292"/>
      <c r="M13" s="292"/>
    </row>
    <row r="14" spans="2:13" ht="15" customHeight="1" x14ac:dyDescent="0.25">
      <c r="B14" s="292"/>
      <c r="C14" s="292"/>
      <c r="D14" s="292"/>
      <c r="E14" s="292"/>
      <c r="F14" s="292"/>
      <c r="G14" s="292"/>
      <c r="H14" s="292"/>
      <c r="I14" s="292"/>
      <c r="J14" s="292"/>
      <c r="K14" s="292"/>
      <c r="L14" s="292"/>
      <c r="M14" s="292"/>
    </row>
    <row r="15" spans="2:13" ht="18.75" customHeight="1" x14ac:dyDescent="0.25">
      <c r="B15" s="292"/>
      <c r="C15" s="292"/>
      <c r="D15" s="292"/>
      <c r="E15" s="292"/>
      <c r="F15" s="292"/>
      <c r="G15" s="292"/>
      <c r="H15" s="292"/>
      <c r="I15" s="292"/>
      <c r="J15" s="292"/>
      <c r="K15" s="292"/>
      <c r="L15" s="292"/>
      <c r="M15" s="292"/>
    </row>
    <row r="16" spans="2:13" ht="18.75" customHeight="1" x14ac:dyDescent="0.25">
      <c r="B16" s="292"/>
      <c r="C16" s="292"/>
      <c r="D16" s="292"/>
      <c r="E16" s="292"/>
      <c r="F16" s="292"/>
      <c r="G16" s="292"/>
      <c r="H16" s="292"/>
      <c r="I16" s="292"/>
      <c r="J16" s="292"/>
      <c r="K16" s="292"/>
      <c r="L16" s="292"/>
      <c r="M16" s="292"/>
    </row>
    <row r="18" spans="2:13" ht="12" customHeight="1" x14ac:dyDescent="0.25">
      <c r="B18" s="292" t="s">
        <v>292</v>
      </c>
      <c r="C18" s="292"/>
      <c r="D18" s="292"/>
      <c r="E18" s="292"/>
      <c r="F18" s="292"/>
      <c r="G18" s="292"/>
      <c r="H18" s="292"/>
      <c r="I18" s="292"/>
      <c r="J18" s="292"/>
      <c r="K18" s="292"/>
      <c r="L18" s="292"/>
      <c r="M18" s="292"/>
    </row>
    <row r="19" spans="2:13" ht="12" customHeight="1" x14ac:dyDescent="0.25">
      <c r="B19" s="292"/>
      <c r="C19" s="292"/>
      <c r="D19" s="292"/>
      <c r="E19" s="292"/>
      <c r="F19" s="292"/>
      <c r="G19" s="292"/>
      <c r="H19" s="292"/>
      <c r="I19" s="292"/>
      <c r="J19" s="292"/>
      <c r="K19" s="292"/>
      <c r="L19" s="292"/>
      <c r="M19" s="292"/>
    </row>
    <row r="20" spans="2:13" ht="12" customHeight="1" x14ac:dyDescent="0.25">
      <c r="B20" s="292"/>
      <c r="C20" s="292"/>
      <c r="D20" s="292"/>
      <c r="E20" s="292"/>
      <c r="F20" s="292"/>
      <c r="G20" s="292"/>
      <c r="H20" s="292"/>
      <c r="I20" s="292"/>
      <c r="J20" s="292"/>
      <c r="K20" s="292"/>
      <c r="L20" s="292"/>
      <c r="M20" s="292"/>
    </row>
    <row r="21" spans="2:13" ht="12" customHeight="1" x14ac:dyDescent="0.25">
      <c r="B21" s="292"/>
      <c r="C21" s="292"/>
      <c r="D21" s="292"/>
      <c r="E21" s="292"/>
      <c r="F21" s="292"/>
      <c r="G21" s="292"/>
      <c r="H21" s="292"/>
      <c r="I21" s="292"/>
      <c r="J21" s="292"/>
      <c r="K21" s="292"/>
      <c r="L21" s="292"/>
      <c r="M21" s="292"/>
    </row>
    <row r="22" spans="2:13" ht="12" customHeight="1" x14ac:dyDescent="0.25">
      <c r="B22" s="292"/>
      <c r="C22" s="292"/>
      <c r="D22" s="292"/>
      <c r="E22" s="292"/>
      <c r="F22" s="292"/>
      <c r="G22" s="292"/>
      <c r="H22" s="292"/>
      <c r="I22" s="292"/>
      <c r="J22" s="292"/>
      <c r="K22" s="292"/>
      <c r="L22" s="292"/>
      <c r="M22" s="292"/>
    </row>
    <row r="23" spans="2:13" ht="12" customHeight="1" x14ac:dyDescent="0.25">
      <c r="B23" s="292"/>
      <c r="C23" s="292"/>
      <c r="D23" s="292"/>
      <c r="E23" s="292"/>
      <c r="F23" s="292"/>
      <c r="G23" s="292"/>
      <c r="H23" s="292"/>
      <c r="I23" s="292"/>
      <c r="J23" s="292"/>
      <c r="K23" s="292"/>
      <c r="L23" s="292"/>
      <c r="M23" s="292"/>
    </row>
    <row r="24" spans="2:13" ht="12" customHeight="1" x14ac:dyDescent="0.25">
      <c r="B24" s="292"/>
      <c r="C24" s="292"/>
      <c r="D24" s="292"/>
      <c r="E24" s="292"/>
      <c r="F24" s="292"/>
      <c r="G24" s="292"/>
      <c r="H24" s="292"/>
      <c r="I24" s="292"/>
      <c r="J24" s="292"/>
      <c r="K24" s="292"/>
      <c r="L24" s="292"/>
      <c r="M24" s="292"/>
    </row>
    <row r="25" spans="2:13" ht="12" customHeight="1" x14ac:dyDescent="0.25">
      <c r="B25" s="292"/>
      <c r="C25" s="292"/>
      <c r="D25" s="292"/>
      <c r="E25" s="292"/>
      <c r="F25" s="292"/>
      <c r="G25" s="292"/>
      <c r="H25" s="292"/>
      <c r="I25" s="292"/>
      <c r="J25" s="292"/>
      <c r="K25" s="292"/>
      <c r="L25" s="292"/>
      <c r="M25" s="292"/>
    </row>
    <row r="26" spans="2:13" ht="12" customHeight="1" x14ac:dyDescent="0.25">
      <c r="B26" s="292"/>
      <c r="C26" s="292"/>
      <c r="D26" s="292"/>
      <c r="E26" s="292"/>
      <c r="F26" s="292"/>
      <c r="G26" s="292"/>
      <c r="H26" s="292"/>
      <c r="I26" s="292"/>
      <c r="J26" s="292"/>
      <c r="K26" s="292"/>
      <c r="L26" s="292"/>
      <c r="M26" s="292"/>
    </row>
    <row r="27" spans="2:13" ht="12" customHeight="1" x14ac:dyDescent="0.25">
      <c r="B27" s="292"/>
      <c r="C27" s="292"/>
      <c r="D27" s="292"/>
      <c r="E27" s="292"/>
      <c r="F27" s="292"/>
      <c r="G27" s="292"/>
      <c r="H27" s="292"/>
      <c r="I27" s="292"/>
      <c r="J27" s="292"/>
      <c r="K27" s="292"/>
      <c r="L27" s="292"/>
      <c r="M27" s="292"/>
    </row>
    <row r="28" spans="2:13" ht="12" customHeight="1" x14ac:dyDescent="0.25">
      <c r="B28" s="292"/>
      <c r="C28" s="292"/>
      <c r="D28" s="292"/>
      <c r="E28" s="292"/>
      <c r="F28" s="292"/>
      <c r="G28" s="292"/>
      <c r="H28" s="292"/>
      <c r="I28" s="292"/>
      <c r="J28" s="292"/>
      <c r="K28" s="292"/>
      <c r="L28" s="292"/>
      <c r="M28" s="292"/>
    </row>
    <row r="29" spans="2:13" ht="12" customHeight="1" x14ac:dyDescent="0.25">
      <c r="B29" s="292"/>
      <c r="C29" s="292"/>
      <c r="D29" s="292"/>
      <c r="E29" s="292"/>
      <c r="F29" s="292"/>
      <c r="G29" s="292"/>
      <c r="H29" s="292"/>
      <c r="I29" s="292"/>
      <c r="J29" s="292"/>
      <c r="K29" s="292"/>
      <c r="L29" s="292"/>
      <c r="M29" s="292"/>
    </row>
    <row r="30" spans="2:13" ht="12" customHeight="1" x14ac:dyDescent="0.25">
      <c r="B30" s="292"/>
      <c r="C30" s="292"/>
      <c r="D30" s="292"/>
      <c r="E30" s="292"/>
      <c r="F30" s="292"/>
      <c r="G30" s="292"/>
      <c r="H30" s="292"/>
      <c r="I30" s="292"/>
      <c r="J30" s="292"/>
      <c r="K30" s="292"/>
      <c r="L30" s="292"/>
      <c r="M30" s="292"/>
    </row>
    <row r="31" spans="2:13" ht="12" customHeight="1" x14ac:dyDescent="0.25">
      <c r="B31" s="292"/>
      <c r="C31" s="292"/>
      <c r="D31" s="292"/>
      <c r="E31" s="292"/>
      <c r="F31" s="292"/>
      <c r="G31" s="292"/>
      <c r="H31" s="292"/>
      <c r="I31" s="292"/>
      <c r="J31" s="292"/>
      <c r="K31" s="292"/>
      <c r="L31" s="292"/>
      <c r="M31" s="292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"/>
  <dimension ref="A1:AS427"/>
  <sheetViews>
    <sheetView topLeftCell="A4" zoomScale="80" zoomScaleNormal="80" workbookViewId="0">
      <selection activeCell="C19" sqref="C19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97" t="s">
        <v>190</v>
      </c>
      <c r="D1" s="297"/>
      <c r="E1" s="297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298" t="s">
        <v>192</v>
      </c>
      <c r="C3" s="299"/>
      <c r="D3" s="299"/>
      <c r="E3" s="299"/>
      <c r="F3" s="300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04" t="s">
        <v>231</v>
      </c>
      <c r="B5" s="304"/>
      <c r="C5" s="26">
        <v>30.9541</v>
      </c>
      <c r="D5" s="305" t="s">
        <v>229</v>
      </c>
      <c r="E5" s="306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.25" x14ac:dyDescent="0.25">
      <c r="A7" s="302" t="s">
        <v>226</v>
      </c>
      <c r="B7" s="302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6</v>
      </c>
      <c r="C9" s="35">
        <v>0.25040000000000001</v>
      </c>
      <c r="D9" s="36">
        <f t="shared" ref="D9:D18" si="0">C9*$C$5</f>
        <v>7.7509066400000002</v>
      </c>
      <c r="E9" s="37">
        <v>120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 t="s">
        <v>14</v>
      </c>
      <c r="C10" s="35">
        <v>0.14940000000000001</v>
      </c>
      <c r="D10" s="36">
        <f t="shared" si="0"/>
        <v>4.6245425400000002</v>
      </c>
      <c r="E10" s="37">
        <v>150</v>
      </c>
      <c r="F10" s="38" t="str">
        <f t="array" ref="F10">IF(E10="","",IF(INDEX(A:A,MAX(IF(ISNUMBER($A$62:$A$81),ROW($A$62:$A$81),"")))&lt;&gt;E10,"Corrigez : révolution incorrecte","OK"))</f>
        <v>OK</v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 t="s">
        <v>12</v>
      </c>
      <c r="C11" s="35">
        <v>0.14080000000000001</v>
      </c>
      <c r="D11" s="36">
        <f t="shared" si="0"/>
        <v>4.3583372800000006</v>
      </c>
      <c r="E11" s="37">
        <v>150</v>
      </c>
      <c r="F11" s="38" t="str">
        <f t="array" ref="F11">IF(E11="","",IF(INDEX(A:A,MAX(IF(ISNUMBER($A$88:$A$107),ROW($A$88:$A$107),"")))&lt;&gt;E11,"Corrigez : révolution incorrecte","OK"))</f>
        <v>OK</v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 t="s">
        <v>18</v>
      </c>
      <c r="C12" s="35">
        <v>8.2900000000000001E-2</v>
      </c>
      <c r="D12" s="36">
        <f t="shared" si="0"/>
        <v>2.56609489</v>
      </c>
      <c r="E12" s="37">
        <v>70</v>
      </c>
      <c r="F12" s="38" t="str">
        <f t="array" ref="F12">IF(E12="","",IF(INDEX(A:A,MAX(IF(ISNUMBER($A$114:$A$133),ROW($A$114:$A$133),"")))&lt;&gt;E12,"Corrigez : révolution incorrecte","OK"))</f>
        <v>OK</v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 t="s">
        <v>16</v>
      </c>
      <c r="C13" s="35">
        <v>8.1600000000000006E-2</v>
      </c>
      <c r="D13" s="36">
        <f t="shared" si="0"/>
        <v>2.5258545600000004</v>
      </c>
      <c r="E13" s="37">
        <v>150</v>
      </c>
      <c r="F13" s="38" t="str">
        <f t="array" ref="F13">IF(E13="","",IF(INDEX(A:A,MAX(IF(ISNUMBER($A$140:$A$159),ROW($A$140:$A$159),"")))&lt;&gt;E13,"Corrigez : révolution incorrecte","OK"))</f>
        <v>OK</v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 t="s">
        <v>11</v>
      </c>
      <c r="C14" s="35">
        <v>7.7700000000000005E-2</v>
      </c>
      <c r="D14" s="36">
        <f t="shared" si="0"/>
        <v>2.4051335700000003</v>
      </c>
      <c r="E14" s="37">
        <v>150</v>
      </c>
      <c r="F14" s="38" t="str">
        <f t="array" ref="F14">IF(E14="","",IF(INDEX(A:A,MAX(IF(ISNUMBER($A$166:$A$185),ROW($A$166:$A$185),"")))&lt;&gt;E14,"Corrigez : révolution incorrecte","OK"))</f>
        <v>OK</v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 t="s">
        <v>9</v>
      </c>
      <c r="C15" s="35">
        <v>7.51E-2</v>
      </c>
      <c r="D15" s="36">
        <f t="shared" si="0"/>
        <v>2.3246529100000002</v>
      </c>
      <c r="E15" s="37">
        <v>130</v>
      </c>
      <c r="F15" s="38" t="str">
        <f t="array" ref="F15">IF(E15="","",IF(INDEX(A:A,MAX(IF(ISNUMBER($A$192:$A$211),ROW($A$192:$A$211),"")))&lt;&gt;E15,"Corrigez : révolution incorrecte","OK"))</f>
        <v>OK</v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 t="s">
        <v>138</v>
      </c>
      <c r="C16" s="35">
        <v>4.9200000000000001E-2</v>
      </c>
      <c r="D16" s="36">
        <f t="shared" si="0"/>
        <v>1.5229417199999999</v>
      </c>
      <c r="E16" s="37">
        <v>60</v>
      </c>
      <c r="F16" s="38" t="str">
        <f t="array" ref="F16">IF(E16="","",IF(INDEX(A:A,MAX(IF(ISNUMBER($A$218:$A$237),ROW($A$218:$A$237),"")))&lt;&gt;E16,"Corrigez : révolution incorrecte","OK"))</f>
        <v>OK</v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 t="s">
        <v>35</v>
      </c>
      <c r="C17" s="35">
        <v>4.9200000000000001E-2</v>
      </c>
      <c r="D17" s="36">
        <f t="shared" si="0"/>
        <v>1.5229417199999999</v>
      </c>
      <c r="E17" s="37">
        <v>80</v>
      </c>
      <c r="F17" s="38" t="str">
        <f t="array" ref="F17">IF(E17="","",IF(INDEX(A:A,MAX(IF(ISNUMBER($A$244:$A$263),ROW($A$244:$A$263),"")))&lt;&gt;E17,"Corrigez : révolution incorrecte","OK"))</f>
        <v>OK</v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 t="s">
        <v>164</v>
      </c>
      <c r="C18" s="35">
        <v>4.36E-2</v>
      </c>
      <c r="D18" s="36">
        <f t="shared" si="0"/>
        <v>1.3495987600000001</v>
      </c>
      <c r="E18" s="37">
        <v>131</v>
      </c>
      <c r="F18" s="38" t="str">
        <f t="array" ref="F18">IF(E18="","",IF(INDEX(A:A,MAX(IF(ISNUMBER($A$270:$A$289),ROW($A$270:$A$289),"")))&lt;&gt;E18,"Corrigez : révolution incorrecte","OK"))</f>
        <v>OK</v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100"/>
      <c r="B19" s="39" t="s">
        <v>175</v>
      </c>
      <c r="C19" s="40">
        <f>SUM(C9:C18)</f>
        <v>0.99990000000000012</v>
      </c>
      <c r="D19" s="41">
        <f>SUM(D9:D18)</f>
        <v>30.951004589999997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301" t="s">
        <v>232</v>
      </c>
      <c r="B22" s="301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5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0.05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03" t="s">
        <v>227</v>
      </c>
      <c r="B30" s="303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5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Charme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1" t="s">
        <v>185</v>
      </c>
      <c r="C34" s="293" t="s">
        <v>186</v>
      </c>
      <c r="D34" s="293"/>
      <c r="E34" s="294" t="s">
        <v>187</v>
      </c>
      <c r="F34" s="295"/>
      <c r="G34" s="295"/>
      <c r="H34" s="296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15</v>
      </c>
      <c r="B36" s="63">
        <f>57/1.56</f>
        <v>36.53846153846154</v>
      </c>
      <c r="C36" s="53"/>
      <c r="D36" s="63"/>
      <c r="E36" s="54"/>
      <c r="F36" s="54"/>
      <c r="G36" s="54"/>
      <c r="H36" s="54"/>
      <c r="I36" s="52">
        <f>IFERROR(B36/A36,"")</f>
        <v>2.4358974358974361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>
        <v>20</v>
      </c>
      <c r="B37" s="63">
        <f>(95+11)/1.56</f>
        <v>67.948717948717942</v>
      </c>
      <c r="C37" s="53">
        <v>1</v>
      </c>
      <c r="D37" s="63">
        <f>(11+15)/1.56</f>
        <v>16.666666666666668</v>
      </c>
      <c r="E37" s="54"/>
      <c r="F37" s="54"/>
      <c r="G37" s="54"/>
      <c r="H37" s="54">
        <v>1</v>
      </c>
      <c r="I37" s="56">
        <f t="shared" ref="I37:I55" si="1">IF(A37&lt;&gt;0,(B37-(B36-D36))/(A37-A36),"")</f>
        <v>6.2820512820512802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>
        <v>25</v>
      </c>
      <c r="B38" s="63">
        <f>131/1.56</f>
        <v>83.974358974358978</v>
      </c>
      <c r="C38" s="53"/>
      <c r="D38" s="63"/>
      <c r="E38" s="54"/>
      <c r="F38" s="54"/>
      <c r="G38" s="54"/>
      <c r="H38" s="54"/>
      <c r="I38" s="56">
        <f t="shared" si="1"/>
        <v>6.5384615384615419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>
        <v>30</v>
      </c>
      <c r="B39" s="63">
        <f>(163+19)/1.56</f>
        <v>116.66666666666666</v>
      </c>
      <c r="C39" s="53">
        <v>2</v>
      </c>
      <c r="D39" s="63">
        <f>(19+21)/1.56</f>
        <v>25.641025641025639</v>
      </c>
      <c r="E39" s="54"/>
      <c r="F39" s="54"/>
      <c r="G39" s="54"/>
      <c r="H39" s="54">
        <v>1</v>
      </c>
      <c r="I39" s="52">
        <f t="shared" si="1"/>
        <v>6.5384615384615357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>
        <v>35</v>
      </c>
      <c r="B40" s="63">
        <f>192/1.56</f>
        <v>123.07692307692307</v>
      </c>
      <c r="C40" s="53"/>
      <c r="D40" s="63"/>
      <c r="E40" s="54"/>
      <c r="F40" s="54"/>
      <c r="G40" s="54"/>
      <c r="H40" s="54"/>
      <c r="I40" s="52">
        <f t="shared" si="1"/>
        <v>6.4102564102564088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>
        <v>40</v>
      </c>
      <c r="B41" s="63">
        <f>(216+22)/1.56</f>
        <v>152.56410256410257</v>
      </c>
      <c r="C41" s="53">
        <v>3</v>
      </c>
      <c r="D41" s="63">
        <f>(22+23)/1.56</f>
        <v>28.846153846153847</v>
      </c>
      <c r="E41" s="54"/>
      <c r="F41" s="54"/>
      <c r="G41" s="54"/>
      <c r="H41" s="54"/>
      <c r="I41" s="56">
        <f t="shared" si="1"/>
        <v>5.8974358974359005</v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63">
        <v>45</v>
      </c>
      <c r="B42" s="63">
        <f>238/1.56</f>
        <v>152.56410256410257</v>
      </c>
      <c r="C42" s="63"/>
      <c r="D42" s="63"/>
      <c r="E42" s="93"/>
      <c r="F42" s="93"/>
      <c r="G42" s="93"/>
      <c r="H42" s="93"/>
      <c r="I42" s="56">
        <f t="shared" si="1"/>
        <v>5.7692307692307683</v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63">
        <v>50</v>
      </c>
      <c r="B43" s="63">
        <f>(257+24)/1.56</f>
        <v>180.12820512820511</v>
      </c>
      <c r="C43" s="63">
        <v>4</v>
      </c>
      <c r="D43" s="63">
        <f>(24+24)/1.56</f>
        <v>30.769230769230766</v>
      </c>
      <c r="E43" s="93"/>
      <c r="F43" s="93"/>
      <c r="G43" s="93"/>
      <c r="H43" s="93"/>
      <c r="I43" s="52">
        <f t="shared" si="1"/>
        <v>5.5128205128205083</v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63">
        <v>55</v>
      </c>
      <c r="B44" s="63">
        <f>274/1.56</f>
        <v>175.64102564102564</v>
      </c>
      <c r="C44" s="63"/>
      <c r="D44" s="63"/>
      <c r="E44" s="93"/>
      <c r="F44" s="93"/>
      <c r="G44" s="93"/>
      <c r="H44" s="93"/>
      <c r="I44" s="52">
        <f t="shared" si="1"/>
        <v>5.2564102564102599</v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63">
        <v>60</v>
      </c>
      <c r="B45" s="63">
        <f>(289+23)/1.56</f>
        <v>200</v>
      </c>
      <c r="C45" s="63">
        <v>5</v>
      </c>
      <c r="D45" s="63">
        <f>(23+23)/1.56</f>
        <v>29.487179487179485</v>
      </c>
      <c r="E45" s="93"/>
      <c r="F45" s="93"/>
      <c r="G45" s="93"/>
      <c r="H45" s="93"/>
      <c r="I45" s="52">
        <f t="shared" si="1"/>
        <v>4.8717948717948731</v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63">
        <v>65</v>
      </c>
      <c r="B46" s="63">
        <f>302/1.56</f>
        <v>193.58974358974359</v>
      </c>
      <c r="C46" s="63"/>
      <c r="D46" s="63"/>
      <c r="E46" s="93"/>
      <c r="F46" s="93"/>
      <c r="G46" s="93"/>
      <c r="H46" s="93"/>
      <c r="I46" s="52">
        <f t="shared" si="1"/>
        <v>4.6153846153846132</v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63">
        <v>70</v>
      </c>
      <c r="B47" s="63">
        <f>(313+23)/1.56</f>
        <v>215.38461538461539</v>
      </c>
      <c r="C47" s="63">
        <v>6</v>
      </c>
      <c r="D47" s="63">
        <f>(23+22)/1.56</f>
        <v>28.846153846153847</v>
      </c>
      <c r="E47" s="93"/>
      <c r="F47" s="93"/>
      <c r="G47" s="93"/>
      <c r="H47" s="93"/>
      <c r="I47" s="52">
        <f t="shared" si="1"/>
        <v>4.3589743589743595</v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63">
        <v>75</v>
      </c>
      <c r="B48" s="63">
        <f>324/1.56</f>
        <v>207.69230769230768</v>
      </c>
      <c r="C48" s="63"/>
      <c r="D48" s="63"/>
      <c r="E48" s="68"/>
      <c r="F48" s="68"/>
      <c r="G48" s="68"/>
      <c r="H48" s="68"/>
      <c r="I48" s="52">
        <f t="shared" si="1"/>
        <v>4.2307692307692264</v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63">
        <v>80</v>
      </c>
      <c r="B49" s="63">
        <f>(333+22)/1.56</f>
        <v>227.56410256410257</v>
      </c>
      <c r="C49" s="63">
        <v>7</v>
      </c>
      <c r="D49" s="63">
        <f>(22+21)/1.56</f>
        <v>27.564102564102562</v>
      </c>
      <c r="E49" s="68"/>
      <c r="F49" s="68"/>
      <c r="G49" s="68"/>
      <c r="H49" s="68"/>
      <c r="I49" s="52">
        <f t="shared" si="1"/>
        <v>3.974358974358978</v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53">
        <v>85</v>
      </c>
      <c r="B50" s="53">
        <v>219.23076923076923</v>
      </c>
      <c r="C50" s="53"/>
      <c r="D50" s="53"/>
      <c r="E50" s="57"/>
      <c r="F50" s="57"/>
      <c r="G50" s="57"/>
      <c r="H50" s="57"/>
      <c r="I50" s="52">
        <f t="shared" si="1"/>
        <v>3.8461538461538454</v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53">
        <v>90</v>
      </c>
      <c r="B51" s="53">
        <v>237.17948717948718</v>
      </c>
      <c r="C51" s="53">
        <v>8</v>
      </c>
      <c r="D51" s="53">
        <v>25.641025641025639</v>
      </c>
      <c r="E51" s="57"/>
      <c r="F51" s="57"/>
      <c r="G51" s="57"/>
      <c r="H51" s="57"/>
      <c r="I51" s="52">
        <f t="shared" si="1"/>
        <v>3.5897435897435912</v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53">
        <v>95</v>
      </c>
      <c r="B52" s="53">
        <v>229.48717948717947</v>
      </c>
      <c r="C52" s="53"/>
      <c r="D52" s="53"/>
      <c r="E52" s="57"/>
      <c r="F52" s="57"/>
      <c r="G52" s="57"/>
      <c r="H52" s="57"/>
      <c r="I52" s="52">
        <f t="shared" si="1"/>
        <v>3.5897435897435854</v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53">
        <v>100</v>
      </c>
      <c r="B53" s="53">
        <v>246.15384615384613</v>
      </c>
      <c r="C53" s="53">
        <v>9</v>
      </c>
      <c r="D53" s="53">
        <v>23.717948717948715</v>
      </c>
      <c r="E53" s="57"/>
      <c r="F53" s="57"/>
      <c r="G53" s="57"/>
      <c r="H53" s="57"/>
      <c r="I53" s="52">
        <f t="shared" si="1"/>
        <v>3.3333333333333313</v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53">
        <v>110</v>
      </c>
      <c r="B54" s="53">
        <v>253.2051282051282</v>
      </c>
      <c r="C54" s="53"/>
      <c r="D54" s="53"/>
      <c r="E54" s="57"/>
      <c r="F54" s="57"/>
      <c r="G54" s="57"/>
      <c r="H54" s="57"/>
      <c r="I54" s="52">
        <f t="shared" si="1"/>
        <v>3.0769230769230802</v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53">
        <v>120</v>
      </c>
      <c r="B55" s="53">
        <v>282.05128205128204</v>
      </c>
      <c r="C55" s="53">
        <v>10</v>
      </c>
      <c r="D55" s="53">
        <v>282.05128205128204</v>
      </c>
      <c r="E55" s="57"/>
      <c r="F55" s="57"/>
      <c r="G55" s="57"/>
      <c r="H55" s="57"/>
      <c r="I55" s="52">
        <f t="shared" si="1"/>
        <v>2.8846153846153841</v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>Chêne sessile</v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1" t="s">
        <v>185</v>
      </c>
      <c r="C60" s="293" t="s">
        <v>186</v>
      </c>
      <c r="D60" s="293"/>
      <c r="E60" s="294" t="s">
        <v>187</v>
      </c>
      <c r="F60" s="295"/>
      <c r="G60" s="295"/>
      <c r="H60" s="296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>
        <v>20</v>
      </c>
      <c r="B62" s="63">
        <v>42</v>
      </c>
      <c r="C62" s="63"/>
      <c r="D62" s="63"/>
      <c r="E62" s="54"/>
      <c r="F62" s="54"/>
      <c r="G62" s="54"/>
      <c r="H62" s="54"/>
      <c r="I62" s="56">
        <f>IFERROR(B62/A62,"")</f>
        <v>2.1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>
        <v>25</v>
      </c>
      <c r="B63" s="63">
        <f>62+8</f>
        <v>70</v>
      </c>
      <c r="C63" s="63"/>
      <c r="D63" s="63"/>
      <c r="E63" s="54"/>
      <c r="F63" s="54"/>
      <c r="G63" s="54"/>
      <c r="H63" s="54"/>
      <c r="I63" s="52">
        <f>IF(A63&lt;&gt;0,(B63-(B62-D62))/(A63-A62),"")</f>
        <v>5.6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>
        <v>30</v>
      </c>
      <c r="B64" s="63">
        <f>76+8+21</f>
        <v>105</v>
      </c>
      <c r="C64" s="63">
        <v>1</v>
      </c>
      <c r="D64" s="63">
        <f>8+21</f>
        <v>29</v>
      </c>
      <c r="E64" s="54"/>
      <c r="F64" s="54"/>
      <c r="G64" s="54"/>
      <c r="H64" s="54">
        <v>1</v>
      </c>
      <c r="I64" s="52">
        <f>IF(A64&lt;&gt;0,(B64-(B63-D63))/(A64-A63),"")</f>
        <v>7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>
        <v>35</v>
      </c>
      <c r="B65" s="63">
        <f>95+21</f>
        <v>116</v>
      </c>
      <c r="C65" s="63"/>
      <c r="D65" s="63"/>
      <c r="E65" s="54"/>
      <c r="F65" s="54"/>
      <c r="G65" s="54"/>
      <c r="H65" s="54"/>
      <c r="I65" s="52">
        <f>IF(A65&lt;&gt;0,(B65-(B64-D64))/(A65-A64),"")</f>
        <v>8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>
        <v>40</v>
      </c>
      <c r="B66" s="63">
        <f>116+21+21</f>
        <v>158</v>
      </c>
      <c r="C66" s="63">
        <v>2</v>
      </c>
      <c r="D66" s="63">
        <f>21+21</f>
        <v>42</v>
      </c>
      <c r="E66" s="54"/>
      <c r="F66" s="54"/>
      <c r="G66" s="54"/>
      <c r="H66" s="54"/>
      <c r="I66" s="52">
        <f t="shared" ref="I66:I81" si="2">IF(A66&lt;&gt;0,(B66-(B65-D65))/(A66-A65),"")</f>
        <v>8.4</v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>
        <v>45</v>
      </c>
      <c r="B67" s="63">
        <f>137+21</f>
        <v>158</v>
      </c>
      <c r="C67" s="63"/>
      <c r="D67" s="63"/>
      <c r="E67" s="54"/>
      <c r="F67" s="54"/>
      <c r="G67" s="54"/>
      <c r="H67" s="54"/>
      <c r="I67" s="52">
        <f t="shared" si="2"/>
        <v>8.4</v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>
        <v>50</v>
      </c>
      <c r="B68" s="63">
        <f>157+21+21</f>
        <v>199</v>
      </c>
      <c r="C68" s="63">
        <v>3</v>
      </c>
      <c r="D68" s="63">
        <f>21+21</f>
        <v>42</v>
      </c>
      <c r="E68" s="54"/>
      <c r="F68" s="54"/>
      <c r="G68" s="54"/>
      <c r="H68" s="54"/>
      <c r="I68" s="52">
        <f t="shared" si="2"/>
        <v>8.1999999999999993</v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53">
        <v>55</v>
      </c>
      <c r="B69" s="63">
        <f>176+21</f>
        <v>197</v>
      </c>
      <c r="C69" s="63"/>
      <c r="D69" s="63"/>
      <c r="E69" s="54"/>
      <c r="F69" s="54"/>
      <c r="G69" s="54"/>
      <c r="H69" s="54"/>
      <c r="I69" s="52">
        <f t="shared" si="2"/>
        <v>8</v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53">
        <v>60</v>
      </c>
      <c r="B70" s="53">
        <v>235</v>
      </c>
      <c r="C70" s="53">
        <v>4</v>
      </c>
      <c r="D70" s="53">
        <v>42</v>
      </c>
      <c r="E70" s="54"/>
      <c r="F70" s="54"/>
      <c r="G70" s="54"/>
      <c r="H70" s="54"/>
      <c r="I70" s="52">
        <f t="shared" si="2"/>
        <v>7.6</v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53">
        <v>65</v>
      </c>
      <c r="B71" s="53">
        <v>229</v>
      </c>
      <c r="C71" s="53"/>
      <c r="D71" s="53"/>
      <c r="E71" s="54"/>
      <c r="F71" s="54"/>
      <c r="G71" s="54"/>
      <c r="H71" s="54"/>
      <c r="I71" s="52">
        <f t="shared" si="2"/>
        <v>7.2</v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53">
        <v>70</v>
      </c>
      <c r="B72" s="53">
        <v>263</v>
      </c>
      <c r="C72" s="53">
        <v>5</v>
      </c>
      <c r="D72" s="53">
        <v>42</v>
      </c>
      <c r="E72" s="54"/>
      <c r="F72" s="54"/>
      <c r="G72" s="54"/>
      <c r="H72" s="54"/>
      <c r="I72" s="52">
        <f t="shared" si="2"/>
        <v>6.8</v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3">
        <v>75</v>
      </c>
      <c r="B73" s="53">
        <v>252</v>
      </c>
      <c r="C73" s="53"/>
      <c r="D73" s="53"/>
      <c r="E73" s="54"/>
      <c r="F73" s="54"/>
      <c r="G73" s="54"/>
      <c r="H73" s="54"/>
      <c r="I73" s="52">
        <f t="shared" si="2"/>
        <v>6.2</v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>
        <v>80</v>
      </c>
      <c r="B74" s="53">
        <v>282</v>
      </c>
      <c r="C74" s="53">
        <v>6</v>
      </c>
      <c r="D74" s="53">
        <v>42</v>
      </c>
      <c r="E74" s="54"/>
      <c r="F74" s="54"/>
      <c r="G74" s="54"/>
      <c r="H74" s="54"/>
      <c r="I74" s="52">
        <f t="shared" si="2"/>
        <v>6</v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>
        <v>90</v>
      </c>
      <c r="B75" s="53">
        <v>296</v>
      </c>
      <c r="C75" s="53">
        <v>7</v>
      </c>
      <c r="D75" s="53">
        <v>42</v>
      </c>
      <c r="E75" s="54"/>
      <c r="F75" s="54"/>
      <c r="G75" s="54"/>
      <c r="H75" s="54"/>
      <c r="I75" s="52">
        <f t="shared" si="2"/>
        <v>5.6</v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3">
        <v>100</v>
      </c>
      <c r="B76" s="53">
        <v>303</v>
      </c>
      <c r="C76" s="53">
        <v>8</v>
      </c>
      <c r="D76" s="53">
        <v>42</v>
      </c>
      <c r="E76" s="54"/>
      <c r="F76" s="54"/>
      <c r="G76" s="54"/>
      <c r="H76" s="54"/>
      <c r="I76" s="52">
        <f t="shared" si="2"/>
        <v>4.9000000000000004</v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>
        <v>110</v>
      </c>
      <c r="B77" s="53">
        <v>305</v>
      </c>
      <c r="C77" s="53">
        <v>9</v>
      </c>
      <c r="D77" s="53">
        <v>39</v>
      </c>
      <c r="E77" s="54"/>
      <c r="F77" s="54"/>
      <c r="G77" s="54"/>
      <c r="H77" s="54"/>
      <c r="I77" s="52">
        <f t="shared" si="2"/>
        <v>4.4000000000000004</v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>
        <v>120</v>
      </c>
      <c r="B78" s="53">
        <v>303</v>
      </c>
      <c r="C78" s="53">
        <v>10</v>
      </c>
      <c r="D78" s="53">
        <v>35</v>
      </c>
      <c r="E78" s="54"/>
      <c r="F78" s="54"/>
      <c r="G78" s="54"/>
      <c r="H78" s="54"/>
      <c r="I78" s="52">
        <f t="shared" si="2"/>
        <v>3.7</v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>
        <v>130</v>
      </c>
      <c r="B79" s="53">
        <v>300</v>
      </c>
      <c r="C79" s="53">
        <v>11</v>
      </c>
      <c r="D79" s="53">
        <v>31</v>
      </c>
      <c r="E79" s="54"/>
      <c r="F79" s="54"/>
      <c r="G79" s="54"/>
      <c r="H79" s="54"/>
      <c r="I79" s="52">
        <f t="shared" si="2"/>
        <v>3.2</v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>
        <v>140</v>
      </c>
      <c r="B80" s="53">
        <v>296</v>
      </c>
      <c r="C80" s="53">
        <v>12</v>
      </c>
      <c r="D80" s="53">
        <v>27</v>
      </c>
      <c r="E80" s="54"/>
      <c r="F80" s="54"/>
      <c r="G80" s="54"/>
      <c r="H80" s="54"/>
      <c r="I80" s="52">
        <f t="shared" si="2"/>
        <v>2.7</v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>
        <v>150</v>
      </c>
      <c r="B81" s="53">
        <v>293</v>
      </c>
      <c r="C81" s="53">
        <v>13</v>
      </c>
      <c r="D81" s="53">
        <v>293</v>
      </c>
      <c r="E81" s="54"/>
      <c r="F81" s="54"/>
      <c r="G81" s="54"/>
      <c r="H81" s="54"/>
      <c r="I81" s="52">
        <f t="shared" si="2"/>
        <v>2.4</v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>Chêne pubescent</v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1" t="s">
        <v>185</v>
      </c>
      <c r="C86" s="293" t="s">
        <v>186</v>
      </c>
      <c r="D86" s="293"/>
      <c r="E86" s="294" t="s">
        <v>187</v>
      </c>
      <c r="F86" s="295"/>
      <c r="G86" s="295"/>
      <c r="H86" s="296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>
        <v>20</v>
      </c>
      <c r="B88" s="63">
        <v>42</v>
      </c>
      <c r="C88" s="63"/>
      <c r="D88" s="63"/>
      <c r="E88" s="54"/>
      <c r="F88" s="54"/>
      <c r="G88" s="54"/>
      <c r="H88" s="54"/>
      <c r="I88" s="56">
        <f>IFERROR(B88/A88,"")</f>
        <v>2.1</v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>
        <v>25</v>
      </c>
      <c r="B89" s="63">
        <f>62+8</f>
        <v>70</v>
      </c>
      <c r="C89" s="63"/>
      <c r="D89" s="63"/>
      <c r="E89" s="54"/>
      <c r="F89" s="54"/>
      <c r="G89" s="54"/>
      <c r="H89" s="54"/>
      <c r="I89" s="56">
        <f t="shared" ref="I89:I107" si="3">IF(A89&lt;&gt;0,(B89-(B88-D88))/(A89-A88),"")</f>
        <v>5.6</v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>
        <v>30</v>
      </c>
      <c r="B90" s="63">
        <f>76+8+21</f>
        <v>105</v>
      </c>
      <c r="C90" s="63">
        <v>1</v>
      </c>
      <c r="D90" s="63">
        <f>8+21</f>
        <v>29</v>
      </c>
      <c r="E90" s="54"/>
      <c r="F90" s="54"/>
      <c r="G90" s="54"/>
      <c r="H90" s="54">
        <v>1</v>
      </c>
      <c r="I90" s="56">
        <f t="shared" si="3"/>
        <v>7</v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>
        <v>35</v>
      </c>
      <c r="B91" s="63">
        <f>95+21</f>
        <v>116</v>
      </c>
      <c r="C91" s="63"/>
      <c r="D91" s="63"/>
      <c r="E91" s="54"/>
      <c r="F91" s="54"/>
      <c r="G91" s="54"/>
      <c r="H91" s="54"/>
      <c r="I91" s="56">
        <f t="shared" si="3"/>
        <v>8</v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>
        <v>40</v>
      </c>
      <c r="B92" s="63">
        <f>116+21+21</f>
        <v>158</v>
      </c>
      <c r="C92" s="63">
        <v>2</v>
      </c>
      <c r="D92" s="63">
        <f>21+21</f>
        <v>42</v>
      </c>
      <c r="E92" s="54"/>
      <c r="F92" s="54"/>
      <c r="G92" s="54"/>
      <c r="H92" s="54"/>
      <c r="I92" s="56">
        <f t="shared" si="3"/>
        <v>8.4</v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>
        <v>45</v>
      </c>
      <c r="B93" s="63">
        <f>137+21</f>
        <v>158</v>
      </c>
      <c r="C93" s="63"/>
      <c r="D93" s="63"/>
      <c r="E93" s="54"/>
      <c r="F93" s="54"/>
      <c r="G93" s="54"/>
      <c r="H93" s="54"/>
      <c r="I93" s="56">
        <f t="shared" si="3"/>
        <v>8.4</v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>
        <v>50</v>
      </c>
      <c r="B94" s="63">
        <f>157+21+21</f>
        <v>199</v>
      </c>
      <c r="C94" s="63">
        <v>3</v>
      </c>
      <c r="D94" s="63">
        <f>21+21</f>
        <v>42</v>
      </c>
      <c r="E94" s="54"/>
      <c r="F94" s="54"/>
      <c r="G94" s="54"/>
      <c r="H94" s="54"/>
      <c r="I94" s="56">
        <f t="shared" si="3"/>
        <v>8.1999999999999993</v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53">
        <v>55</v>
      </c>
      <c r="B95" s="63">
        <f>176+21</f>
        <v>197</v>
      </c>
      <c r="C95" s="63"/>
      <c r="D95" s="63"/>
      <c r="E95" s="54"/>
      <c r="F95" s="54"/>
      <c r="G95" s="54"/>
      <c r="H95" s="54"/>
      <c r="I95" s="56">
        <f t="shared" si="3"/>
        <v>8</v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53">
        <v>60</v>
      </c>
      <c r="B96" s="53">
        <v>235</v>
      </c>
      <c r="C96" s="53">
        <v>4</v>
      </c>
      <c r="D96" s="53">
        <v>42</v>
      </c>
      <c r="E96" s="54"/>
      <c r="F96" s="54"/>
      <c r="G96" s="54"/>
      <c r="H96" s="54"/>
      <c r="I96" s="56">
        <f t="shared" si="3"/>
        <v>7.6</v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53">
        <v>65</v>
      </c>
      <c r="B97" s="53">
        <v>229</v>
      </c>
      <c r="C97" s="53"/>
      <c r="D97" s="53"/>
      <c r="E97" s="54"/>
      <c r="F97" s="54"/>
      <c r="G97" s="54"/>
      <c r="H97" s="54"/>
      <c r="I97" s="56">
        <f t="shared" si="3"/>
        <v>7.2</v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53">
        <v>70</v>
      </c>
      <c r="B98" s="53">
        <v>263</v>
      </c>
      <c r="C98" s="53">
        <v>5</v>
      </c>
      <c r="D98" s="53">
        <v>42</v>
      </c>
      <c r="E98" s="54"/>
      <c r="F98" s="54"/>
      <c r="G98" s="54"/>
      <c r="H98" s="54"/>
      <c r="I98" s="56">
        <f t="shared" si="3"/>
        <v>6.8</v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53">
        <v>75</v>
      </c>
      <c r="B99" s="53">
        <v>252</v>
      </c>
      <c r="C99" s="53"/>
      <c r="D99" s="53"/>
      <c r="E99" s="54"/>
      <c r="F99" s="54"/>
      <c r="G99" s="54"/>
      <c r="H99" s="54"/>
      <c r="I99" s="56">
        <f t="shared" si="3"/>
        <v>6.2</v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53">
        <v>80</v>
      </c>
      <c r="B100" s="53">
        <v>282</v>
      </c>
      <c r="C100" s="53">
        <v>6</v>
      </c>
      <c r="D100" s="53">
        <v>42</v>
      </c>
      <c r="E100" s="54"/>
      <c r="F100" s="54"/>
      <c r="G100" s="54"/>
      <c r="H100" s="54"/>
      <c r="I100" s="56">
        <f t="shared" si="3"/>
        <v>6</v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53">
        <v>90</v>
      </c>
      <c r="B101" s="53">
        <v>296</v>
      </c>
      <c r="C101" s="53">
        <v>7</v>
      </c>
      <c r="D101" s="53">
        <v>42</v>
      </c>
      <c r="E101" s="54"/>
      <c r="F101" s="54"/>
      <c r="G101" s="54"/>
      <c r="H101" s="54"/>
      <c r="I101" s="56">
        <f t="shared" si="3"/>
        <v>5.6</v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53">
        <v>100</v>
      </c>
      <c r="B102" s="53">
        <v>303</v>
      </c>
      <c r="C102" s="53">
        <v>8</v>
      </c>
      <c r="D102" s="53">
        <v>42</v>
      </c>
      <c r="E102" s="54"/>
      <c r="F102" s="54"/>
      <c r="G102" s="54"/>
      <c r="H102" s="54"/>
      <c r="I102" s="56">
        <f t="shared" si="3"/>
        <v>4.9000000000000004</v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53">
        <v>110</v>
      </c>
      <c r="B103" s="53">
        <v>305</v>
      </c>
      <c r="C103" s="53">
        <v>9</v>
      </c>
      <c r="D103" s="53">
        <v>39</v>
      </c>
      <c r="E103" s="54"/>
      <c r="F103" s="54"/>
      <c r="G103" s="54"/>
      <c r="H103" s="54"/>
      <c r="I103" s="56">
        <f t="shared" si="3"/>
        <v>4.4000000000000004</v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53">
        <v>120</v>
      </c>
      <c r="B104" s="53">
        <v>303</v>
      </c>
      <c r="C104" s="53">
        <v>10</v>
      </c>
      <c r="D104" s="53">
        <v>35</v>
      </c>
      <c r="E104" s="54"/>
      <c r="F104" s="54"/>
      <c r="G104" s="54"/>
      <c r="H104" s="54"/>
      <c r="I104" s="56">
        <f t="shared" si="3"/>
        <v>3.7</v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>
        <v>130</v>
      </c>
      <c r="B105" s="53">
        <v>300</v>
      </c>
      <c r="C105" s="53">
        <v>11</v>
      </c>
      <c r="D105" s="53">
        <v>31</v>
      </c>
      <c r="E105" s="54"/>
      <c r="F105" s="54"/>
      <c r="G105" s="54"/>
      <c r="H105" s="54"/>
      <c r="I105" s="56">
        <f t="shared" si="3"/>
        <v>3.2</v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>
        <v>140</v>
      </c>
      <c r="B106" s="53">
        <v>296</v>
      </c>
      <c r="C106" s="53">
        <v>12</v>
      </c>
      <c r="D106" s="53">
        <v>27</v>
      </c>
      <c r="E106" s="54"/>
      <c r="F106" s="54"/>
      <c r="G106" s="54"/>
      <c r="H106" s="54"/>
      <c r="I106" s="56">
        <f t="shared" si="3"/>
        <v>2.7</v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>
        <v>150</v>
      </c>
      <c r="B107" s="53">
        <v>293</v>
      </c>
      <c r="C107" s="53">
        <v>13</v>
      </c>
      <c r="D107" s="53">
        <v>293</v>
      </c>
      <c r="E107" s="54"/>
      <c r="F107" s="54"/>
      <c r="G107" s="54"/>
      <c r="H107" s="54"/>
      <c r="I107" s="56">
        <f t="shared" si="3"/>
        <v>2.4</v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>Douglas</v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1" t="s">
        <v>185</v>
      </c>
      <c r="C112" s="293" t="s">
        <v>186</v>
      </c>
      <c r="D112" s="293"/>
      <c r="E112" s="294" t="s">
        <v>187</v>
      </c>
      <c r="F112" s="295"/>
      <c r="G112" s="295"/>
      <c r="H112" s="296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>
        <v>19</v>
      </c>
      <c r="B114" s="63">
        <f>192.63/1.3</f>
        <v>148.17692307692306</v>
      </c>
      <c r="C114" s="63"/>
      <c r="D114" s="63"/>
      <c r="E114" s="54"/>
      <c r="F114" s="54"/>
      <c r="G114" s="54"/>
      <c r="H114" s="54"/>
      <c r="I114" s="56">
        <f>IFERROR(B114/A114,"")</f>
        <v>7.7987854251012134</v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>
        <v>21</v>
      </c>
      <c r="B115" s="63">
        <f>234.08/1.3</f>
        <v>180.06153846153848</v>
      </c>
      <c r="C115" s="63">
        <v>1</v>
      </c>
      <c r="D115" s="63">
        <f>79.52/1.3</f>
        <v>61.169230769230765</v>
      </c>
      <c r="E115" s="54"/>
      <c r="F115" s="54">
        <v>0.2</v>
      </c>
      <c r="G115" s="54">
        <v>0.4</v>
      </c>
      <c r="H115" s="54">
        <v>0.4</v>
      </c>
      <c r="I115" s="56">
        <f t="shared" ref="I115:I133" si="4">IF(A115&lt;&gt;0,(B115-(B114-D114))/(A115-A114),"")</f>
        <v>15.942307692307708</v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>
        <v>28</v>
      </c>
      <c r="B116" s="63">
        <f>306.42/1.3</f>
        <v>235.7076923076923</v>
      </c>
      <c r="C116" s="63">
        <v>2</v>
      </c>
      <c r="D116" s="63">
        <f>73.99/1.3</f>
        <v>56.91538461538461</v>
      </c>
      <c r="E116" s="54">
        <v>0.2</v>
      </c>
      <c r="F116" s="54">
        <v>0.2</v>
      </c>
      <c r="G116" s="54">
        <v>0.3</v>
      </c>
      <c r="H116" s="54">
        <v>0.3</v>
      </c>
      <c r="I116" s="56">
        <f t="shared" si="4"/>
        <v>16.687912087912085</v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>
        <v>30</v>
      </c>
      <c r="B117" s="63">
        <f>279.49/1.3</f>
        <v>214.99230769230769</v>
      </c>
      <c r="C117" s="63"/>
      <c r="D117" s="63"/>
      <c r="E117" s="54"/>
      <c r="F117" s="54"/>
      <c r="G117" s="54"/>
      <c r="H117" s="54"/>
      <c r="I117" s="56">
        <f t="shared" si="4"/>
        <v>18.099999999999994</v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>
        <v>35</v>
      </c>
      <c r="B118" s="63">
        <f>397.14/1.3</f>
        <v>305.49230769230769</v>
      </c>
      <c r="C118" s="63">
        <v>3</v>
      </c>
      <c r="D118" s="63">
        <f>91.65/1.3</f>
        <v>70.5</v>
      </c>
      <c r="E118" s="54"/>
      <c r="F118" s="54"/>
      <c r="G118" s="54"/>
      <c r="H118" s="54"/>
      <c r="I118" s="56">
        <f t="shared" si="4"/>
        <v>18.100000000000001</v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>
        <v>42</v>
      </c>
      <c r="B119" s="63">
        <f>471.38/1.3</f>
        <v>362.59999999999997</v>
      </c>
      <c r="C119" s="63">
        <v>4</v>
      </c>
      <c r="D119" s="63">
        <f>104.87/1.3</f>
        <v>80.669230769230765</v>
      </c>
      <c r="E119" s="54"/>
      <c r="F119" s="54"/>
      <c r="G119" s="54"/>
      <c r="H119" s="54"/>
      <c r="I119" s="56">
        <f t="shared" si="4"/>
        <v>18.229670329670324</v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53">
        <v>49</v>
      </c>
      <c r="B120" s="63">
        <f>525.94/1.3</f>
        <v>404.56923076923078</v>
      </c>
      <c r="C120" s="63">
        <v>5</v>
      </c>
      <c r="D120" s="63">
        <f>117.59/1.3</f>
        <v>90.453846153846158</v>
      </c>
      <c r="E120" s="54"/>
      <c r="F120" s="54"/>
      <c r="G120" s="54"/>
      <c r="H120" s="54"/>
      <c r="I120" s="56">
        <f t="shared" si="4"/>
        <v>17.519780219780223</v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283">
        <v>56</v>
      </c>
      <c r="B121" s="63">
        <f>556.02/1.3</f>
        <v>427.7076923076923</v>
      </c>
      <c r="C121" s="63">
        <v>6</v>
      </c>
      <c r="D121" s="63">
        <f>98.63/1.3</f>
        <v>75.869230769230768</v>
      </c>
      <c r="E121" s="54"/>
      <c r="F121" s="54"/>
      <c r="G121" s="54"/>
      <c r="H121" s="54"/>
      <c r="I121" s="56">
        <f t="shared" si="4"/>
        <v>16.227472527472521</v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283">
        <v>63</v>
      </c>
      <c r="B122" s="63">
        <f>592.43/1.3</f>
        <v>455.71538461538455</v>
      </c>
      <c r="C122" s="63">
        <v>7</v>
      </c>
      <c r="D122" s="63">
        <f>103.64/1.3</f>
        <v>79.723076923076917</v>
      </c>
      <c r="E122" s="54"/>
      <c r="F122" s="54"/>
      <c r="G122" s="54"/>
      <c r="H122" s="54"/>
      <c r="I122" s="56">
        <f t="shared" si="4"/>
        <v>14.839560439560435</v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283">
        <v>69</v>
      </c>
      <c r="B123" s="63">
        <f>593.1/1.3</f>
        <v>456.23076923076923</v>
      </c>
      <c r="C123" s="63"/>
      <c r="D123" s="63"/>
      <c r="E123" s="54"/>
      <c r="F123" s="54"/>
      <c r="G123" s="54"/>
      <c r="H123" s="54"/>
      <c r="I123" s="56">
        <f t="shared" si="4"/>
        <v>13.373076923076932</v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283">
        <v>70</v>
      </c>
      <c r="B124" s="63">
        <f>609.79/1.3</f>
        <v>469.06923076923073</v>
      </c>
      <c r="C124" s="63">
        <v>8</v>
      </c>
      <c r="D124" s="63">
        <f>B124</f>
        <v>469.06923076923073</v>
      </c>
      <c r="E124" s="54"/>
      <c r="F124" s="54"/>
      <c r="G124" s="54"/>
      <c r="H124" s="54"/>
      <c r="I124" s="56">
        <f t="shared" si="4"/>
        <v>12.838461538461502</v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>Chêne vert</v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1" t="s">
        <v>185</v>
      </c>
      <c r="C138" s="293" t="s">
        <v>186</v>
      </c>
      <c r="D138" s="293"/>
      <c r="E138" s="294" t="s">
        <v>187</v>
      </c>
      <c r="F138" s="295"/>
      <c r="G138" s="295"/>
      <c r="H138" s="296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>
        <v>25</v>
      </c>
      <c r="B140" s="63">
        <v>30</v>
      </c>
      <c r="C140" s="53"/>
      <c r="D140" s="63"/>
      <c r="E140" s="54"/>
      <c r="F140" s="54"/>
      <c r="G140" s="54"/>
      <c r="H140" s="54"/>
      <c r="I140" s="60">
        <f>IFERROR(B140/A140,"")</f>
        <v>1.2</v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>
        <v>30</v>
      </c>
      <c r="B141" s="63">
        <v>54</v>
      </c>
      <c r="C141" s="53"/>
      <c r="D141" s="63"/>
      <c r="E141" s="54"/>
      <c r="F141" s="54"/>
      <c r="G141" s="54"/>
      <c r="H141" s="54"/>
      <c r="I141" s="60">
        <f t="shared" ref="I141:I159" si="5">IF(A141&lt;&gt;0,(B141-(B140-D140))/(A141-A140),"")</f>
        <v>4.8</v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>
        <v>35</v>
      </c>
      <c r="B142" s="63">
        <f>66+13</f>
        <v>79</v>
      </c>
      <c r="C142" s="53"/>
      <c r="D142" s="63"/>
      <c r="E142" s="54"/>
      <c r="F142" s="54"/>
      <c r="G142" s="54"/>
      <c r="H142" s="54"/>
      <c r="I142" s="60">
        <f t="shared" si="5"/>
        <v>5</v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>
        <v>40</v>
      </c>
      <c r="B143" s="63">
        <f>79+13+14</f>
        <v>106</v>
      </c>
      <c r="C143" s="53">
        <v>1</v>
      </c>
      <c r="D143" s="63">
        <f>13+14</f>
        <v>27</v>
      </c>
      <c r="E143" s="54"/>
      <c r="F143" s="54"/>
      <c r="G143" s="54"/>
      <c r="H143" s="54"/>
      <c r="I143" s="60">
        <f t="shared" si="5"/>
        <v>5.4</v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>
        <v>45</v>
      </c>
      <c r="B144" s="63">
        <f>93+14</f>
        <v>107</v>
      </c>
      <c r="C144" s="53"/>
      <c r="D144" s="63"/>
      <c r="E144" s="54"/>
      <c r="F144" s="54"/>
      <c r="G144" s="54"/>
      <c r="H144" s="54"/>
      <c r="I144" s="60">
        <f t="shared" si="5"/>
        <v>5.6</v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>
        <v>50</v>
      </c>
      <c r="B145" s="63">
        <f>107+14+14</f>
        <v>135</v>
      </c>
      <c r="C145" s="53">
        <v>2</v>
      </c>
      <c r="D145" s="63">
        <f>14+14</f>
        <v>28</v>
      </c>
      <c r="E145" s="54"/>
      <c r="F145" s="54"/>
      <c r="G145" s="54"/>
      <c r="H145" s="54"/>
      <c r="I145" s="60">
        <f t="shared" si="5"/>
        <v>5.6</v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>
        <v>55</v>
      </c>
      <c r="B146" s="63">
        <f>121+14</f>
        <v>135</v>
      </c>
      <c r="C146" s="53"/>
      <c r="D146" s="63"/>
      <c r="E146" s="54"/>
      <c r="F146" s="54"/>
      <c r="G146" s="54"/>
      <c r="H146" s="54"/>
      <c r="I146" s="60">
        <f t="shared" si="5"/>
        <v>5.6</v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3">
        <v>60</v>
      </c>
      <c r="B147" s="63">
        <f>134+14+14</f>
        <v>162</v>
      </c>
      <c r="C147" s="53">
        <v>3</v>
      </c>
      <c r="D147" s="63">
        <f>14+14</f>
        <v>28</v>
      </c>
      <c r="E147" s="54"/>
      <c r="F147" s="54"/>
      <c r="G147" s="54"/>
      <c r="H147" s="54"/>
      <c r="I147" s="60">
        <f>IF(A147&lt;&gt;0,(B147-(B146-D146))/(A147-A146),"")</f>
        <v>5.4</v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3">
        <v>65</v>
      </c>
      <c r="B148" s="63">
        <f>147+14</f>
        <v>161</v>
      </c>
      <c r="C148" s="53"/>
      <c r="D148" s="63"/>
      <c r="E148" s="54"/>
      <c r="F148" s="54"/>
      <c r="G148" s="54"/>
      <c r="H148" s="54"/>
      <c r="I148" s="60">
        <f t="shared" si="5"/>
        <v>5.4</v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>
        <v>70</v>
      </c>
      <c r="B149" s="63">
        <f>158+14+14</f>
        <v>186</v>
      </c>
      <c r="C149" s="53">
        <v>4</v>
      </c>
      <c r="D149" s="63">
        <f>14+14</f>
        <v>28</v>
      </c>
      <c r="E149" s="54"/>
      <c r="F149" s="54"/>
      <c r="G149" s="54"/>
      <c r="H149" s="54"/>
      <c r="I149" s="60">
        <f t="shared" si="5"/>
        <v>5</v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>
        <v>75</v>
      </c>
      <c r="B150" s="63">
        <f>169+14</f>
        <v>183</v>
      </c>
      <c r="C150" s="53"/>
      <c r="D150" s="63"/>
      <c r="E150" s="54"/>
      <c r="F150" s="54"/>
      <c r="G150" s="54"/>
      <c r="H150" s="54"/>
      <c r="I150" s="60">
        <f t="shared" si="5"/>
        <v>5</v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>
        <v>80</v>
      </c>
      <c r="B151" s="63">
        <f>178+14+14</f>
        <v>206</v>
      </c>
      <c r="C151" s="53">
        <v>5</v>
      </c>
      <c r="D151" s="63">
        <f>14+14</f>
        <v>28</v>
      </c>
      <c r="E151" s="54"/>
      <c r="F151" s="54"/>
      <c r="G151" s="54"/>
      <c r="H151" s="54"/>
      <c r="I151" s="60">
        <f t="shared" si="5"/>
        <v>4.5999999999999996</v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>
        <v>85</v>
      </c>
      <c r="B152" s="63">
        <f>186+14</f>
        <v>200</v>
      </c>
      <c r="C152" s="53"/>
      <c r="D152" s="63"/>
      <c r="E152" s="57"/>
      <c r="F152" s="57"/>
      <c r="G152" s="57"/>
      <c r="H152" s="57"/>
      <c r="I152" s="60">
        <f t="shared" si="5"/>
        <v>4.4000000000000004</v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>
        <v>90</v>
      </c>
      <c r="B153" s="63">
        <f>193+14+14</f>
        <v>221</v>
      </c>
      <c r="C153" s="53">
        <v>6</v>
      </c>
      <c r="D153" s="63">
        <f>14+14</f>
        <v>28</v>
      </c>
      <c r="E153" s="57"/>
      <c r="F153" s="57"/>
      <c r="G153" s="57"/>
      <c r="H153" s="57"/>
      <c r="I153" s="60">
        <f t="shared" si="5"/>
        <v>4.2</v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8">
        <v>100</v>
      </c>
      <c r="B154" s="59">
        <f>202+14+14</f>
        <v>230</v>
      </c>
      <c r="C154" s="53">
        <v>7</v>
      </c>
      <c r="D154" s="53">
        <f>14+14</f>
        <v>28</v>
      </c>
      <c r="E154" s="57"/>
      <c r="F154" s="57"/>
      <c r="G154" s="57"/>
      <c r="H154" s="57"/>
      <c r="I154" s="60">
        <f t="shared" si="5"/>
        <v>3.7</v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8">
        <v>110</v>
      </c>
      <c r="B155" s="59">
        <f>206+14+13</f>
        <v>233</v>
      </c>
      <c r="C155" s="53">
        <v>8</v>
      </c>
      <c r="D155" s="53">
        <f>14+13</f>
        <v>27</v>
      </c>
      <c r="E155" s="57"/>
      <c r="F155" s="57"/>
      <c r="G155" s="57"/>
      <c r="H155" s="57"/>
      <c r="I155" s="60">
        <f t="shared" si="5"/>
        <v>3.1</v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8">
        <v>120</v>
      </c>
      <c r="B156" s="59">
        <f>209+13+12</f>
        <v>234</v>
      </c>
      <c r="C156" s="53">
        <v>9</v>
      </c>
      <c r="D156" s="53">
        <f>13+12</f>
        <v>25</v>
      </c>
      <c r="E156" s="57"/>
      <c r="F156" s="57"/>
      <c r="G156" s="57"/>
      <c r="H156" s="57"/>
      <c r="I156" s="60">
        <f t="shared" si="5"/>
        <v>2.8</v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8">
        <v>130</v>
      </c>
      <c r="B157" s="59">
        <f>210+11+12</f>
        <v>233</v>
      </c>
      <c r="C157" s="53">
        <v>10</v>
      </c>
      <c r="D157" s="53">
        <f>11+10</f>
        <v>21</v>
      </c>
      <c r="E157" s="57"/>
      <c r="F157" s="57"/>
      <c r="G157" s="57"/>
      <c r="H157" s="57"/>
      <c r="I157" s="60">
        <f t="shared" si="5"/>
        <v>2.4</v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8">
        <v>140</v>
      </c>
      <c r="B158" s="59">
        <f>210+9+8</f>
        <v>227</v>
      </c>
      <c r="C158" s="53">
        <v>11</v>
      </c>
      <c r="D158" s="53">
        <f>9+8</f>
        <v>17</v>
      </c>
      <c r="E158" s="57"/>
      <c r="F158" s="57"/>
      <c r="G158" s="57"/>
      <c r="H158" s="57"/>
      <c r="I158" s="60">
        <f t="shared" si="5"/>
        <v>1.5</v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8">
        <v>150</v>
      </c>
      <c r="B159" s="59">
        <f>211+7+6</f>
        <v>224</v>
      </c>
      <c r="C159" s="53">
        <v>12</v>
      </c>
      <c r="D159" s="61">
        <f>B159</f>
        <v>224</v>
      </c>
      <c r="E159" s="57"/>
      <c r="F159" s="57"/>
      <c r="G159" s="57"/>
      <c r="H159" s="57"/>
      <c r="I159" s="60">
        <f t="shared" si="5"/>
        <v>1.4</v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>Chêne pédonculé</v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1" t="s">
        <v>185</v>
      </c>
      <c r="C164" s="293" t="s">
        <v>186</v>
      </c>
      <c r="D164" s="293"/>
      <c r="E164" s="294" t="s">
        <v>187</v>
      </c>
      <c r="F164" s="295"/>
      <c r="G164" s="295"/>
      <c r="H164" s="296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>
        <v>20</v>
      </c>
      <c r="B166" s="63">
        <v>42</v>
      </c>
      <c r="C166" s="63"/>
      <c r="D166" s="63"/>
      <c r="E166" s="54"/>
      <c r="F166" s="54"/>
      <c r="G166" s="54"/>
      <c r="H166" s="54"/>
      <c r="I166" s="52">
        <f>IFERROR(B166/A166,"")</f>
        <v>2.1</v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>
        <v>25</v>
      </c>
      <c r="B167" s="63">
        <f>62+8</f>
        <v>70</v>
      </c>
      <c r="C167" s="63"/>
      <c r="D167" s="63"/>
      <c r="E167" s="54"/>
      <c r="F167" s="54"/>
      <c r="G167" s="54"/>
      <c r="H167" s="54"/>
      <c r="I167" s="52">
        <f t="shared" ref="I167:I185" si="6">IF(A167&lt;&gt;0,(B167-(B166-D166))/(A167-A166),"")</f>
        <v>5.6</v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>
        <v>30</v>
      </c>
      <c r="B168" s="63">
        <f>76+8+21</f>
        <v>105</v>
      </c>
      <c r="C168" s="63">
        <v>1</v>
      </c>
      <c r="D168" s="63">
        <f>8+21</f>
        <v>29</v>
      </c>
      <c r="E168" s="54"/>
      <c r="F168" s="54"/>
      <c r="G168" s="54"/>
      <c r="H168" s="54">
        <v>1</v>
      </c>
      <c r="I168" s="52">
        <f t="shared" si="6"/>
        <v>7</v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>
        <v>35</v>
      </c>
      <c r="B169" s="63">
        <f>95+21</f>
        <v>116</v>
      </c>
      <c r="C169" s="63"/>
      <c r="D169" s="63"/>
      <c r="E169" s="54"/>
      <c r="F169" s="54"/>
      <c r="G169" s="54"/>
      <c r="H169" s="54"/>
      <c r="I169" s="52">
        <f t="shared" si="6"/>
        <v>8</v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>
        <v>40</v>
      </c>
      <c r="B170" s="63">
        <f>116+21+21</f>
        <v>158</v>
      </c>
      <c r="C170" s="63">
        <v>2</v>
      </c>
      <c r="D170" s="63">
        <f>21+21</f>
        <v>42</v>
      </c>
      <c r="E170" s="54"/>
      <c r="F170" s="54"/>
      <c r="G170" s="54"/>
      <c r="H170" s="54"/>
      <c r="I170" s="52">
        <f t="shared" si="6"/>
        <v>8.4</v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>
        <v>45</v>
      </c>
      <c r="B171" s="63">
        <f>137+21</f>
        <v>158</v>
      </c>
      <c r="C171" s="63"/>
      <c r="D171" s="63"/>
      <c r="E171" s="54"/>
      <c r="F171" s="54"/>
      <c r="G171" s="54"/>
      <c r="H171" s="54"/>
      <c r="I171" s="52">
        <f t="shared" si="6"/>
        <v>8.4</v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>
        <v>50</v>
      </c>
      <c r="B172" s="63">
        <f>157+21+21</f>
        <v>199</v>
      </c>
      <c r="C172" s="63">
        <v>3</v>
      </c>
      <c r="D172" s="63">
        <f>21+21</f>
        <v>42</v>
      </c>
      <c r="E172" s="54"/>
      <c r="F172" s="54"/>
      <c r="G172" s="54"/>
      <c r="H172" s="54"/>
      <c r="I172" s="52">
        <f t="shared" si="6"/>
        <v>8.1999999999999993</v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>
        <v>55</v>
      </c>
      <c r="B173" s="63">
        <f>176+21</f>
        <v>197</v>
      </c>
      <c r="C173" s="63"/>
      <c r="D173" s="63"/>
      <c r="E173" s="54"/>
      <c r="F173" s="54"/>
      <c r="G173" s="54"/>
      <c r="H173" s="54"/>
      <c r="I173" s="52">
        <f t="shared" si="6"/>
        <v>8</v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>
        <v>60</v>
      </c>
      <c r="B174" s="53">
        <v>235</v>
      </c>
      <c r="C174" s="53">
        <v>4</v>
      </c>
      <c r="D174" s="53">
        <v>42</v>
      </c>
      <c r="E174" s="54"/>
      <c r="F174" s="54"/>
      <c r="G174" s="54"/>
      <c r="H174" s="54"/>
      <c r="I174" s="52">
        <f t="shared" si="6"/>
        <v>7.6</v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>
        <v>65</v>
      </c>
      <c r="B175" s="53">
        <v>229</v>
      </c>
      <c r="C175" s="53"/>
      <c r="D175" s="53"/>
      <c r="E175" s="54"/>
      <c r="F175" s="54"/>
      <c r="G175" s="54"/>
      <c r="H175" s="54"/>
      <c r="I175" s="52">
        <f t="shared" si="6"/>
        <v>7.2</v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>
        <v>70</v>
      </c>
      <c r="B176" s="53">
        <v>263</v>
      </c>
      <c r="C176" s="53">
        <v>5</v>
      </c>
      <c r="D176" s="53">
        <v>42</v>
      </c>
      <c r="E176" s="54"/>
      <c r="F176" s="54"/>
      <c r="G176" s="54"/>
      <c r="H176" s="54"/>
      <c r="I176" s="52">
        <f t="shared" si="6"/>
        <v>6.8</v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>
        <v>75</v>
      </c>
      <c r="B177" s="53">
        <v>252</v>
      </c>
      <c r="C177" s="53"/>
      <c r="D177" s="53"/>
      <c r="E177" s="54"/>
      <c r="F177" s="54"/>
      <c r="G177" s="54"/>
      <c r="H177" s="54"/>
      <c r="I177" s="52">
        <f t="shared" si="6"/>
        <v>6.2</v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>
        <v>80</v>
      </c>
      <c r="B178" s="53">
        <v>282</v>
      </c>
      <c r="C178" s="53">
        <v>6</v>
      </c>
      <c r="D178" s="53">
        <v>42</v>
      </c>
      <c r="E178" s="54"/>
      <c r="F178" s="54"/>
      <c r="G178" s="54"/>
      <c r="H178" s="54"/>
      <c r="I178" s="52">
        <f t="shared" si="6"/>
        <v>6</v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>
        <v>90</v>
      </c>
      <c r="B179" s="53">
        <v>296</v>
      </c>
      <c r="C179" s="53">
        <v>7</v>
      </c>
      <c r="D179" s="53">
        <v>42</v>
      </c>
      <c r="E179" s="54"/>
      <c r="F179" s="54"/>
      <c r="G179" s="54"/>
      <c r="H179" s="54"/>
      <c r="I179" s="52">
        <f t="shared" si="6"/>
        <v>5.6</v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>
        <v>100</v>
      </c>
      <c r="B180" s="53">
        <v>303</v>
      </c>
      <c r="C180" s="53">
        <v>8</v>
      </c>
      <c r="D180" s="53">
        <v>42</v>
      </c>
      <c r="E180" s="54"/>
      <c r="F180" s="54"/>
      <c r="G180" s="54"/>
      <c r="H180" s="54"/>
      <c r="I180" s="52">
        <f t="shared" si="6"/>
        <v>4.9000000000000004</v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>
        <v>110</v>
      </c>
      <c r="B181" s="53">
        <v>305</v>
      </c>
      <c r="C181" s="53">
        <v>9</v>
      </c>
      <c r="D181" s="53">
        <v>39</v>
      </c>
      <c r="E181" s="54"/>
      <c r="F181" s="54"/>
      <c r="G181" s="54"/>
      <c r="H181" s="54"/>
      <c r="I181" s="52">
        <f t="shared" si="6"/>
        <v>4.4000000000000004</v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>
        <v>120</v>
      </c>
      <c r="B182" s="53">
        <v>303</v>
      </c>
      <c r="C182" s="53">
        <v>10</v>
      </c>
      <c r="D182" s="53">
        <v>35</v>
      </c>
      <c r="E182" s="54"/>
      <c r="F182" s="54"/>
      <c r="G182" s="54"/>
      <c r="H182" s="54"/>
      <c r="I182" s="52">
        <f t="shared" si="6"/>
        <v>3.7</v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>
        <v>130</v>
      </c>
      <c r="B183" s="53">
        <v>300</v>
      </c>
      <c r="C183" s="53">
        <v>11</v>
      </c>
      <c r="D183" s="53">
        <v>31</v>
      </c>
      <c r="E183" s="54"/>
      <c r="F183" s="54"/>
      <c r="G183" s="54"/>
      <c r="H183" s="54"/>
      <c r="I183" s="52">
        <f t="shared" si="6"/>
        <v>3.2</v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>
        <v>140</v>
      </c>
      <c r="B184" s="53">
        <v>296</v>
      </c>
      <c r="C184" s="53">
        <v>12</v>
      </c>
      <c r="D184" s="53">
        <v>27</v>
      </c>
      <c r="E184" s="54"/>
      <c r="F184" s="54"/>
      <c r="G184" s="54"/>
      <c r="H184" s="54"/>
      <c r="I184" s="52">
        <f t="shared" si="6"/>
        <v>2.7</v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>
        <v>150</v>
      </c>
      <c r="B185" s="53">
        <v>293</v>
      </c>
      <c r="C185" s="53">
        <v>13</v>
      </c>
      <c r="D185" s="53">
        <v>293</v>
      </c>
      <c r="E185" s="54"/>
      <c r="F185" s="54"/>
      <c r="G185" s="54"/>
      <c r="H185" s="54"/>
      <c r="I185" s="52">
        <f t="shared" si="6"/>
        <v>2.4</v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>Chêne chevelu</v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1" t="s">
        <v>185</v>
      </c>
      <c r="C190" s="293" t="s">
        <v>186</v>
      </c>
      <c r="D190" s="293"/>
      <c r="E190" s="294" t="s">
        <v>187</v>
      </c>
      <c r="F190" s="295"/>
      <c r="G190" s="295"/>
      <c r="H190" s="296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>
        <v>15</v>
      </c>
      <c r="B192" s="63">
        <f>66/1.56</f>
        <v>42.307692307692307</v>
      </c>
      <c r="C192" s="53"/>
      <c r="D192" s="63"/>
      <c r="E192" s="54"/>
      <c r="F192" s="54"/>
      <c r="G192" s="54"/>
      <c r="H192" s="54"/>
      <c r="I192" s="52">
        <f>IFERROR(B192/A192,"")</f>
        <v>2.8205128205128203</v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>
        <v>20</v>
      </c>
      <c r="B193" s="63">
        <f>(116+8)/1.56</f>
        <v>79.487179487179489</v>
      </c>
      <c r="C193" s="53">
        <v>1</v>
      </c>
      <c r="D193" s="63">
        <f>(8+12)/1.56</f>
        <v>12.820512820512819</v>
      </c>
      <c r="E193" s="54"/>
      <c r="F193" s="54"/>
      <c r="G193" s="54"/>
      <c r="H193" s="54">
        <v>1</v>
      </c>
      <c r="I193" s="52">
        <f t="shared" ref="I193:I211" si="7">IF(A193&lt;&gt;0,(B193-(B192-D192))/(A193-A192),"")</f>
        <v>7.4358974358974361</v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>
        <v>25</v>
      </c>
      <c r="B194" s="63">
        <f>168/1.56</f>
        <v>107.69230769230769</v>
      </c>
      <c r="C194" s="53"/>
      <c r="D194" s="63"/>
      <c r="E194" s="54"/>
      <c r="F194" s="54"/>
      <c r="G194" s="54"/>
      <c r="H194" s="54"/>
      <c r="I194" s="52">
        <f t="shared" si="7"/>
        <v>8.2051282051282044</v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>
        <v>30</v>
      </c>
      <c r="B195" s="63">
        <f>(217+16)/1.56</f>
        <v>149.35897435897436</v>
      </c>
      <c r="C195" s="53">
        <v>2</v>
      </c>
      <c r="D195" s="63">
        <f>(16+19)/1.56</f>
        <v>22.435897435897434</v>
      </c>
      <c r="E195" s="54"/>
      <c r="F195" s="54"/>
      <c r="G195" s="54"/>
      <c r="H195" s="54">
        <v>1</v>
      </c>
      <c r="I195" s="52">
        <f t="shared" si="7"/>
        <v>8.3333333333333339</v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>
        <v>35</v>
      </c>
      <c r="B196" s="63">
        <f>263/1.56</f>
        <v>168.58974358974359</v>
      </c>
      <c r="C196" s="53"/>
      <c r="D196" s="63"/>
      <c r="E196" s="54"/>
      <c r="F196" s="54"/>
      <c r="G196" s="54"/>
      <c r="H196" s="54"/>
      <c r="I196" s="52">
        <f t="shared" si="7"/>
        <v>8.3333333333333321</v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>
        <v>40</v>
      </c>
      <c r="B197" s="63">
        <f>(303+21)/1.56</f>
        <v>207.69230769230768</v>
      </c>
      <c r="C197" s="53">
        <v>3</v>
      </c>
      <c r="D197" s="63">
        <f>(21+22)/1.56</f>
        <v>27.564102564102562</v>
      </c>
      <c r="E197" s="54"/>
      <c r="F197" s="54"/>
      <c r="G197" s="54"/>
      <c r="H197" s="54"/>
      <c r="I197" s="52">
        <f t="shared" si="7"/>
        <v>7.8205128205128176</v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>
        <v>45</v>
      </c>
      <c r="B198" s="63">
        <f>340/1.56</f>
        <v>217.94871794871793</v>
      </c>
      <c r="C198" s="53"/>
      <c r="D198" s="63"/>
      <c r="E198" s="54"/>
      <c r="F198" s="54"/>
      <c r="G198" s="54"/>
      <c r="H198" s="54"/>
      <c r="I198" s="52">
        <f t="shared" si="7"/>
        <v>7.5641025641025639</v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>
        <v>50</v>
      </c>
      <c r="B199" s="63">
        <f>(374+23)/1.56</f>
        <v>254.48717948717947</v>
      </c>
      <c r="C199" s="53">
        <v>4</v>
      </c>
      <c r="D199" s="63">
        <f>(23+22)/1.56</f>
        <v>28.846153846153847</v>
      </c>
      <c r="E199" s="54"/>
      <c r="F199" s="54"/>
      <c r="G199" s="54"/>
      <c r="H199" s="54"/>
      <c r="I199" s="52">
        <f t="shared" si="7"/>
        <v>7.3076923076923093</v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>
        <v>55</v>
      </c>
      <c r="B200" s="63">
        <f>404/1.56</f>
        <v>258.97435897435895</v>
      </c>
      <c r="C200" s="53"/>
      <c r="D200" s="63"/>
      <c r="E200" s="54"/>
      <c r="F200" s="54"/>
      <c r="G200" s="54"/>
      <c r="H200" s="54"/>
      <c r="I200" s="52">
        <f t="shared" si="7"/>
        <v>6.6666666666666625</v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>
        <v>60</v>
      </c>
      <c r="B201" s="63">
        <f>(431+23)/1.56</f>
        <v>291.02564102564099</v>
      </c>
      <c r="C201" s="53">
        <v>5</v>
      </c>
      <c r="D201" s="63">
        <f>(23+23)/1.56</f>
        <v>29.487179487179485</v>
      </c>
      <c r="E201" s="54"/>
      <c r="F201" s="54"/>
      <c r="G201" s="54"/>
      <c r="H201" s="54"/>
      <c r="I201" s="52">
        <f t="shared" si="7"/>
        <v>6.4102564102564088</v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>
        <v>65</v>
      </c>
      <c r="B202" s="63">
        <f>455/1.56</f>
        <v>291.66666666666663</v>
      </c>
      <c r="C202" s="53"/>
      <c r="D202" s="63"/>
      <c r="E202" s="54"/>
      <c r="F202" s="54"/>
      <c r="G202" s="54"/>
      <c r="H202" s="54"/>
      <c r="I202" s="52">
        <f t="shared" si="7"/>
        <v>6.0256410256410273</v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>
        <v>70</v>
      </c>
      <c r="B203" s="63">
        <f>(476+23)/1.56</f>
        <v>319.87179487179486</v>
      </c>
      <c r="C203" s="53">
        <v>6</v>
      </c>
      <c r="D203" s="63">
        <f>(23+22)/1.56</f>
        <v>28.846153846153847</v>
      </c>
      <c r="E203" s="54"/>
      <c r="F203" s="54"/>
      <c r="G203" s="54"/>
      <c r="H203" s="54"/>
      <c r="I203" s="52">
        <f t="shared" si="7"/>
        <v>5.6410256410256467</v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>
        <v>75</v>
      </c>
      <c r="B204" s="63">
        <f>495/1.56</f>
        <v>317.30769230769232</v>
      </c>
      <c r="C204" s="53"/>
      <c r="D204" s="63"/>
      <c r="E204" s="57"/>
      <c r="F204" s="57"/>
      <c r="G204" s="57"/>
      <c r="H204" s="57"/>
      <c r="I204" s="52">
        <f t="shared" si="7"/>
        <v>5.2564102564102653</v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>
        <v>80</v>
      </c>
      <c r="B205" s="63">
        <f>(512+22)/1.56</f>
        <v>342.30769230769232</v>
      </c>
      <c r="C205" s="53">
        <v>7</v>
      </c>
      <c r="D205" s="63">
        <f>(22+21)/1.56</f>
        <v>27.564102564102562</v>
      </c>
      <c r="E205" s="57"/>
      <c r="F205" s="57"/>
      <c r="G205" s="57"/>
      <c r="H205" s="57"/>
      <c r="I205" s="52">
        <f t="shared" si="7"/>
        <v>5</v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8">
        <v>85</v>
      </c>
      <c r="B206" s="59">
        <v>338.46153846153845</v>
      </c>
      <c r="C206" s="53"/>
      <c r="D206" s="53"/>
      <c r="E206" s="57"/>
      <c r="F206" s="57"/>
      <c r="G206" s="57"/>
      <c r="H206" s="57"/>
      <c r="I206" s="52">
        <f t="shared" si="7"/>
        <v>4.7435897435897347</v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8">
        <v>90</v>
      </c>
      <c r="B207" s="59">
        <v>360.89743589743591</v>
      </c>
      <c r="C207" s="53">
        <v>8</v>
      </c>
      <c r="D207" s="53">
        <v>26.282051282051281</v>
      </c>
      <c r="E207" s="57"/>
      <c r="F207" s="57"/>
      <c r="G207" s="57"/>
      <c r="H207" s="57"/>
      <c r="I207" s="52">
        <f t="shared" si="7"/>
        <v>4.4871794871794917</v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8">
        <v>100</v>
      </c>
      <c r="B208" s="59">
        <v>375.64102564102564</v>
      </c>
      <c r="C208" s="53">
        <v>9</v>
      </c>
      <c r="D208" s="53">
        <v>24.358974358974358</v>
      </c>
      <c r="E208" s="57"/>
      <c r="F208" s="57"/>
      <c r="G208" s="57"/>
      <c r="H208" s="57"/>
      <c r="I208" s="52">
        <f t="shared" si="7"/>
        <v>4.1025641025640995</v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8">
        <v>110</v>
      </c>
      <c r="B209" s="59">
        <v>388.46153846153845</v>
      </c>
      <c r="C209" s="53">
        <v>10</v>
      </c>
      <c r="D209" s="53">
        <v>23.076923076923077</v>
      </c>
      <c r="E209" s="57"/>
      <c r="F209" s="57"/>
      <c r="G209" s="57"/>
      <c r="H209" s="57"/>
      <c r="I209" s="52">
        <f t="shared" si="7"/>
        <v>3.7179487179487181</v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8">
        <v>120</v>
      </c>
      <c r="B210" s="59">
        <v>399.35897435897436</v>
      </c>
      <c r="C210" s="53">
        <v>11</v>
      </c>
      <c r="D210" s="53">
        <v>21.153846153846153</v>
      </c>
      <c r="E210" s="57"/>
      <c r="F210" s="57"/>
      <c r="G210" s="57"/>
      <c r="H210" s="57"/>
      <c r="I210" s="52">
        <f t="shared" si="7"/>
        <v>3.3974358974359005</v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8">
        <v>130</v>
      </c>
      <c r="B211" s="59">
        <v>408.97435897435895</v>
      </c>
      <c r="C211" s="53">
        <v>12</v>
      </c>
      <c r="D211" s="61">
        <v>408.97435897435895</v>
      </c>
      <c r="E211" s="57"/>
      <c r="F211" s="57"/>
      <c r="G211" s="57"/>
      <c r="H211" s="57"/>
      <c r="I211" s="52">
        <f t="shared" si="7"/>
        <v>3.0769230769230718</v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>Pin taeda</v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1" t="s">
        <v>185</v>
      </c>
      <c r="C216" s="293" t="s">
        <v>186</v>
      </c>
      <c r="D216" s="293"/>
      <c r="E216" s="294" t="s">
        <v>187</v>
      </c>
      <c r="F216" s="295"/>
      <c r="G216" s="295"/>
      <c r="H216" s="296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>
        <v>17</v>
      </c>
      <c r="B218" s="63">
        <f>164.23/1.3</f>
        <v>126.33076923076922</v>
      </c>
      <c r="C218" s="53">
        <v>1</v>
      </c>
      <c r="D218" s="63">
        <f>54.71/1.3</f>
        <v>42.084615384615383</v>
      </c>
      <c r="E218" s="66"/>
      <c r="F218" s="66">
        <v>0.5</v>
      </c>
      <c r="G218" s="66">
        <v>0.5</v>
      </c>
      <c r="H218" s="66"/>
      <c r="I218" s="56">
        <f>IFERROR(B218/A218,"")</f>
        <v>7.4312217194570129</v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>
        <v>23</v>
      </c>
      <c r="B219" s="63">
        <f>225.95/1.3</f>
        <v>173.80769230769229</v>
      </c>
      <c r="C219" s="53"/>
      <c r="D219" s="63"/>
      <c r="E219" s="66"/>
      <c r="F219" s="66"/>
      <c r="G219" s="66"/>
      <c r="H219" s="66"/>
      <c r="I219" s="56">
        <f t="shared" ref="I219:I237" si="8">IF(A219&lt;&gt;0,(B219-(B218-D218))/(A219-A218),"")</f>
        <v>14.926923076923075</v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>
        <v>25</v>
      </c>
      <c r="B220" s="63">
        <f>194.78/1.3</f>
        <v>149.83076923076922</v>
      </c>
      <c r="C220" s="53">
        <v>2</v>
      </c>
      <c r="D220" s="63">
        <f>70.33/1.3</f>
        <v>54.099999999999994</v>
      </c>
      <c r="E220" s="66">
        <v>0.25</v>
      </c>
      <c r="F220" s="66">
        <v>0.45</v>
      </c>
      <c r="G220" s="66">
        <v>0.3</v>
      </c>
      <c r="H220" s="66"/>
      <c r="I220" s="56">
        <f t="shared" si="8"/>
        <v>-11.988461538461536</v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8">
        <v>29</v>
      </c>
      <c r="B221" s="58">
        <f>273.19/1.3</f>
        <v>210.14615384615385</v>
      </c>
      <c r="C221" s="58"/>
      <c r="D221" s="58"/>
      <c r="E221" s="66"/>
      <c r="F221" s="66"/>
      <c r="G221" s="66"/>
      <c r="H221" s="66"/>
      <c r="I221" s="56">
        <f t="shared" si="8"/>
        <v>28.603846153846156</v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8">
        <v>30</v>
      </c>
      <c r="B222" s="58">
        <f>229.66/1.3</f>
        <v>176.66153846153844</v>
      </c>
      <c r="C222" s="58">
        <v>3</v>
      </c>
      <c r="D222" s="58">
        <f>61.96/1.3</f>
        <v>47.661538461538463</v>
      </c>
      <c r="E222" s="66">
        <v>0.6</v>
      </c>
      <c r="F222" s="66">
        <v>0.2</v>
      </c>
      <c r="G222" s="66">
        <v>0.2</v>
      </c>
      <c r="H222" s="66"/>
      <c r="I222" s="56">
        <f t="shared" si="8"/>
        <v>-33.48461538461541</v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8">
        <v>34</v>
      </c>
      <c r="B223" s="58">
        <f>303.37/1.3</f>
        <v>233.36153846153846</v>
      </c>
      <c r="C223" s="58"/>
      <c r="D223" s="58"/>
      <c r="E223" s="66"/>
      <c r="F223" s="66"/>
      <c r="G223" s="66"/>
      <c r="H223" s="66"/>
      <c r="I223" s="56">
        <f t="shared" si="8"/>
        <v>26.090384615384622</v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8">
        <v>36</v>
      </c>
      <c r="B224" s="58">
        <f>341.35/1.3</f>
        <v>262.57692307692309</v>
      </c>
      <c r="C224" s="58">
        <v>4</v>
      </c>
      <c r="D224" s="58">
        <f>83.92/1.3</f>
        <v>64.553846153846152</v>
      </c>
      <c r="E224" s="66"/>
      <c r="F224" s="66"/>
      <c r="G224" s="66"/>
      <c r="H224" s="66"/>
      <c r="I224" s="56">
        <f t="shared" si="8"/>
        <v>14.607692307692318</v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8">
        <v>43</v>
      </c>
      <c r="B225" s="58">
        <f>376.94/1.3</f>
        <v>289.95384615384614</v>
      </c>
      <c r="C225" s="58"/>
      <c r="D225" s="58"/>
      <c r="E225" s="66"/>
      <c r="F225" s="66"/>
      <c r="G225" s="66"/>
      <c r="H225" s="66"/>
      <c r="I225" s="56">
        <f t="shared" si="8"/>
        <v>13.132967032967031</v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8">
        <v>44</v>
      </c>
      <c r="B226" s="58">
        <f>394.1/1.3</f>
        <v>303.15384615384619</v>
      </c>
      <c r="C226" s="58">
        <v>5</v>
      </c>
      <c r="D226" s="58">
        <f>83.82/1.3</f>
        <v>64.476923076923072</v>
      </c>
      <c r="E226" s="66"/>
      <c r="F226" s="66"/>
      <c r="G226" s="66"/>
      <c r="H226" s="66"/>
      <c r="I226" s="56">
        <f t="shared" si="8"/>
        <v>13.200000000000045</v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>
        <v>52</v>
      </c>
      <c r="B227" s="58">
        <f>431.36/1.3</f>
        <v>331.81538461538463</v>
      </c>
      <c r="C227" s="58">
        <v>6</v>
      </c>
      <c r="D227" s="58">
        <f>80.32/1.36</f>
        <v>59.058823529411754</v>
      </c>
      <c r="E227" s="66"/>
      <c r="F227" s="66"/>
      <c r="G227" s="66"/>
      <c r="H227" s="66"/>
      <c r="I227" s="56">
        <f t="shared" si="8"/>
        <v>11.642307692307689</v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>
        <v>60</v>
      </c>
      <c r="B228" s="58">
        <f>459.55/1.3</f>
        <v>353.5</v>
      </c>
      <c r="C228" s="58">
        <v>7</v>
      </c>
      <c r="D228" s="58">
        <f>B228</f>
        <v>353.5</v>
      </c>
      <c r="E228" s="66"/>
      <c r="F228" s="66"/>
      <c r="G228" s="66"/>
      <c r="H228" s="66"/>
      <c r="I228" s="56">
        <f t="shared" si="8"/>
        <v>10.092929864253392</v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>Pin laricio</v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1" t="s">
        <v>185</v>
      </c>
      <c r="C242" s="293" t="s">
        <v>186</v>
      </c>
      <c r="D242" s="293"/>
      <c r="E242" s="294" t="s">
        <v>187</v>
      </c>
      <c r="F242" s="295"/>
      <c r="G242" s="295"/>
      <c r="H242" s="296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>
        <v>15</v>
      </c>
      <c r="B244" s="63">
        <f>46.42/1.3</f>
        <v>35.707692307692305</v>
      </c>
      <c r="C244" s="63"/>
      <c r="D244" s="63"/>
      <c r="E244" s="54"/>
      <c r="F244" s="54"/>
      <c r="G244" s="54"/>
      <c r="H244" s="93"/>
      <c r="I244" s="56">
        <f>IFERROR(B244/A244,"")</f>
        <v>2.3805128205128203</v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>
        <v>21</v>
      </c>
      <c r="B245" s="63">
        <f>148.63/1.3</f>
        <v>114.33076923076922</v>
      </c>
      <c r="C245" s="63"/>
      <c r="D245" s="63"/>
      <c r="E245" s="54"/>
      <c r="F245" s="54"/>
      <c r="G245" s="54"/>
      <c r="H245" s="93"/>
      <c r="I245" s="56">
        <f>IF(A245&lt;&gt;0,(B245-(B244-D244))/(A245-A244),"")</f>
        <v>13.103846153846154</v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>
        <v>22</v>
      </c>
      <c r="B246" s="63">
        <f>168.98/1.3</f>
        <v>129.98461538461538</v>
      </c>
      <c r="C246" s="63">
        <v>1</v>
      </c>
      <c r="D246" s="63">
        <f>68.57/1.3</f>
        <v>52.746153846153838</v>
      </c>
      <c r="E246" s="93"/>
      <c r="F246" s="93"/>
      <c r="G246" s="93"/>
      <c r="H246" s="93">
        <v>1</v>
      </c>
      <c r="I246" s="56">
        <f>IF(A246&lt;&gt;0,(B246-(B245-D245))/(A246-A245),"")</f>
        <v>15.65384615384616</v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>
        <v>24</v>
      </c>
      <c r="B247" s="63">
        <f>129.64/1.3</f>
        <v>99.723076923076903</v>
      </c>
      <c r="C247" s="63"/>
      <c r="D247" s="63"/>
      <c r="E247" s="93"/>
      <c r="F247" s="93"/>
      <c r="G247" s="93"/>
      <c r="H247" s="93"/>
      <c r="I247" s="56">
        <f t="shared" ref="I247:I263" si="9">IF(A247&lt;&gt;0,(B247-(B246-D246))/(A247-A246),"")</f>
        <v>11.242307692307683</v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>
        <v>27</v>
      </c>
      <c r="B248" s="63">
        <f>182.93/1.3</f>
        <v>140.71538461538461</v>
      </c>
      <c r="C248" s="63">
        <v>2</v>
      </c>
      <c r="D248" s="63">
        <f>45.04/1.3</f>
        <v>34.646153846153844</v>
      </c>
      <c r="E248" s="93"/>
      <c r="F248" s="93"/>
      <c r="G248" s="93">
        <v>0.5</v>
      </c>
      <c r="H248" s="93">
        <v>0.5</v>
      </c>
      <c r="I248" s="56">
        <f t="shared" si="9"/>
        <v>13.664102564102569</v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>
        <v>30</v>
      </c>
      <c r="B249" s="63">
        <f>188.48/1.3</f>
        <v>144.98461538461538</v>
      </c>
      <c r="C249" s="63"/>
      <c r="D249" s="63"/>
      <c r="E249" s="93"/>
      <c r="F249" s="93"/>
      <c r="G249" s="93"/>
      <c r="H249" s="93"/>
      <c r="I249" s="56">
        <f t="shared" si="9"/>
        <v>12.971794871794875</v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>
        <v>33</v>
      </c>
      <c r="B250" s="63">
        <f>239.07/1.3</f>
        <v>183.89999999999998</v>
      </c>
      <c r="C250" s="63">
        <v>3</v>
      </c>
      <c r="D250" s="63">
        <f>55.91/1.3</f>
        <v>43.007692307692302</v>
      </c>
      <c r="E250" s="93"/>
      <c r="F250" s="93"/>
      <c r="G250" s="93"/>
      <c r="H250" s="93"/>
      <c r="I250" s="56">
        <f t="shared" si="9"/>
        <v>12.971794871794865</v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63">
        <v>41</v>
      </c>
      <c r="B251" s="63">
        <f>315.66/1.3</f>
        <v>242.81538461538463</v>
      </c>
      <c r="C251" s="63">
        <v>4</v>
      </c>
      <c r="D251" s="63">
        <f>76.03/1.3</f>
        <v>58.484615384615381</v>
      </c>
      <c r="E251" s="93"/>
      <c r="F251" s="93"/>
      <c r="G251" s="93"/>
      <c r="H251" s="93"/>
      <c r="I251" s="56">
        <f t="shared" si="9"/>
        <v>12.74038461538462</v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63">
        <v>50</v>
      </c>
      <c r="B252" s="63">
        <f>378.41/1.3</f>
        <v>291.0846153846154</v>
      </c>
      <c r="C252" s="63">
        <v>5</v>
      </c>
      <c r="D252" s="63">
        <f>71.88/1.3</f>
        <v>55.292307692307688</v>
      </c>
      <c r="E252" s="93"/>
      <c r="F252" s="93"/>
      <c r="G252" s="93"/>
      <c r="H252" s="93"/>
      <c r="I252" s="56">
        <f t="shared" si="9"/>
        <v>11.861538461538462</v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63">
        <v>60</v>
      </c>
      <c r="B253" s="63">
        <f>445.15/1.3</f>
        <v>342.42307692307691</v>
      </c>
      <c r="C253" s="63">
        <v>6</v>
      </c>
      <c r="D253" s="63">
        <f>70.54/1.3</f>
        <v>54.261538461538464</v>
      </c>
      <c r="E253" s="93"/>
      <c r="F253" s="93"/>
      <c r="G253" s="93"/>
      <c r="H253" s="93"/>
      <c r="I253" s="56">
        <f t="shared" si="9"/>
        <v>10.66307692307692</v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63">
        <v>70</v>
      </c>
      <c r="B254" s="63">
        <f>493.99/1.3</f>
        <v>379.99230769230769</v>
      </c>
      <c r="C254" s="63">
        <v>7</v>
      </c>
      <c r="D254" s="63">
        <f>68.47/1.3</f>
        <v>52.669230769230765</v>
      </c>
      <c r="E254" s="93"/>
      <c r="F254" s="93"/>
      <c r="G254" s="93"/>
      <c r="H254" s="93"/>
      <c r="I254" s="56">
        <f t="shared" si="9"/>
        <v>9.1830769230769249</v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63">
        <v>80</v>
      </c>
      <c r="B255" s="63">
        <f>523.78/1.3</f>
        <v>402.90769230769229</v>
      </c>
      <c r="C255" s="63">
        <v>8</v>
      </c>
      <c r="D255" s="63">
        <f>B255</f>
        <v>402.90769230769229</v>
      </c>
      <c r="E255" s="93"/>
      <c r="F255" s="93"/>
      <c r="G255" s="93"/>
      <c r="H255" s="93"/>
      <c r="I255" s="56">
        <f t="shared" si="9"/>
        <v>7.5584615384615343</v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>Cèdre de l'Atlas</v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1" t="s">
        <v>185</v>
      </c>
      <c r="C268" s="293" t="s">
        <v>186</v>
      </c>
      <c r="D268" s="293"/>
      <c r="E268" s="294" t="s">
        <v>187</v>
      </c>
      <c r="F268" s="295"/>
      <c r="G268" s="295"/>
      <c r="H268" s="296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>
        <v>30</v>
      </c>
      <c r="B270" s="63">
        <f>191.43/1.3</f>
        <v>147.25384615384615</v>
      </c>
      <c r="C270" s="53"/>
      <c r="D270" s="63"/>
      <c r="E270" s="54"/>
      <c r="F270" s="54"/>
      <c r="G270" s="54"/>
      <c r="H270" s="54"/>
      <c r="I270" s="56">
        <f>IFERROR(B270/A270,"")</f>
        <v>4.9084615384615384</v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>
        <v>40</v>
      </c>
      <c r="B271" s="63">
        <f>328.92/1.3</f>
        <v>253.01538461538462</v>
      </c>
      <c r="C271" s="53"/>
      <c r="D271" s="63"/>
      <c r="E271" s="54"/>
      <c r="F271" s="54"/>
      <c r="G271" s="54"/>
      <c r="H271" s="54"/>
      <c r="I271" s="56">
        <f>IF(A271&lt;&gt;0,(B271-(B270-D270))/(A271-A270),"")</f>
        <v>10.576153846153847</v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>
        <v>51</v>
      </c>
      <c r="B272" s="63">
        <f>503.84/1.3</f>
        <v>387.56923076923073</v>
      </c>
      <c r="C272" s="53">
        <v>1</v>
      </c>
      <c r="D272" s="63">
        <f>221.21/1.3</f>
        <v>170.16153846153847</v>
      </c>
      <c r="E272" s="54"/>
      <c r="F272" s="54"/>
      <c r="G272" s="54"/>
      <c r="H272" s="54"/>
      <c r="I272" s="56">
        <f t="shared" ref="I272:I289" si="10">IF(A272&lt;&gt;0,(B272-(B271-D271))/(A272-A271),"")</f>
        <v>12.232167832167828</v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>
        <v>56</v>
      </c>
      <c r="B273" s="63">
        <f>355.85/1.3</f>
        <v>273.73076923076923</v>
      </c>
      <c r="C273" s="53"/>
      <c r="D273" s="63"/>
      <c r="E273" s="54"/>
      <c r="F273" s="54"/>
      <c r="G273" s="54"/>
      <c r="H273" s="54"/>
      <c r="I273" s="56">
        <f t="shared" si="10"/>
        <v>11.264615384615393</v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>
        <v>61</v>
      </c>
      <c r="B274" s="63">
        <f>427.85/1.3</f>
        <v>329.11538461538464</v>
      </c>
      <c r="C274" s="53">
        <v>2</v>
      </c>
      <c r="D274" s="63">
        <f>123.19/1.3</f>
        <v>94.76153846153845</v>
      </c>
      <c r="E274" s="54"/>
      <c r="F274" s="54"/>
      <c r="G274" s="54"/>
      <c r="H274" s="54"/>
      <c r="I274" s="56">
        <f t="shared" si="10"/>
        <v>11.076923076923084</v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>
        <v>67</v>
      </c>
      <c r="B275" s="63">
        <f>384/1.3</f>
        <v>295.38461538461536</v>
      </c>
      <c r="C275" s="53"/>
      <c r="D275" s="63"/>
      <c r="E275" s="66"/>
      <c r="F275" s="66"/>
      <c r="G275" s="66"/>
      <c r="H275" s="66"/>
      <c r="I275" s="56">
        <f t="shared" si="10"/>
        <v>10.171794871794864</v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>
        <v>73</v>
      </c>
      <c r="B276" s="63">
        <f>465.57/1.3</f>
        <v>358.1307692307692</v>
      </c>
      <c r="C276" s="53">
        <v>3</v>
      </c>
      <c r="D276" s="63">
        <f>121.66/1.3</f>
        <v>93.584615384615375</v>
      </c>
      <c r="E276" s="66"/>
      <c r="F276" s="66"/>
      <c r="G276" s="66"/>
      <c r="H276" s="66"/>
      <c r="I276" s="56">
        <f t="shared" si="10"/>
        <v>10.457692307692307</v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>
        <v>79</v>
      </c>
      <c r="B277" s="58">
        <f>417.5/1.3</f>
        <v>321.15384615384613</v>
      </c>
      <c r="C277" s="58"/>
      <c r="D277" s="58"/>
      <c r="E277" s="66"/>
      <c r="F277" s="66"/>
      <c r="G277" s="66"/>
      <c r="H277" s="66"/>
      <c r="I277" s="56">
        <f t="shared" si="10"/>
        <v>9.4346153846153786</v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>
        <v>85</v>
      </c>
      <c r="B278" s="58">
        <f>492.48/1.3</f>
        <v>378.83076923076925</v>
      </c>
      <c r="C278" s="58">
        <v>4</v>
      </c>
      <c r="D278" s="58">
        <f>110.77/1.3</f>
        <v>85.207692307692298</v>
      </c>
      <c r="E278" s="66"/>
      <c r="F278" s="66"/>
      <c r="G278" s="66"/>
      <c r="H278" s="66"/>
      <c r="I278" s="56">
        <f t="shared" si="10"/>
        <v>9.6128205128205195</v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>
        <v>91</v>
      </c>
      <c r="B279" s="58">
        <f>449.33/1.3</f>
        <v>345.63846153846151</v>
      </c>
      <c r="C279" s="58"/>
      <c r="D279" s="58"/>
      <c r="E279" s="66"/>
      <c r="F279" s="66"/>
      <c r="G279" s="66"/>
      <c r="H279" s="66"/>
      <c r="I279" s="56">
        <f t="shared" si="10"/>
        <v>8.6692307692307597</v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>
        <v>97</v>
      </c>
      <c r="B280" s="58">
        <f>517.76/1.3</f>
        <v>398.27692307692308</v>
      </c>
      <c r="C280" s="58">
        <v>5</v>
      </c>
      <c r="D280" s="58">
        <f>103.57/1.3</f>
        <v>79.669230769230765</v>
      </c>
      <c r="E280" s="66"/>
      <c r="F280" s="66"/>
      <c r="G280" s="66"/>
      <c r="H280" s="66"/>
      <c r="I280" s="56">
        <f t="shared" si="10"/>
        <v>8.7730769230769283</v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>
        <v>103</v>
      </c>
      <c r="B281" s="58">
        <f>475.47/1.3</f>
        <v>365.74615384615385</v>
      </c>
      <c r="C281" s="58"/>
      <c r="D281" s="58"/>
      <c r="E281" s="66"/>
      <c r="F281" s="66"/>
      <c r="G281" s="66"/>
      <c r="H281" s="66"/>
      <c r="I281" s="56">
        <f t="shared" si="10"/>
        <v>7.8564102564102525</v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>
        <v>109</v>
      </c>
      <c r="B282" s="58">
        <f>537.16/1.3</f>
        <v>413.2</v>
      </c>
      <c r="C282" s="58">
        <v>6</v>
      </c>
      <c r="D282" s="58">
        <f>104.85/1.3</f>
        <v>80.653846153846146</v>
      </c>
      <c r="E282" s="67"/>
      <c r="F282" s="67"/>
      <c r="G282" s="67"/>
      <c r="H282" s="67"/>
      <c r="I282" s="56">
        <f t="shared" si="10"/>
        <v>7.9089743589743575</v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4">
        <v>115</v>
      </c>
      <c r="B283" s="63">
        <f>487.64/1.3</f>
        <v>375.10769230769228</v>
      </c>
      <c r="C283" s="94"/>
      <c r="D283" s="63"/>
      <c r="E283" s="57"/>
      <c r="F283" s="57"/>
      <c r="G283" s="57"/>
      <c r="H283" s="57"/>
      <c r="I283" s="56">
        <f t="shared" si="10"/>
        <v>7.0935897435897362</v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>
        <v>121</v>
      </c>
      <c r="B284" s="53">
        <f>542.89/1.3</f>
        <v>417.60769230769228</v>
      </c>
      <c r="C284" s="53">
        <v>7</v>
      </c>
      <c r="D284" s="53">
        <f>269.2/1.3</f>
        <v>207.07692307692307</v>
      </c>
      <c r="E284" s="54"/>
      <c r="F284" s="54"/>
      <c r="G284" s="54"/>
      <c r="H284" s="54"/>
      <c r="I284" s="56">
        <f t="shared" si="10"/>
        <v>7.083333333333333</v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>
        <v>126</v>
      </c>
      <c r="B285" s="53">
        <f>307.19/1.3</f>
        <v>236.29999999999998</v>
      </c>
      <c r="C285" s="53"/>
      <c r="D285" s="53"/>
      <c r="E285" s="54"/>
      <c r="F285" s="54"/>
      <c r="G285" s="54"/>
      <c r="H285" s="54"/>
      <c r="I285" s="56">
        <f t="shared" si="10"/>
        <v>5.1538461538461551</v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>
        <v>131</v>
      </c>
      <c r="B286" s="53">
        <f>337.5/1.3</f>
        <v>259.61538461538458</v>
      </c>
      <c r="C286" s="53">
        <v>8</v>
      </c>
      <c r="D286" s="53">
        <f>B286</f>
        <v>259.61538461538458</v>
      </c>
      <c r="E286" s="54"/>
      <c r="F286" s="54"/>
      <c r="G286" s="54"/>
      <c r="H286" s="54"/>
      <c r="I286" s="56">
        <f t="shared" si="10"/>
        <v>4.66307692307692</v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>
      <formula1>VAN</formula1>
    </dataValidation>
    <dataValidation type="list" allowBlank="1" showInputMessage="1" showErrorMessage="1" sqref="C26">
      <formula1>Incendie</formula1>
    </dataValidation>
    <dataValidation type="list" allowBlank="1" showInputMessage="1" showErrorMessage="1" sqref="C27">
      <formula1>Fertilité</formula1>
    </dataValidation>
  </dataValidations>
  <hyperlinks>
    <hyperlink ref="A9" location="'Données projet'!A44" tooltip="Table de production à compléter ci-dessous" display="Essence 1"/>
    <hyperlink ref="A10" location="'Données projet'!A70" tooltip="Table de production à compléter ci-dessous" display="Essence 2"/>
    <hyperlink ref="A11" location="'Données projet'!A96" tooltip="Table de production à compléter ci-dessous" display="Essence 3"/>
    <hyperlink ref="A12" location="'Données projet'!A122" tooltip="Table de production à compléter ci-dessous" display="Essence 4"/>
    <hyperlink ref="A13" location="'Données projet'!A148" tooltip="Table de production à compléter ci-dessous" display="Essence 5"/>
    <hyperlink ref="A14" location="'Données projet'!A174" tooltip="Table de production à compléter ci-dessous" display="Essence 6"/>
    <hyperlink ref="A15" location="'Données projet'!A202" tooltip="Table de production à compléter ci-dessous" display="Essence 7"/>
    <hyperlink ref="A16" location="'Données projet'!A228" tooltip="Table de production à compléter ci-dessous" display="Essence 8"/>
    <hyperlink ref="A17" location="'Données projet'!A254" tooltip="Table de production à compléter ci-dessous" display="Essence 9"/>
    <hyperlink ref="A18" location="'Données projet'!A280" tooltip="Table de production à compléter ci-dessous" display="Essence 10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Paramètres!$A$2:$A$87</xm:f>
          </x14:formula1>
          <xm:sqref>B10:B18</xm:sqref>
        </x14:dataValidation>
        <x14:dataValidation type="list" allowBlank="1" showInputMessage="1" showErrorMessage="1">
          <x14:formula1>
            <xm:f>Paramètres!$A$2:$A$87</xm:f>
          </x14:formula1>
          <xm:sqref>B9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"/>
  <dimension ref="A1:AL163"/>
  <sheetViews>
    <sheetView zoomScaleNormal="100" workbookViewId="0">
      <selection activeCell="B18" sqref="B18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08" t="s">
        <v>191</v>
      </c>
      <c r="C2" s="309"/>
      <c r="D2" s="309"/>
      <c r="E2" s="309"/>
      <c r="F2" s="309"/>
      <c r="G2" s="310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07"/>
      <c r="C4" s="307"/>
      <c r="D4" s="307"/>
      <c r="E4" s="307"/>
      <c r="F4" s="307"/>
      <c r="G4" s="307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5">
      <c r="A8" s="114">
        <v>1</v>
      </c>
      <c r="B8" s="64">
        <v>1</v>
      </c>
      <c r="C8" s="52" t="s">
        <v>177</v>
      </c>
      <c r="D8" s="25"/>
      <c r="E8" s="114">
        <v>4</v>
      </c>
      <c r="F8" s="64">
        <v>0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0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5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148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4">
        <v>1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5">
        <f>SUM(B16:B18)</f>
        <v>1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71" bestFit="1" customWidth="1"/>
    <col min="2" max="4" width="11.42578125" style="71"/>
    <col min="5" max="5" width="9.5703125" style="71" customWidth="1"/>
    <col min="6" max="7" width="11.42578125" style="71"/>
    <col min="8" max="8" width="10.7109375" style="71" customWidth="1"/>
    <col min="9" max="9" width="9.42578125" style="71" customWidth="1"/>
    <col min="10" max="11" width="10.5703125" style="71" bestFit="1" customWidth="1"/>
    <col min="12" max="12" width="14" style="71" bestFit="1" customWidth="1"/>
    <col min="13" max="13" width="14" style="71" customWidth="1"/>
    <col min="14" max="23" width="11.42578125" style="71"/>
    <col min="24" max="24" width="11.7109375" style="71" bestFit="1" customWidth="1"/>
    <col min="25" max="25" width="14.5703125" style="71" bestFit="1" customWidth="1"/>
    <col min="26" max="26" width="12.42578125" style="71" bestFit="1" customWidth="1"/>
    <col min="27" max="27" width="9.7109375" style="71" bestFit="1" customWidth="1"/>
    <col min="28" max="28" width="11" style="71" bestFit="1" customWidth="1"/>
    <col min="29" max="29" width="9.42578125" style="71" bestFit="1" customWidth="1"/>
    <col min="30" max="31" width="9.42578125" style="71" customWidth="1"/>
    <col min="32" max="32" width="11.42578125" style="71"/>
    <col min="33" max="34" width="14" style="71" bestFit="1" customWidth="1"/>
    <col min="35" max="35" width="10.5703125" style="71" bestFit="1" customWidth="1"/>
    <col min="36" max="36" width="9.42578125" style="71" bestFit="1" customWidth="1"/>
    <col min="37" max="38" width="10.5703125" style="71" bestFit="1" customWidth="1"/>
    <col min="39" max="41" width="10.5703125" style="71" customWidth="1"/>
    <col min="42" max="42" width="9" style="71" bestFit="1" customWidth="1"/>
    <col min="43" max="43" width="10.5703125" style="71" bestFit="1" customWidth="1"/>
    <col min="44" max="44" width="9.28515625" style="71" bestFit="1" customWidth="1"/>
    <col min="45" max="45" width="11.7109375" style="71" bestFit="1" customWidth="1"/>
    <col min="46" max="46" width="8.42578125" style="71" bestFit="1" customWidth="1"/>
    <col min="47" max="47" width="9.42578125" style="71" bestFit="1" customWidth="1"/>
    <col min="48" max="48" width="9.7109375" style="71" bestFit="1" customWidth="1"/>
    <col min="49" max="49" width="11" style="71" bestFit="1" customWidth="1"/>
    <col min="50" max="50" width="9.42578125" style="71" bestFit="1" customWidth="1"/>
    <col min="51" max="52" width="9.42578125" style="71" customWidth="1"/>
    <col min="53" max="53" width="10.5703125" style="71" bestFit="1" customWidth="1"/>
    <col min="54" max="54" width="14.28515625" style="71" customWidth="1"/>
    <col min="55" max="55" width="14" style="71" customWidth="1"/>
    <col min="56" max="56" width="10.5703125" style="71" bestFit="1" customWidth="1"/>
    <col min="57" max="57" width="9.42578125" style="71" bestFit="1" customWidth="1"/>
    <col min="58" max="59" width="10.5703125" style="71" bestFit="1" customWidth="1"/>
    <col min="60" max="62" width="10.5703125" style="71" customWidth="1"/>
    <col min="63" max="63" width="9" style="71" bestFit="1" customWidth="1"/>
    <col min="64" max="64" width="10.5703125" style="71" bestFit="1" customWidth="1"/>
    <col min="65" max="65" width="9.28515625" style="71" bestFit="1" customWidth="1"/>
    <col min="66" max="66" width="11.7109375" style="71" bestFit="1" customWidth="1"/>
    <col min="67" max="67" width="8.42578125" style="71" bestFit="1" customWidth="1"/>
    <col min="68" max="68" width="9.42578125" style="71" bestFit="1" customWidth="1"/>
    <col min="69" max="69" width="9.7109375" style="71" bestFit="1" customWidth="1"/>
    <col min="70" max="70" width="11" style="71" bestFit="1" customWidth="1"/>
    <col min="71" max="71" width="9.42578125" style="71" bestFit="1" customWidth="1"/>
    <col min="72" max="73" width="9.42578125" style="71" customWidth="1"/>
    <col min="74" max="74" width="10.5703125" style="71" bestFit="1" customWidth="1"/>
    <col min="75" max="75" width="14" style="71" bestFit="1" customWidth="1"/>
    <col min="76" max="76" width="13.85546875" style="71" customWidth="1"/>
    <col min="77" max="77" width="10.5703125" style="71" bestFit="1" customWidth="1"/>
    <col min="78" max="78" width="9.42578125" style="71" bestFit="1" customWidth="1"/>
    <col min="79" max="80" width="10.5703125" style="71" bestFit="1" customWidth="1"/>
    <col min="81" max="83" width="10.5703125" style="71" customWidth="1"/>
    <col min="84" max="84" width="11.42578125" style="71"/>
    <col min="85" max="85" width="10.5703125" style="71" bestFit="1" customWidth="1"/>
    <col min="86" max="86" width="9.28515625" style="71" bestFit="1" customWidth="1"/>
    <col min="87" max="87" width="11.7109375" style="71" bestFit="1" customWidth="1"/>
    <col min="88" max="88" width="8.42578125" style="71" bestFit="1" customWidth="1"/>
    <col min="89" max="89" width="9.42578125" style="71" bestFit="1" customWidth="1"/>
    <col min="90" max="90" width="9.7109375" style="71" bestFit="1" customWidth="1"/>
    <col min="91" max="91" width="11" style="71" bestFit="1" customWidth="1"/>
    <col min="92" max="92" width="9.42578125" style="71" bestFit="1" customWidth="1"/>
    <col min="93" max="94" width="9.42578125" style="71" customWidth="1"/>
    <col min="95" max="95" width="11.42578125" style="71"/>
    <col min="96" max="97" width="14" style="71" customWidth="1"/>
    <col min="98" max="98" width="10.5703125" style="71" bestFit="1" customWidth="1"/>
    <col min="99" max="99" width="9.42578125" style="71" bestFit="1" customWidth="1"/>
    <col min="100" max="101" width="10.5703125" style="71" bestFit="1" customWidth="1"/>
    <col min="102" max="104" width="10.5703125" style="71" customWidth="1"/>
    <col min="105" max="105" width="9" style="71" bestFit="1" customWidth="1"/>
    <col min="106" max="106" width="10.5703125" style="71" bestFit="1" customWidth="1"/>
    <col min="107" max="107" width="9.28515625" style="71" bestFit="1" customWidth="1"/>
    <col min="108" max="108" width="11.7109375" style="71" bestFit="1" customWidth="1"/>
    <col min="109" max="109" width="8.42578125" style="71" bestFit="1" customWidth="1"/>
    <col min="110" max="110" width="9.42578125" style="71" bestFit="1" customWidth="1"/>
    <col min="111" max="111" width="9.7109375" style="71" bestFit="1" customWidth="1"/>
    <col min="112" max="112" width="11" style="71" bestFit="1" customWidth="1"/>
    <col min="113" max="113" width="9.42578125" style="71" bestFit="1" customWidth="1"/>
    <col min="114" max="115" width="9.42578125" style="71" customWidth="1"/>
    <col min="116" max="116" width="10.5703125" style="71" bestFit="1" customWidth="1"/>
    <col min="117" max="117" width="14.28515625" style="71" customWidth="1"/>
    <col min="118" max="118" width="14" style="71" bestFit="1" customWidth="1"/>
    <col min="119" max="119" width="10.5703125" style="71" bestFit="1" customWidth="1"/>
    <col min="120" max="120" width="9.42578125" style="71" bestFit="1" customWidth="1"/>
    <col min="121" max="122" width="10.5703125" style="71" bestFit="1" customWidth="1"/>
    <col min="123" max="125" width="10.5703125" style="71" customWidth="1"/>
    <col min="126" max="126" width="9" style="71" bestFit="1" customWidth="1"/>
    <col min="127" max="127" width="10.5703125" style="71" bestFit="1" customWidth="1"/>
    <col min="128" max="128" width="9.28515625" style="71" bestFit="1" customWidth="1"/>
    <col min="129" max="129" width="11.7109375" style="71" bestFit="1" customWidth="1"/>
    <col min="130" max="130" width="8.42578125" style="71" bestFit="1" customWidth="1"/>
    <col min="131" max="131" width="9.42578125" style="71" bestFit="1" customWidth="1"/>
    <col min="132" max="132" width="9.7109375" style="71" bestFit="1" customWidth="1"/>
    <col min="133" max="133" width="11" style="71" bestFit="1" customWidth="1"/>
    <col min="134" max="134" width="9.42578125" style="71" bestFit="1" customWidth="1"/>
    <col min="135" max="136" width="9.42578125" style="71" customWidth="1"/>
    <col min="137" max="137" width="10.5703125" style="71" bestFit="1" customWidth="1"/>
    <col min="138" max="139" width="14" style="71" customWidth="1"/>
    <col min="140" max="140" width="10.5703125" style="71" bestFit="1" customWidth="1"/>
    <col min="141" max="141" width="9.42578125" style="71" bestFit="1" customWidth="1"/>
    <col min="142" max="143" width="10.5703125" style="71" bestFit="1" customWidth="1"/>
    <col min="144" max="146" width="10.5703125" style="71" customWidth="1"/>
    <col min="147" max="147" width="9" style="71" bestFit="1" customWidth="1"/>
    <col min="148" max="148" width="10.5703125" style="71" bestFit="1" customWidth="1"/>
    <col min="149" max="149" width="9.28515625" style="71" bestFit="1" customWidth="1"/>
    <col min="150" max="150" width="11.7109375" style="71" bestFit="1" customWidth="1"/>
    <col min="151" max="151" width="8.42578125" style="71" bestFit="1" customWidth="1"/>
    <col min="152" max="152" width="9.42578125" style="71" bestFit="1" customWidth="1"/>
    <col min="153" max="153" width="9.7109375" style="71" bestFit="1" customWidth="1"/>
    <col min="154" max="154" width="11" style="71" bestFit="1" customWidth="1"/>
    <col min="155" max="155" width="9.42578125" style="71" bestFit="1" customWidth="1"/>
    <col min="156" max="157" width="9.42578125" style="71" customWidth="1"/>
    <col min="158" max="158" width="11.42578125" style="71"/>
    <col min="159" max="160" width="14" style="71" bestFit="1" customWidth="1"/>
    <col min="161" max="161" width="10.5703125" style="71" bestFit="1" customWidth="1"/>
    <col min="162" max="162" width="9.42578125" style="71" bestFit="1" customWidth="1"/>
    <col min="163" max="164" width="10.5703125" style="71" bestFit="1" customWidth="1"/>
    <col min="165" max="167" width="10.5703125" style="71" customWidth="1"/>
    <col min="168" max="168" width="9" style="71" bestFit="1" customWidth="1"/>
    <col min="169" max="169" width="10.5703125" style="71" bestFit="1" customWidth="1"/>
    <col min="170" max="170" width="9.28515625" style="71" bestFit="1" customWidth="1"/>
    <col min="171" max="171" width="11.7109375" style="71" bestFit="1" customWidth="1"/>
    <col min="172" max="172" width="8.140625" style="71" bestFit="1" customWidth="1"/>
    <col min="173" max="173" width="9.42578125" style="71" bestFit="1" customWidth="1"/>
    <col min="174" max="174" width="9.7109375" style="71" bestFit="1" customWidth="1"/>
    <col min="175" max="175" width="11" style="71" bestFit="1" customWidth="1"/>
    <col min="176" max="176" width="9.42578125" style="71" bestFit="1" customWidth="1"/>
    <col min="177" max="178" width="9.42578125" style="71" customWidth="1"/>
    <col min="179" max="179" width="10.5703125" style="71" bestFit="1" customWidth="1"/>
    <col min="180" max="181" width="14" style="71" bestFit="1" customWidth="1"/>
    <col min="182" max="182" width="10.5703125" style="71" bestFit="1" customWidth="1"/>
    <col min="183" max="183" width="9.42578125" style="71" bestFit="1" customWidth="1"/>
    <col min="184" max="185" width="10.5703125" style="71" bestFit="1" customWidth="1"/>
    <col min="186" max="188" width="10.5703125" style="71" customWidth="1"/>
    <col min="189" max="189" width="9" style="71" bestFit="1" customWidth="1"/>
    <col min="190" max="190" width="10.5703125" style="71" bestFit="1" customWidth="1"/>
    <col min="191" max="191" width="9.28515625" style="71" bestFit="1" customWidth="1"/>
    <col min="192" max="192" width="11.42578125" style="71"/>
    <col min="193" max="193" width="8.42578125" style="71" bestFit="1" customWidth="1"/>
    <col min="194" max="194" width="9.42578125" style="71" bestFit="1" customWidth="1"/>
    <col min="195" max="195" width="9.7109375" style="71" bestFit="1" customWidth="1"/>
    <col min="196" max="196" width="11" style="71" bestFit="1" customWidth="1"/>
    <col min="197" max="197" width="9.42578125" style="71" bestFit="1" customWidth="1"/>
    <col min="198" max="199" width="9.42578125" style="71" customWidth="1"/>
    <col min="200" max="200" width="10.5703125" style="71" bestFit="1" customWidth="1"/>
    <col min="201" max="201" width="14" style="71" customWidth="1"/>
    <col min="202" max="202" width="14.28515625" style="71" customWidth="1"/>
    <col min="203" max="203" width="10.5703125" style="71" bestFit="1" customWidth="1"/>
    <col min="204" max="204" width="9.42578125" style="71" bestFit="1" customWidth="1"/>
    <col min="205" max="206" width="10.5703125" style="71" bestFit="1" customWidth="1"/>
    <col min="207" max="209" width="10.5703125" style="71" customWidth="1"/>
    <col min="210" max="210" width="9" style="71" bestFit="1" customWidth="1"/>
    <col min="211" max="211" width="10.5703125" style="71" bestFit="1" customWidth="1"/>
    <col min="212" max="212" width="9.28515625" style="71" bestFit="1" customWidth="1"/>
    <col min="213" max="213" width="11.7109375" style="71" bestFit="1" customWidth="1"/>
    <col min="214" max="214" width="8.42578125" style="71" bestFit="1" customWidth="1"/>
    <col min="215" max="215" width="9.42578125" style="71" bestFit="1" customWidth="1"/>
    <col min="216" max="216" width="9.7109375" style="71" bestFit="1" customWidth="1"/>
    <col min="217" max="217" width="11" style="71" bestFit="1" customWidth="1"/>
    <col min="218" max="218" width="9.42578125" style="71" bestFit="1" customWidth="1"/>
    <col min="219" max="16384" width="11.42578125" style="71"/>
  </cols>
  <sheetData>
    <row r="1" spans="1:218" s="5" customFormat="1" ht="27" thickBot="1" x14ac:dyDescent="0.45">
      <c r="B1" s="314" t="s">
        <v>176</v>
      </c>
      <c r="C1" s="315"/>
      <c r="D1" s="315"/>
      <c r="E1" s="315"/>
      <c r="F1" s="315"/>
      <c r="G1" s="315"/>
      <c r="H1" s="316"/>
      <c r="I1" s="311" t="str">
        <f>IF('Données projet'!$B$9="","",'Données projet'!$B$9)</f>
        <v>Charme</v>
      </c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  <c r="W1" s="312"/>
      <c r="X1" s="312"/>
      <c r="Y1" s="312"/>
      <c r="Z1" s="312"/>
      <c r="AA1" s="312"/>
      <c r="AB1" s="312"/>
      <c r="AC1" s="313"/>
      <c r="AD1" s="312" t="str">
        <f>IF('Données projet'!$B$10="","",'Données projet'!$B$10)</f>
        <v>Chêne sessile</v>
      </c>
      <c r="AE1" s="312"/>
      <c r="AF1" s="312"/>
      <c r="AG1" s="312"/>
      <c r="AH1" s="312"/>
      <c r="AI1" s="312"/>
      <c r="AJ1" s="312"/>
      <c r="AK1" s="312"/>
      <c r="AL1" s="312"/>
      <c r="AM1" s="312"/>
      <c r="AN1" s="312"/>
      <c r="AO1" s="312"/>
      <c r="AP1" s="312"/>
      <c r="AQ1" s="312"/>
      <c r="AR1" s="312"/>
      <c r="AS1" s="312"/>
      <c r="AT1" s="312"/>
      <c r="AU1" s="312"/>
      <c r="AV1" s="312"/>
      <c r="AW1" s="312"/>
      <c r="AX1" s="313"/>
      <c r="AY1" s="311" t="str">
        <f>IF('Données projet'!$B$11="","",'Données projet'!$B$11)</f>
        <v>Chêne pubescent</v>
      </c>
      <c r="AZ1" s="312"/>
      <c r="BA1" s="312"/>
      <c r="BB1" s="312"/>
      <c r="BC1" s="312"/>
      <c r="BD1" s="312"/>
      <c r="BE1" s="312"/>
      <c r="BF1" s="312"/>
      <c r="BG1" s="312"/>
      <c r="BH1" s="312"/>
      <c r="BI1" s="312"/>
      <c r="BJ1" s="312"/>
      <c r="BK1" s="312"/>
      <c r="BL1" s="312"/>
      <c r="BM1" s="312"/>
      <c r="BN1" s="312"/>
      <c r="BO1" s="312"/>
      <c r="BP1" s="312"/>
      <c r="BQ1" s="312"/>
      <c r="BR1" s="312"/>
      <c r="BS1" s="313"/>
      <c r="BT1" s="311" t="str">
        <f>IF('Données projet'!$B$12="","",'Données projet'!$B$12)</f>
        <v>Douglas</v>
      </c>
      <c r="BU1" s="312"/>
      <c r="BV1" s="312"/>
      <c r="BW1" s="312"/>
      <c r="BX1" s="312"/>
      <c r="BY1" s="312"/>
      <c r="BZ1" s="312"/>
      <c r="CA1" s="312"/>
      <c r="CB1" s="312"/>
      <c r="CC1" s="312"/>
      <c r="CD1" s="312"/>
      <c r="CE1" s="312"/>
      <c r="CF1" s="312"/>
      <c r="CG1" s="312"/>
      <c r="CH1" s="312"/>
      <c r="CI1" s="312"/>
      <c r="CJ1" s="312"/>
      <c r="CK1" s="312"/>
      <c r="CL1" s="312"/>
      <c r="CM1" s="312"/>
      <c r="CN1" s="313"/>
      <c r="CO1" s="311" t="str">
        <f>IF('Données projet'!$B$13="","",'Données projet'!$B$13)</f>
        <v>Chêne vert</v>
      </c>
      <c r="CP1" s="312"/>
      <c r="CQ1" s="312"/>
      <c r="CR1" s="312"/>
      <c r="CS1" s="312"/>
      <c r="CT1" s="312"/>
      <c r="CU1" s="312"/>
      <c r="CV1" s="312"/>
      <c r="CW1" s="312"/>
      <c r="CX1" s="312"/>
      <c r="CY1" s="312"/>
      <c r="CZ1" s="312"/>
      <c r="DA1" s="312"/>
      <c r="DB1" s="312"/>
      <c r="DC1" s="312"/>
      <c r="DD1" s="312"/>
      <c r="DE1" s="312"/>
      <c r="DF1" s="312"/>
      <c r="DG1" s="312"/>
      <c r="DH1" s="312"/>
      <c r="DI1" s="313"/>
      <c r="DJ1" s="311" t="str">
        <f>IF('Données projet'!$B$14="","",'Données projet'!$B$14)</f>
        <v>Chêne pédonculé</v>
      </c>
      <c r="DK1" s="312"/>
      <c r="DL1" s="312"/>
      <c r="DM1" s="312"/>
      <c r="DN1" s="312"/>
      <c r="DO1" s="312"/>
      <c r="DP1" s="312"/>
      <c r="DQ1" s="312"/>
      <c r="DR1" s="312"/>
      <c r="DS1" s="312"/>
      <c r="DT1" s="312"/>
      <c r="DU1" s="312"/>
      <c r="DV1" s="312"/>
      <c r="DW1" s="312"/>
      <c r="DX1" s="312"/>
      <c r="DY1" s="312"/>
      <c r="DZ1" s="312"/>
      <c r="EA1" s="312"/>
      <c r="EB1" s="312"/>
      <c r="EC1" s="312"/>
      <c r="ED1" s="313"/>
      <c r="EE1" s="311" t="str">
        <f>IF('Données projet'!$B$15="","",'Données projet'!$B$15)</f>
        <v>Chêne chevelu</v>
      </c>
      <c r="EF1" s="312"/>
      <c r="EG1" s="312"/>
      <c r="EH1" s="312"/>
      <c r="EI1" s="312"/>
      <c r="EJ1" s="312"/>
      <c r="EK1" s="312"/>
      <c r="EL1" s="312"/>
      <c r="EM1" s="312"/>
      <c r="EN1" s="312"/>
      <c r="EO1" s="312"/>
      <c r="EP1" s="312"/>
      <c r="EQ1" s="312"/>
      <c r="ER1" s="312"/>
      <c r="ES1" s="312"/>
      <c r="ET1" s="312"/>
      <c r="EU1" s="312"/>
      <c r="EV1" s="312"/>
      <c r="EW1" s="312"/>
      <c r="EX1" s="312"/>
      <c r="EY1" s="313"/>
      <c r="EZ1" s="311" t="str">
        <f>IF('Données projet'!$B$16="","",'Données projet'!$B$16)</f>
        <v>Pin taeda</v>
      </c>
      <c r="FA1" s="312"/>
      <c r="FB1" s="312"/>
      <c r="FC1" s="312"/>
      <c r="FD1" s="312"/>
      <c r="FE1" s="312"/>
      <c r="FF1" s="312"/>
      <c r="FG1" s="312"/>
      <c r="FH1" s="312"/>
      <c r="FI1" s="312"/>
      <c r="FJ1" s="312"/>
      <c r="FK1" s="312"/>
      <c r="FL1" s="312"/>
      <c r="FM1" s="312"/>
      <c r="FN1" s="312"/>
      <c r="FO1" s="312"/>
      <c r="FP1" s="312"/>
      <c r="FQ1" s="312"/>
      <c r="FR1" s="312"/>
      <c r="FS1" s="312"/>
      <c r="FT1" s="313"/>
      <c r="FU1" s="311" t="str">
        <f>IF('Données projet'!$B$17="","",'Données projet'!$B$17)</f>
        <v>Pin laricio</v>
      </c>
      <c r="FV1" s="312"/>
      <c r="FW1" s="312"/>
      <c r="FX1" s="312"/>
      <c r="FY1" s="312"/>
      <c r="FZ1" s="312"/>
      <c r="GA1" s="312"/>
      <c r="GB1" s="312"/>
      <c r="GC1" s="312"/>
      <c r="GD1" s="312"/>
      <c r="GE1" s="312"/>
      <c r="GF1" s="312"/>
      <c r="GG1" s="312"/>
      <c r="GH1" s="312"/>
      <c r="GI1" s="312"/>
      <c r="GJ1" s="312"/>
      <c r="GK1" s="312"/>
      <c r="GL1" s="312"/>
      <c r="GM1" s="312"/>
      <c r="GN1" s="312"/>
      <c r="GO1" s="313"/>
      <c r="GP1" s="311" t="str">
        <f>IF('Données projet'!$B$18="","",'Données projet'!$B$18)</f>
        <v>Cèdre de l'Atlas</v>
      </c>
      <c r="GQ1" s="312"/>
      <c r="GR1" s="312"/>
      <c r="GS1" s="312"/>
      <c r="GT1" s="312"/>
      <c r="GU1" s="312"/>
      <c r="GV1" s="312"/>
      <c r="GW1" s="312"/>
      <c r="GX1" s="312"/>
      <c r="GY1" s="312"/>
      <c r="GZ1" s="312"/>
      <c r="HA1" s="312"/>
      <c r="HB1" s="312"/>
      <c r="HC1" s="312"/>
      <c r="HD1" s="312"/>
      <c r="HE1" s="312"/>
      <c r="HF1" s="312"/>
      <c r="HG1" s="312"/>
      <c r="HH1" s="312"/>
      <c r="HI1" s="312"/>
      <c r="HJ1" s="313"/>
    </row>
    <row r="2" spans="1:218" s="5" customFormat="1" ht="75.75" thickBot="1" x14ac:dyDescent="0.3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256.66666666666669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256.66666666666669</v>
      </c>
      <c r="S3" s="62">
        <f ca="1">AVERAGE(OFFSET($R$3,0,0,'Données projet'!$E$9+1,1))-AVERAGE(OFFSET($H$3,0,0,'Données projet'!$E$9+1,1))</f>
        <v>367.11183928586667</v>
      </c>
      <c r="T3" s="62">
        <f>IF('Données projet'!E9&gt;30,$R$33-$H$33,LOOKUP('Données projet'!$E$9,$A$3:$A$203,R3:R203)-LOOKUP('Données projet'!$E$9,$A$3:$A$203,$H$3:$H$203))</f>
        <v>281.52963027844595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2">
        <f>AL3+(AD3+AE3)*44/12</f>
        <v>256.66666666666669</v>
      </c>
      <c r="AN3" s="62">
        <f ca="1">AVERAGE(OFFSET($AM$3,0,0,'Données projet'!$E$10+1,1))-AVERAGE(OFFSET($H$3,0,0,'Données projet'!$E$10+1,1))</f>
        <v>428.8489304403459</v>
      </c>
      <c r="AO3" s="62">
        <f>IF('Données projet'!E10&gt;30,$AM$33-$H$33,LOOKUP('Données projet'!$E$10,$A$3:$A$203,AM3:AM203)-LOOKUP('Données projet'!$E$10,$A$3:$A$203,$H$3:$H$203))</f>
        <v>247.01165577562966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>
        <f>BD3*VLOOKUP('Données projet'!$B$11,Paramètres!$A$1:$I$89,3,0)*VLOOKUP('Données projet'!$B$11,Paramètres!$A$1:$I$89,5,0)</f>
        <v>0</v>
      </c>
      <c r="BF3" s="13">
        <v>0</v>
      </c>
      <c r="BG3" s="15">
        <f>(BE3+BF3)*0.475*44/12</f>
        <v>0</v>
      </c>
      <c r="BH3" s="62">
        <f>BG3+(AY3+AZ3)*44/12</f>
        <v>256.66666666666669</v>
      </c>
      <c r="BI3" s="62">
        <f ca="1">AVERAGE(OFFSET($BH$3,0,0,'Données projet'!$E$11+1,1))-AVERAGE(OFFSET($H$3,0,0,'Données projet'!$E$11+1,1))</f>
        <v>475.47920969424894</v>
      </c>
      <c r="BJ3" s="62">
        <f>IF('Données projet'!E11&gt;30,$BH$33-$H$33,LOOKUP('Données projet'!$E$11,$A$3:$A$203,BH3:BH203)-LOOKUP('Données projet'!$E$11,$A$3:$A$203,$H$3:$H$203))</f>
        <v>271.73544012419364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>
        <f>BY3*VLOOKUP('Données projet'!$B$12,Paramètres!$A$1:$I$89,3,0)*VLOOKUP('Données projet'!$B$12,Paramètres!$A$1:$I$89,5,0)</f>
        <v>0</v>
      </c>
      <c r="CA3" s="13">
        <v>0</v>
      </c>
      <c r="CB3" s="15">
        <f>(BZ3+CA3)*0.475*44/12</f>
        <v>0</v>
      </c>
      <c r="CC3" s="62">
        <f>CB3+(BT3+BU3)*44/12</f>
        <v>256.66666666666669</v>
      </c>
      <c r="CD3" s="62">
        <f ca="1">AVERAGE(OFFSET($CC$3,0,0,'Données projet'!$E$12+1,1))-AVERAGE(OFFSET($H$3,0,0,'Données projet'!$E$12+1,1))</f>
        <v>323.98185264074681</v>
      </c>
      <c r="CE3" s="62">
        <f>IF('Données projet'!E12&gt;30,$CC$33-$H$33,LOOKUP('Données projet'!$E$12,$A$3:$A$203,CC3:CC203)-LOOKUP('Données projet'!$E$12,$A$3:$A$203,$H$3:$H$203))</f>
        <v>301.22207291854005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>
        <f>CT3*VLOOKUP('Données projet'!$B$13,Paramètres!$A$1:$I$89,3,0)*VLOOKUP('Données projet'!$B$13,Paramètres!$A$1:$I$89,5,0)</f>
        <v>0</v>
      </c>
      <c r="CV3" s="13">
        <v>0</v>
      </c>
      <c r="CW3" s="15">
        <f>(CU3+CV3)*0.475*44/12</f>
        <v>0</v>
      </c>
      <c r="CX3" s="62">
        <f>CW3+(CO3+CP3)*44/12</f>
        <v>256.66666666666669</v>
      </c>
      <c r="CY3" s="62">
        <f ca="1">AVERAGE(OFFSET($CX$3,0,0,'Données projet'!$E$13+1,1))-AVERAGE(OFFSET($H$3,0,0,'Données projet'!$E$13+1,1))</f>
        <v>399.78832690250164</v>
      </c>
      <c r="CZ3" s="62">
        <f>IF('Données projet'!E13&gt;30,$CX$33-$H$33,LOOKUP('Données projet'!$E$13,$A$3:$A$203,CX3:CX203)-LOOKUP('Données projet'!$E$13,$A$3:$A$203,$H$3:$H$203))</f>
        <v>174.32967064896343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>
        <f>DO3*VLOOKUP('Données projet'!$B$14,Paramètres!$A$1:$I$89,3,0)*VLOOKUP('Données projet'!$B$14,Paramètres!$A$1:$I$89,5,0)</f>
        <v>0</v>
      </c>
      <c r="DQ3" s="13">
        <v>0</v>
      </c>
      <c r="DR3" s="15">
        <f>(DP3+DQ3)*0.475*44/12</f>
        <v>0</v>
      </c>
      <c r="DS3" s="62">
        <f>DR3+(DJ3+DK3)*44/12</f>
        <v>256.66666666666669</v>
      </c>
      <c r="DT3" s="62">
        <f ca="1">AVERAGE(OFFSET($DS$3,0,0,'Données projet'!$E$14+1,1))-AVERAGE(OFFSET($H$3,0,0,'Données projet'!$E$14+1,1))</f>
        <v>402.15128814037058</v>
      </c>
      <c r="DU3" s="62">
        <f>IF('Données projet'!E14&gt;30,$DS$33-$H$33,LOOKUP('Données projet'!$E$14,$A$3:$A$203,DS3:DS203)-LOOKUP('Données projet'!$E$14,$A$3:$A$203,$H$3:$H$203))</f>
        <v>232.85411068442738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>
        <f>EJ3*VLOOKUP('Données projet'!$B$15,Paramètres!$A$1:$I$89,3,0)*VLOOKUP('Données projet'!$B$15,Paramètres!$A$1:$I$89,5,0)</f>
        <v>0</v>
      </c>
      <c r="EL3" s="13">
        <v>0</v>
      </c>
      <c r="EM3" s="15">
        <f>(EK3+EL3)*0.475*44/12</f>
        <v>0</v>
      </c>
      <c r="EN3" s="62">
        <f>EM3+(EE3+EF3)*44/12</f>
        <v>256.66666666666669</v>
      </c>
      <c r="EO3" s="62">
        <f ca="1">AVERAGE(OFFSET($EN$3,0,0,'Données projet'!$E$15+1,1))-AVERAGE(OFFSET($H$3,0,0,'Données projet'!$E$15+1,1))</f>
        <v>595.89992279024398</v>
      </c>
      <c r="EP3" s="62">
        <f>IF('Données projet'!E15&gt;30,$EN$33-$H$33,LOOKUP('Données projet'!$E$15,$A$3:$A$203,EN3:EN203)-LOOKUP('Données projet'!$E$15,$A$3:$A$203,$H$3:$H$203))</f>
        <v>378.16197659288338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>
        <f>FE3*VLOOKUP('Données projet'!$B$16,Paramètres!$A$1:$I$89,3,0)*VLOOKUP('Données projet'!$B$16,Paramètres!$A$1:$I$89,5,0)</f>
        <v>0</v>
      </c>
      <c r="FG3" s="13">
        <v>0</v>
      </c>
      <c r="FH3" s="15">
        <f>(FF3+FG3)*0.475*44/12</f>
        <v>0</v>
      </c>
      <c r="FI3" s="62">
        <f>FH3+(EZ3+FA3)*44/12</f>
        <v>256.66666666666669</v>
      </c>
      <c r="FJ3" s="62">
        <f ca="1">AVERAGE(OFFSET($FI$3,0,0,'Données projet'!$E$16+1,1))-AVERAGE(OFFSET($H$3,0,0,'Données projet'!$E$16+1,1))</f>
        <v>257.56116197646924</v>
      </c>
      <c r="FK3" s="62">
        <f>IF('Données projet'!E16&gt;30,$FI$33-$H$33,LOOKUP('Données projet'!$E$16,$A$3:$A$203,FI3:FI203)-LOOKUP('Données projet'!$E$16,$A$3:$A$203,$H$3:$H$203))</f>
        <v>269.95556918835888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>
        <f>FZ3*VLOOKUP('Données projet'!$B$17,Paramètres!$A$1:$I$89,3,0)*VLOOKUP('Données projet'!$B$17,Paramètres!$A$1:$I$89,5,0)</f>
        <v>0</v>
      </c>
      <c r="GB3" s="13">
        <v>0</v>
      </c>
      <c r="GC3" s="15">
        <f>(GA3+GB3)*0.475*44/12</f>
        <v>0</v>
      </c>
      <c r="GD3" s="62">
        <f>GC3+(FU3+FV3)*44/12</f>
        <v>256.66666666666669</v>
      </c>
      <c r="GE3" s="62">
        <f ca="1">AVERAGE(OFFSET($GD$3,0,0,'Données projet'!$E$17+1,1))-AVERAGE(OFFSET($H$3,0,0,'Données projet'!$E$17+1,1))</f>
        <v>289.12367833861299</v>
      </c>
      <c r="GF3" s="62">
        <f>IF('Données projet'!E17&gt;30,$GD$33-$H$33,LOOKUP('Données projet'!$E$17,$A$3:$A$203,GD3:GD203)-LOOKUP('Données projet'!$E$17,$A$3:$A$203,$H$3:$H$203))</f>
        <v>229.06617320689003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>
        <f>GU3*VLOOKUP('Données projet'!$B$18,Paramètres!$A$1:$I$89,3,0)*VLOOKUP('Données projet'!$B$18,Paramètres!$A$1:$I$89,5,0)</f>
        <v>0</v>
      </c>
      <c r="GW3" s="13">
        <v>0</v>
      </c>
      <c r="GX3" s="15">
        <f>(GV3+GW3)*0.475*44/12</f>
        <v>0</v>
      </c>
      <c r="GY3" s="62">
        <f>GX3+(GP3+GQ3)*44/12</f>
        <v>256.66666666666669</v>
      </c>
      <c r="GZ3" s="62">
        <f ca="1">AVERAGE(OFFSET($GY$3,0,0,'Données projet'!$E$18+1,1))-AVERAGE(OFFSET($H$3,0,0,'Données projet'!$E$18+1,1))</f>
        <v>284.88646502866419</v>
      </c>
      <c r="HA3" s="62">
        <f>IF('Données projet'!E18&gt;30,$GY$33-$H$33,LOOKUP('Données projet'!$E$18,$A$3:$A$203,GY3:GY203)-LOOKUP('Données projet'!$E$18,$A$3:$A$203,$H$3:$H$203))</f>
        <v>190.4880882944471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2">
        <f>IFERROR(EXP(-1.0587+0.8836*LN(C4)+0.284),0)</f>
        <v>0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0</v>
      </c>
      <c r="H4" s="70">
        <f t="shared" ref="H4:H67" si="1">(B4+E4+F4)*44/12+(C4+D4)*0.475*44/12</f>
        <v>256.66666666666669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2.4358974358974361</v>
      </c>
      <c r="N4" s="14">
        <f>IF('Données projet'!$A$36&gt;35,N3+M4-V3,IF(A4&lt;'Données projet'!$A$36,$K$205^A4,IF(A4='Données projet'!$A$36,'Données projet'!$B$36,N3+M4-V3)))</f>
        <v>1.2711106295585217</v>
      </c>
      <c r="O4" s="14">
        <f>N4*VLOOKUP('Données projet'!$B$9,Paramètres!$A$1:$I$89,3,0)*VLOOKUP('Données projet'!$B$9,Paramètres!$A$1:$I$89,5,0)</f>
        <v>1.2095888750878894</v>
      </c>
      <c r="P4" s="14">
        <f>EXP(-1.0587+0.8836*LN(O4)+0.284)</f>
        <v>0.5452187850680178</v>
      </c>
      <c r="Q4" s="22">
        <f t="shared" ref="Q4:Q34" si="2">(O4+P4)*0.475*44/12</f>
        <v>3.0562900081048716</v>
      </c>
      <c r="R4" s="62">
        <f t="shared" si="0"/>
        <v>260.94517889699375</v>
      </c>
      <c r="S4" s="62">
        <f ca="1">AVERAGE(OFFSET($R$3,0,0,'Données projet'!$E$9+1,1))-AVERAGE(OFFSET($H$3,0,0,'Données projet'!$E$9+1,1))</f>
        <v>367.11183928586667</v>
      </c>
      <c r="T4" s="62">
        <f>$T$3</f>
        <v>281.52963027844595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2.1</v>
      </c>
      <c r="AI4" s="14">
        <f>IF('Données projet'!$A$62&gt;35,AI3+AH4-AQ3,IF(A4&lt;'Données projet'!$A$62,$AF$205^A4,IF(A4='Données projet'!$A$62,'Données projet'!$B$62,AI3+AH4-AQ3)))</f>
        <v>1.2054868146447177</v>
      </c>
      <c r="AJ4" s="14">
        <f>AI4*VLOOKUP('Données projet'!$B$10,Paramètres!$A$1:$I$89,3,0)*VLOOKUP('Données projet'!$B$10,Paramètres!$A$1:$I$89,5,0)</f>
        <v>1.0907244698905405</v>
      </c>
      <c r="AK4" s="14">
        <f>EXP(-1.0587+0.8836*LN(AJ4)+0.284)</f>
        <v>0.49759623852608204</v>
      </c>
      <c r="AL4" s="22">
        <f t="shared" ref="AL4:AL67" si="4">(AJ4+AK4)*0.475*44/12</f>
        <v>2.7663252338256172</v>
      </c>
      <c r="AM4" s="62">
        <f t="shared" ref="AM4:AM67" si="5">AL4+(AD4+AE4)*44/12</f>
        <v>260.65521412271448</v>
      </c>
      <c r="AN4" s="62">
        <f ca="1">AVERAGE(OFFSET($AM$3,0,0,'Données projet'!$E$10+1,1))-AVERAGE(OFFSET($H$3,0,0,'Données projet'!$E$10+1,1))</f>
        <v>428.8489304403459</v>
      </c>
      <c r="AO4" s="62">
        <f>$AO$3</f>
        <v>247.01165577562966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2.1</v>
      </c>
      <c r="BD4" s="13">
        <f>IF('Données projet'!$A$88&gt;35,BD3+BC4-BL3,IF(A4&lt;'Données projet'!$A$88,$BA$205^A4,IF(A4='Données projet'!$A$88,'Données projet'!$B$88,BD3+BC4-BL3)))</f>
        <v>1.2054868146447177</v>
      </c>
      <c r="BE4" s="14">
        <f>BD4*VLOOKUP('Données projet'!$B$11,Paramètres!$A$1:$I$89,3,0)*VLOOKUP('Données projet'!$B$11,Paramètres!$A$1:$I$89,5,0)</f>
        <v>1.2223636300497438</v>
      </c>
      <c r="BF4" s="14">
        <f>EXP(-1.0587+0.8836*LN(BE4)+0.284)</f>
        <v>0.55030360208821416</v>
      </c>
      <c r="BG4" s="22">
        <f t="shared" ref="BG4:BG67" si="7">(BE4+BF4)*0.475*44/12</f>
        <v>3.0873954293069432</v>
      </c>
      <c r="BH4" s="62">
        <f t="shared" ref="BH4:BH67" si="8">BG4+(AY4+AZ4)*44/12</f>
        <v>260.97628431819578</v>
      </c>
      <c r="BI4" s="62">
        <f ca="1">AVERAGE(OFFSET($BH$3,0,0,'Données projet'!$E$11+1,1))-AVERAGE(OFFSET($H$3,0,0,'Données projet'!$E$11+1,1))</f>
        <v>475.47920969424894</v>
      </c>
      <c r="BJ4" s="62">
        <f>$BJ$3</f>
        <v>271.73544012419364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>
        <f>EXP(-LN(2)/35)*BP3+(1-EXP(-LN(2)/35))/(LN(2)/35)*BL4*BM4*VLOOKUP('Données projet'!$B$11,Paramètres!$A$1:$I$89,3,0)*0.475*44/12</f>
        <v>0</v>
      </c>
      <c r="BQ4" s="23">
        <f>EXP(-LN(2)/25)*BQ3+(1-EXP(-LN(2)/25))/(LN(2)/25)*Calculateur!BL4*Calculateur!BN4*VLOOKUP('Données projet'!$B$11,Paramètres!$A$1:$I$89,3,0)*0.475*44/12</f>
        <v>0</v>
      </c>
      <c r="BR4" s="23">
        <f>EXP(-LN(2)/2)*BR3+(1-EXP(-LN(2)/2))/(LN(2)/2)*BL4*BO4*VLOOKUP('Données projet'!$B$11,Paramètres!$A$1:$I$89,3,0)*0.475*44/12</f>
        <v>0</v>
      </c>
      <c r="BS4" s="24">
        <f t="shared" ref="BS4:BS67" si="9">SUM(BP4:BR4)</f>
        <v>0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7.7987854251012134</v>
      </c>
      <c r="BY4" s="13">
        <f>IF('Données projet'!$A$114&gt;35,BY3+BX4-CG3,IF(A4&lt;'Données projet'!$A$114,$BV$205^A4,IF(A4='Données projet'!$A$114,'Données projet'!$B$114,BY3+BX4-CG3)))</f>
        <v>1.3009230512021859</v>
      </c>
      <c r="BZ4" s="14">
        <f>BY4*VLOOKUP('Données projet'!$B$12,Paramètres!$A$1:$I$89,3,0)*VLOOKUP('Données projet'!$B$12,Paramètres!$A$1:$I$89,5,0)</f>
        <v>0.72721598562202194</v>
      </c>
      <c r="CA4" s="14">
        <f>EXP(-1.0587+0.8836*LN(BZ4)+0.284)</f>
        <v>0.3477906162348457</v>
      </c>
      <c r="CB4" s="22">
        <f t="shared" ref="CB4:CB67" si="10">(BZ4+CA4)*0.475*44/12</f>
        <v>1.8723031649007107</v>
      </c>
      <c r="CC4" s="62">
        <f t="shared" ref="CC4:CC67" si="11">CB4+(BT4+BU4)*44/12</f>
        <v>259.76119205378956</v>
      </c>
      <c r="CD4" s="62">
        <f ca="1">AVERAGE(OFFSET($CC$3,0,0,'Données projet'!$E$12+1,1))-AVERAGE(OFFSET($H$3,0,0,'Données projet'!$E$12+1,1))</f>
        <v>323.98185264074681</v>
      </c>
      <c r="CE4" s="62">
        <f>$CE$3</f>
        <v>301.22207291854005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>
        <f>EXP(-LN(2)/35)*CK3+(1-EXP(-LN(2)/35))/(LN(2)/35)*CG4*CH4*VLOOKUP('Données projet'!$B$12,Paramètres!$A$1:$I$89,3,0)*0.475*44/12</f>
        <v>0</v>
      </c>
      <c r="CL4" s="23">
        <f>EXP(-LN(2)/25)*CL3+(1-EXP(-LN(2)/25))/(LN(2)/25)*Calculateur!CG4*Calculateur!CI4*VLOOKUP('Données projet'!$B$12,Paramètres!$A$1:$I$89,3,0)*0.475*44/12</f>
        <v>0</v>
      </c>
      <c r="CM4" s="23">
        <f>EXP(-LN(2)/2)*CM3+(1-EXP(-LN(2)/2))/(LN(2)/2)*CG4*CJ4*VLOOKUP('Données projet'!$B$12,Paramètres!$A$1:$I$89,3,0)*0.475*44/12</f>
        <v>0</v>
      </c>
      <c r="CN4" s="24">
        <f t="shared" ref="CN4:CN67" si="12">SUM(CK4:CM4)</f>
        <v>0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1.2</v>
      </c>
      <c r="CT4" s="13">
        <f>IF('Données projet'!$A$140&gt;35,CT3+CS4-DB3,IF(A4&lt;'Données projet'!$A$140,$CQ$205^A4,IF(A4='Données projet'!$A$140,'Données projet'!$B$140,CT3+CS4-DB3)))</f>
        <v>1.1457367676485573</v>
      </c>
      <c r="CU4" s="18">
        <f>CT4*VLOOKUP('Données projet'!$B$13,Paramètres!$A$1:$I$89,3,0)*VLOOKUP('Données projet'!$B$13,Paramètres!$A$1:$I$89,5,0)</f>
        <v>1.3047650309981771</v>
      </c>
      <c r="CV4" s="14">
        <f>EXP(-1.0587+0.8836*LN(CU4)+0.284)</f>
        <v>0.58295685400878672</v>
      </c>
      <c r="CW4" s="22">
        <f t="shared" ref="CW4:CW67" si="13">(CU4+CV4)*0.475*44/12</f>
        <v>3.2877822830537951</v>
      </c>
      <c r="CX4" s="62">
        <f t="shared" ref="CX4:CX67" si="14">CW4+(CO4+CP4)*44/12</f>
        <v>261.17667117194264</v>
      </c>
      <c r="CY4" s="62">
        <f ca="1">AVERAGE(OFFSET($CX$3,0,0,'Données projet'!$E$13+1,1))-AVERAGE(OFFSET($H$3,0,0,'Données projet'!$E$13+1,1))</f>
        <v>399.78832690250164</v>
      </c>
      <c r="CZ4" s="62">
        <f>$CZ$3</f>
        <v>174.32967064896343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>
        <f>EXP(-LN(2)/35)*DF3+(1-EXP(-LN(2)/35))/(LN(2)/35)*DB4*DC4*VLOOKUP('Données projet'!$B$13,Paramètres!$A$1:$I$89,3,0)*0.475*44/12</f>
        <v>0</v>
      </c>
      <c r="DG4" s="23">
        <f>EXP(-LN(2)/25)*DG3+(1-EXP(-LN(2)/25))/(LN(2)/25)*Calculateur!DB4*Calculateur!DD4*VLOOKUP('Données projet'!$B$13,Paramètres!$A$1:$I$89,3,0)*0.475*44/12</f>
        <v>0</v>
      </c>
      <c r="DH4" s="23">
        <f>EXP(-LN(2)/2)*DH3+(1-EXP(-LN(2)/2))/(LN(2)/2)*DB4*DE4*VLOOKUP('Données projet'!$B$13,Paramètres!$A$1:$I$89,3,0)*0.475*44/12</f>
        <v>0</v>
      </c>
      <c r="DI4" s="24">
        <f t="shared" ref="DI4:DI67" si="15">SUM(DF4:DH4)</f>
        <v>0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2.1</v>
      </c>
      <c r="DO4" s="13">
        <f>IF('Données projet'!$A$166&gt;35,DO3+DN4-DW3,IF(A4&lt;'Données projet'!$A$166,$DL$205^A4,IF(A4='Données projet'!$A$166,'Données projet'!$B$166,DO3+DN4-DW3)))</f>
        <v>1.2054868146447177</v>
      </c>
      <c r="DP4" s="18">
        <f>DO4*VLOOKUP('Données projet'!$B$14,Paramètres!$A$1:$I$89,3,0)*VLOOKUP('Données projet'!$B$14,Paramètres!$A$1:$I$89,5,0)</f>
        <v>1.0155020926567102</v>
      </c>
      <c r="DQ4" s="14">
        <f>EXP(-1.0587+0.8836*LN(DP4)+0.284)</f>
        <v>0.46714880239274614</v>
      </c>
      <c r="DR4" s="22">
        <f t="shared" ref="DR4:DR67" si="16">(DP4+DQ4)*0.475*44/12</f>
        <v>2.5822836422111366</v>
      </c>
      <c r="DS4" s="62">
        <f t="shared" ref="DS4:DS67" si="17">DR4+(DJ4+DK4)*44/12</f>
        <v>260.47117253109997</v>
      </c>
      <c r="DT4" s="62">
        <f ca="1">AVERAGE(OFFSET($DS$3,0,0,'Données projet'!$E$14+1,1))-AVERAGE(OFFSET($H$3,0,0,'Données projet'!$E$14+1,1))</f>
        <v>402.15128814037058</v>
      </c>
      <c r="DU4" s="62">
        <f>$DU$3</f>
        <v>232.85411068442738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>
        <f>EXP(-LN(2)/35)*EA3+(1-EXP(-LN(2)/35))/(LN(2)/35)*DW4*DX4*VLOOKUP('Données projet'!$B$14,Paramètres!$A$1:$I$89,3,0)*0.475*44/12</f>
        <v>0</v>
      </c>
      <c r="EB4" s="23">
        <f>EXP(-LN(2)/25)*EB3+(1-EXP(-LN(2)/25))/(LN(2)/25)*Calculateur!DW4*Calculateur!DY4*VLOOKUP('Données projet'!$B$14,Paramètres!$A$1:$I$89,3,0)*0.475*44/12</f>
        <v>0</v>
      </c>
      <c r="EC4" s="23">
        <f>EXP(-LN(2)/2)*EC3+(1-EXP(-LN(2)/2))/(LN(2)/2)*DW4*DZ4*VLOOKUP('Données projet'!$B$14,Paramètres!$A$1:$I$89,3,0)*0.475*44/12</f>
        <v>0</v>
      </c>
      <c r="ED4" s="24">
        <f t="shared" ref="ED4:ED67" si="18">SUM(EA4:EC4)</f>
        <v>0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2.8205128205128203</v>
      </c>
      <c r="EJ4" s="13">
        <f>IF('Données projet'!$A$192&gt;35,EJ3+EI4-ER3,IF(A4&lt;'Données projet'!$A$192,$EG$205^A4,IF(A4='Données projet'!$A$192,'Données projet'!$B$192,EJ3+EI4-ER3)))</f>
        <v>1.2835948199965717</v>
      </c>
      <c r="EK4" s="18">
        <f>EJ4*VLOOKUP('Données projet'!$B$15,Paramètres!$A$1:$I$89,3,0)*VLOOKUP('Données projet'!$B$15,Paramètres!$A$1:$I$89,5,0)</f>
        <v>1.3416133058604169</v>
      </c>
      <c r="EL4" s="14">
        <f>EXP(-1.0587+0.8836*LN(EK4)+0.284)</f>
        <v>0.59748030964646115</v>
      </c>
      <c r="EM4" s="22">
        <f t="shared" ref="EM4:EM67" si="19">(EK4+EL4)*0.475*44/12</f>
        <v>3.3772547136744788</v>
      </c>
      <c r="EN4" s="62">
        <f t="shared" ref="EN4:EN67" si="20">EM4+(EE4+EF4)*44/12</f>
        <v>261.26614360256332</v>
      </c>
      <c r="EO4" s="62">
        <f ca="1">AVERAGE(OFFSET($EN$3,0,0,'Données projet'!$E$15+1,1))-AVERAGE(OFFSET($H$3,0,0,'Données projet'!$E$15+1,1))</f>
        <v>595.89992279024398</v>
      </c>
      <c r="EP4" s="62">
        <f>$EP$3</f>
        <v>378.16197659288338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>
        <f>EXP(-LN(2)/35)*EV3+(1-EXP(-LN(2)/35))/(LN(2)/35)*ER4*ES4*VLOOKUP('Données projet'!$B$15,Paramètres!$A$1:$I$89,3,0)*0.475*44/12</f>
        <v>0</v>
      </c>
      <c r="EW4" s="23">
        <f>EXP(-LN(2)/25)*EW3+(1-EXP(-LN(2)/25))/(LN(2)/25)*Calculateur!ER4*Calculateur!ET4*VLOOKUP('Données projet'!$B$15,Paramètres!$A$1:$I$89,3,0)*0.475*44/12</f>
        <v>0</v>
      </c>
      <c r="EX4" s="23">
        <f>EXP(-LN(2)/2)*EX3+(1-EXP(-LN(2)/2))/(LN(2)/2)*ER4*EU4*VLOOKUP('Données projet'!$B$15,Paramètres!$A$1:$I$89,3,0)*0.475*44/12</f>
        <v>0</v>
      </c>
      <c r="EY4" s="24">
        <f t="shared" ref="EY4:EY67" si="21">SUM(EV4:EX4)</f>
        <v>0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7.4312217194570129</v>
      </c>
      <c r="FE4" s="13">
        <f>IF('Données projet'!$A$218&gt;35,FE3+FD4-FM3,IF(A4&lt;'Données projet'!$A$218,$FB$205^A4,IF(A4='Données projet'!$A$218,'Données projet'!$B$218,FE3+FD4-FM3)))</f>
        <v>1.3292852468636394</v>
      </c>
      <c r="FF4" s="18">
        <f>FE4*VLOOKUP('Données projet'!$B$16,Paramètres!$A$1:$I$89,3,0)*VLOOKUP('Données projet'!$B$16,Paramètres!$A$1:$I$89,5,0)</f>
        <v>0.79491257762445644</v>
      </c>
      <c r="FG4" s="14">
        <f>EXP(-1.0587+0.8836*LN(FF4)+0.284)</f>
        <v>0.37624805113513943</v>
      </c>
      <c r="FH4" s="22">
        <f t="shared" ref="FH4:FH67" si="22">(FF4+FG4)*0.475*44/12</f>
        <v>2.0397714284229629</v>
      </c>
      <c r="FI4" s="62">
        <f t="shared" ref="FI4:FI67" si="23">FH4+(EZ4+FA4)*44/12</f>
        <v>259.92866031731182</v>
      </c>
      <c r="FJ4" s="62">
        <f ca="1">AVERAGE(OFFSET($FI$3,0,0,'Données projet'!$E$16+1,1))-AVERAGE(OFFSET($H$3,0,0,'Données projet'!$E$16+1,1))</f>
        <v>257.56116197646924</v>
      </c>
      <c r="FK4" s="62">
        <f>$FK$3</f>
        <v>269.95556918835888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>
        <f>EXP(-LN(2)/35)*FQ3+(1-EXP(-LN(2)/35))/(LN(2)/35)*FM4*FN4*VLOOKUP('Données projet'!$B$16,Paramètres!$A$1:$I$89,3,0)*0.475*44/12</f>
        <v>0</v>
      </c>
      <c r="FR4" s="23">
        <f>EXP(-LN(2)/25)*FR3+(1-EXP(-LN(2)/25))/(LN(2)/25)*Calculateur!FM4*Calculateur!FO4*VLOOKUP('Données projet'!$B$16,Paramètres!$A$1:$I$89,3,0)*0.475*44/12</f>
        <v>0</v>
      </c>
      <c r="FS4" s="23">
        <f>EXP(-LN(2)/2)*FS3+(1-EXP(-LN(2)/2))/(LN(2)/2)*FM4*FP4*VLOOKUP('Données projet'!$B$16,Paramètres!$A$1:$I$89,3,0)*0.475*44/12</f>
        <v>0</v>
      </c>
      <c r="FT4" s="24">
        <f t="shared" ref="FT4:FT67" si="24">SUM(FQ4:FS4)</f>
        <v>0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2.3805128205128203</v>
      </c>
      <c r="FZ4" s="13">
        <f>IF('Données projet'!$A$244&gt;35,FZ3+FY4-GH3,IF(A4&lt;'Données projet'!$A$244,$FW$205^A4,IF(A4='Données projet'!$A$244,'Données projet'!$B$244,FZ3+FY4-GH3)))</f>
        <v>1.2691631451226497</v>
      </c>
      <c r="GA4" s="18">
        <f>FZ4*VLOOKUP('Données projet'!$B$17,Paramètres!$A$1:$I$89,3,0)*VLOOKUP('Données projet'!$B$17,Paramètres!$A$1:$I$89,5,0)</f>
        <v>0.75895956078334459</v>
      </c>
      <c r="GB4" s="14">
        <f>EXP(-1.0587+0.8836*LN(GA4)+0.284)</f>
        <v>0.36117131619841292</v>
      </c>
      <c r="GC4" s="22">
        <f t="shared" ref="GC4:GC67" si="25">(GA4+GB4)*0.475*44/12</f>
        <v>1.9508946107432275</v>
      </c>
      <c r="GD4" s="62">
        <f t="shared" ref="GD4:GD67" si="26">GC4+(FU4+FV4)*44/12</f>
        <v>259.83978349963206</v>
      </c>
      <c r="GE4" s="62">
        <f ca="1">AVERAGE(OFFSET($GD$3,0,0,'Données projet'!$E$17+1,1))-AVERAGE(OFFSET($H$3,0,0,'Données projet'!$E$17+1,1))</f>
        <v>289.12367833861299</v>
      </c>
      <c r="GF4" s="62">
        <f>$GF$3</f>
        <v>229.06617320689003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>
        <f>EXP(-LN(2)/35)*GL3+(1-EXP(-LN(2)/35))/(LN(2)/35)*GH4*GI4*VLOOKUP('Données projet'!$B$17,Paramètres!$A$1:$I$89,3,0)*0.475*44/12</f>
        <v>0</v>
      </c>
      <c r="GM4" s="23">
        <f>EXP(-LN(2)/25)*GM3+(1-EXP(-LN(2)/25))/(LN(2)/25)*Calculateur!GH4*Calculateur!GJ4*VLOOKUP('Données projet'!$B$17,Paramètres!$A$1:$I$89,3,0)*0.475*44/12</f>
        <v>0</v>
      </c>
      <c r="GN4" s="23">
        <f>EXP(-LN(2)/2)*GN3+(1-EXP(-LN(2)/2))/(LN(2)/2)*GH4*GK4*VLOOKUP('Données projet'!$B$17,Paramètres!$A$1:$I$89,3,0)*0.475*44/12</f>
        <v>0</v>
      </c>
      <c r="GO4" s="23">
        <f t="shared" ref="GO4:GO67" si="27">SUM(GL4:GN4)</f>
        <v>0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4.9084615384615384</v>
      </c>
      <c r="GU4" s="13">
        <f>IF('Données projet'!$A$270&gt;35,GU3+GT4-HC3,IF(A4&lt;'Données projet'!$A$270,$GR$205^A4,IF(A4='Données projet'!$A$270,'Données projet'!$B$270,GU3+GT4-HC3)))</f>
        <v>1.1810516433311786</v>
      </c>
      <c r="GV4" s="18">
        <f>GU4*VLOOKUP('Données projet'!$B$18,Paramètres!$A$1:$I$89,3,0)*VLOOKUP('Données projet'!$B$18,Paramètres!$A$1:$I$89,5,0)</f>
        <v>0.55273216907899159</v>
      </c>
      <c r="GW4" s="14">
        <f>EXP(-1.0587+0.8836*LN(GV4)+0.284)</f>
        <v>0.27292171413945432</v>
      </c>
      <c r="GX4" s="22">
        <f t="shared" ref="GX4:GX67" si="28">(GV4+GW4)*0.475*44/12</f>
        <v>1.4380138466054599</v>
      </c>
      <c r="GY4" s="62">
        <f t="shared" ref="GY4:GY67" si="29">GX4+(GP4+GQ4)*44/12</f>
        <v>259.32690273549434</v>
      </c>
      <c r="GZ4" s="62">
        <f ca="1">AVERAGE(OFFSET($GY$3,0,0,'Données projet'!$E$18+1,1))-AVERAGE(OFFSET($H$3,0,0,'Données projet'!$E$18+1,1))</f>
        <v>284.88646502866419</v>
      </c>
      <c r="HA4" s="62">
        <f>$HA$3</f>
        <v>190.4880882944471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>
        <f>EXP(-LN(2)/35)*HG3+(1-EXP(-LN(2)/35))/(LN(2)/35)*HC4*HD4*VLOOKUP('Données projet'!$B$18,Paramètres!$A$1:$I$89,3,0)*0.475*44/12</f>
        <v>0</v>
      </c>
      <c r="HH4" s="23">
        <f>EXP(-LN(2)/25)*HH3+(1-EXP(-LN(2)/25))/(LN(2)/25)*Calculateur!HC4*Calculateur!HE4*VLOOKUP('Données projet'!$B$18,Paramètres!$A$1:$I$89,3,0)*0.475*44/12</f>
        <v>0</v>
      </c>
      <c r="HI4" s="23">
        <f>EXP(-LN(2)/2)*HI3+(1-EXP(-LN(2)/2))/(LN(2)/2)*HC4*HF4*VLOOKUP('Données projet'!$B$18,Paramètres!$A$1:$I$89,3,0)*0.475*44/12</f>
        <v>0</v>
      </c>
      <c r="HJ4" s="24">
        <f t="shared" ref="HJ4:HJ67" si="30">SUM(HG4:HI4)</f>
        <v>0</v>
      </c>
    </row>
    <row r="5" spans="1:218" s="5" customFormat="1" x14ac:dyDescent="0.25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2">
        <f t="shared" ref="D5:D68" si="32">IFERROR(EXP(-1.0587+0.8836*LN(C5)+0.284),0)</f>
        <v>0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0</v>
      </c>
      <c r="H5" s="70">
        <f t="shared" si="1"/>
        <v>256.66666666666669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2.4358974358974361</v>
      </c>
      <c r="N5" s="14">
        <f>IF('Données projet'!$A$36&gt;35,N4+M5-V4,IF(A5&lt;'Données projet'!$A$36,$K$205^A5,IF(A5='Données projet'!$A$36,'Données projet'!$B$36,N4+M5-V4)))</f>
        <v>1.6157222325766614</v>
      </c>
      <c r="O5" s="14">
        <f>N5*VLOOKUP('Données projet'!$B$9,Paramètres!$A$1:$I$89,3,0)*VLOOKUP('Données projet'!$B$9,Paramètres!$A$1:$I$89,5,0)</f>
        <v>1.5375212765199511</v>
      </c>
      <c r="P5" s="14">
        <f t="shared" ref="P5:P68" si="33">EXP(-1.0587+0.8836*LN(O5)+0.284)</f>
        <v>0.67394928852564717</v>
      </c>
      <c r="Q5" s="22">
        <f t="shared" si="2"/>
        <v>3.8516445674544162</v>
      </c>
      <c r="R5" s="62">
        <f t="shared" si="0"/>
        <v>262.96275567856554</v>
      </c>
      <c r="S5" s="62">
        <f ca="1">AVERAGE(OFFSET($R$3,0,0,'Données projet'!$E$9+1,1))-AVERAGE(OFFSET($H$3,0,0,'Données projet'!$E$9+1,1))</f>
        <v>367.11183928586667</v>
      </c>
      <c r="T5" s="62">
        <f t="shared" ref="T5:T68" si="34">$T$3</f>
        <v>281.52963027844595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2.1</v>
      </c>
      <c r="AI5" s="14">
        <f>IF('Données projet'!$A$62&gt;35,AI4+AH5-AQ4,IF(A5&lt;'Données projet'!$A$62,$AF$205^A5,IF(A5='Données projet'!$A$62,'Données projet'!$B$62,AI4+AH5-AQ4)))</f>
        <v>1.4531984602822681</v>
      </c>
      <c r="AJ5" s="14">
        <f>AI5*VLOOKUP('Données projet'!$B$10,Paramètres!$A$1:$I$89,3,0)*VLOOKUP('Données projet'!$B$10,Paramètres!$A$1:$I$89,5,0)</f>
        <v>1.3148539668633961</v>
      </c>
      <c r="AK5" s="14">
        <f t="shared" ref="AK5:AK68" si="35">EXP(-1.0587+0.8836*LN(AJ5)+0.284)</f>
        <v>0.58693801963664449</v>
      </c>
      <c r="AL5" s="22">
        <f t="shared" si="4"/>
        <v>3.3122877098209038</v>
      </c>
      <c r="AM5" s="62">
        <f t="shared" si="5"/>
        <v>262.42339882093205</v>
      </c>
      <c r="AN5" s="62">
        <f ca="1">AVERAGE(OFFSET($AM$3,0,0,'Données projet'!$E$10+1,1))-AVERAGE(OFFSET($H$3,0,0,'Données projet'!$E$10+1,1))</f>
        <v>428.8489304403459</v>
      </c>
      <c r="AO5" s="62">
        <f t="shared" ref="AO5:AO68" si="36">$AO$3</f>
        <v>247.01165577562966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2.1</v>
      </c>
      <c r="BD5" s="13">
        <f>IF('Données projet'!$A$88&gt;35,BD4+BC5-BL4,IF(A5&lt;'Données projet'!$A$88,$BA$205^A5,IF(A5='Données projet'!$A$88,'Données projet'!$B$88,BD4+BC5-BL4)))</f>
        <v>1.4531984602822681</v>
      </c>
      <c r="BE5" s="14">
        <f>BD5*VLOOKUP('Données projet'!$B$11,Paramètres!$A$1:$I$89,3,0)*VLOOKUP('Données projet'!$B$11,Paramètres!$A$1:$I$89,5,0)</f>
        <v>1.47354323872622</v>
      </c>
      <c r="BF5" s="14">
        <f t="shared" ref="BF5:BF68" si="37">EXP(-1.0587+0.8836*LN(BE5)+0.284)</f>
        <v>0.64910881835703094</v>
      </c>
      <c r="BG5" s="22">
        <f t="shared" si="7"/>
        <v>3.6969523327533285</v>
      </c>
      <c r="BH5" s="62">
        <f t="shared" si="8"/>
        <v>262.80806344386446</v>
      </c>
      <c r="BI5" s="62">
        <f ca="1">AVERAGE(OFFSET($BH$3,0,0,'Données projet'!$E$11+1,1))-AVERAGE(OFFSET($H$3,0,0,'Données projet'!$E$11+1,1))</f>
        <v>475.47920969424894</v>
      </c>
      <c r="BJ5" s="62">
        <f t="shared" ref="BJ5:BJ68" si="38">$BJ$3</f>
        <v>271.73544012419364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>
        <f>EXP(-LN(2)/35)*BP4+(1-EXP(-LN(2)/35))/(LN(2)/35)*BL5*BM5*VLOOKUP('Données projet'!$B$11,Paramètres!$A$1:$I$89,3,0)*0.475*44/12</f>
        <v>0</v>
      </c>
      <c r="BQ5" s="23">
        <f>EXP(-LN(2)/25)*BQ4+(1-EXP(-LN(2)/25))/(LN(2)/25)*Calculateur!BL5*Calculateur!BN5*VLOOKUP('Données projet'!$B$11,Paramètres!$A$1:$I$89,3,0)*0.475*44/12</f>
        <v>0</v>
      </c>
      <c r="BR5" s="23">
        <f>EXP(-LN(2)/2)*BR4+(1-EXP(-LN(2)/2))/(LN(2)/2)*BL5*BO5*VLOOKUP('Données projet'!$B$11,Paramètres!$A$1:$I$89,3,0)*0.475*44/12</f>
        <v>0</v>
      </c>
      <c r="BS5" s="24">
        <f t="shared" si="9"/>
        <v>0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7.7987854251012134</v>
      </c>
      <c r="BY5" s="13">
        <f>IF('Données projet'!$A$114&gt;35,BY4+BX5-CG4,IF(A5&lt;'Données projet'!$A$114,$BV$205^A5,IF(A5='Données projet'!$A$114,'Données projet'!$B$114,BY4+BX5-CG4)))</f>
        <v>1.6924007851492051</v>
      </c>
      <c r="BZ5" s="14">
        <f>BY5*VLOOKUP('Données projet'!$B$12,Paramètres!$A$1:$I$89,3,0)*VLOOKUP('Données projet'!$B$12,Paramètres!$A$1:$I$89,5,0)</f>
        <v>0.94605203889840572</v>
      </c>
      <c r="CA5" s="14">
        <f t="shared" ref="CA5:CA68" si="39">EXP(-1.0587+0.8836*LN(BZ5)+0.284)</f>
        <v>0.43880400409515918</v>
      </c>
      <c r="CB5" s="22">
        <f t="shared" si="10"/>
        <v>2.4119576082137919</v>
      </c>
      <c r="CC5" s="62">
        <f t="shared" si="11"/>
        <v>261.52306871932495</v>
      </c>
      <c r="CD5" s="62">
        <f ca="1">AVERAGE(OFFSET($CC$3,0,0,'Données projet'!$E$12+1,1))-AVERAGE(OFFSET($H$3,0,0,'Données projet'!$E$12+1,1))</f>
        <v>323.98185264074681</v>
      </c>
      <c r="CE5" s="62">
        <f t="shared" ref="CE5:CE68" si="40">$CE$3</f>
        <v>301.22207291854005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>
        <f>EXP(-LN(2)/35)*CK4+(1-EXP(-LN(2)/35))/(LN(2)/35)*CG5*CH5*VLOOKUP('Données projet'!$B$12,Paramètres!$A$1:$I$89,3,0)*0.475*44/12</f>
        <v>0</v>
      </c>
      <c r="CL5" s="23">
        <f>EXP(-LN(2)/25)*CL4+(1-EXP(-LN(2)/25))/(LN(2)/25)*Calculateur!CG5*Calculateur!CI5*VLOOKUP('Données projet'!$B$12,Paramètres!$A$1:$I$89,3,0)*0.475*44/12</f>
        <v>0</v>
      </c>
      <c r="CM5" s="23">
        <f>EXP(-LN(2)/2)*CM4+(1-EXP(-LN(2)/2))/(LN(2)/2)*CG5*CJ5*VLOOKUP('Données projet'!$B$12,Paramètres!$A$1:$I$89,3,0)*0.475*44/12</f>
        <v>0</v>
      </c>
      <c r="CN5" s="24">
        <f t="shared" si="12"/>
        <v>0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1.2</v>
      </c>
      <c r="CT5" s="13">
        <f>IF('Données projet'!$A$140&gt;35,CT4+CS5-DB4,IF(A5&lt;'Données projet'!$A$140,$CQ$205^A5,IF(A5='Données projet'!$A$140,'Données projet'!$B$140,CT4+CS5-DB4)))</f>
        <v>1.312712740741764</v>
      </c>
      <c r="CU5" s="18">
        <f>CT5*VLOOKUP('Données projet'!$B$13,Paramètres!$A$1:$I$89,3,0)*VLOOKUP('Données projet'!$B$13,Paramètres!$A$1:$I$89,5,0)</f>
        <v>1.494917269156721</v>
      </c>
      <c r="CV5" s="14">
        <f t="shared" ref="CV5:CV68" si="41">EXP(-1.0587+0.8836*LN(CU5)+0.284)</f>
        <v>0.65742132363627681</v>
      </c>
      <c r="CW5" s="22">
        <f t="shared" si="13"/>
        <v>3.7486563824478041</v>
      </c>
      <c r="CX5" s="62">
        <f t="shared" si="14"/>
        <v>262.85976749355893</v>
      </c>
      <c r="CY5" s="62">
        <f ca="1">AVERAGE(OFFSET($CX$3,0,0,'Données projet'!$E$13+1,1))-AVERAGE(OFFSET($H$3,0,0,'Données projet'!$E$13+1,1))</f>
        <v>399.78832690250164</v>
      </c>
      <c r="CZ5" s="62">
        <f t="shared" ref="CZ5:CZ68" si="42">$CZ$3</f>
        <v>174.32967064896343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>
        <f>EXP(-LN(2)/35)*DF4+(1-EXP(-LN(2)/35))/(LN(2)/35)*DB5*DC5*VLOOKUP('Données projet'!$B$13,Paramètres!$A$1:$I$89,3,0)*0.475*44/12</f>
        <v>0</v>
      </c>
      <c r="DG5" s="23">
        <f>EXP(-LN(2)/25)*DG4+(1-EXP(-LN(2)/25))/(LN(2)/25)*Calculateur!DB5*Calculateur!DD5*VLOOKUP('Données projet'!$B$13,Paramètres!$A$1:$I$89,3,0)*0.475*44/12</f>
        <v>0</v>
      </c>
      <c r="DH5" s="23">
        <f>EXP(-LN(2)/2)*DH4+(1-EXP(-LN(2)/2))/(LN(2)/2)*DB5*DE5*VLOOKUP('Données projet'!$B$13,Paramètres!$A$1:$I$89,3,0)*0.475*44/12</f>
        <v>0</v>
      </c>
      <c r="DI5" s="24">
        <f t="shared" si="15"/>
        <v>0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2.1</v>
      </c>
      <c r="DO5" s="13">
        <f>IF('Données projet'!$A$166&gt;35,DO4+DN5-DW4,IF(A5&lt;'Données projet'!$A$166,$DL$205^A5,IF(A5='Données projet'!$A$166,'Données projet'!$B$166,DO4+DN5-DW4)))</f>
        <v>1.4531984602822681</v>
      </c>
      <c r="DP5" s="18">
        <f>DO5*VLOOKUP('Données projet'!$B$14,Paramètres!$A$1:$I$89,3,0)*VLOOKUP('Données projet'!$B$14,Paramètres!$A$1:$I$89,5,0)</f>
        <v>1.2241743829417828</v>
      </c>
      <c r="DQ5" s="14">
        <f t="shared" ref="DQ5:DQ68" si="43">EXP(-1.0587+0.8836*LN(DP5)+0.284)</f>
        <v>0.55102384568700224</v>
      </c>
      <c r="DR5" s="22">
        <f t="shared" si="16"/>
        <v>3.0918035815284672</v>
      </c>
      <c r="DS5" s="62">
        <f t="shared" si="17"/>
        <v>262.20291469263964</v>
      </c>
      <c r="DT5" s="62">
        <f ca="1">AVERAGE(OFFSET($DS$3,0,0,'Données projet'!$E$14+1,1))-AVERAGE(OFFSET($H$3,0,0,'Données projet'!$E$14+1,1))</f>
        <v>402.15128814037058</v>
      </c>
      <c r="DU5" s="62">
        <f t="shared" ref="DU5:DU68" si="44">$DU$3</f>
        <v>232.85411068442738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>
        <f>EXP(-LN(2)/35)*EA4+(1-EXP(-LN(2)/35))/(LN(2)/35)*DW5*DX5*VLOOKUP('Données projet'!$B$14,Paramètres!$A$1:$I$89,3,0)*0.475*44/12</f>
        <v>0</v>
      </c>
      <c r="EB5" s="23">
        <f>EXP(-LN(2)/25)*EB4+(1-EXP(-LN(2)/25))/(LN(2)/25)*Calculateur!DW5*Calculateur!DY5*VLOOKUP('Données projet'!$B$14,Paramètres!$A$1:$I$89,3,0)*0.475*44/12</f>
        <v>0</v>
      </c>
      <c r="EC5" s="23">
        <f>EXP(-LN(2)/2)*EC4+(1-EXP(-LN(2)/2))/(LN(2)/2)*DW5*DZ5*VLOOKUP('Données projet'!$B$14,Paramètres!$A$1:$I$89,3,0)*0.475*44/12</f>
        <v>0</v>
      </c>
      <c r="ED5" s="24">
        <f t="shared" si="18"/>
        <v>0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2.8205128205128203</v>
      </c>
      <c r="EJ5" s="13">
        <f>IF('Données projet'!$A$192&gt;35,EJ4+EI5-ER4,IF(A5&lt;'Données projet'!$A$192,$EG$205^A5,IF(A5='Données projet'!$A$192,'Données projet'!$B$192,EJ4+EI5-ER4)))</f>
        <v>1.6476156619220312</v>
      </c>
      <c r="EK5" s="18">
        <f>EJ5*VLOOKUP('Données projet'!$B$15,Paramètres!$A$1:$I$89,3,0)*VLOOKUP('Données projet'!$B$15,Paramètres!$A$1:$I$89,5,0)</f>
        <v>1.7220878898409073</v>
      </c>
      <c r="EL5" s="14">
        <f t="shared" ref="EL5:EL68" si="45">EXP(-1.0587+0.8836*LN(EK5)+0.284)</f>
        <v>0.74495585723355318</v>
      </c>
      <c r="EM5" s="22">
        <f t="shared" si="19"/>
        <v>4.2967678594880176</v>
      </c>
      <c r="EN5" s="62">
        <f t="shared" si="20"/>
        <v>263.40787897059914</v>
      </c>
      <c r="EO5" s="62">
        <f ca="1">AVERAGE(OFFSET($EN$3,0,0,'Données projet'!$E$15+1,1))-AVERAGE(OFFSET($H$3,0,0,'Données projet'!$E$15+1,1))</f>
        <v>595.89992279024398</v>
      </c>
      <c r="EP5" s="62">
        <f t="shared" ref="EP5:EP68" si="46">$EP$3</f>
        <v>378.16197659288338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>
        <f>EXP(-LN(2)/35)*EV4+(1-EXP(-LN(2)/35))/(LN(2)/35)*ER5*ES5*VLOOKUP('Données projet'!$B$15,Paramètres!$A$1:$I$89,3,0)*0.475*44/12</f>
        <v>0</v>
      </c>
      <c r="EW5" s="23">
        <f>EXP(-LN(2)/25)*EW4+(1-EXP(-LN(2)/25))/(LN(2)/25)*Calculateur!ER5*Calculateur!ET5*VLOOKUP('Données projet'!$B$15,Paramètres!$A$1:$I$89,3,0)*0.475*44/12</f>
        <v>0</v>
      </c>
      <c r="EX5" s="23">
        <f>EXP(-LN(2)/2)*EX4+(1-EXP(-LN(2)/2))/(LN(2)/2)*ER5*EU5*VLOOKUP('Données projet'!$B$15,Paramètres!$A$1:$I$89,3,0)*0.475*44/12</f>
        <v>0</v>
      </c>
      <c r="EY5" s="24">
        <f t="shared" si="21"/>
        <v>0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7.4312217194570129</v>
      </c>
      <c r="FE5" s="13">
        <f>IF('Données projet'!$A$218&gt;35,FE4+FD5-FM4,IF(A5&lt;'Données projet'!$A$218,$FB$205^A5,IF(A5='Données projet'!$A$218,'Données projet'!$B$218,FE4+FD5-FM4)))</f>
        <v>1.7669992675293267</v>
      </c>
      <c r="FF5" s="18">
        <f>FE5*VLOOKUP('Données projet'!$B$16,Paramètres!$A$1:$I$89,3,0)*VLOOKUP('Données projet'!$B$16,Paramètres!$A$1:$I$89,5,0)</f>
        <v>1.0566655619825374</v>
      </c>
      <c r="FG5" s="14">
        <f t="shared" ref="FG5:FG68" si="47">EXP(-1.0587+0.8836*LN(FF5)+0.284)</f>
        <v>0.48384169076702271</v>
      </c>
      <c r="FH5" s="22">
        <f t="shared" si="22"/>
        <v>2.6830501318721502</v>
      </c>
      <c r="FI5" s="62">
        <f t="shared" si="23"/>
        <v>261.79416124298331</v>
      </c>
      <c r="FJ5" s="62">
        <f ca="1">AVERAGE(OFFSET($FI$3,0,0,'Données projet'!$E$16+1,1))-AVERAGE(OFFSET($H$3,0,0,'Données projet'!$E$16+1,1))</f>
        <v>257.56116197646924</v>
      </c>
      <c r="FK5" s="62">
        <f t="shared" ref="FK5:FK68" si="48">$FK$3</f>
        <v>269.95556918835888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>
        <f>EXP(-LN(2)/35)*FQ4+(1-EXP(-LN(2)/35))/(LN(2)/35)*FM5*FN5*VLOOKUP('Données projet'!$B$16,Paramètres!$A$1:$I$89,3,0)*0.475*44/12</f>
        <v>0</v>
      </c>
      <c r="FR5" s="23">
        <f>EXP(-LN(2)/25)*FR4+(1-EXP(-LN(2)/25))/(LN(2)/25)*Calculateur!FM5*Calculateur!FO5*VLOOKUP('Données projet'!$B$16,Paramètres!$A$1:$I$89,3,0)*0.475*44/12</f>
        <v>0</v>
      </c>
      <c r="FS5" s="23">
        <f>EXP(-LN(2)/2)*FS4+(1-EXP(-LN(2)/2))/(LN(2)/2)*FM5*FP5*VLOOKUP('Données projet'!$B$16,Paramètres!$A$1:$I$89,3,0)*0.475*44/12</f>
        <v>0</v>
      </c>
      <c r="FT5" s="24">
        <f t="shared" si="24"/>
        <v>0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2.3805128205128203</v>
      </c>
      <c r="FZ5" s="13">
        <f>IF('Données projet'!$A$244&gt;35,FZ4+FY5-GH4,IF(A5&lt;'Données projet'!$A$244,$FW$205^A5,IF(A5='Données projet'!$A$244,'Données projet'!$B$244,FZ4+FY5-GH4)))</f>
        <v>1.610775088937616</v>
      </c>
      <c r="GA5" s="18">
        <f>FZ5*VLOOKUP('Données projet'!$B$17,Paramètres!$A$1:$I$89,3,0)*VLOOKUP('Données projet'!$B$17,Paramètres!$A$1:$I$89,5,0)</f>
        <v>0.96324350318469443</v>
      </c>
      <c r="GB5" s="14">
        <f t="shared" ref="GB5:GB68" si="49">EXP(-1.0587+0.8836*LN(GA5)+0.284)</f>
        <v>0.44584230224208238</v>
      </c>
      <c r="GC5" s="22">
        <f t="shared" si="25"/>
        <v>2.4541577777849692</v>
      </c>
      <c r="GD5" s="62">
        <f t="shared" si="26"/>
        <v>261.56526888889613</v>
      </c>
      <c r="GE5" s="62">
        <f ca="1">AVERAGE(OFFSET($GD$3,0,0,'Données projet'!$E$17+1,1))-AVERAGE(OFFSET($H$3,0,0,'Données projet'!$E$17+1,1))</f>
        <v>289.12367833861299</v>
      </c>
      <c r="GF5" s="62">
        <f t="shared" ref="GF5:GF68" si="50">$GF$3</f>
        <v>229.06617320689003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>
        <f>EXP(-LN(2)/35)*GL4+(1-EXP(-LN(2)/35))/(LN(2)/35)*GH5*GI5*VLOOKUP('Données projet'!$B$17,Paramètres!$A$1:$I$89,3,0)*0.475*44/12</f>
        <v>0</v>
      </c>
      <c r="GM5" s="23">
        <f>EXP(-LN(2)/25)*GM4+(1-EXP(-LN(2)/25))/(LN(2)/25)*Calculateur!GH5*Calculateur!GJ5*VLOOKUP('Données projet'!$B$17,Paramètres!$A$1:$I$89,3,0)*0.475*44/12</f>
        <v>0</v>
      </c>
      <c r="GN5" s="23">
        <f>EXP(-LN(2)/2)*GN4+(1-EXP(-LN(2)/2))/(LN(2)/2)*GH5*GK5*VLOOKUP('Données projet'!$B$17,Paramètres!$A$1:$I$89,3,0)*0.475*44/12</f>
        <v>0</v>
      </c>
      <c r="GO5" s="23">
        <f t="shared" si="27"/>
        <v>0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4.9084615384615384</v>
      </c>
      <c r="GU5" s="13">
        <f>IF('Données projet'!$A$270&gt;35,GU4+GT5-HC4,IF(A5&lt;'Données projet'!$A$270,$GR$205^A5,IF(A5='Données projet'!$A$270,'Données projet'!$B$270,GU4+GT5-HC4)))</f>
        <v>1.3948829842152777</v>
      </c>
      <c r="GV5" s="18">
        <f>GU5*VLOOKUP('Données projet'!$B$18,Paramètres!$A$1:$I$89,3,0)*VLOOKUP('Données projet'!$B$18,Paramètres!$A$1:$I$89,5,0)</f>
        <v>0.65280523661274992</v>
      </c>
      <c r="GW5" s="14">
        <f t="shared" ref="GW5:GW68" si="51">EXP(-1.0587+0.8836*LN(GV5)+0.284)</f>
        <v>0.31615123301372139</v>
      </c>
      <c r="GX5" s="22">
        <f t="shared" si="28"/>
        <v>1.6875991845994376</v>
      </c>
      <c r="GY5" s="62">
        <f t="shared" si="29"/>
        <v>260.79871029571058</v>
      </c>
      <c r="GZ5" s="62">
        <f ca="1">AVERAGE(OFFSET($GY$3,0,0,'Données projet'!$E$18+1,1))-AVERAGE(OFFSET($H$3,0,0,'Données projet'!$E$18+1,1))</f>
        <v>284.88646502866419</v>
      </c>
      <c r="HA5" s="62">
        <f t="shared" ref="HA5:HA68" si="52">$HA$3</f>
        <v>190.4880882944471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>
        <f>EXP(-LN(2)/35)*HG4+(1-EXP(-LN(2)/35))/(LN(2)/35)*HC5*HD5*VLOOKUP('Données projet'!$B$18,Paramètres!$A$1:$I$89,3,0)*0.475*44/12</f>
        <v>0</v>
      </c>
      <c r="HH5" s="23">
        <f>EXP(-LN(2)/25)*HH4+(1-EXP(-LN(2)/25))/(LN(2)/25)*Calculateur!HC5*Calculateur!HE5*VLOOKUP('Données projet'!$B$18,Paramètres!$A$1:$I$89,3,0)*0.475*44/12</f>
        <v>0</v>
      </c>
      <c r="HI5" s="23">
        <f>EXP(-LN(2)/2)*HI4+(1-EXP(-LN(2)/2))/(LN(2)/2)*HC5*HF5*VLOOKUP('Données projet'!$B$18,Paramètres!$A$1:$I$89,3,0)*0.475*44/12</f>
        <v>0</v>
      </c>
      <c r="HJ5" s="24">
        <f t="shared" si="30"/>
        <v>0</v>
      </c>
    </row>
    <row r="6" spans="1:218" s="5" customFormat="1" x14ac:dyDescent="0.25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2">
        <f t="shared" si="32"/>
        <v>0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0</v>
      </c>
      <c r="H6" s="70">
        <f t="shared" si="1"/>
        <v>256.66666666666669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2.4358974358974361</v>
      </c>
      <c r="N6" s="14">
        <f>IF('Données projet'!$A$36&gt;35,N5+M6-V5,IF(A6&lt;'Données projet'!$A$36,$K$205^A6,IF(A6='Données projet'!$A$36,'Données projet'!$B$36,N5+M6-V5)))</f>
        <v>2.0537617042422203</v>
      </c>
      <c r="O6" s="14">
        <f>N6*VLOOKUP('Données projet'!$B$9,Paramètres!$A$1:$I$89,3,0)*VLOOKUP('Données projet'!$B$9,Paramètres!$A$1:$I$89,5,0)</f>
        <v>1.9543596377568968</v>
      </c>
      <c r="P6" s="14">
        <f t="shared" si="33"/>
        <v>0.83307409051865666</v>
      </c>
      <c r="Q6" s="22">
        <f t="shared" si="2"/>
        <v>4.8547804100799219</v>
      </c>
      <c r="R6" s="62">
        <f t="shared" si="0"/>
        <v>265.18811374341323</v>
      </c>
      <c r="S6" s="62">
        <f ca="1">AVERAGE(OFFSET($R$3,0,0,'Données projet'!$E$9+1,1))-AVERAGE(OFFSET($H$3,0,0,'Données projet'!$E$9+1,1))</f>
        <v>367.11183928586667</v>
      </c>
      <c r="T6" s="62">
        <f t="shared" si="34"/>
        <v>281.52963027844595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2.1</v>
      </c>
      <c r="AI6" s="14">
        <f>IF('Données projet'!$A$62&gt;35,AI5+AH6-AQ5,IF(A6&lt;'Données projet'!$A$62,$AF$205^A6,IF(A6='Données projet'!$A$62,'Données projet'!$B$62,AI5+AH6-AQ5)))</f>
        <v>1.7518115829322798</v>
      </c>
      <c r="AJ6" s="14">
        <f>AI6*VLOOKUP('Données projet'!$B$10,Paramètres!$A$1:$I$89,3,0)*VLOOKUP('Données projet'!$B$10,Paramètres!$A$1:$I$89,5,0)</f>
        <v>1.5850391202371266</v>
      </c>
      <c r="AK6" s="14">
        <f t="shared" si="35"/>
        <v>0.69232082604846479</v>
      </c>
      <c r="AL6" s="22">
        <f t="shared" si="4"/>
        <v>3.966401906447405</v>
      </c>
      <c r="AM6" s="62">
        <f t="shared" si="5"/>
        <v>264.29973523978072</v>
      </c>
      <c r="AN6" s="62">
        <f ca="1">AVERAGE(OFFSET($AM$3,0,0,'Données projet'!$E$10+1,1))-AVERAGE(OFFSET($H$3,0,0,'Données projet'!$E$10+1,1))</f>
        <v>428.8489304403459</v>
      </c>
      <c r="AO6" s="62">
        <f t="shared" si="36"/>
        <v>247.01165577562966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2.1</v>
      </c>
      <c r="BD6" s="13">
        <f>IF('Données projet'!$A$88&gt;35,BD5+BC6-BL5,IF(A6&lt;'Données projet'!$A$88,$BA$205^A6,IF(A6='Données projet'!$A$88,'Données projet'!$B$88,BD5+BC6-BL5)))</f>
        <v>1.7518115829322798</v>
      </c>
      <c r="BE6" s="14">
        <f>BD6*VLOOKUP('Données projet'!$B$11,Paramètres!$A$1:$I$89,3,0)*VLOOKUP('Données projet'!$B$11,Paramètres!$A$1:$I$89,5,0)</f>
        <v>1.7763369450933317</v>
      </c>
      <c r="BF6" s="14">
        <f t="shared" si="37"/>
        <v>0.76565418883323866</v>
      </c>
      <c r="BG6" s="22">
        <f t="shared" si="7"/>
        <v>4.4273012249221102</v>
      </c>
      <c r="BH6" s="62">
        <f t="shared" si="8"/>
        <v>264.76063455825545</v>
      </c>
      <c r="BI6" s="62">
        <f ca="1">AVERAGE(OFFSET($BH$3,0,0,'Données projet'!$E$11+1,1))-AVERAGE(OFFSET($H$3,0,0,'Données projet'!$E$11+1,1))</f>
        <v>475.47920969424894</v>
      </c>
      <c r="BJ6" s="62">
        <f t="shared" si="38"/>
        <v>271.73544012419364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>
        <f>EXP(-LN(2)/35)*BP5+(1-EXP(-LN(2)/35))/(LN(2)/35)*BL6*BM6*VLOOKUP('Données projet'!$B$11,Paramètres!$A$1:$I$89,3,0)*0.475*44/12</f>
        <v>0</v>
      </c>
      <c r="BQ6" s="23">
        <f>EXP(-LN(2)/25)*BQ5+(1-EXP(-LN(2)/25))/(LN(2)/25)*Calculateur!BL6*Calculateur!BN6*VLOOKUP('Données projet'!$B$11,Paramètres!$A$1:$I$89,3,0)*0.475*44/12</f>
        <v>0</v>
      </c>
      <c r="BR6" s="23">
        <f>EXP(-LN(2)/2)*BR5+(1-EXP(-LN(2)/2))/(LN(2)/2)*BL6*BO6*VLOOKUP('Données projet'!$B$11,Paramètres!$A$1:$I$89,3,0)*0.475*44/12</f>
        <v>0</v>
      </c>
      <c r="BS6" s="24">
        <f t="shared" si="9"/>
        <v>0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7.7987854251012134</v>
      </c>
      <c r="BY6" s="13">
        <f>IF('Données projet'!$A$114&gt;35,BY5+BX6-CG5,IF(A6&lt;'Données projet'!$A$114,$BV$205^A6,IF(A6='Données projet'!$A$114,'Données projet'!$B$114,BY5+BX6-CG5)))</f>
        <v>2.2016831932732788</v>
      </c>
      <c r="BZ6" s="14">
        <f>BY6*VLOOKUP('Données projet'!$B$12,Paramètres!$A$1:$I$89,3,0)*VLOOKUP('Données projet'!$B$12,Paramètres!$A$1:$I$89,5,0)</f>
        <v>1.2307409050397629</v>
      </c>
      <c r="CA6" s="14">
        <f t="shared" si="39"/>
        <v>0.55363470151801264</v>
      </c>
      <c r="CB6" s="22">
        <f t="shared" si="10"/>
        <v>3.1077875147547922</v>
      </c>
      <c r="CC6" s="62">
        <f t="shared" si="11"/>
        <v>263.44112084808813</v>
      </c>
      <c r="CD6" s="62">
        <f ca="1">AVERAGE(OFFSET($CC$3,0,0,'Données projet'!$E$12+1,1))-AVERAGE(OFFSET($H$3,0,0,'Données projet'!$E$12+1,1))</f>
        <v>323.98185264074681</v>
      </c>
      <c r="CE6" s="62">
        <f t="shared" si="40"/>
        <v>301.22207291854005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>
        <f>EXP(-LN(2)/35)*CK5+(1-EXP(-LN(2)/35))/(LN(2)/35)*CG6*CH6*VLOOKUP('Données projet'!$B$12,Paramètres!$A$1:$I$89,3,0)*0.475*44/12</f>
        <v>0</v>
      </c>
      <c r="CL6" s="23">
        <f>EXP(-LN(2)/25)*CL5+(1-EXP(-LN(2)/25))/(LN(2)/25)*Calculateur!CG6*Calculateur!CI6*VLOOKUP('Données projet'!$B$12,Paramètres!$A$1:$I$89,3,0)*0.475*44/12</f>
        <v>0</v>
      </c>
      <c r="CM6" s="23">
        <f>EXP(-LN(2)/2)*CM5+(1-EXP(-LN(2)/2))/(LN(2)/2)*CG6*CJ6*VLOOKUP('Données projet'!$B$12,Paramètres!$A$1:$I$89,3,0)*0.475*44/12</f>
        <v>0</v>
      </c>
      <c r="CN6" s="24">
        <f t="shared" si="12"/>
        <v>0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1.2</v>
      </c>
      <c r="CT6" s="13">
        <f>IF('Données projet'!$A$140&gt;35,CT5+CS6-DB5,IF(A6&lt;'Données projet'!$A$140,$CQ$205^A6,IF(A6='Données projet'!$A$140,'Données projet'!$B$140,CT5+CS6-DB5)))</f>
        <v>1.5040232524285473</v>
      </c>
      <c r="CU6" s="18">
        <f>CT6*VLOOKUP('Données projet'!$B$13,Paramètres!$A$1:$I$89,3,0)*VLOOKUP('Données projet'!$B$13,Paramètres!$A$1:$I$89,5,0)</f>
        <v>1.7127816798656297</v>
      </c>
      <c r="CV6" s="14">
        <f t="shared" si="41"/>
        <v>0.74139757307864129</v>
      </c>
      <c r="CW6" s="22">
        <f t="shared" si="13"/>
        <v>4.2743621988779381</v>
      </c>
      <c r="CX6" s="62">
        <f t="shared" si="14"/>
        <v>264.60769553221127</v>
      </c>
      <c r="CY6" s="62">
        <f ca="1">AVERAGE(OFFSET($CX$3,0,0,'Données projet'!$E$13+1,1))-AVERAGE(OFFSET($H$3,0,0,'Données projet'!$E$13+1,1))</f>
        <v>399.78832690250164</v>
      </c>
      <c r="CZ6" s="62">
        <f t="shared" si="42"/>
        <v>174.32967064896343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>
        <f>EXP(-LN(2)/35)*DF5+(1-EXP(-LN(2)/35))/(LN(2)/35)*DB6*DC6*VLOOKUP('Données projet'!$B$13,Paramètres!$A$1:$I$89,3,0)*0.475*44/12</f>
        <v>0</v>
      </c>
      <c r="DG6" s="23">
        <f>EXP(-LN(2)/25)*DG5+(1-EXP(-LN(2)/25))/(LN(2)/25)*Calculateur!DB6*Calculateur!DD6*VLOOKUP('Données projet'!$B$13,Paramètres!$A$1:$I$89,3,0)*0.475*44/12</f>
        <v>0</v>
      </c>
      <c r="DH6" s="23">
        <f>EXP(-LN(2)/2)*DH5+(1-EXP(-LN(2)/2))/(LN(2)/2)*DB6*DE6*VLOOKUP('Données projet'!$B$13,Paramètres!$A$1:$I$89,3,0)*0.475*44/12</f>
        <v>0</v>
      </c>
      <c r="DI6" s="24">
        <f t="shared" si="15"/>
        <v>0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2.1</v>
      </c>
      <c r="DO6" s="13">
        <f>IF('Données projet'!$A$166&gt;35,DO5+DN6-DW5,IF(A6&lt;'Données projet'!$A$166,$DL$205^A6,IF(A6='Données projet'!$A$166,'Données projet'!$B$166,DO5+DN6-DW5)))</f>
        <v>1.7518115829322798</v>
      </c>
      <c r="DP6" s="18">
        <f>DO6*VLOOKUP('Données projet'!$B$14,Paramètres!$A$1:$I$89,3,0)*VLOOKUP('Données projet'!$B$14,Paramètres!$A$1:$I$89,5,0)</f>
        <v>1.4757260774621526</v>
      </c>
      <c r="DQ6" s="14">
        <f t="shared" si="43"/>
        <v>0.64995837934402878</v>
      </c>
      <c r="DR6" s="22">
        <f t="shared" si="16"/>
        <v>3.7022337622707653</v>
      </c>
      <c r="DS6" s="62">
        <f t="shared" si="17"/>
        <v>264.03556709560405</v>
      </c>
      <c r="DT6" s="62">
        <f ca="1">AVERAGE(OFFSET($DS$3,0,0,'Données projet'!$E$14+1,1))-AVERAGE(OFFSET($H$3,0,0,'Données projet'!$E$14+1,1))</f>
        <v>402.15128814037058</v>
      </c>
      <c r="DU6" s="62">
        <f t="shared" si="44"/>
        <v>232.85411068442738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>
        <f>EXP(-LN(2)/35)*EA5+(1-EXP(-LN(2)/35))/(LN(2)/35)*DW6*DX6*VLOOKUP('Données projet'!$B$14,Paramètres!$A$1:$I$89,3,0)*0.475*44/12</f>
        <v>0</v>
      </c>
      <c r="EB6" s="23">
        <f>EXP(-LN(2)/25)*EB5+(1-EXP(-LN(2)/25))/(LN(2)/25)*Calculateur!DW6*Calculateur!DY6*VLOOKUP('Données projet'!$B$14,Paramètres!$A$1:$I$89,3,0)*0.475*44/12</f>
        <v>0</v>
      </c>
      <c r="EC6" s="23">
        <f>EXP(-LN(2)/2)*EC5+(1-EXP(-LN(2)/2))/(LN(2)/2)*DW6*DZ6*VLOOKUP('Données projet'!$B$14,Paramètres!$A$1:$I$89,3,0)*0.475*44/12</f>
        <v>0</v>
      </c>
      <c r="ED6" s="24">
        <f t="shared" si="18"/>
        <v>0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2.8205128205128203</v>
      </c>
      <c r="EJ6" s="13">
        <f>IF('Données projet'!$A$192&gt;35,EJ5+EI6-ER5,IF(A6&lt;'Données projet'!$A$192,$EG$205^A6,IF(A6='Données projet'!$A$192,'Données projet'!$B$192,EJ5+EI6-ER5)))</f>
        <v>2.1148709289883421</v>
      </c>
      <c r="EK6" s="18">
        <f>EJ6*VLOOKUP('Données projet'!$B$15,Paramètres!$A$1:$I$89,3,0)*VLOOKUP('Données projet'!$B$15,Paramètres!$A$1:$I$89,5,0)</f>
        <v>2.2104630949786155</v>
      </c>
      <c r="EL6" s="14">
        <f t="shared" si="45"/>
        <v>0.92883266656093877</v>
      </c>
      <c r="EM6" s="22">
        <f t="shared" si="19"/>
        <v>5.4676067846813901</v>
      </c>
      <c r="EN6" s="62">
        <f t="shared" si="20"/>
        <v>265.80094011801469</v>
      </c>
      <c r="EO6" s="62">
        <f ca="1">AVERAGE(OFFSET($EN$3,0,0,'Données projet'!$E$15+1,1))-AVERAGE(OFFSET($H$3,0,0,'Données projet'!$E$15+1,1))</f>
        <v>595.89992279024398</v>
      </c>
      <c r="EP6" s="62">
        <f t="shared" si="46"/>
        <v>378.16197659288338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>
        <f>EXP(-LN(2)/35)*EV5+(1-EXP(-LN(2)/35))/(LN(2)/35)*ER6*ES6*VLOOKUP('Données projet'!$B$15,Paramètres!$A$1:$I$89,3,0)*0.475*44/12</f>
        <v>0</v>
      </c>
      <c r="EW6" s="23">
        <f>EXP(-LN(2)/25)*EW5+(1-EXP(-LN(2)/25))/(LN(2)/25)*Calculateur!ER6*Calculateur!ET6*VLOOKUP('Données projet'!$B$15,Paramètres!$A$1:$I$89,3,0)*0.475*44/12</f>
        <v>0</v>
      </c>
      <c r="EX6" s="23">
        <f>EXP(-LN(2)/2)*EX5+(1-EXP(-LN(2)/2))/(LN(2)/2)*ER6*EU6*VLOOKUP('Données projet'!$B$15,Paramètres!$A$1:$I$89,3,0)*0.475*44/12</f>
        <v>0</v>
      </c>
      <c r="EY6" s="24">
        <f t="shared" si="21"/>
        <v>0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7.4312217194570129</v>
      </c>
      <c r="FE6" s="13">
        <f>IF('Données projet'!$A$218&gt;35,FE5+FD6-FM5,IF(A6&lt;'Données projet'!$A$218,$FB$205^A6,IF(A6='Données projet'!$A$218,'Données projet'!$B$218,FE5+FD6-FM5)))</f>
        <v>2.3488460575455909</v>
      </c>
      <c r="FF6" s="18">
        <f>FE6*VLOOKUP('Données projet'!$B$16,Paramètres!$A$1:$I$89,3,0)*VLOOKUP('Données projet'!$B$16,Paramètres!$A$1:$I$89,5,0)</f>
        <v>1.4046099424122636</v>
      </c>
      <c r="FG6" s="14">
        <f t="shared" si="47"/>
        <v>0.62220330714804695</v>
      </c>
      <c r="FH6" s="22">
        <f t="shared" si="22"/>
        <v>3.5300330763175403</v>
      </c>
      <c r="FI6" s="62">
        <f t="shared" si="23"/>
        <v>263.86336640965084</v>
      </c>
      <c r="FJ6" s="62">
        <f ca="1">AVERAGE(OFFSET($FI$3,0,0,'Données projet'!$E$16+1,1))-AVERAGE(OFFSET($H$3,0,0,'Données projet'!$E$16+1,1))</f>
        <v>257.56116197646924</v>
      </c>
      <c r="FK6" s="62">
        <f t="shared" si="48"/>
        <v>269.95556918835888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>
        <f>EXP(-LN(2)/35)*FQ5+(1-EXP(-LN(2)/35))/(LN(2)/35)*FM6*FN6*VLOOKUP('Données projet'!$B$16,Paramètres!$A$1:$I$89,3,0)*0.475*44/12</f>
        <v>0</v>
      </c>
      <c r="FR6" s="23">
        <f>EXP(-LN(2)/25)*FR5+(1-EXP(-LN(2)/25))/(LN(2)/25)*Calculateur!FM6*Calculateur!FO6*VLOOKUP('Données projet'!$B$16,Paramètres!$A$1:$I$89,3,0)*0.475*44/12</f>
        <v>0</v>
      </c>
      <c r="FS6" s="23">
        <f>EXP(-LN(2)/2)*FS5+(1-EXP(-LN(2)/2))/(LN(2)/2)*FM6*FP6*VLOOKUP('Données projet'!$B$16,Paramètres!$A$1:$I$89,3,0)*0.475*44/12</f>
        <v>0</v>
      </c>
      <c r="FT6" s="24">
        <f t="shared" si="24"/>
        <v>0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2.3805128205128203</v>
      </c>
      <c r="FZ6" s="13">
        <f>IF('Données projet'!$A$244&gt;35,FZ5+FY6-GH5,IF(A6&lt;'Données projet'!$A$244,$FW$205^A6,IF(A6='Données projet'!$A$244,'Données projet'!$B$244,FZ5+FY6-GH5)))</f>
        <v>2.0443363779612804</v>
      </c>
      <c r="GA6" s="18">
        <f>FZ6*VLOOKUP('Données projet'!$B$17,Paramètres!$A$1:$I$89,3,0)*VLOOKUP('Données projet'!$B$17,Paramètres!$A$1:$I$89,5,0)</f>
        <v>1.2225131540208458</v>
      </c>
      <c r="GB6" s="14">
        <f t="shared" si="49"/>
        <v>0.55036308132321654</v>
      </c>
      <c r="GC6" s="22">
        <f t="shared" si="25"/>
        <v>3.0877594432242415</v>
      </c>
      <c r="GD6" s="62">
        <f t="shared" si="26"/>
        <v>263.42109277655754</v>
      </c>
      <c r="GE6" s="62">
        <f ca="1">AVERAGE(OFFSET($GD$3,0,0,'Données projet'!$E$17+1,1))-AVERAGE(OFFSET($H$3,0,0,'Données projet'!$E$17+1,1))</f>
        <v>289.12367833861299</v>
      </c>
      <c r="GF6" s="62">
        <f t="shared" si="50"/>
        <v>229.06617320689003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>
        <f>EXP(-LN(2)/35)*GL5+(1-EXP(-LN(2)/35))/(LN(2)/35)*GH6*GI6*VLOOKUP('Données projet'!$B$17,Paramètres!$A$1:$I$89,3,0)*0.475*44/12</f>
        <v>0</v>
      </c>
      <c r="GM6" s="23">
        <f>EXP(-LN(2)/25)*GM5+(1-EXP(-LN(2)/25))/(LN(2)/25)*Calculateur!GH6*Calculateur!GJ6*VLOOKUP('Données projet'!$B$17,Paramètres!$A$1:$I$89,3,0)*0.475*44/12</f>
        <v>0</v>
      </c>
      <c r="GN6" s="23">
        <f>EXP(-LN(2)/2)*GN5+(1-EXP(-LN(2)/2))/(LN(2)/2)*GH6*GK6*VLOOKUP('Données projet'!$B$17,Paramètres!$A$1:$I$89,3,0)*0.475*44/12</f>
        <v>0</v>
      </c>
      <c r="GO6" s="23">
        <f t="shared" si="27"/>
        <v>0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4.9084615384615384</v>
      </c>
      <c r="GU6" s="13">
        <f>IF('Données projet'!$A$270&gt;35,GU5+GT6-HC5,IF(A6&lt;'Données projet'!$A$270,$GR$205^A6,IF(A6='Données projet'!$A$270,'Données projet'!$B$270,GU5+GT6-HC5)))</f>
        <v>1.6474288407621522</v>
      </c>
      <c r="GV6" s="18">
        <f>GU6*VLOOKUP('Données projet'!$B$18,Paramètres!$A$1:$I$89,3,0)*VLOOKUP('Données projet'!$B$18,Paramètres!$A$1:$I$89,5,0)</f>
        <v>0.7709966974766872</v>
      </c>
      <c r="GW6" s="14">
        <f t="shared" si="51"/>
        <v>0.36622810482944673</v>
      </c>
      <c r="GX6" s="22">
        <f t="shared" si="28"/>
        <v>1.9806665306831832</v>
      </c>
      <c r="GY6" s="62">
        <f t="shared" si="29"/>
        <v>262.31399986401652</v>
      </c>
      <c r="GZ6" s="62">
        <f ca="1">AVERAGE(OFFSET($GY$3,0,0,'Données projet'!$E$18+1,1))-AVERAGE(OFFSET($H$3,0,0,'Données projet'!$E$18+1,1))</f>
        <v>284.88646502866419</v>
      </c>
      <c r="HA6" s="62">
        <f t="shared" si="52"/>
        <v>190.4880882944471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>
        <f>EXP(-LN(2)/35)*HG5+(1-EXP(-LN(2)/35))/(LN(2)/35)*HC6*HD6*VLOOKUP('Données projet'!$B$18,Paramètres!$A$1:$I$89,3,0)*0.475*44/12</f>
        <v>0</v>
      </c>
      <c r="HH6" s="23">
        <f>EXP(-LN(2)/25)*HH5+(1-EXP(-LN(2)/25))/(LN(2)/25)*Calculateur!HC6*Calculateur!HE6*VLOOKUP('Données projet'!$B$18,Paramètres!$A$1:$I$89,3,0)*0.475*44/12</f>
        <v>0</v>
      </c>
      <c r="HI6" s="23">
        <f>EXP(-LN(2)/2)*HI5+(1-EXP(-LN(2)/2))/(LN(2)/2)*HC6*HF6*VLOOKUP('Données projet'!$B$18,Paramètres!$A$1:$I$89,3,0)*0.475*44/12</f>
        <v>0</v>
      </c>
      <c r="HJ6" s="24">
        <f t="shared" si="30"/>
        <v>0</v>
      </c>
    </row>
    <row r="7" spans="1:218" s="5" customFormat="1" x14ac:dyDescent="0.25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2">
        <f t="shared" si="32"/>
        <v>0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0</v>
      </c>
      <c r="H7" s="70">
        <f t="shared" si="1"/>
        <v>256.66666666666669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2.4358974358974361</v>
      </c>
      <c r="N7" s="14">
        <f>IF('Données projet'!$A$36&gt;35,N6+M7-V6,IF(A7&lt;'Données projet'!$A$36,$K$205^A7,IF(A7='Données projet'!$A$36,'Données projet'!$B$36,N6+M7-V6)))</f>
        <v>2.610558332842511</v>
      </c>
      <c r="O7" s="14">
        <f>N7*VLOOKUP('Données projet'!$B$9,Paramètres!$A$1:$I$89,3,0)*VLOOKUP('Données projet'!$B$9,Paramètres!$A$1:$I$89,5,0)</f>
        <v>2.4842073095329336</v>
      </c>
      <c r="P7" s="14">
        <f t="shared" si="33"/>
        <v>1.029769527335997</v>
      </c>
      <c r="Q7" s="22">
        <f t="shared" si="2"/>
        <v>6.1201763242133866</v>
      </c>
      <c r="R7" s="62">
        <f t="shared" si="0"/>
        <v>267.67573187976893</v>
      </c>
      <c r="S7" s="62">
        <f ca="1">AVERAGE(OFFSET($R$3,0,0,'Données projet'!$E$9+1,1))-AVERAGE(OFFSET($H$3,0,0,'Données projet'!$E$9+1,1))</f>
        <v>367.11183928586667</v>
      </c>
      <c r="T7" s="62">
        <f t="shared" si="34"/>
        <v>281.52963027844595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2.1</v>
      </c>
      <c r="AI7" s="14">
        <f>IF('Données projet'!$A$62&gt;35,AI6+AH7-AQ6,IF(A7&lt;'Données projet'!$A$62,$AF$205^A7,IF(A7='Données projet'!$A$62,'Données projet'!$B$62,AI6+AH7-AQ6)))</f>
        <v>2.1117857649667546</v>
      </c>
      <c r="AJ7" s="14">
        <f>AI7*VLOOKUP('Données projet'!$B$10,Paramètres!$A$1:$I$89,3,0)*VLOOKUP('Données projet'!$B$10,Paramètres!$A$1:$I$89,5,0)</f>
        <v>1.9107437601419195</v>
      </c>
      <c r="AK7" s="14">
        <f t="shared" si="35"/>
        <v>0.81662477151702284</v>
      </c>
      <c r="AL7" s="22">
        <f t="shared" si="4"/>
        <v>4.7501668593059909</v>
      </c>
      <c r="AM7" s="62">
        <f t="shared" si="5"/>
        <v>266.30572241486152</v>
      </c>
      <c r="AN7" s="62">
        <f ca="1">AVERAGE(OFFSET($AM$3,0,0,'Données projet'!$E$10+1,1))-AVERAGE(OFFSET($H$3,0,0,'Données projet'!$E$10+1,1))</f>
        <v>428.8489304403459</v>
      </c>
      <c r="AO7" s="62">
        <f t="shared" si="36"/>
        <v>247.01165577562966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2.1</v>
      </c>
      <c r="BD7" s="13">
        <f>IF('Données projet'!$A$88&gt;35,BD6+BC7-BL6,IF(A7&lt;'Données projet'!$A$88,$BA$205^A7,IF(A7='Données projet'!$A$88,'Données projet'!$B$88,BD6+BC7-BL6)))</f>
        <v>2.1117857649667546</v>
      </c>
      <c r="BE7" s="14">
        <f>BD7*VLOOKUP('Données projet'!$B$11,Paramètres!$A$1:$I$89,3,0)*VLOOKUP('Données projet'!$B$11,Paramètres!$A$1:$I$89,5,0)</f>
        <v>2.1413507656762891</v>
      </c>
      <c r="BF7" s="14">
        <f t="shared" si="37"/>
        <v>0.9031249003236328</v>
      </c>
      <c r="BG7" s="22">
        <f t="shared" si="7"/>
        <v>5.3024617849498643</v>
      </c>
      <c r="BH7" s="62">
        <f t="shared" si="8"/>
        <v>266.8580173405054</v>
      </c>
      <c r="BI7" s="62">
        <f ca="1">AVERAGE(OFFSET($BH$3,0,0,'Données projet'!$E$11+1,1))-AVERAGE(OFFSET($H$3,0,0,'Données projet'!$E$11+1,1))</f>
        <v>475.47920969424894</v>
      </c>
      <c r="BJ7" s="62">
        <f t="shared" si="38"/>
        <v>271.73544012419364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>
        <f>EXP(-LN(2)/35)*BP6+(1-EXP(-LN(2)/35))/(LN(2)/35)*BL7*BM7*VLOOKUP('Données projet'!$B$11,Paramètres!$A$1:$I$89,3,0)*0.475*44/12</f>
        <v>0</v>
      </c>
      <c r="BQ7" s="23">
        <f>EXP(-LN(2)/25)*BQ6+(1-EXP(-LN(2)/25))/(LN(2)/25)*Calculateur!BL7*Calculateur!BN7*VLOOKUP('Données projet'!$B$11,Paramètres!$A$1:$I$89,3,0)*0.475*44/12</f>
        <v>0</v>
      </c>
      <c r="BR7" s="23">
        <f>EXP(-LN(2)/2)*BR6+(1-EXP(-LN(2)/2))/(LN(2)/2)*BL7*BO7*VLOOKUP('Données projet'!$B$11,Paramètres!$A$1:$I$89,3,0)*0.475*44/12</f>
        <v>0</v>
      </c>
      <c r="BS7" s="24">
        <f t="shared" si="9"/>
        <v>0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7.7987854251012134</v>
      </c>
      <c r="BY7" s="13">
        <f>IF('Données projet'!$A$114&gt;35,BY6+BX7-CG6,IF(A7&lt;'Données projet'!$A$114,$BV$205^A7,IF(A7='Données projet'!$A$114,'Données projet'!$B$114,BY6+BX7-CG6)))</f>
        <v>2.8642204175736459</v>
      </c>
      <c r="BZ7" s="14">
        <f>BY7*VLOOKUP('Données projet'!$B$12,Paramètres!$A$1:$I$89,3,0)*VLOOKUP('Données projet'!$B$12,Paramètres!$A$1:$I$89,5,0)</f>
        <v>1.6010992134236679</v>
      </c>
      <c r="CA7" s="14">
        <f t="shared" si="39"/>
        <v>0.69851546445430523</v>
      </c>
      <c r="CB7" s="22">
        <f t="shared" si="10"/>
        <v>4.0051622306374703</v>
      </c>
      <c r="CC7" s="62">
        <f t="shared" si="11"/>
        <v>265.56071778619304</v>
      </c>
      <c r="CD7" s="62">
        <f ca="1">AVERAGE(OFFSET($CC$3,0,0,'Données projet'!$E$12+1,1))-AVERAGE(OFFSET($H$3,0,0,'Données projet'!$E$12+1,1))</f>
        <v>323.98185264074681</v>
      </c>
      <c r="CE7" s="62">
        <f t="shared" si="40"/>
        <v>301.22207291854005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>
        <f>EXP(-LN(2)/35)*CK6+(1-EXP(-LN(2)/35))/(LN(2)/35)*CG7*CH7*VLOOKUP('Données projet'!$B$12,Paramètres!$A$1:$I$89,3,0)*0.475*44/12</f>
        <v>0</v>
      </c>
      <c r="CL7" s="23">
        <f>EXP(-LN(2)/25)*CL6+(1-EXP(-LN(2)/25))/(LN(2)/25)*Calculateur!CG7*Calculateur!CI7*VLOOKUP('Données projet'!$B$12,Paramètres!$A$1:$I$89,3,0)*0.475*44/12</f>
        <v>0</v>
      </c>
      <c r="CM7" s="23">
        <f>EXP(-LN(2)/2)*CM6+(1-EXP(-LN(2)/2))/(LN(2)/2)*CG7*CJ7*VLOOKUP('Données projet'!$B$12,Paramètres!$A$1:$I$89,3,0)*0.475*44/12</f>
        <v>0</v>
      </c>
      <c r="CN7" s="24">
        <f t="shared" si="12"/>
        <v>0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1.2</v>
      </c>
      <c r="CT7" s="13">
        <f>IF('Données projet'!$A$140&gt;35,CT6+CS7-DB6,IF(A7&lt;'Données projet'!$A$140,$CQ$205^A7,IF(A7='Données projet'!$A$140,'Données projet'!$B$140,CT6+CS7-DB6)))</f>
        <v>1.7232147397057538</v>
      </c>
      <c r="CU7" s="18">
        <f>CT7*VLOOKUP('Données projet'!$B$13,Paramètres!$A$1:$I$89,3,0)*VLOOKUP('Données projet'!$B$13,Paramètres!$A$1:$I$89,5,0)</f>
        <v>1.9623969455769126</v>
      </c>
      <c r="CV7" s="14">
        <f t="shared" si="41"/>
        <v>0.83610059729521113</v>
      </c>
      <c r="CW7" s="22">
        <f t="shared" si="13"/>
        <v>4.8740498871689484</v>
      </c>
      <c r="CX7" s="62">
        <f t="shared" si="14"/>
        <v>266.42960544272449</v>
      </c>
      <c r="CY7" s="62">
        <f ca="1">AVERAGE(OFFSET($CX$3,0,0,'Données projet'!$E$13+1,1))-AVERAGE(OFFSET($H$3,0,0,'Données projet'!$E$13+1,1))</f>
        <v>399.78832690250164</v>
      </c>
      <c r="CZ7" s="62">
        <f t="shared" si="42"/>
        <v>174.32967064896343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>
        <f>EXP(-LN(2)/35)*DF6+(1-EXP(-LN(2)/35))/(LN(2)/35)*DB7*DC7*VLOOKUP('Données projet'!$B$13,Paramètres!$A$1:$I$89,3,0)*0.475*44/12</f>
        <v>0</v>
      </c>
      <c r="DG7" s="23">
        <f>EXP(-LN(2)/25)*DG6+(1-EXP(-LN(2)/25))/(LN(2)/25)*Calculateur!DB7*Calculateur!DD7*VLOOKUP('Données projet'!$B$13,Paramètres!$A$1:$I$89,3,0)*0.475*44/12</f>
        <v>0</v>
      </c>
      <c r="DH7" s="23">
        <f>EXP(-LN(2)/2)*DH6+(1-EXP(-LN(2)/2))/(LN(2)/2)*DB7*DE7*VLOOKUP('Données projet'!$B$13,Paramètres!$A$1:$I$89,3,0)*0.475*44/12</f>
        <v>0</v>
      </c>
      <c r="DI7" s="24">
        <f t="shared" si="15"/>
        <v>0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2.1</v>
      </c>
      <c r="DO7" s="13">
        <f>IF('Données projet'!$A$166&gt;35,DO6+DN7-DW6,IF(A7&lt;'Données projet'!$A$166,$DL$205^A7,IF(A7='Données projet'!$A$166,'Données projet'!$B$166,DO6+DN7-DW6)))</f>
        <v>2.1117857649667546</v>
      </c>
      <c r="DP7" s="18">
        <f>DO7*VLOOKUP('Données projet'!$B$14,Paramètres!$A$1:$I$89,3,0)*VLOOKUP('Données projet'!$B$14,Paramètres!$A$1:$I$89,5,0)</f>
        <v>1.7789683284079942</v>
      </c>
      <c r="DQ7" s="14">
        <f t="shared" si="43"/>
        <v>0.76665628572357314</v>
      </c>
      <c r="DR7" s="22">
        <f t="shared" si="16"/>
        <v>4.4336295362791462</v>
      </c>
      <c r="DS7" s="62">
        <f t="shared" si="17"/>
        <v>265.98918509183471</v>
      </c>
      <c r="DT7" s="62">
        <f ca="1">AVERAGE(OFFSET($DS$3,0,0,'Données projet'!$E$14+1,1))-AVERAGE(OFFSET($H$3,0,0,'Données projet'!$E$14+1,1))</f>
        <v>402.15128814037058</v>
      </c>
      <c r="DU7" s="62">
        <f t="shared" si="44"/>
        <v>232.85411068442738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>
        <f>EXP(-LN(2)/35)*EA6+(1-EXP(-LN(2)/35))/(LN(2)/35)*DW7*DX7*VLOOKUP('Données projet'!$B$14,Paramètres!$A$1:$I$89,3,0)*0.475*44/12</f>
        <v>0</v>
      </c>
      <c r="EB7" s="23">
        <f>EXP(-LN(2)/25)*EB6+(1-EXP(-LN(2)/25))/(LN(2)/25)*Calculateur!DW7*Calculateur!DY7*VLOOKUP('Données projet'!$B$14,Paramètres!$A$1:$I$89,3,0)*0.475*44/12</f>
        <v>0</v>
      </c>
      <c r="EC7" s="23">
        <f>EXP(-LN(2)/2)*EC6+(1-EXP(-LN(2)/2))/(LN(2)/2)*DW7*DZ7*VLOOKUP('Données projet'!$B$14,Paramètres!$A$1:$I$89,3,0)*0.475*44/12</f>
        <v>0</v>
      </c>
      <c r="ED7" s="24">
        <f t="shared" si="18"/>
        <v>0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2.8205128205128203</v>
      </c>
      <c r="EJ7" s="13">
        <f>IF('Données projet'!$A$192&gt;35,EJ6+EI7-ER6,IF(A7&lt;'Données projet'!$A$192,$EG$205^A7,IF(A7='Données projet'!$A$192,'Données projet'!$B$192,EJ6+EI7-ER6)))</f>
        <v>2.7146373694107733</v>
      </c>
      <c r="EK7" s="18">
        <f>EJ7*VLOOKUP('Données projet'!$B$15,Paramètres!$A$1:$I$89,3,0)*VLOOKUP('Données projet'!$B$15,Paramètres!$A$1:$I$89,5,0)</f>
        <v>2.8373389785081402</v>
      </c>
      <c r="EL7" s="14">
        <f t="shared" si="45"/>
        <v>1.1580956295511442</v>
      </c>
      <c r="EM7" s="22">
        <f t="shared" si="19"/>
        <v>6.9587152757032529</v>
      </c>
      <c r="EN7" s="62">
        <f t="shared" si="20"/>
        <v>268.51427083125878</v>
      </c>
      <c r="EO7" s="62">
        <f ca="1">AVERAGE(OFFSET($EN$3,0,0,'Données projet'!$E$15+1,1))-AVERAGE(OFFSET($H$3,0,0,'Données projet'!$E$15+1,1))</f>
        <v>595.89992279024398</v>
      </c>
      <c r="EP7" s="62">
        <f t="shared" si="46"/>
        <v>378.16197659288338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>
        <f>EXP(-LN(2)/35)*EV6+(1-EXP(-LN(2)/35))/(LN(2)/35)*ER7*ES7*VLOOKUP('Données projet'!$B$15,Paramètres!$A$1:$I$89,3,0)*0.475*44/12</f>
        <v>0</v>
      </c>
      <c r="EW7" s="23">
        <f>EXP(-LN(2)/25)*EW6+(1-EXP(-LN(2)/25))/(LN(2)/25)*Calculateur!ER7*Calculateur!ET7*VLOOKUP('Données projet'!$B$15,Paramètres!$A$1:$I$89,3,0)*0.475*44/12</f>
        <v>0</v>
      </c>
      <c r="EX7" s="23">
        <f>EXP(-LN(2)/2)*EX6+(1-EXP(-LN(2)/2))/(LN(2)/2)*ER7*EU7*VLOOKUP('Données projet'!$B$15,Paramètres!$A$1:$I$89,3,0)*0.475*44/12</f>
        <v>0</v>
      </c>
      <c r="EY7" s="24">
        <f t="shared" si="21"/>
        <v>0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7.4312217194570129</v>
      </c>
      <c r="FE7" s="13">
        <f>IF('Données projet'!$A$218&gt;35,FE6+FD7-FM6,IF(A7&lt;'Données projet'!$A$218,$FB$205^A7,IF(A7='Données projet'!$A$218,'Données projet'!$B$218,FE6+FD7-FM6)))</f>
        <v>3.1222864114491768</v>
      </c>
      <c r="FF7" s="18">
        <f>FE7*VLOOKUP('Données projet'!$B$16,Paramètres!$A$1:$I$89,3,0)*VLOOKUP('Données projet'!$B$16,Paramètres!$A$1:$I$89,5,0)</f>
        <v>1.8671272740466078</v>
      </c>
      <c r="FG7" s="14">
        <f t="shared" si="47"/>
        <v>0.80013145376589556</v>
      </c>
      <c r="FH7" s="22">
        <f t="shared" si="22"/>
        <v>4.6454756176067766</v>
      </c>
      <c r="FI7" s="62">
        <f t="shared" si="23"/>
        <v>266.20103117316233</v>
      </c>
      <c r="FJ7" s="62">
        <f ca="1">AVERAGE(OFFSET($FI$3,0,0,'Données projet'!$E$16+1,1))-AVERAGE(OFFSET($H$3,0,0,'Données projet'!$E$16+1,1))</f>
        <v>257.56116197646924</v>
      </c>
      <c r="FK7" s="62">
        <f t="shared" si="48"/>
        <v>269.95556918835888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>
        <f>EXP(-LN(2)/35)*FQ6+(1-EXP(-LN(2)/35))/(LN(2)/35)*FM7*FN7*VLOOKUP('Données projet'!$B$16,Paramètres!$A$1:$I$89,3,0)*0.475*44/12</f>
        <v>0</v>
      </c>
      <c r="FR7" s="23">
        <f>EXP(-LN(2)/25)*FR6+(1-EXP(-LN(2)/25))/(LN(2)/25)*Calculateur!FM7*Calculateur!FO7*VLOOKUP('Données projet'!$B$16,Paramètres!$A$1:$I$89,3,0)*0.475*44/12</f>
        <v>0</v>
      </c>
      <c r="FS7" s="23">
        <f>EXP(-LN(2)/2)*FS6+(1-EXP(-LN(2)/2))/(LN(2)/2)*FM7*FP7*VLOOKUP('Données projet'!$B$16,Paramètres!$A$1:$I$89,3,0)*0.475*44/12</f>
        <v>0</v>
      </c>
      <c r="FT7" s="24">
        <f t="shared" si="24"/>
        <v>0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2.3805128205128203</v>
      </c>
      <c r="FZ7" s="13">
        <f>IF('Données projet'!$A$244&gt;35,FZ6+FY7-GH6,IF(A7&lt;'Données projet'!$A$244,$FW$205^A7,IF(A7='Données projet'!$A$244,'Données projet'!$B$244,FZ6+FY7-GH6)))</f>
        <v>2.5945963871419848</v>
      </c>
      <c r="GA7" s="18">
        <f>FZ7*VLOOKUP('Données projet'!$B$17,Paramètres!$A$1:$I$89,3,0)*VLOOKUP('Données projet'!$B$17,Paramètres!$A$1:$I$89,5,0)</f>
        <v>1.551568639510907</v>
      </c>
      <c r="GB7" s="14">
        <f t="shared" si="49"/>
        <v>0.67938712805030732</v>
      </c>
      <c r="GC7" s="22">
        <f t="shared" si="25"/>
        <v>3.8855812951691147</v>
      </c>
      <c r="GD7" s="62">
        <f t="shared" si="26"/>
        <v>265.44113685072466</v>
      </c>
      <c r="GE7" s="62">
        <f ca="1">AVERAGE(OFFSET($GD$3,0,0,'Données projet'!$E$17+1,1))-AVERAGE(OFFSET($H$3,0,0,'Données projet'!$E$17+1,1))</f>
        <v>289.12367833861299</v>
      </c>
      <c r="GF7" s="62">
        <f t="shared" si="50"/>
        <v>229.06617320689003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>
        <f>EXP(-LN(2)/35)*GL6+(1-EXP(-LN(2)/35))/(LN(2)/35)*GH7*GI7*VLOOKUP('Données projet'!$B$17,Paramètres!$A$1:$I$89,3,0)*0.475*44/12</f>
        <v>0</v>
      </c>
      <c r="GM7" s="23">
        <f>EXP(-LN(2)/25)*GM6+(1-EXP(-LN(2)/25))/(LN(2)/25)*Calculateur!GH7*Calculateur!GJ7*VLOOKUP('Données projet'!$B$17,Paramètres!$A$1:$I$89,3,0)*0.475*44/12</f>
        <v>0</v>
      </c>
      <c r="GN7" s="23">
        <f>EXP(-LN(2)/2)*GN6+(1-EXP(-LN(2)/2))/(LN(2)/2)*GH7*GK7*VLOOKUP('Données projet'!$B$17,Paramètres!$A$1:$I$89,3,0)*0.475*44/12</f>
        <v>0</v>
      </c>
      <c r="GO7" s="23">
        <f t="shared" si="27"/>
        <v>0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4.9084615384615384</v>
      </c>
      <c r="GU7" s="13">
        <f>IF('Données projet'!$A$270&gt;35,GU6+GT7-HC6,IF(A7&lt;'Données projet'!$A$270,$GR$205^A7,IF(A7='Données projet'!$A$270,'Données projet'!$B$270,GU6+GT7-HC6)))</f>
        <v>1.9456985396533186</v>
      </c>
      <c r="GV7" s="18">
        <f>GU7*VLOOKUP('Données projet'!$B$18,Paramètres!$A$1:$I$89,3,0)*VLOOKUP('Données projet'!$B$18,Paramètres!$A$1:$I$89,5,0)</f>
        <v>0.91058691655775315</v>
      </c>
      <c r="GW7" s="14">
        <f t="shared" si="51"/>
        <v>0.42423691816235021</v>
      </c>
      <c r="GX7" s="22">
        <f t="shared" si="28"/>
        <v>2.32481817880418</v>
      </c>
      <c r="GY7" s="62">
        <f t="shared" si="29"/>
        <v>263.88037373435975</v>
      </c>
      <c r="GZ7" s="62">
        <f ca="1">AVERAGE(OFFSET($GY$3,0,0,'Données projet'!$E$18+1,1))-AVERAGE(OFFSET($H$3,0,0,'Données projet'!$E$18+1,1))</f>
        <v>284.88646502866419</v>
      </c>
      <c r="HA7" s="62">
        <f t="shared" si="52"/>
        <v>190.4880882944471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>
        <f>EXP(-LN(2)/35)*HG6+(1-EXP(-LN(2)/35))/(LN(2)/35)*HC7*HD7*VLOOKUP('Données projet'!$B$18,Paramètres!$A$1:$I$89,3,0)*0.475*44/12</f>
        <v>0</v>
      </c>
      <c r="HH7" s="23">
        <f>EXP(-LN(2)/25)*HH6+(1-EXP(-LN(2)/25))/(LN(2)/25)*Calculateur!HC7*Calculateur!HE7*VLOOKUP('Données projet'!$B$18,Paramètres!$A$1:$I$89,3,0)*0.475*44/12</f>
        <v>0</v>
      </c>
      <c r="HI7" s="23">
        <f>EXP(-LN(2)/2)*HI6+(1-EXP(-LN(2)/2))/(LN(2)/2)*HC7*HF7*VLOOKUP('Données projet'!$B$18,Paramètres!$A$1:$I$89,3,0)*0.475*44/12</f>
        <v>0</v>
      </c>
      <c r="HJ7" s="24">
        <f t="shared" si="30"/>
        <v>0</v>
      </c>
    </row>
    <row r="8" spans="1:218" s="5" customFormat="1" x14ac:dyDescent="0.25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2">
        <f t="shared" si="32"/>
        <v>0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0</v>
      </c>
      <c r="H8" s="70">
        <f t="shared" si="1"/>
        <v>256.66666666666669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2.4358974358974361</v>
      </c>
      <c r="N8" s="14">
        <f>IF('Données projet'!$A$36&gt;35,N7+M8-V7,IF(A8&lt;'Données projet'!$A$36,$K$205^A8,IF(A8='Données projet'!$A$36,'Données projet'!$B$36,N7+M8-V7)))</f>
        <v>3.3183084459586891</v>
      </c>
      <c r="O8" s="14">
        <f>N8*VLOOKUP('Données projet'!$B$9,Paramètres!$A$1:$I$89,3,0)*VLOOKUP('Données projet'!$B$9,Paramètres!$A$1:$I$89,5,0)</f>
        <v>3.1577023171742886</v>
      </c>
      <c r="P8" s="14">
        <f t="shared" si="33"/>
        <v>1.2729063254981332</v>
      </c>
      <c r="Q8" s="22">
        <f t="shared" si="2"/>
        <v>7.7166433859878012</v>
      </c>
      <c r="R8" s="62">
        <f t="shared" si="0"/>
        <v>270.49442116376559</v>
      </c>
      <c r="S8" s="62">
        <f ca="1">AVERAGE(OFFSET($R$3,0,0,'Données projet'!$E$9+1,1))-AVERAGE(OFFSET($H$3,0,0,'Données projet'!$E$9+1,1))</f>
        <v>367.11183928586667</v>
      </c>
      <c r="T8" s="62">
        <f t="shared" si="34"/>
        <v>281.52963027844595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2.1</v>
      </c>
      <c r="AI8" s="14">
        <f>IF('Données projet'!$A$62&gt;35,AI7+AH8-AQ7,IF(A8&lt;'Données projet'!$A$62,$AF$205^A8,IF(A8='Données projet'!$A$62,'Données projet'!$B$62,AI7+AH8-AQ7)))</f>
        <v>2.5457298950218314</v>
      </c>
      <c r="AJ8" s="14">
        <f>AI8*VLOOKUP('Données projet'!$B$10,Paramètres!$A$1:$I$89,3,0)*VLOOKUP('Données projet'!$B$10,Paramètres!$A$1:$I$89,5,0)</f>
        <v>2.3033764090157529</v>
      </c>
      <c r="AK8" s="14">
        <f t="shared" si="35"/>
        <v>0.96324708482559218</v>
      </c>
      <c r="AL8" s="22">
        <f t="shared" si="4"/>
        <v>5.6893692517736758</v>
      </c>
      <c r="AM8" s="62">
        <f t="shared" si="5"/>
        <v>268.46714702955143</v>
      </c>
      <c r="AN8" s="62">
        <f ca="1">AVERAGE(OFFSET($AM$3,0,0,'Données projet'!$E$10+1,1))-AVERAGE(OFFSET($H$3,0,0,'Données projet'!$E$10+1,1))</f>
        <v>428.8489304403459</v>
      </c>
      <c r="AO8" s="62">
        <f t="shared" si="36"/>
        <v>247.01165577562966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2.1</v>
      </c>
      <c r="BD8" s="13">
        <f>IF('Données projet'!$A$88&gt;35,BD7+BC8-BL7,IF(A8&lt;'Données projet'!$A$88,$BA$205^A8,IF(A8='Données projet'!$A$88,'Données projet'!$B$88,BD7+BC8-BL7)))</f>
        <v>2.5457298950218314</v>
      </c>
      <c r="BE8" s="14">
        <f>BD8*VLOOKUP('Données projet'!$B$11,Paramètres!$A$1:$I$89,3,0)*VLOOKUP('Données projet'!$B$11,Paramètres!$A$1:$I$89,5,0)</f>
        <v>2.5813701135521372</v>
      </c>
      <c r="BF8" s="14">
        <f t="shared" si="37"/>
        <v>1.0652780295337991</v>
      </c>
      <c r="BG8" s="22">
        <f t="shared" si="7"/>
        <v>6.3512455158746723</v>
      </c>
      <c r="BH8" s="62">
        <f t="shared" si="8"/>
        <v>269.12902329365244</v>
      </c>
      <c r="BI8" s="62">
        <f ca="1">AVERAGE(OFFSET($BH$3,0,0,'Données projet'!$E$11+1,1))-AVERAGE(OFFSET($H$3,0,0,'Données projet'!$E$11+1,1))</f>
        <v>475.47920969424894</v>
      </c>
      <c r="BJ8" s="62">
        <f t="shared" si="38"/>
        <v>271.73544012419364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>
        <f>EXP(-LN(2)/35)*BP7+(1-EXP(-LN(2)/35))/(LN(2)/35)*BL8*BM8*VLOOKUP('Données projet'!$B$11,Paramètres!$A$1:$I$89,3,0)*0.475*44/12</f>
        <v>0</v>
      </c>
      <c r="BQ8" s="23">
        <f>EXP(-LN(2)/25)*BQ7+(1-EXP(-LN(2)/25))/(LN(2)/25)*Calculateur!BL8*Calculateur!BN8*VLOOKUP('Données projet'!$B$11,Paramètres!$A$1:$I$89,3,0)*0.475*44/12</f>
        <v>0</v>
      </c>
      <c r="BR8" s="23">
        <f>EXP(-LN(2)/2)*BR7+(1-EXP(-LN(2)/2))/(LN(2)/2)*BL8*BO8*VLOOKUP('Données projet'!$B$11,Paramètres!$A$1:$I$89,3,0)*0.475*44/12</f>
        <v>0</v>
      </c>
      <c r="BS8" s="24">
        <f t="shared" si="9"/>
        <v>0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7.7987854251012134</v>
      </c>
      <c r="BY8" s="13">
        <f>IF('Données projet'!$A$114&gt;35,BY7+BX8-CG7,IF(A8&lt;'Données projet'!$A$114,$BV$205^A8,IF(A8='Données projet'!$A$114,'Données projet'!$B$114,BY7+BX8-CG7)))</f>
        <v>3.7261303649455062</v>
      </c>
      <c r="BZ8" s="14">
        <f>BY8*VLOOKUP('Données projet'!$B$12,Paramètres!$A$1:$I$89,3,0)*VLOOKUP('Données projet'!$B$12,Paramètres!$A$1:$I$89,5,0)</f>
        <v>2.082906874004538</v>
      </c>
      <c r="CA8" s="14">
        <f t="shared" si="39"/>
        <v>0.88131009986182929</v>
      </c>
      <c r="CB8" s="22">
        <f t="shared" si="10"/>
        <v>5.1626778961505897</v>
      </c>
      <c r="CC8" s="62">
        <f t="shared" si="11"/>
        <v>267.94045567392834</v>
      </c>
      <c r="CD8" s="62">
        <f ca="1">AVERAGE(OFFSET($CC$3,0,0,'Données projet'!$E$12+1,1))-AVERAGE(OFFSET($H$3,0,0,'Données projet'!$E$12+1,1))</f>
        <v>323.98185264074681</v>
      </c>
      <c r="CE8" s="62">
        <f t="shared" si="40"/>
        <v>301.22207291854005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>
        <f>EXP(-LN(2)/35)*CK7+(1-EXP(-LN(2)/35))/(LN(2)/35)*CG8*CH8*VLOOKUP('Données projet'!$B$12,Paramètres!$A$1:$I$89,3,0)*0.475*44/12</f>
        <v>0</v>
      </c>
      <c r="CL8" s="23">
        <f>EXP(-LN(2)/25)*CL7+(1-EXP(-LN(2)/25))/(LN(2)/25)*Calculateur!CG8*Calculateur!CI8*VLOOKUP('Données projet'!$B$12,Paramètres!$A$1:$I$89,3,0)*0.475*44/12</f>
        <v>0</v>
      </c>
      <c r="CM8" s="23">
        <f>EXP(-LN(2)/2)*CM7+(1-EXP(-LN(2)/2))/(LN(2)/2)*CG8*CJ8*VLOOKUP('Données projet'!$B$12,Paramètres!$A$1:$I$89,3,0)*0.475*44/12</f>
        <v>0</v>
      </c>
      <c r="CN8" s="24">
        <f t="shared" si="12"/>
        <v>0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1.2</v>
      </c>
      <c r="CT8" s="13">
        <f>IF('Données projet'!$A$140&gt;35,CT7+CS8-DB7,IF(A8&lt;'Données projet'!$A$140,$CQ$205^A8,IF(A8='Données projet'!$A$140,'Données projet'!$B$140,CT7+CS8-DB7)))</f>
        <v>1.9743504858348202</v>
      </c>
      <c r="CU8" s="18">
        <f>CT8*VLOOKUP('Données projet'!$B$13,Paramètres!$A$1:$I$89,3,0)*VLOOKUP('Données projet'!$B$13,Paramètres!$A$1:$I$89,5,0)</f>
        <v>2.2483903332686932</v>
      </c>
      <c r="CV8" s="14">
        <f t="shared" si="41"/>
        <v>0.94290058961827439</v>
      </c>
      <c r="CW8" s="22">
        <f t="shared" si="13"/>
        <v>5.5581650240281348</v>
      </c>
      <c r="CX8" s="62">
        <f t="shared" si="14"/>
        <v>268.33594280180591</v>
      </c>
      <c r="CY8" s="62">
        <f ca="1">AVERAGE(OFFSET($CX$3,0,0,'Données projet'!$E$13+1,1))-AVERAGE(OFFSET($H$3,0,0,'Données projet'!$E$13+1,1))</f>
        <v>399.78832690250164</v>
      </c>
      <c r="CZ8" s="62">
        <f t="shared" si="42"/>
        <v>174.32967064896343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>
        <f>EXP(-LN(2)/35)*DF7+(1-EXP(-LN(2)/35))/(LN(2)/35)*DB8*DC8*VLOOKUP('Données projet'!$B$13,Paramètres!$A$1:$I$89,3,0)*0.475*44/12</f>
        <v>0</v>
      </c>
      <c r="DG8" s="23">
        <f>EXP(-LN(2)/25)*DG7+(1-EXP(-LN(2)/25))/(LN(2)/25)*Calculateur!DB8*Calculateur!DD8*VLOOKUP('Données projet'!$B$13,Paramètres!$A$1:$I$89,3,0)*0.475*44/12</f>
        <v>0</v>
      </c>
      <c r="DH8" s="23">
        <f>EXP(-LN(2)/2)*DH7+(1-EXP(-LN(2)/2))/(LN(2)/2)*DB8*DE8*VLOOKUP('Données projet'!$B$13,Paramètres!$A$1:$I$89,3,0)*0.475*44/12</f>
        <v>0</v>
      </c>
      <c r="DI8" s="24">
        <f t="shared" si="15"/>
        <v>0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2.1</v>
      </c>
      <c r="DO8" s="13">
        <f>IF('Données projet'!$A$166&gt;35,DO7+DN8-DW7,IF(A8&lt;'Données projet'!$A$166,$DL$205^A8,IF(A8='Données projet'!$A$166,'Données projet'!$B$166,DO7+DN8-DW7)))</f>
        <v>2.5457298950218314</v>
      </c>
      <c r="DP8" s="18">
        <f>DO8*VLOOKUP('Données projet'!$B$14,Paramètres!$A$1:$I$89,3,0)*VLOOKUP('Données projet'!$B$14,Paramètres!$A$1:$I$89,5,0)</f>
        <v>2.1445228635663907</v>
      </c>
      <c r="DQ8" s="14">
        <f t="shared" si="43"/>
        <v>0.90430692044106609</v>
      </c>
      <c r="DR8" s="22">
        <f t="shared" si="16"/>
        <v>5.3100452071463202</v>
      </c>
      <c r="DS8" s="62">
        <f t="shared" si="17"/>
        <v>268.08782298492412</v>
      </c>
      <c r="DT8" s="62">
        <f ca="1">AVERAGE(OFFSET($DS$3,0,0,'Données projet'!$E$14+1,1))-AVERAGE(OFFSET($H$3,0,0,'Données projet'!$E$14+1,1))</f>
        <v>402.15128814037058</v>
      </c>
      <c r="DU8" s="62">
        <f t="shared" si="44"/>
        <v>232.85411068442738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>
        <f>EXP(-LN(2)/35)*EA7+(1-EXP(-LN(2)/35))/(LN(2)/35)*DW8*DX8*VLOOKUP('Données projet'!$B$14,Paramètres!$A$1:$I$89,3,0)*0.475*44/12</f>
        <v>0</v>
      </c>
      <c r="EB8" s="23">
        <f>EXP(-LN(2)/25)*EB7+(1-EXP(-LN(2)/25))/(LN(2)/25)*Calculateur!DW8*Calculateur!DY8*VLOOKUP('Données projet'!$B$14,Paramètres!$A$1:$I$89,3,0)*0.475*44/12</f>
        <v>0</v>
      </c>
      <c r="EC8" s="23">
        <f>EXP(-LN(2)/2)*EC7+(1-EXP(-LN(2)/2))/(LN(2)/2)*DW8*DZ8*VLOOKUP('Données projet'!$B$14,Paramètres!$A$1:$I$89,3,0)*0.475*44/12</f>
        <v>0</v>
      </c>
      <c r="ED8" s="24">
        <f t="shared" si="18"/>
        <v>0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2.8205128205128203</v>
      </c>
      <c r="EJ8" s="13">
        <f>IF('Données projet'!$A$192&gt;35,EJ7+EI8-ER7,IF(A8&lt;'Données projet'!$A$192,$EG$205^A8,IF(A8='Données projet'!$A$192,'Données projet'!$B$192,EJ7+EI8-ER7)))</f>
        <v>3.4844944655447883</v>
      </c>
      <c r="EK8" s="18">
        <f>EJ8*VLOOKUP('Données projet'!$B$15,Paramètres!$A$1:$I$89,3,0)*VLOOKUP('Données projet'!$B$15,Paramètres!$A$1:$I$89,5,0)</f>
        <v>3.6419936153874133</v>
      </c>
      <c r="EL8" s="14">
        <f t="shared" si="45"/>
        <v>1.4439473712216484</v>
      </c>
      <c r="EM8" s="22">
        <f t="shared" si="19"/>
        <v>8.8580138850107826</v>
      </c>
      <c r="EN8" s="62">
        <f t="shared" si="20"/>
        <v>271.63579166278856</v>
      </c>
      <c r="EO8" s="62">
        <f ca="1">AVERAGE(OFFSET($EN$3,0,0,'Données projet'!$E$15+1,1))-AVERAGE(OFFSET($H$3,0,0,'Données projet'!$E$15+1,1))</f>
        <v>595.89992279024398</v>
      </c>
      <c r="EP8" s="62">
        <f t="shared" si="46"/>
        <v>378.16197659288338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>
        <f>EXP(-LN(2)/35)*EV7+(1-EXP(-LN(2)/35))/(LN(2)/35)*ER8*ES8*VLOOKUP('Données projet'!$B$15,Paramètres!$A$1:$I$89,3,0)*0.475*44/12</f>
        <v>0</v>
      </c>
      <c r="EW8" s="23">
        <f>EXP(-LN(2)/25)*EW7+(1-EXP(-LN(2)/25))/(LN(2)/25)*Calculateur!ER8*Calculateur!ET8*VLOOKUP('Données projet'!$B$15,Paramètres!$A$1:$I$89,3,0)*0.475*44/12</f>
        <v>0</v>
      </c>
      <c r="EX8" s="23">
        <f>EXP(-LN(2)/2)*EX7+(1-EXP(-LN(2)/2))/(LN(2)/2)*ER8*EU8*VLOOKUP('Données projet'!$B$15,Paramètres!$A$1:$I$89,3,0)*0.475*44/12</f>
        <v>0</v>
      </c>
      <c r="EY8" s="24">
        <f t="shared" si="21"/>
        <v>0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7.4312217194570129</v>
      </c>
      <c r="FE8" s="13">
        <f>IF('Données projet'!$A$218&gt;35,FE7+FD8-FM7,IF(A8&lt;'Données projet'!$A$218,$FB$205^A8,IF(A8='Données projet'!$A$218,'Données projet'!$B$218,FE7+FD8-FM7)))</f>
        <v>4.1504092632222056</v>
      </c>
      <c r="FF8" s="18">
        <f>FE8*VLOOKUP('Données projet'!$B$16,Paramètres!$A$1:$I$89,3,0)*VLOOKUP('Données projet'!$B$16,Paramètres!$A$1:$I$89,5,0)</f>
        <v>2.4819447394068792</v>
      </c>
      <c r="FG8" s="14">
        <f t="shared" si="47"/>
        <v>1.0289407593154982</v>
      </c>
      <c r="FH8" s="22">
        <f t="shared" si="22"/>
        <v>6.1147922436081394</v>
      </c>
      <c r="FI8" s="62">
        <f t="shared" si="23"/>
        <v>268.89257002138589</v>
      </c>
      <c r="FJ8" s="62">
        <f ca="1">AVERAGE(OFFSET($FI$3,0,0,'Données projet'!$E$16+1,1))-AVERAGE(OFFSET($H$3,0,0,'Données projet'!$E$16+1,1))</f>
        <v>257.56116197646924</v>
      </c>
      <c r="FK8" s="62">
        <f t="shared" si="48"/>
        <v>269.95556918835888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>
        <f>EXP(-LN(2)/35)*FQ7+(1-EXP(-LN(2)/35))/(LN(2)/35)*FM8*FN8*VLOOKUP('Données projet'!$B$16,Paramètres!$A$1:$I$89,3,0)*0.475*44/12</f>
        <v>0</v>
      </c>
      <c r="FR8" s="23">
        <f>EXP(-LN(2)/25)*FR7+(1-EXP(-LN(2)/25))/(LN(2)/25)*Calculateur!FM8*Calculateur!FO8*VLOOKUP('Données projet'!$B$16,Paramètres!$A$1:$I$89,3,0)*0.475*44/12</f>
        <v>0</v>
      </c>
      <c r="FS8" s="23">
        <f>EXP(-LN(2)/2)*FS7+(1-EXP(-LN(2)/2))/(LN(2)/2)*FM8*FP8*VLOOKUP('Données projet'!$B$16,Paramètres!$A$1:$I$89,3,0)*0.475*44/12</f>
        <v>0</v>
      </c>
      <c r="FT8" s="24">
        <f t="shared" si="24"/>
        <v>0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2.3805128205128203</v>
      </c>
      <c r="FZ8" s="13">
        <f>IF('Données projet'!$A$244&gt;35,FZ7+FY8-GH7,IF(A8&lt;'Données projet'!$A$244,$FW$205^A8,IF(A8='Données projet'!$A$244,'Données projet'!$B$244,FZ7+FY8-GH7)))</f>
        <v>3.2929661110289854</v>
      </c>
      <c r="GA8" s="18">
        <f>FZ8*VLOOKUP('Données projet'!$B$17,Paramètres!$A$1:$I$89,3,0)*VLOOKUP('Données projet'!$B$17,Paramètres!$A$1:$I$89,5,0)</f>
        <v>1.9691937343953334</v>
      </c>
      <c r="GB8" s="14">
        <f t="shared" si="49"/>
        <v>0.83865885162703413</v>
      </c>
      <c r="GC8" s="22">
        <f t="shared" si="25"/>
        <v>4.8903432539889566</v>
      </c>
      <c r="GD8" s="62">
        <f t="shared" si="26"/>
        <v>267.6681210317667</v>
      </c>
      <c r="GE8" s="62">
        <f ca="1">AVERAGE(OFFSET($GD$3,0,0,'Données projet'!$E$17+1,1))-AVERAGE(OFFSET($H$3,0,0,'Données projet'!$E$17+1,1))</f>
        <v>289.12367833861299</v>
      </c>
      <c r="GF8" s="62">
        <f t="shared" si="50"/>
        <v>229.06617320689003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>
        <f>EXP(-LN(2)/35)*GL7+(1-EXP(-LN(2)/35))/(LN(2)/35)*GH8*GI8*VLOOKUP('Données projet'!$B$17,Paramètres!$A$1:$I$89,3,0)*0.475*44/12</f>
        <v>0</v>
      </c>
      <c r="GM8" s="23">
        <f>EXP(-LN(2)/25)*GM7+(1-EXP(-LN(2)/25))/(LN(2)/25)*Calculateur!GH8*Calculateur!GJ8*VLOOKUP('Données projet'!$B$17,Paramètres!$A$1:$I$89,3,0)*0.475*44/12</f>
        <v>0</v>
      </c>
      <c r="GN8" s="23">
        <f>EXP(-LN(2)/2)*GN7+(1-EXP(-LN(2)/2))/(LN(2)/2)*GH8*GK8*VLOOKUP('Données projet'!$B$17,Paramètres!$A$1:$I$89,3,0)*0.475*44/12</f>
        <v>0</v>
      </c>
      <c r="GO8" s="23">
        <f t="shared" si="27"/>
        <v>0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4.9084615384615384</v>
      </c>
      <c r="GU8" s="13">
        <f>IF('Données projet'!$A$270&gt;35,GU7+GT8-HC7,IF(A8&lt;'Données projet'!$A$270,$GR$205^A8,IF(A8='Données projet'!$A$270,'Données projet'!$B$270,GU7+GT8-HC7)))</f>
        <v>2.2979704576846265</v>
      </c>
      <c r="GV8" s="18">
        <f>GU8*VLOOKUP('Données projet'!$B$18,Paramètres!$A$1:$I$89,3,0)*VLOOKUP('Données projet'!$B$18,Paramètres!$A$1:$I$89,5,0)</f>
        <v>1.0754501741964051</v>
      </c>
      <c r="GW8" s="14">
        <f t="shared" si="51"/>
        <v>0.49143405532927165</v>
      </c>
      <c r="GX8" s="22">
        <f t="shared" si="28"/>
        <v>2.7289900330905534</v>
      </c>
      <c r="GY8" s="62">
        <f t="shared" si="29"/>
        <v>265.50676781086833</v>
      </c>
      <c r="GZ8" s="62">
        <f ca="1">AVERAGE(OFFSET($GY$3,0,0,'Données projet'!$E$18+1,1))-AVERAGE(OFFSET($H$3,0,0,'Données projet'!$E$18+1,1))</f>
        <v>284.88646502866419</v>
      </c>
      <c r="HA8" s="62">
        <f t="shared" si="52"/>
        <v>190.4880882944471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>
        <f>EXP(-LN(2)/35)*HG7+(1-EXP(-LN(2)/35))/(LN(2)/35)*HC8*HD8*VLOOKUP('Données projet'!$B$18,Paramètres!$A$1:$I$89,3,0)*0.475*44/12</f>
        <v>0</v>
      </c>
      <c r="HH8" s="23">
        <f>EXP(-LN(2)/25)*HH7+(1-EXP(-LN(2)/25))/(LN(2)/25)*Calculateur!HC8*Calculateur!HE8*VLOOKUP('Données projet'!$B$18,Paramètres!$A$1:$I$89,3,0)*0.475*44/12</f>
        <v>0</v>
      </c>
      <c r="HI8" s="23">
        <f>EXP(-LN(2)/2)*HI7+(1-EXP(-LN(2)/2))/(LN(2)/2)*HC8*HF8*VLOOKUP('Données projet'!$B$18,Paramètres!$A$1:$I$89,3,0)*0.475*44/12</f>
        <v>0</v>
      </c>
      <c r="HJ8" s="24">
        <f t="shared" si="30"/>
        <v>0</v>
      </c>
    </row>
    <row r="9" spans="1:218" s="5" customFormat="1" x14ac:dyDescent="0.25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2">
        <f t="shared" si="32"/>
        <v>0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0</v>
      </c>
      <c r="H9" s="70">
        <f t="shared" si="1"/>
        <v>256.66666666666669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2.4358974358974361</v>
      </c>
      <c r="N9" s="14">
        <f>IF('Données projet'!$A$36&gt;35,N8+M9-V8,IF(A9&lt;'Données projet'!$A$36,$K$205^A9,IF(A9='Données projet'!$A$36,'Données projet'!$B$36,N8+M9-V8)))</f>
        <v>4.2179371378119086</v>
      </c>
      <c r="O9" s="14">
        <f>N9*VLOOKUP('Données projet'!$B$9,Paramètres!$A$1:$I$89,3,0)*VLOOKUP('Données projet'!$B$9,Paramètres!$A$1:$I$89,5,0)</f>
        <v>4.0137889803418121</v>
      </c>
      <c r="P9" s="14">
        <f t="shared" si="33"/>
        <v>1.5734496608040387</v>
      </c>
      <c r="Q9" s="22">
        <f t="shared" si="2"/>
        <v>9.7311072999956902</v>
      </c>
      <c r="R9" s="62">
        <f t="shared" si="0"/>
        <v>273.7311072999957</v>
      </c>
      <c r="S9" s="62">
        <f ca="1">AVERAGE(OFFSET($R$3,0,0,'Données projet'!$E$9+1,1))-AVERAGE(OFFSET($H$3,0,0,'Données projet'!$E$9+1,1))</f>
        <v>367.11183928586667</v>
      </c>
      <c r="T9" s="62">
        <f t="shared" si="34"/>
        <v>281.52963027844595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2.1</v>
      </c>
      <c r="AI9" s="14">
        <f>IF('Données projet'!$A$62&gt;35,AI8+AH9-AQ8,IF(A9&lt;'Données projet'!$A$62,$AF$205^A9,IF(A9='Données projet'!$A$62,'Données projet'!$B$62,AI8+AH9-AQ8)))</f>
        <v>3.0688438220956993</v>
      </c>
      <c r="AJ9" s="14">
        <f>AI9*VLOOKUP('Données projet'!$B$10,Paramètres!$A$1:$I$89,3,0)*VLOOKUP('Données projet'!$B$10,Paramètres!$A$1:$I$89,5,0)</f>
        <v>2.7766898902321886</v>
      </c>
      <c r="AK9" s="14">
        <f t="shared" si="35"/>
        <v>1.1361949561012803</v>
      </c>
      <c r="AL9" s="22">
        <f t="shared" si="4"/>
        <v>6.8149411073641248</v>
      </c>
      <c r="AM9" s="62">
        <f t="shared" si="5"/>
        <v>270.81494110736412</v>
      </c>
      <c r="AN9" s="62">
        <f ca="1">AVERAGE(OFFSET($AM$3,0,0,'Données projet'!$E$10+1,1))-AVERAGE(OFFSET($H$3,0,0,'Données projet'!$E$10+1,1))</f>
        <v>428.8489304403459</v>
      </c>
      <c r="AO9" s="62">
        <f t="shared" si="36"/>
        <v>247.01165577562966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2.1</v>
      </c>
      <c r="BD9" s="13">
        <f>IF('Données projet'!$A$88&gt;35,BD8+BC9-BL8,IF(A9&lt;'Données projet'!$A$88,$BA$205^A9,IF(A9='Données projet'!$A$88,'Données projet'!$B$88,BD8+BC9-BL8)))</f>
        <v>3.0688438220956993</v>
      </c>
      <c r="BE9" s="14">
        <f>BD9*VLOOKUP('Données projet'!$B$11,Paramètres!$A$1:$I$89,3,0)*VLOOKUP('Données projet'!$B$11,Paramètres!$A$1:$I$89,5,0)</f>
        <v>3.111807635605039</v>
      </c>
      <c r="BF9" s="14">
        <f t="shared" si="37"/>
        <v>1.2565452240335246</v>
      </c>
      <c r="BG9" s="22">
        <f t="shared" si="7"/>
        <v>7.6082145638704972</v>
      </c>
      <c r="BH9" s="62">
        <f t="shared" si="8"/>
        <v>271.60821456387049</v>
      </c>
      <c r="BI9" s="62">
        <f ca="1">AVERAGE(OFFSET($BH$3,0,0,'Données projet'!$E$11+1,1))-AVERAGE(OFFSET($H$3,0,0,'Données projet'!$E$11+1,1))</f>
        <v>475.47920969424894</v>
      </c>
      <c r="BJ9" s="62">
        <f t="shared" si="38"/>
        <v>271.73544012419364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>
        <f>EXP(-LN(2)/35)*BP8+(1-EXP(-LN(2)/35))/(LN(2)/35)*BL9*BM9*VLOOKUP('Données projet'!$B$11,Paramètres!$A$1:$I$89,3,0)*0.475*44/12</f>
        <v>0</v>
      </c>
      <c r="BQ9" s="23">
        <f>EXP(-LN(2)/25)*BQ8+(1-EXP(-LN(2)/25))/(LN(2)/25)*Calculateur!BL9*Calculateur!BN9*VLOOKUP('Données projet'!$B$11,Paramètres!$A$1:$I$89,3,0)*0.475*44/12</f>
        <v>0</v>
      </c>
      <c r="BR9" s="23">
        <f>EXP(-LN(2)/2)*BR8+(1-EXP(-LN(2)/2))/(LN(2)/2)*BL9*BO9*VLOOKUP('Données projet'!$B$11,Paramètres!$A$1:$I$89,3,0)*0.475*44/12</f>
        <v>0</v>
      </c>
      <c r="BS9" s="24">
        <f t="shared" si="9"/>
        <v>0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7.7987854251012134</v>
      </c>
      <c r="BY9" s="13">
        <f>IF('Données projet'!$A$114&gt;35,BY8+BX9-CG8,IF(A9&lt;'Données projet'!$A$114,$BV$205^A9,IF(A9='Données projet'!$A$114,'Données projet'!$B$114,BY8+BX9-CG8)))</f>
        <v>4.8474088835420224</v>
      </c>
      <c r="BZ9" s="14">
        <f>BY9*VLOOKUP('Données projet'!$B$12,Paramètres!$A$1:$I$89,3,0)*VLOOKUP('Données projet'!$B$12,Paramètres!$A$1:$I$89,5,0)</f>
        <v>2.7097015658999908</v>
      </c>
      <c r="CA9" s="14">
        <f t="shared" si="39"/>
        <v>1.1119402957316735</v>
      </c>
      <c r="CB9" s="22">
        <f t="shared" si="10"/>
        <v>6.6560262423418139</v>
      </c>
      <c r="CC9" s="62">
        <f t="shared" si="11"/>
        <v>270.6560262423418</v>
      </c>
      <c r="CD9" s="62">
        <f ca="1">AVERAGE(OFFSET($CC$3,0,0,'Données projet'!$E$12+1,1))-AVERAGE(OFFSET($H$3,0,0,'Données projet'!$E$12+1,1))</f>
        <v>323.98185264074681</v>
      </c>
      <c r="CE9" s="62">
        <f t="shared" si="40"/>
        <v>301.22207291854005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>
        <f>EXP(-LN(2)/35)*CK8+(1-EXP(-LN(2)/35))/(LN(2)/35)*CG9*CH9*VLOOKUP('Données projet'!$B$12,Paramètres!$A$1:$I$89,3,0)*0.475*44/12</f>
        <v>0</v>
      </c>
      <c r="CL9" s="23">
        <f>EXP(-LN(2)/25)*CL8+(1-EXP(-LN(2)/25))/(LN(2)/25)*Calculateur!CG9*Calculateur!CI9*VLOOKUP('Données projet'!$B$12,Paramètres!$A$1:$I$89,3,0)*0.475*44/12</f>
        <v>0</v>
      </c>
      <c r="CM9" s="23">
        <f>EXP(-LN(2)/2)*CM8+(1-EXP(-LN(2)/2))/(LN(2)/2)*CG9*CJ9*VLOOKUP('Données projet'!$B$12,Paramètres!$A$1:$I$89,3,0)*0.475*44/12</f>
        <v>0</v>
      </c>
      <c r="CN9" s="24">
        <f t="shared" si="12"/>
        <v>0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1.2</v>
      </c>
      <c r="CT9" s="13">
        <f>IF('Données projet'!$A$140&gt;35,CT8+CS9-DB8,IF(A9&lt;'Données projet'!$A$140,$CQ$205^A9,IF(A9='Données projet'!$A$140,'Données projet'!$B$140,CT8+CS9-DB8)))</f>
        <v>2.2620859438457455</v>
      </c>
      <c r="CU9" s="18">
        <f>CT9*VLOOKUP('Données projet'!$B$13,Paramètres!$A$1:$I$89,3,0)*VLOOKUP('Données projet'!$B$13,Paramètres!$A$1:$I$89,5,0)</f>
        <v>2.5760634728515348</v>
      </c>
      <c r="CV9" s="14">
        <f t="shared" si="41"/>
        <v>1.0633427661439394</v>
      </c>
      <c r="CW9" s="22">
        <f t="shared" si="13"/>
        <v>6.3386325329171171</v>
      </c>
      <c r="CX9" s="62">
        <f t="shared" si="14"/>
        <v>270.33863253291713</v>
      </c>
      <c r="CY9" s="62">
        <f ca="1">AVERAGE(OFFSET($CX$3,0,0,'Données projet'!$E$13+1,1))-AVERAGE(OFFSET($H$3,0,0,'Données projet'!$E$13+1,1))</f>
        <v>399.78832690250164</v>
      </c>
      <c r="CZ9" s="62">
        <f t="shared" si="42"/>
        <v>174.32967064896343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>
        <f>EXP(-LN(2)/35)*DF8+(1-EXP(-LN(2)/35))/(LN(2)/35)*DB9*DC9*VLOOKUP('Données projet'!$B$13,Paramètres!$A$1:$I$89,3,0)*0.475*44/12</f>
        <v>0</v>
      </c>
      <c r="DG9" s="23">
        <f>EXP(-LN(2)/25)*DG8+(1-EXP(-LN(2)/25))/(LN(2)/25)*Calculateur!DB9*Calculateur!DD9*VLOOKUP('Données projet'!$B$13,Paramètres!$A$1:$I$89,3,0)*0.475*44/12</f>
        <v>0</v>
      </c>
      <c r="DH9" s="23">
        <f>EXP(-LN(2)/2)*DH8+(1-EXP(-LN(2)/2))/(LN(2)/2)*DB9*DE9*VLOOKUP('Données projet'!$B$13,Paramètres!$A$1:$I$89,3,0)*0.475*44/12</f>
        <v>0</v>
      </c>
      <c r="DI9" s="24">
        <f t="shared" si="15"/>
        <v>0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2.1</v>
      </c>
      <c r="DO9" s="13">
        <f>IF('Données projet'!$A$166&gt;35,DO8+DN9-DW8,IF(A9&lt;'Données projet'!$A$166,$DL$205^A9,IF(A9='Données projet'!$A$166,'Données projet'!$B$166,DO8+DN9-DW8)))</f>
        <v>3.0688438220956993</v>
      </c>
      <c r="DP9" s="18">
        <f>DO9*VLOOKUP('Données projet'!$B$14,Paramètres!$A$1:$I$89,3,0)*VLOOKUP('Données projet'!$B$14,Paramètres!$A$1:$I$89,5,0)</f>
        <v>2.5851940357334171</v>
      </c>
      <c r="DQ9" s="14">
        <f t="shared" si="43"/>
        <v>1.0666722775067177</v>
      </c>
      <c r="DR9" s="22">
        <f t="shared" si="16"/>
        <v>6.3603338288932347</v>
      </c>
      <c r="DS9" s="62">
        <f t="shared" si="17"/>
        <v>270.36033382889326</v>
      </c>
      <c r="DT9" s="62">
        <f ca="1">AVERAGE(OFFSET($DS$3,0,0,'Données projet'!$E$14+1,1))-AVERAGE(OFFSET($H$3,0,0,'Données projet'!$E$14+1,1))</f>
        <v>402.15128814037058</v>
      </c>
      <c r="DU9" s="62">
        <f t="shared" si="44"/>
        <v>232.85411068442738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>
        <f>EXP(-LN(2)/35)*EA8+(1-EXP(-LN(2)/35))/(LN(2)/35)*DW9*DX9*VLOOKUP('Données projet'!$B$14,Paramètres!$A$1:$I$89,3,0)*0.475*44/12</f>
        <v>0</v>
      </c>
      <c r="EB9" s="23">
        <f>EXP(-LN(2)/25)*EB8+(1-EXP(-LN(2)/25))/(LN(2)/25)*Calculateur!DW9*Calculateur!DY9*VLOOKUP('Données projet'!$B$14,Paramètres!$A$1:$I$89,3,0)*0.475*44/12</f>
        <v>0</v>
      </c>
      <c r="EC9" s="23">
        <f>EXP(-LN(2)/2)*EC8+(1-EXP(-LN(2)/2))/(LN(2)/2)*DW9*DZ9*VLOOKUP('Données projet'!$B$14,Paramètres!$A$1:$I$89,3,0)*0.475*44/12</f>
        <v>0</v>
      </c>
      <c r="ED9" s="24">
        <f t="shared" si="18"/>
        <v>0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2.8205128205128203</v>
      </c>
      <c r="EJ9" s="13">
        <f>IF('Données projet'!$A$192&gt;35,EJ8+EI9-ER8,IF(A9&lt;'Données projet'!$A$192,$EG$205^A9,IF(A9='Données projet'!$A$192,'Données projet'!$B$192,EJ8+EI9-ER8)))</f>
        <v>4.472679046280013</v>
      </c>
      <c r="EK9" s="18">
        <f>EJ9*VLOOKUP('Données projet'!$B$15,Paramètres!$A$1:$I$89,3,0)*VLOOKUP('Données projet'!$B$15,Paramètres!$A$1:$I$89,5,0)</f>
        <v>4.6748441391718698</v>
      </c>
      <c r="EL9" s="14">
        <f t="shared" si="45"/>
        <v>1.8003556508248011</v>
      </c>
      <c r="EM9" s="22">
        <f t="shared" si="19"/>
        <v>11.277639634244201</v>
      </c>
      <c r="EN9" s="62">
        <f t="shared" si="20"/>
        <v>275.27763963424422</v>
      </c>
      <c r="EO9" s="62">
        <f ca="1">AVERAGE(OFFSET($EN$3,0,0,'Données projet'!$E$15+1,1))-AVERAGE(OFFSET($H$3,0,0,'Données projet'!$E$15+1,1))</f>
        <v>595.89992279024398</v>
      </c>
      <c r="EP9" s="62">
        <f t="shared" si="46"/>
        <v>378.16197659288338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>
        <f>EXP(-LN(2)/35)*EV8+(1-EXP(-LN(2)/35))/(LN(2)/35)*ER9*ES9*VLOOKUP('Données projet'!$B$15,Paramètres!$A$1:$I$89,3,0)*0.475*44/12</f>
        <v>0</v>
      </c>
      <c r="EW9" s="23">
        <f>EXP(-LN(2)/25)*EW8+(1-EXP(-LN(2)/25))/(LN(2)/25)*Calculateur!ER9*Calculateur!ET9*VLOOKUP('Données projet'!$B$15,Paramètres!$A$1:$I$89,3,0)*0.475*44/12</f>
        <v>0</v>
      </c>
      <c r="EX9" s="23">
        <f>EXP(-LN(2)/2)*EX8+(1-EXP(-LN(2)/2))/(LN(2)/2)*ER9*EU9*VLOOKUP('Données projet'!$B$15,Paramètres!$A$1:$I$89,3,0)*0.475*44/12</f>
        <v>0</v>
      </c>
      <c r="EY9" s="24">
        <f t="shared" si="21"/>
        <v>0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7.4312217194570129</v>
      </c>
      <c r="FE9" s="13">
        <f>IF('Données projet'!$A$218&gt;35,FE8+FD9-FM8,IF(A9&lt;'Données projet'!$A$218,$FB$205^A9,IF(A9='Données projet'!$A$218,'Données projet'!$B$218,FE8+FD9-FM8)))</f>
        <v>5.5170778020474653</v>
      </c>
      <c r="FF9" s="18">
        <f>FE9*VLOOKUP('Données projet'!$B$16,Paramètres!$A$1:$I$89,3,0)*VLOOKUP('Données projet'!$B$16,Paramètres!$A$1:$I$89,5,0)</f>
        <v>3.2992125256243843</v>
      </c>
      <c r="FG9" s="14">
        <f t="shared" si="47"/>
        <v>1.3231814362474952</v>
      </c>
      <c r="FH9" s="22">
        <f t="shared" si="22"/>
        <v>8.0506694835935235</v>
      </c>
      <c r="FI9" s="62">
        <f t="shared" si="23"/>
        <v>272.05066948359354</v>
      </c>
      <c r="FJ9" s="62">
        <f ca="1">AVERAGE(OFFSET($FI$3,0,0,'Données projet'!$E$16+1,1))-AVERAGE(OFFSET($H$3,0,0,'Données projet'!$E$16+1,1))</f>
        <v>257.56116197646924</v>
      </c>
      <c r="FK9" s="62">
        <f t="shared" si="48"/>
        <v>269.95556918835888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>
        <f>EXP(-LN(2)/35)*FQ8+(1-EXP(-LN(2)/35))/(LN(2)/35)*FM9*FN9*VLOOKUP('Données projet'!$B$16,Paramètres!$A$1:$I$89,3,0)*0.475*44/12</f>
        <v>0</v>
      </c>
      <c r="FR9" s="23">
        <f>EXP(-LN(2)/25)*FR8+(1-EXP(-LN(2)/25))/(LN(2)/25)*Calculateur!FM9*Calculateur!FO9*VLOOKUP('Données projet'!$B$16,Paramètres!$A$1:$I$89,3,0)*0.475*44/12</f>
        <v>0</v>
      </c>
      <c r="FS9" s="23">
        <f>EXP(-LN(2)/2)*FS8+(1-EXP(-LN(2)/2))/(LN(2)/2)*FM9*FP9*VLOOKUP('Données projet'!$B$16,Paramètres!$A$1:$I$89,3,0)*0.475*44/12</f>
        <v>0</v>
      </c>
      <c r="FT9" s="24">
        <f t="shared" si="24"/>
        <v>0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2.3805128205128203</v>
      </c>
      <c r="FZ9" s="13">
        <f>IF('Données projet'!$A$244&gt;35,FZ8+FY9-GH8,IF(A9&lt;'Données projet'!$A$244,$FW$205^A9,IF(A9='Données projet'!$A$244,'Données projet'!$B$244,FZ8+FY9-GH8)))</f>
        <v>4.1793112262558481</v>
      </c>
      <c r="GA9" s="18">
        <f>FZ9*VLOOKUP('Données projet'!$B$17,Paramètres!$A$1:$I$89,3,0)*VLOOKUP('Données projet'!$B$17,Paramètres!$A$1:$I$89,5,0)</f>
        <v>2.4992281133009975</v>
      </c>
      <c r="GB9" s="14">
        <f t="shared" si="49"/>
        <v>1.0352693484653335</v>
      </c>
      <c r="GC9" s="22">
        <f t="shared" si="25"/>
        <v>6.1559164125763592</v>
      </c>
      <c r="GD9" s="62">
        <f t="shared" si="26"/>
        <v>270.15591641257635</v>
      </c>
      <c r="GE9" s="62">
        <f ca="1">AVERAGE(OFFSET($GD$3,0,0,'Données projet'!$E$17+1,1))-AVERAGE(OFFSET($H$3,0,0,'Données projet'!$E$17+1,1))</f>
        <v>289.12367833861299</v>
      </c>
      <c r="GF9" s="62">
        <f t="shared" si="50"/>
        <v>229.06617320689003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>
        <f>EXP(-LN(2)/35)*GL8+(1-EXP(-LN(2)/35))/(LN(2)/35)*GH9*GI9*VLOOKUP('Données projet'!$B$17,Paramètres!$A$1:$I$89,3,0)*0.475*44/12</f>
        <v>0</v>
      </c>
      <c r="GM9" s="23">
        <f>EXP(-LN(2)/25)*GM8+(1-EXP(-LN(2)/25))/(LN(2)/25)*Calculateur!GH9*Calculateur!GJ9*VLOOKUP('Données projet'!$B$17,Paramètres!$A$1:$I$89,3,0)*0.475*44/12</f>
        <v>0</v>
      </c>
      <c r="GN9" s="23">
        <f>EXP(-LN(2)/2)*GN8+(1-EXP(-LN(2)/2))/(LN(2)/2)*GH9*GK9*VLOOKUP('Données projet'!$B$17,Paramètres!$A$1:$I$89,3,0)*0.475*44/12</f>
        <v>0</v>
      </c>
      <c r="GO9" s="23">
        <f t="shared" si="27"/>
        <v>0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4.9084615384615384</v>
      </c>
      <c r="GU9" s="13">
        <f>IF('Données projet'!$A$270&gt;35,GU8+GT9-HC8,IF(A9&lt;'Données projet'!$A$270,$GR$205^A9,IF(A9='Données projet'!$A$270,'Données projet'!$B$270,GU8+GT9-HC8)))</f>
        <v>2.7140217853749289</v>
      </c>
      <c r="GV9" s="18">
        <f>GU9*VLOOKUP('Données projet'!$B$18,Paramètres!$A$1:$I$89,3,0)*VLOOKUP('Données projet'!$B$18,Paramètres!$A$1:$I$89,5,0)</f>
        <v>1.2701621955554667</v>
      </c>
      <c r="GW9" s="14">
        <f t="shared" si="51"/>
        <v>0.56927490371064715</v>
      </c>
      <c r="GX9" s="22">
        <f t="shared" si="28"/>
        <v>3.203686281221815</v>
      </c>
      <c r="GY9" s="62">
        <f t="shared" si="29"/>
        <v>267.20368628122179</v>
      </c>
      <c r="GZ9" s="62">
        <f ca="1">AVERAGE(OFFSET($GY$3,0,0,'Données projet'!$E$18+1,1))-AVERAGE(OFFSET($H$3,0,0,'Données projet'!$E$18+1,1))</f>
        <v>284.88646502866419</v>
      </c>
      <c r="HA9" s="62">
        <f t="shared" si="52"/>
        <v>190.4880882944471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>
        <f>EXP(-LN(2)/35)*HG8+(1-EXP(-LN(2)/35))/(LN(2)/35)*HC9*HD9*VLOOKUP('Données projet'!$B$18,Paramètres!$A$1:$I$89,3,0)*0.475*44/12</f>
        <v>0</v>
      </c>
      <c r="HH9" s="23">
        <f>EXP(-LN(2)/25)*HH8+(1-EXP(-LN(2)/25))/(LN(2)/25)*Calculateur!HC9*Calculateur!HE9*VLOOKUP('Données projet'!$B$18,Paramètres!$A$1:$I$89,3,0)*0.475*44/12</f>
        <v>0</v>
      </c>
      <c r="HI9" s="23">
        <f>EXP(-LN(2)/2)*HI8+(1-EXP(-LN(2)/2))/(LN(2)/2)*HC9*HF9*VLOOKUP('Données projet'!$B$18,Paramètres!$A$1:$I$89,3,0)*0.475*44/12</f>
        <v>0</v>
      </c>
      <c r="HJ9" s="24">
        <f t="shared" si="30"/>
        <v>0</v>
      </c>
    </row>
    <row r="10" spans="1:218" s="5" customFormat="1" x14ac:dyDescent="0.25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2">
        <f t="shared" si="32"/>
        <v>0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0</v>
      </c>
      <c r="H10" s="70">
        <f t="shared" si="1"/>
        <v>256.66666666666669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2.4358974358974361</v>
      </c>
      <c r="N10" s="14">
        <f>IF('Données projet'!$A$36&gt;35,N9+M10-V9,IF(A10&lt;'Données projet'!$A$36,$K$205^A10,IF(A10='Données projet'!$A$36,'Données projet'!$B$36,N9+M10-V9)))</f>
        <v>5.3614647306823651</v>
      </c>
      <c r="O10" s="14">
        <f>N10*VLOOKUP('Données projet'!$B$9,Paramètres!$A$1:$I$89,3,0)*VLOOKUP('Données projet'!$B$9,Paramètres!$A$1:$I$89,5,0)</f>
        <v>5.1019698377173386</v>
      </c>
      <c r="P10" s="14">
        <f t="shared" si="33"/>
        <v>1.9449536745097864</v>
      </c>
      <c r="Q10" s="22">
        <f t="shared" si="2"/>
        <v>12.273391783795576</v>
      </c>
      <c r="R10" s="62">
        <f t="shared" si="0"/>
        <v>277.49561400601783</v>
      </c>
      <c r="S10" s="62">
        <f ca="1">AVERAGE(OFFSET($R$3,0,0,'Données projet'!$E$9+1,1))-AVERAGE(OFFSET($H$3,0,0,'Données projet'!$E$9+1,1))</f>
        <v>367.11183928586667</v>
      </c>
      <c r="T10" s="62">
        <f t="shared" si="34"/>
        <v>281.52963027844595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2.1</v>
      </c>
      <c r="AI10" s="14">
        <f>IF('Données projet'!$A$62&gt;35,AI9+AH10-AQ9,IF(A10&lt;'Données projet'!$A$62,$AF$205^A10,IF(A10='Données projet'!$A$62,'Données projet'!$B$62,AI9+AH10-AQ9)))</f>
        <v>3.6994507637402658</v>
      </c>
      <c r="AJ10" s="14">
        <f>AI10*VLOOKUP('Données projet'!$B$10,Paramètres!$A$1:$I$89,3,0)*VLOOKUP('Données projet'!$B$10,Paramètres!$A$1:$I$89,5,0)</f>
        <v>3.3472630510321921</v>
      </c>
      <c r="AK10" s="14">
        <f t="shared" si="35"/>
        <v>1.34019505338418</v>
      </c>
      <c r="AL10" s="22">
        <f t="shared" si="4"/>
        <v>8.1639895318585136</v>
      </c>
      <c r="AM10" s="62">
        <f t="shared" si="5"/>
        <v>273.38621175408076</v>
      </c>
      <c r="AN10" s="62">
        <f ca="1">AVERAGE(OFFSET($AM$3,0,0,'Données projet'!$E$10+1,1))-AVERAGE(OFFSET($H$3,0,0,'Données projet'!$E$10+1,1))</f>
        <v>428.8489304403459</v>
      </c>
      <c r="AO10" s="62">
        <f t="shared" si="36"/>
        <v>247.01165577562966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2.1</v>
      </c>
      <c r="BD10" s="13">
        <f>IF('Données projet'!$A$88&gt;35,BD9+BC10-BL9,IF(A10&lt;'Données projet'!$A$88,$BA$205^A10,IF(A10='Données projet'!$A$88,'Données projet'!$B$88,BD9+BC10-BL9)))</f>
        <v>3.6994507637402658</v>
      </c>
      <c r="BE10" s="14">
        <f>BD10*VLOOKUP('Données projet'!$B$11,Paramètres!$A$1:$I$89,3,0)*VLOOKUP('Données projet'!$B$11,Paramètres!$A$1:$I$89,5,0)</f>
        <v>3.7512430744326299</v>
      </c>
      <c r="BF10" s="14">
        <f t="shared" si="37"/>
        <v>1.4821538192545303</v>
      </c>
      <c r="BG10" s="22">
        <f t="shared" si="7"/>
        <v>9.1148329231718037</v>
      </c>
      <c r="BH10" s="62">
        <f t="shared" si="8"/>
        <v>274.33705514539406</v>
      </c>
      <c r="BI10" s="62">
        <f ca="1">AVERAGE(OFFSET($BH$3,0,0,'Données projet'!$E$11+1,1))-AVERAGE(OFFSET($H$3,0,0,'Données projet'!$E$11+1,1))</f>
        <v>475.47920969424894</v>
      </c>
      <c r="BJ10" s="62">
        <f t="shared" si="38"/>
        <v>271.73544012419364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>
        <f>EXP(-LN(2)/35)*BP9+(1-EXP(-LN(2)/35))/(LN(2)/35)*BL10*BM10*VLOOKUP('Données projet'!$B$11,Paramètres!$A$1:$I$89,3,0)*0.475*44/12</f>
        <v>0</v>
      </c>
      <c r="BQ10" s="23">
        <f>EXP(-LN(2)/25)*BQ9+(1-EXP(-LN(2)/25))/(LN(2)/25)*Calculateur!BL10*Calculateur!BN10*VLOOKUP('Données projet'!$B$11,Paramètres!$A$1:$I$89,3,0)*0.475*44/12</f>
        <v>0</v>
      </c>
      <c r="BR10" s="23">
        <f>EXP(-LN(2)/2)*BR9+(1-EXP(-LN(2)/2))/(LN(2)/2)*BL10*BO10*VLOOKUP('Données projet'!$B$11,Paramètres!$A$1:$I$89,3,0)*0.475*44/12</f>
        <v>0</v>
      </c>
      <c r="BS10" s="24">
        <f t="shared" si="9"/>
        <v>0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7.7987854251012134</v>
      </c>
      <c r="BY10" s="13">
        <f>IF('Données projet'!$A$114&gt;35,BY9+BX10-CG9,IF(A10&lt;'Données projet'!$A$114,$BV$205^A10,IF(A10='Données projet'!$A$114,'Données projet'!$B$114,BY9+BX10-CG9)))</f>
        <v>6.3061059552020682</v>
      </c>
      <c r="BZ10" s="14">
        <f>BY10*VLOOKUP('Données projet'!$B$12,Paramètres!$A$1:$I$89,3,0)*VLOOKUP('Données projet'!$B$12,Paramètres!$A$1:$I$89,5,0)</f>
        <v>3.5251132289579559</v>
      </c>
      <c r="CA10" s="14">
        <f t="shared" si="39"/>
        <v>1.4029241483397099</v>
      </c>
      <c r="CB10" s="22">
        <f t="shared" si="10"/>
        <v>8.5829984321267663</v>
      </c>
      <c r="CC10" s="62">
        <f t="shared" si="11"/>
        <v>273.805220654349</v>
      </c>
      <c r="CD10" s="62">
        <f ca="1">AVERAGE(OFFSET($CC$3,0,0,'Données projet'!$E$12+1,1))-AVERAGE(OFFSET($H$3,0,0,'Données projet'!$E$12+1,1))</f>
        <v>323.98185264074681</v>
      </c>
      <c r="CE10" s="62">
        <f t="shared" si="40"/>
        <v>301.22207291854005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>
        <f>EXP(-LN(2)/35)*CK9+(1-EXP(-LN(2)/35))/(LN(2)/35)*CG10*CH10*VLOOKUP('Données projet'!$B$12,Paramètres!$A$1:$I$89,3,0)*0.475*44/12</f>
        <v>0</v>
      </c>
      <c r="CL10" s="23">
        <f>EXP(-LN(2)/25)*CL9+(1-EXP(-LN(2)/25))/(LN(2)/25)*Calculateur!CG10*Calculateur!CI10*VLOOKUP('Données projet'!$B$12,Paramètres!$A$1:$I$89,3,0)*0.475*44/12</f>
        <v>0</v>
      </c>
      <c r="CM10" s="23">
        <f>EXP(-LN(2)/2)*CM9+(1-EXP(-LN(2)/2))/(LN(2)/2)*CG10*CJ10*VLOOKUP('Données projet'!$B$12,Paramètres!$A$1:$I$89,3,0)*0.475*44/12</f>
        <v>0</v>
      </c>
      <c r="CN10" s="24">
        <f t="shared" si="12"/>
        <v>0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1.2</v>
      </c>
      <c r="CT10" s="13">
        <f>IF('Données projet'!$A$140&gt;35,CT9+CS10-DB9,IF(A10&lt;'Données projet'!$A$140,$CQ$205^A10,IF(A10='Données projet'!$A$140,'Données projet'!$B$140,CT9+CS10-DB9)))</f>
        <v>2.5917550374450604</v>
      </c>
      <c r="CU10" s="18">
        <f>CT10*VLOOKUP('Données projet'!$B$13,Paramètres!$A$1:$I$89,3,0)*VLOOKUP('Données projet'!$B$13,Paramètres!$A$1:$I$89,5,0)</f>
        <v>2.9514906366424349</v>
      </c>
      <c r="CV10" s="14">
        <f t="shared" si="41"/>
        <v>1.1991697224077444</v>
      </c>
      <c r="CW10" s="22">
        <f t="shared" si="13"/>
        <v>7.2290667920123957</v>
      </c>
      <c r="CX10" s="62">
        <f t="shared" si="14"/>
        <v>272.45128901423465</v>
      </c>
      <c r="CY10" s="62">
        <f ca="1">AVERAGE(OFFSET($CX$3,0,0,'Données projet'!$E$13+1,1))-AVERAGE(OFFSET($H$3,0,0,'Données projet'!$E$13+1,1))</f>
        <v>399.78832690250164</v>
      </c>
      <c r="CZ10" s="62">
        <f t="shared" si="42"/>
        <v>174.32967064896343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>
        <f>EXP(-LN(2)/35)*DF9+(1-EXP(-LN(2)/35))/(LN(2)/35)*DB10*DC10*VLOOKUP('Données projet'!$B$13,Paramètres!$A$1:$I$89,3,0)*0.475*44/12</f>
        <v>0</v>
      </c>
      <c r="DG10" s="23">
        <f>EXP(-LN(2)/25)*DG9+(1-EXP(-LN(2)/25))/(LN(2)/25)*Calculateur!DB10*Calculateur!DD10*VLOOKUP('Données projet'!$B$13,Paramètres!$A$1:$I$89,3,0)*0.475*44/12</f>
        <v>0</v>
      </c>
      <c r="DH10" s="23">
        <f>EXP(-LN(2)/2)*DH9+(1-EXP(-LN(2)/2))/(LN(2)/2)*DB10*DE10*VLOOKUP('Données projet'!$B$13,Paramètres!$A$1:$I$89,3,0)*0.475*44/12</f>
        <v>0</v>
      </c>
      <c r="DI10" s="24">
        <f t="shared" si="15"/>
        <v>0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2.1</v>
      </c>
      <c r="DO10" s="13">
        <f>IF('Données projet'!$A$166&gt;35,DO9+DN10-DW9,IF(A10&lt;'Données projet'!$A$166,$DL$205^A10,IF(A10='Données projet'!$A$166,'Données projet'!$B$166,DO9+DN10-DW9)))</f>
        <v>3.6994507637402658</v>
      </c>
      <c r="DP10" s="18">
        <f>DO10*VLOOKUP('Données projet'!$B$14,Paramètres!$A$1:$I$89,3,0)*VLOOKUP('Données projet'!$B$14,Paramètres!$A$1:$I$89,5,0)</f>
        <v>3.1164173233748005</v>
      </c>
      <c r="DQ10" s="14">
        <f t="shared" si="43"/>
        <v>1.2581898046809412</v>
      </c>
      <c r="DR10" s="22">
        <f t="shared" si="16"/>
        <v>7.6191074146970825</v>
      </c>
      <c r="DS10" s="62">
        <f t="shared" si="17"/>
        <v>272.84132963691928</v>
      </c>
      <c r="DT10" s="62">
        <f ca="1">AVERAGE(OFFSET($DS$3,0,0,'Données projet'!$E$14+1,1))-AVERAGE(OFFSET($H$3,0,0,'Données projet'!$E$14+1,1))</f>
        <v>402.15128814037058</v>
      </c>
      <c r="DU10" s="62">
        <f t="shared" si="44"/>
        <v>232.85411068442738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>
        <f>EXP(-LN(2)/35)*EA9+(1-EXP(-LN(2)/35))/(LN(2)/35)*DW10*DX10*VLOOKUP('Données projet'!$B$14,Paramètres!$A$1:$I$89,3,0)*0.475*44/12</f>
        <v>0</v>
      </c>
      <c r="EB10" s="23">
        <f>EXP(-LN(2)/25)*EB9+(1-EXP(-LN(2)/25))/(LN(2)/25)*Calculateur!DW10*Calculateur!DY10*VLOOKUP('Données projet'!$B$14,Paramètres!$A$1:$I$89,3,0)*0.475*44/12</f>
        <v>0</v>
      </c>
      <c r="EC10" s="23">
        <f>EXP(-LN(2)/2)*EC9+(1-EXP(-LN(2)/2))/(LN(2)/2)*DW10*DZ10*VLOOKUP('Données projet'!$B$14,Paramètres!$A$1:$I$89,3,0)*0.475*44/12</f>
        <v>0</v>
      </c>
      <c r="ED10" s="24">
        <f t="shared" si="18"/>
        <v>0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2.8205128205128203</v>
      </c>
      <c r="EJ10" s="13">
        <f>IF('Données projet'!$A$192&gt;35,EJ9+EI10-ER9,IF(A10&lt;'Données projet'!$A$192,$EG$205^A10,IF(A10='Données projet'!$A$192,'Données projet'!$B$192,EJ9+EI10-ER9)))</f>
        <v>5.7411076553122316</v>
      </c>
      <c r="EK10" s="18">
        <f>EJ10*VLOOKUP('Données projet'!$B$15,Paramètres!$A$1:$I$89,3,0)*VLOOKUP('Données projet'!$B$15,Paramètres!$A$1:$I$89,5,0)</f>
        <v>6.0006057213323452</v>
      </c>
      <c r="EL10" s="14">
        <f t="shared" si="45"/>
        <v>2.2447358775372241</v>
      </c>
      <c r="EM10" s="22">
        <f t="shared" si="19"/>
        <v>14.360636618031165</v>
      </c>
      <c r="EN10" s="62">
        <f t="shared" si="20"/>
        <v>279.58285884025338</v>
      </c>
      <c r="EO10" s="62">
        <f ca="1">AVERAGE(OFFSET($EN$3,0,0,'Données projet'!$E$15+1,1))-AVERAGE(OFFSET($H$3,0,0,'Données projet'!$E$15+1,1))</f>
        <v>595.89992279024398</v>
      </c>
      <c r="EP10" s="62">
        <f t="shared" si="46"/>
        <v>378.16197659288338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>
        <f>EXP(-LN(2)/35)*EV9+(1-EXP(-LN(2)/35))/(LN(2)/35)*ER10*ES10*VLOOKUP('Données projet'!$B$15,Paramètres!$A$1:$I$89,3,0)*0.475*44/12</f>
        <v>0</v>
      </c>
      <c r="EW10" s="23">
        <f>EXP(-LN(2)/25)*EW9+(1-EXP(-LN(2)/25))/(LN(2)/25)*Calculateur!ER10*Calculateur!ET10*VLOOKUP('Données projet'!$B$15,Paramètres!$A$1:$I$89,3,0)*0.475*44/12</f>
        <v>0</v>
      </c>
      <c r="EX10" s="23">
        <f>EXP(-LN(2)/2)*EX9+(1-EXP(-LN(2)/2))/(LN(2)/2)*ER10*EU10*VLOOKUP('Données projet'!$B$15,Paramètres!$A$1:$I$89,3,0)*0.475*44/12</f>
        <v>0</v>
      </c>
      <c r="EY10" s="24">
        <f t="shared" si="21"/>
        <v>0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7.4312217194570129</v>
      </c>
      <c r="FE10" s="13">
        <f>IF('Données projet'!$A$218&gt;35,FE9+FD10-FM9,IF(A10&lt;'Données projet'!$A$218,$FB$205^A10,IF(A10='Données projet'!$A$218,'Données projet'!$B$218,FE9+FD10-FM9)))</f>
        <v>7.3337701280605696</v>
      </c>
      <c r="FF10" s="18">
        <f>FE10*VLOOKUP('Données projet'!$B$16,Paramètres!$A$1:$I$89,3,0)*VLOOKUP('Données projet'!$B$16,Paramètres!$A$1:$I$89,5,0)</f>
        <v>4.3855945365802205</v>
      </c>
      <c r="FG10" s="14">
        <f t="shared" si="47"/>
        <v>1.7015645433219191</v>
      </c>
      <c r="FH10" s="22">
        <f t="shared" si="22"/>
        <v>10.601802064162893</v>
      </c>
      <c r="FI10" s="62">
        <f t="shared" si="23"/>
        <v>275.82402428638511</v>
      </c>
      <c r="FJ10" s="62">
        <f ca="1">AVERAGE(OFFSET($FI$3,0,0,'Données projet'!$E$16+1,1))-AVERAGE(OFFSET($H$3,0,0,'Données projet'!$E$16+1,1))</f>
        <v>257.56116197646924</v>
      </c>
      <c r="FK10" s="62">
        <f t="shared" si="48"/>
        <v>269.95556918835888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>
        <f>EXP(-LN(2)/35)*FQ9+(1-EXP(-LN(2)/35))/(LN(2)/35)*FM10*FN10*VLOOKUP('Données projet'!$B$16,Paramètres!$A$1:$I$89,3,0)*0.475*44/12</f>
        <v>0</v>
      </c>
      <c r="FR10" s="23">
        <f>EXP(-LN(2)/25)*FR9+(1-EXP(-LN(2)/25))/(LN(2)/25)*Calculateur!FM10*Calculateur!FO10*VLOOKUP('Données projet'!$B$16,Paramètres!$A$1:$I$89,3,0)*0.475*44/12</f>
        <v>0</v>
      </c>
      <c r="FS10" s="23">
        <f>EXP(-LN(2)/2)*FS9+(1-EXP(-LN(2)/2))/(LN(2)/2)*FM10*FP10*VLOOKUP('Données projet'!$B$16,Paramètres!$A$1:$I$89,3,0)*0.475*44/12</f>
        <v>0</v>
      </c>
      <c r="FT10" s="24">
        <f t="shared" si="24"/>
        <v>0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2.3805128205128203</v>
      </c>
      <c r="FZ10" s="13">
        <f>IF('Données projet'!$A$244&gt;35,FZ9+FY10-GH9,IF(A10&lt;'Données projet'!$A$244,$FW$205^A10,IF(A10='Données projet'!$A$244,'Données projet'!$B$244,FZ9+FY10-GH9)))</f>
        <v>5.304227780361269</v>
      </c>
      <c r="GA10" s="18">
        <f>FZ10*VLOOKUP('Données projet'!$B$17,Paramètres!$A$1:$I$89,3,0)*VLOOKUP('Données projet'!$B$17,Paramètres!$A$1:$I$89,5,0)</f>
        <v>3.1719282126560389</v>
      </c>
      <c r="GB10" s="14">
        <f t="shared" si="49"/>
        <v>1.2779721120125676</v>
      </c>
      <c r="GC10" s="22">
        <f t="shared" si="25"/>
        <v>7.7502430654644883</v>
      </c>
      <c r="GD10" s="62">
        <f t="shared" si="26"/>
        <v>272.9724652876867</v>
      </c>
      <c r="GE10" s="62">
        <f ca="1">AVERAGE(OFFSET($GD$3,0,0,'Données projet'!$E$17+1,1))-AVERAGE(OFFSET($H$3,0,0,'Données projet'!$E$17+1,1))</f>
        <v>289.12367833861299</v>
      </c>
      <c r="GF10" s="62">
        <f t="shared" si="50"/>
        <v>229.06617320689003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>
        <f>EXP(-LN(2)/35)*GL9+(1-EXP(-LN(2)/35))/(LN(2)/35)*GH10*GI10*VLOOKUP('Données projet'!$B$17,Paramètres!$A$1:$I$89,3,0)*0.475*44/12</f>
        <v>0</v>
      </c>
      <c r="GM10" s="23">
        <f>EXP(-LN(2)/25)*GM9+(1-EXP(-LN(2)/25))/(LN(2)/25)*Calculateur!GH10*Calculateur!GJ10*VLOOKUP('Données projet'!$B$17,Paramètres!$A$1:$I$89,3,0)*0.475*44/12</f>
        <v>0</v>
      </c>
      <c r="GN10" s="23">
        <f>EXP(-LN(2)/2)*GN9+(1-EXP(-LN(2)/2))/(LN(2)/2)*GH10*GK10*VLOOKUP('Données projet'!$B$17,Paramètres!$A$1:$I$89,3,0)*0.475*44/12</f>
        <v>0</v>
      </c>
      <c r="GO10" s="23">
        <f t="shared" si="27"/>
        <v>0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4.9084615384615384</v>
      </c>
      <c r="GU10" s="13">
        <f>IF('Données projet'!$A$270&gt;35,GU9+GT10-HC9,IF(A10&lt;'Données projet'!$A$270,$GR$205^A10,IF(A10='Données projet'!$A$270,'Données projet'!$B$270,GU9+GT10-HC9)))</f>
        <v>3.2053998896536791</v>
      </c>
      <c r="GV10" s="18">
        <f>GU10*VLOOKUP('Données projet'!$B$18,Paramètres!$A$1:$I$89,3,0)*VLOOKUP('Données projet'!$B$18,Paramètres!$A$1:$I$89,5,0)</f>
        <v>1.5001271483579217</v>
      </c>
      <c r="GW10" s="14">
        <f t="shared" si="51"/>
        <v>0.65944537721878049</v>
      </c>
      <c r="GX10" s="22">
        <f t="shared" si="28"/>
        <v>3.7612554820460891</v>
      </c>
      <c r="GY10" s="62">
        <f t="shared" si="29"/>
        <v>268.9834777042683</v>
      </c>
      <c r="GZ10" s="62">
        <f ca="1">AVERAGE(OFFSET($GY$3,0,0,'Données projet'!$E$18+1,1))-AVERAGE(OFFSET($H$3,0,0,'Données projet'!$E$18+1,1))</f>
        <v>284.88646502866419</v>
      </c>
      <c r="HA10" s="62">
        <f t="shared" si="52"/>
        <v>190.4880882944471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>
        <f>EXP(-LN(2)/35)*HG9+(1-EXP(-LN(2)/35))/(LN(2)/35)*HC10*HD10*VLOOKUP('Données projet'!$B$18,Paramètres!$A$1:$I$89,3,0)*0.475*44/12</f>
        <v>0</v>
      </c>
      <c r="HH10" s="23">
        <f>EXP(-LN(2)/25)*HH9+(1-EXP(-LN(2)/25))/(LN(2)/25)*Calculateur!HC10*Calculateur!HE10*VLOOKUP('Données projet'!$B$18,Paramètres!$A$1:$I$89,3,0)*0.475*44/12</f>
        <v>0</v>
      </c>
      <c r="HI10" s="23">
        <f>EXP(-LN(2)/2)*HI9+(1-EXP(-LN(2)/2))/(LN(2)/2)*HC10*HF10*VLOOKUP('Données projet'!$B$18,Paramètres!$A$1:$I$89,3,0)*0.475*44/12</f>
        <v>0</v>
      </c>
      <c r="HJ10" s="24">
        <f t="shared" si="30"/>
        <v>0</v>
      </c>
    </row>
    <row r="11" spans="1:218" s="5" customFormat="1" x14ac:dyDescent="0.25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2">
        <f t="shared" si="32"/>
        <v>0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0</v>
      </c>
      <c r="H11" s="70">
        <f t="shared" si="1"/>
        <v>256.66666666666669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2.4358974358974361</v>
      </c>
      <c r="N11" s="14">
        <f>IF('Données projet'!$A$36&gt;35,N10+M11-V10,IF(A11&lt;'Données projet'!$A$36,$K$205^A11,IF(A11='Données projet'!$A$36,'Données projet'!$B$36,N10+M11-V10)))</f>
        <v>6.815014809173471</v>
      </c>
      <c r="O11" s="14">
        <f>N11*VLOOKUP('Données projet'!$B$9,Paramètres!$A$1:$I$89,3,0)*VLOOKUP('Données projet'!$B$9,Paramètres!$A$1:$I$89,5,0)</f>
        <v>6.4851680924094746</v>
      </c>
      <c r="P11" s="14">
        <f t="shared" si="33"/>
        <v>2.4041727487208409</v>
      </c>
      <c r="Q11" s="22">
        <f t="shared" si="2"/>
        <v>15.4822686316353</v>
      </c>
      <c r="R11" s="62">
        <f t="shared" si="0"/>
        <v>281.92671307607975</v>
      </c>
      <c r="S11" s="62">
        <f ca="1">AVERAGE(OFFSET($R$3,0,0,'Données projet'!$E$9+1,1))-AVERAGE(OFFSET($H$3,0,0,'Données projet'!$E$9+1,1))</f>
        <v>367.11183928586667</v>
      </c>
      <c r="T11" s="62">
        <f t="shared" si="34"/>
        <v>281.52963027844595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2.1</v>
      </c>
      <c r="AI11" s="14">
        <f>IF('Données projet'!$A$62&gt;35,AI10+AH11-AQ10,IF(A11&lt;'Données projet'!$A$62,$AF$205^A11,IF(A11='Données projet'!$A$62,'Données projet'!$B$62,AI10+AH11-AQ10)))</f>
        <v>4.4596391171162209</v>
      </c>
      <c r="AJ11" s="14">
        <f>AI11*VLOOKUP('Données projet'!$B$10,Paramètres!$A$1:$I$89,3,0)*VLOOKUP('Données projet'!$B$10,Paramètres!$A$1:$I$89,5,0)</f>
        <v>4.0350814731667564</v>
      </c>
      <c r="AK11" s="14">
        <f t="shared" si="35"/>
        <v>1.5808227025391921</v>
      </c>
      <c r="AL11" s="22">
        <f t="shared" si="4"/>
        <v>9.7810331060211926</v>
      </c>
      <c r="AM11" s="62">
        <f t="shared" si="5"/>
        <v>276.22547755046565</v>
      </c>
      <c r="AN11" s="62">
        <f ca="1">AVERAGE(OFFSET($AM$3,0,0,'Données projet'!$E$10+1,1))-AVERAGE(OFFSET($H$3,0,0,'Données projet'!$E$10+1,1))</f>
        <v>428.8489304403459</v>
      </c>
      <c r="AO11" s="62">
        <f t="shared" si="36"/>
        <v>247.01165577562966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2.1</v>
      </c>
      <c r="BD11" s="13">
        <f>IF('Données projet'!$A$88&gt;35,BD10+BC11-BL10,IF(A11&lt;'Données projet'!$A$88,$BA$205^A11,IF(A11='Données projet'!$A$88,'Données projet'!$B$88,BD10+BC11-BL10)))</f>
        <v>4.4596391171162209</v>
      </c>
      <c r="BE11" s="14">
        <f>BD11*VLOOKUP('Données projet'!$B$11,Paramètres!$A$1:$I$89,3,0)*VLOOKUP('Données projet'!$B$11,Paramètres!$A$1:$I$89,5,0)</f>
        <v>4.5220740647558486</v>
      </c>
      <c r="BF11" s="14">
        <f t="shared" si="37"/>
        <v>1.7482697016499746</v>
      </c>
      <c r="BG11" s="22">
        <f t="shared" si="7"/>
        <v>10.92084872649014</v>
      </c>
      <c r="BH11" s="62">
        <f t="shared" si="8"/>
        <v>277.36529317093459</v>
      </c>
      <c r="BI11" s="62">
        <f ca="1">AVERAGE(OFFSET($BH$3,0,0,'Données projet'!$E$11+1,1))-AVERAGE(OFFSET($H$3,0,0,'Données projet'!$E$11+1,1))</f>
        <v>475.47920969424894</v>
      </c>
      <c r="BJ11" s="62">
        <f t="shared" si="38"/>
        <v>271.73544012419364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>
        <f>EXP(-LN(2)/35)*BP10+(1-EXP(-LN(2)/35))/(LN(2)/35)*BL11*BM11*VLOOKUP('Données projet'!$B$11,Paramètres!$A$1:$I$89,3,0)*0.475*44/12</f>
        <v>0</v>
      </c>
      <c r="BQ11" s="23">
        <f>EXP(-LN(2)/25)*BQ10+(1-EXP(-LN(2)/25))/(LN(2)/25)*Calculateur!BL11*Calculateur!BN11*VLOOKUP('Données projet'!$B$11,Paramètres!$A$1:$I$89,3,0)*0.475*44/12</f>
        <v>0</v>
      </c>
      <c r="BR11" s="23">
        <f>EXP(-LN(2)/2)*BR10+(1-EXP(-LN(2)/2))/(LN(2)/2)*BL11*BO11*VLOOKUP('Données projet'!$B$11,Paramètres!$A$1:$I$89,3,0)*0.475*44/12</f>
        <v>0</v>
      </c>
      <c r="BS11" s="24">
        <f t="shared" si="9"/>
        <v>0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7.7987854251012134</v>
      </c>
      <c r="BY11" s="13">
        <f>IF('Données projet'!$A$114&gt;35,BY10+BX11-CG10,IF(A11&lt;'Données projet'!$A$114,$BV$205^A11,IF(A11='Données projet'!$A$114,'Données projet'!$B$114,BY10+BX11-CG10)))</f>
        <v>8.2037586004457506</v>
      </c>
      <c r="BZ11" s="14">
        <f>BY11*VLOOKUP('Données projet'!$B$12,Paramètres!$A$1:$I$89,3,0)*VLOOKUP('Données projet'!$B$12,Paramètres!$A$1:$I$89,5,0)</f>
        <v>4.5859010576491741</v>
      </c>
      <c r="CA11" s="14">
        <f t="shared" si="39"/>
        <v>1.770055616789747</v>
      </c>
      <c r="CB11" s="22">
        <f t="shared" si="10"/>
        <v>11.069957874647789</v>
      </c>
      <c r="CC11" s="62">
        <f t="shared" si="11"/>
        <v>277.51440231909226</v>
      </c>
      <c r="CD11" s="62">
        <f ca="1">AVERAGE(OFFSET($CC$3,0,0,'Données projet'!$E$12+1,1))-AVERAGE(OFFSET($H$3,0,0,'Données projet'!$E$12+1,1))</f>
        <v>323.98185264074681</v>
      </c>
      <c r="CE11" s="62">
        <f t="shared" si="40"/>
        <v>301.22207291854005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>
        <f>EXP(-LN(2)/35)*CK10+(1-EXP(-LN(2)/35))/(LN(2)/35)*CG11*CH11*VLOOKUP('Données projet'!$B$12,Paramètres!$A$1:$I$89,3,0)*0.475*44/12</f>
        <v>0</v>
      </c>
      <c r="CL11" s="23">
        <f>EXP(-LN(2)/25)*CL10+(1-EXP(-LN(2)/25))/(LN(2)/25)*Calculateur!CG11*Calculateur!CI11*VLOOKUP('Données projet'!$B$12,Paramètres!$A$1:$I$89,3,0)*0.475*44/12</f>
        <v>0</v>
      </c>
      <c r="CM11" s="23">
        <f>EXP(-LN(2)/2)*CM10+(1-EXP(-LN(2)/2))/(LN(2)/2)*CG11*CJ11*VLOOKUP('Données projet'!$B$12,Paramètres!$A$1:$I$89,3,0)*0.475*44/12</f>
        <v>0</v>
      </c>
      <c r="CN11" s="24">
        <f t="shared" si="12"/>
        <v>0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1.2</v>
      </c>
      <c r="CT11" s="13">
        <f>IF('Données projet'!$A$140&gt;35,CT10+CS11-DB10,IF(A11&lt;'Données projet'!$A$140,$CQ$205^A11,IF(A11='Données projet'!$A$140,'Données projet'!$B$140,CT10+CS11-DB10)))</f>
        <v>2.9694690391391689</v>
      </c>
      <c r="CU11" s="18">
        <f>CT11*VLOOKUP('Données projet'!$B$13,Paramètres!$A$1:$I$89,3,0)*VLOOKUP('Données projet'!$B$13,Paramètres!$A$1:$I$89,5,0)</f>
        <v>3.3816313417716857</v>
      </c>
      <c r="CV11" s="14">
        <f t="shared" si="41"/>
        <v>1.3523466458084794</v>
      </c>
      <c r="CW11" s="22">
        <f t="shared" si="13"/>
        <v>8.2450116617021205</v>
      </c>
      <c r="CX11" s="62">
        <f t="shared" si="14"/>
        <v>274.68945610614657</v>
      </c>
      <c r="CY11" s="62">
        <f ca="1">AVERAGE(OFFSET($CX$3,0,0,'Données projet'!$E$13+1,1))-AVERAGE(OFFSET($H$3,0,0,'Données projet'!$E$13+1,1))</f>
        <v>399.78832690250164</v>
      </c>
      <c r="CZ11" s="62">
        <f t="shared" si="42"/>
        <v>174.32967064896343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>
        <f>EXP(-LN(2)/35)*DF10+(1-EXP(-LN(2)/35))/(LN(2)/35)*DB11*DC11*VLOOKUP('Données projet'!$B$13,Paramètres!$A$1:$I$89,3,0)*0.475*44/12</f>
        <v>0</v>
      </c>
      <c r="DG11" s="23">
        <f>EXP(-LN(2)/25)*DG10+(1-EXP(-LN(2)/25))/(LN(2)/25)*Calculateur!DB11*Calculateur!DD11*VLOOKUP('Données projet'!$B$13,Paramètres!$A$1:$I$89,3,0)*0.475*44/12</f>
        <v>0</v>
      </c>
      <c r="DH11" s="23">
        <f>EXP(-LN(2)/2)*DH10+(1-EXP(-LN(2)/2))/(LN(2)/2)*DB11*DE11*VLOOKUP('Données projet'!$B$13,Paramètres!$A$1:$I$89,3,0)*0.475*44/12</f>
        <v>0</v>
      </c>
      <c r="DI11" s="24">
        <f t="shared" si="15"/>
        <v>0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2.1</v>
      </c>
      <c r="DO11" s="13">
        <f>IF('Données projet'!$A$166&gt;35,DO10+DN11-DW10,IF(A11&lt;'Données projet'!$A$166,$DL$205^A11,IF(A11='Données projet'!$A$166,'Données projet'!$B$166,DO10+DN11-DW10)))</f>
        <v>4.4596391171162209</v>
      </c>
      <c r="DP11" s="18">
        <f>DO11*VLOOKUP('Données projet'!$B$14,Paramètres!$A$1:$I$89,3,0)*VLOOKUP('Données projet'!$B$14,Paramètres!$A$1:$I$89,5,0)</f>
        <v>3.7567999922587045</v>
      </c>
      <c r="DQ11" s="14">
        <f t="shared" si="43"/>
        <v>1.4840936789913857</v>
      </c>
      <c r="DR11" s="22">
        <f t="shared" si="16"/>
        <v>9.127889810760573</v>
      </c>
      <c r="DS11" s="62">
        <f t="shared" si="17"/>
        <v>275.57233425520502</v>
      </c>
      <c r="DT11" s="62">
        <f ca="1">AVERAGE(OFFSET($DS$3,0,0,'Données projet'!$E$14+1,1))-AVERAGE(OFFSET($H$3,0,0,'Données projet'!$E$14+1,1))</f>
        <v>402.15128814037058</v>
      </c>
      <c r="DU11" s="62">
        <f t="shared" si="44"/>
        <v>232.85411068442738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>
        <f>EXP(-LN(2)/35)*EA10+(1-EXP(-LN(2)/35))/(LN(2)/35)*DW11*DX11*VLOOKUP('Données projet'!$B$14,Paramètres!$A$1:$I$89,3,0)*0.475*44/12</f>
        <v>0</v>
      </c>
      <c r="EB11" s="23">
        <f>EXP(-LN(2)/25)*EB10+(1-EXP(-LN(2)/25))/(LN(2)/25)*Calculateur!DW11*Calculateur!DY11*VLOOKUP('Données projet'!$B$14,Paramètres!$A$1:$I$89,3,0)*0.475*44/12</f>
        <v>0</v>
      </c>
      <c r="EC11" s="23">
        <f>EXP(-LN(2)/2)*EC10+(1-EXP(-LN(2)/2))/(LN(2)/2)*DW11*DZ11*VLOOKUP('Données projet'!$B$14,Paramètres!$A$1:$I$89,3,0)*0.475*44/12</f>
        <v>0</v>
      </c>
      <c r="ED11" s="24">
        <f t="shared" si="18"/>
        <v>0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2.8205128205128203</v>
      </c>
      <c r="EJ11" s="13">
        <f>IF('Données projet'!$A$192&gt;35,EJ10+EI11-ER10,IF(A11&lt;'Données projet'!$A$192,$EG$205^A11,IF(A11='Données projet'!$A$192,'Données projet'!$B$192,EJ10+EI11-ER10)))</f>
        <v>7.3692560474014428</v>
      </c>
      <c r="EK11" s="18">
        <f>EJ11*VLOOKUP('Données projet'!$B$15,Paramètres!$A$1:$I$89,3,0)*VLOOKUP('Données projet'!$B$15,Paramètres!$A$1:$I$89,5,0)</f>
        <v>7.7023464207439885</v>
      </c>
      <c r="EL11" s="14">
        <f t="shared" si="45"/>
        <v>2.7988020909059581</v>
      </c>
      <c r="EM11" s="22">
        <f t="shared" si="19"/>
        <v>18.289500324456991</v>
      </c>
      <c r="EN11" s="62">
        <f t="shared" si="20"/>
        <v>284.73394476890144</v>
      </c>
      <c r="EO11" s="62">
        <f ca="1">AVERAGE(OFFSET($EN$3,0,0,'Données projet'!$E$15+1,1))-AVERAGE(OFFSET($H$3,0,0,'Données projet'!$E$15+1,1))</f>
        <v>595.89992279024398</v>
      </c>
      <c r="EP11" s="62">
        <f t="shared" si="46"/>
        <v>378.16197659288338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>
        <f>EXP(-LN(2)/35)*EV10+(1-EXP(-LN(2)/35))/(LN(2)/35)*ER11*ES11*VLOOKUP('Données projet'!$B$15,Paramètres!$A$1:$I$89,3,0)*0.475*44/12</f>
        <v>0</v>
      </c>
      <c r="EW11" s="23">
        <f>EXP(-LN(2)/25)*EW10+(1-EXP(-LN(2)/25))/(LN(2)/25)*Calculateur!ER11*Calculateur!ET11*VLOOKUP('Données projet'!$B$15,Paramètres!$A$1:$I$89,3,0)*0.475*44/12</f>
        <v>0</v>
      </c>
      <c r="EX11" s="23">
        <f>EXP(-LN(2)/2)*EX10+(1-EXP(-LN(2)/2))/(LN(2)/2)*ER11*EU11*VLOOKUP('Données projet'!$B$15,Paramètres!$A$1:$I$89,3,0)*0.475*44/12</f>
        <v>0</v>
      </c>
      <c r="EY11" s="24">
        <f t="shared" si="21"/>
        <v>0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7.4312217194570129</v>
      </c>
      <c r="FE11" s="13">
        <f>IF('Données projet'!$A$218&gt;35,FE10+FD11-FM10,IF(A11&lt;'Données projet'!$A$218,$FB$205^A11,IF(A11='Données projet'!$A$218,'Données projet'!$B$218,FE10+FD11-FM10)))</f>
        <v>9.748672435120179</v>
      </c>
      <c r="FF11" s="18">
        <f>FE11*VLOOKUP('Données projet'!$B$16,Paramètres!$A$1:$I$89,3,0)*VLOOKUP('Données projet'!$B$16,Paramètres!$A$1:$I$89,5,0)</f>
        <v>5.8297061162018684</v>
      </c>
      <c r="FG11" s="14">
        <f t="shared" si="47"/>
        <v>2.1881518405377438</v>
      </c>
      <c r="FH11" s="22">
        <f t="shared" si="22"/>
        <v>13.96443594132149</v>
      </c>
      <c r="FI11" s="62">
        <f t="shared" si="23"/>
        <v>280.40888038576594</v>
      </c>
      <c r="FJ11" s="62">
        <f ca="1">AVERAGE(OFFSET($FI$3,0,0,'Données projet'!$E$16+1,1))-AVERAGE(OFFSET($H$3,0,0,'Données projet'!$E$16+1,1))</f>
        <v>257.56116197646924</v>
      </c>
      <c r="FK11" s="62">
        <f t="shared" si="48"/>
        <v>269.95556918835888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>
        <f>EXP(-LN(2)/35)*FQ10+(1-EXP(-LN(2)/35))/(LN(2)/35)*FM11*FN11*VLOOKUP('Données projet'!$B$16,Paramètres!$A$1:$I$89,3,0)*0.475*44/12</f>
        <v>0</v>
      </c>
      <c r="FR11" s="23">
        <f>EXP(-LN(2)/25)*FR10+(1-EXP(-LN(2)/25))/(LN(2)/25)*Calculateur!FM11*Calculateur!FO11*VLOOKUP('Données projet'!$B$16,Paramètres!$A$1:$I$89,3,0)*0.475*44/12</f>
        <v>0</v>
      </c>
      <c r="FS11" s="23">
        <f>EXP(-LN(2)/2)*FS10+(1-EXP(-LN(2)/2))/(LN(2)/2)*FM11*FP11*VLOOKUP('Données projet'!$B$16,Paramètres!$A$1:$I$89,3,0)*0.475*44/12</f>
        <v>0</v>
      </c>
      <c r="FT11" s="24">
        <f t="shared" si="24"/>
        <v>0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2.3805128205128203</v>
      </c>
      <c r="FZ11" s="13">
        <f>IF('Données projet'!$A$244&gt;35,FZ10+FY11-GH10,IF(A11&lt;'Données projet'!$A$244,$FW$205^A11,IF(A11='Données projet'!$A$244,'Données projet'!$B$244,FZ10+FY11-GH10)))</f>
        <v>6.7319304121702404</v>
      </c>
      <c r="GA11" s="18">
        <f>FZ11*VLOOKUP('Données projet'!$B$17,Paramètres!$A$1:$I$89,3,0)*VLOOKUP('Données projet'!$B$17,Paramètres!$A$1:$I$89,5,0)</f>
        <v>4.0256943864778041</v>
      </c>
      <c r="GB11" s="14">
        <f t="shared" si="49"/>
        <v>1.5775727558271786</v>
      </c>
      <c r="GC11" s="22">
        <f t="shared" si="25"/>
        <v>9.759023606181179</v>
      </c>
      <c r="GD11" s="62">
        <f t="shared" si="26"/>
        <v>276.20346805062564</v>
      </c>
      <c r="GE11" s="62">
        <f ca="1">AVERAGE(OFFSET($GD$3,0,0,'Données projet'!$E$17+1,1))-AVERAGE(OFFSET($H$3,0,0,'Données projet'!$E$17+1,1))</f>
        <v>289.12367833861299</v>
      </c>
      <c r="GF11" s="62">
        <f t="shared" si="50"/>
        <v>229.06617320689003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>
        <f>EXP(-LN(2)/35)*GL10+(1-EXP(-LN(2)/35))/(LN(2)/35)*GH11*GI11*VLOOKUP('Données projet'!$B$17,Paramètres!$A$1:$I$89,3,0)*0.475*44/12</f>
        <v>0</v>
      </c>
      <c r="GM11" s="23">
        <f>EXP(-LN(2)/25)*GM10+(1-EXP(-LN(2)/25))/(LN(2)/25)*Calculateur!GH11*Calculateur!GJ11*VLOOKUP('Données projet'!$B$17,Paramètres!$A$1:$I$89,3,0)*0.475*44/12</f>
        <v>0</v>
      </c>
      <c r="GN11" s="23">
        <f>EXP(-LN(2)/2)*GN10+(1-EXP(-LN(2)/2))/(LN(2)/2)*GH11*GK11*VLOOKUP('Données projet'!$B$17,Paramètres!$A$1:$I$89,3,0)*0.475*44/12</f>
        <v>0</v>
      </c>
      <c r="GO11" s="23">
        <f t="shared" si="27"/>
        <v>0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4.9084615384615384</v>
      </c>
      <c r="GU11" s="13">
        <f>IF('Données projet'!$A$270&gt;35,GU10+GT11-HC10,IF(A11&lt;'Données projet'!$A$270,$GR$205^A11,IF(A11='Données projet'!$A$270,'Données projet'!$B$270,GU10+GT11-HC10)))</f>
        <v>3.7857428072090569</v>
      </c>
      <c r="GV11" s="18">
        <f>GU11*VLOOKUP('Données projet'!$B$18,Paramètres!$A$1:$I$89,3,0)*VLOOKUP('Données projet'!$B$18,Paramètres!$A$1:$I$89,5,0)</f>
        <v>1.7717276337738388</v>
      </c>
      <c r="GW11" s="14">
        <f t="shared" si="51"/>
        <v>0.76389843061877893</v>
      </c>
      <c r="GX11" s="22">
        <f t="shared" si="28"/>
        <v>4.4162153954838086</v>
      </c>
      <c r="GY11" s="62">
        <f t="shared" si="29"/>
        <v>270.86065983992825</v>
      </c>
      <c r="GZ11" s="62">
        <f ca="1">AVERAGE(OFFSET($GY$3,0,0,'Données projet'!$E$18+1,1))-AVERAGE(OFFSET($H$3,0,0,'Données projet'!$E$18+1,1))</f>
        <v>284.88646502866419</v>
      </c>
      <c r="HA11" s="62">
        <f t="shared" si="52"/>
        <v>190.4880882944471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>
        <f>EXP(-LN(2)/35)*HG10+(1-EXP(-LN(2)/35))/(LN(2)/35)*HC11*HD11*VLOOKUP('Données projet'!$B$18,Paramètres!$A$1:$I$89,3,0)*0.475*44/12</f>
        <v>0</v>
      </c>
      <c r="HH11" s="23">
        <f>EXP(-LN(2)/25)*HH10+(1-EXP(-LN(2)/25))/(LN(2)/25)*Calculateur!HC11*Calculateur!HE11*VLOOKUP('Données projet'!$B$18,Paramètres!$A$1:$I$89,3,0)*0.475*44/12</f>
        <v>0</v>
      </c>
      <c r="HI11" s="23">
        <f>EXP(-LN(2)/2)*HI10+(1-EXP(-LN(2)/2))/(LN(2)/2)*HC11*HF11*VLOOKUP('Données projet'!$B$18,Paramètres!$A$1:$I$89,3,0)*0.475*44/12</f>
        <v>0</v>
      </c>
      <c r="HJ11" s="24">
        <f t="shared" si="30"/>
        <v>0</v>
      </c>
    </row>
    <row r="12" spans="1:218" s="5" customFormat="1" x14ac:dyDescent="0.25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2">
        <f t="shared" si="32"/>
        <v>0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0</v>
      </c>
      <c r="H12" s="70">
        <f t="shared" si="1"/>
        <v>256.66666666666669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2.4358974358974361</v>
      </c>
      <c r="N12" s="14">
        <f>IF('Données projet'!$A$36&gt;35,N11+M12-V11,IF(A12&lt;'Données projet'!$A$36,$K$205^A12,IF(A12='Données projet'!$A$36,'Données projet'!$B$36,N11+M12-V11)))</f>
        <v>8.6626377645391397</v>
      </c>
      <c r="O12" s="14">
        <f>N12*VLOOKUP('Données projet'!$B$9,Paramètres!$A$1:$I$89,3,0)*VLOOKUP('Données projet'!$B$9,Paramètres!$A$1:$I$89,5,0)</f>
        <v>8.2433660967354445</v>
      </c>
      <c r="P12" s="14">
        <f t="shared" si="33"/>
        <v>2.9718171087795939</v>
      </c>
      <c r="Q12" s="22">
        <f t="shared" si="2"/>
        <v>19.53311074960536</v>
      </c>
      <c r="R12" s="62">
        <f t="shared" si="0"/>
        <v>287.19977741627207</v>
      </c>
      <c r="S12" s="62">
        <f ca="1">AVERAGE(OFFSET($R$3,0,0,'Données projet'!$E$9+1,1))-AVERAGE(OFFSET($H$3,0,0,'Données projet'!$E$9+1,1))</f>
        <v>367.11183928586667</v>
      </c>
      <c r="T12" s="62">
        <f t="shared" si="34"/>
        <v>281.52963027844595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2.1</v>
      </c>
      <c r="AI12" s="14">
        <f>IF('Données projet'!$A$62&gt;35,AI11+AH12-AQ11,IF(A12&lt;'Données projet'!$A$62,$AF$205^A12,IF(A12='Données projet'!$A$62,'Données projet'!$B$62,AI11+AH12-AQ11)))</f>
        <v>5.3760361537574148</v>
      </c>
      <c r="AJ12" s="14">
        <f>AI12*VLOOKUP('Données projet'!$B$10,Paramètres!$A$1:$I$89,3,0)*VLOOKUP('Données projet'!$B$10,Paramètres!$A$1:$I$89,5,0)</f>
        <v>4.8642375119197085</v>
      </c>
      <c r="AK12" s="14">
        <f t="shared" si="35"/>
        <v>1.8646542609995393</v>
      </c>
      <c r="AL12" s="22">
        <f t="shared" si="4"/>
        <v>11.719486504501022</v>
      </c>
      <c r="AM12" s="62">
        <f t="shared" si="5"/>
        <v>279.38615317116773</v>
      </c>
      <c r="AN12" s="62">
        <f ca="1">AVERAGE(OFFSET($AM$3,0,0,'Données projet'!$E$10+1,1))-AVERAGE(OFFSET($H$3,0,0,'Données projet'!$E$10+1,1))</f>
        <v>428.8489304403459</v>
      </c>
      <c r="AO12" s="62">
        <f t="shared" si="36"/>
        <v>247.01165577562966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2.1</v>
      </c>
      <c r="BD12" s="13">
        <f>IF('Données projet'!$A$88&gt;35,BD11+BC12-BL11,IF(A12&lt;'Données projet'!$A$88,$BA$205^A12,IF(A12='Données projet'!$A$88,'Données projet'!$B$88,BD11+BC12-BL11)))</f>
        <v>5.3760361537574148</v>
      </c>
      <c r="BE12" s="14">
        <f>BD12*VLOOKUP('Données projet'!$B$11,Paramètres!$A$1:$I$89,3,0)*VLOOKUP('Données projet'!$B$11,Paramètres!$A$1:$I$89,5,0)</f>
        <v>5.4513006599100189</v>
      </c>
      <c r="BF12" s="14">
        <f t="shared" si="37"/>
        <v>2.062165822468125</v>
      </c>
      <c r="BG12" s="22">
        <f t="shared" si="7"/>
        <v>13.085954123475267</v>
      </c>
      <c r="BH12" s="62">
        <f t="shared" si="8"/>
        <v>280.75262079014198</v>
      </c>
      <c r="BI12" s="62">
        <f ca="1">AVERAGE(OFFSET($BH$3,0,0,'Données projet'!$E$11+1,1))-AVERAGE(OFFSET($H$3,0,0,'Données projet'!$E$11+1,1))</f>
        <v>475.47920969424894</v>
      </c>
      <c r="BJ12" s="62">
        <f t="shared" si="38"/>
        <v>271.73544012419364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>
        <f>EXP(-LN(2)/35)*BP11+(1-EXP(-LN(2)/35))/(LN(2)/35)*BL12*BM12*VLOOKUP('Données projet'!$B$11,Paramètres!$A$1:$I$89,3,0)*0.475*44/12</f>
        <v>0</v>
      </c>
      <c r="BQ12" s="23">
        <f>EXP(-LN(2)/25)*BQ11+(1-EXP(-LN(2)/25))/(LN(2)/25)*Calculateur!BL12*Calculateur!BN12*VLOOKUP('Données projet'!$B$11,Paramètres!$A$1:$I$89,3,0)*0.475*44/12</f>
        <v>0</v>
      </c>
      <c r="BR12" s="23">
        <f>EXP(-LN(2)/2)*BR11+(1-EXP(-LN(2)/2))/(LN(2)/2)*BL12*BO12*VLOOKUP('Données projet'!$B$11,Paramètres!$A$1:$I$89,3,0)*0.475*44/12</f>
        <v>0</v>
      </c>
      <c r="BS12" s="24">
        <f t="shared" si="9"/>
        <v>0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7.7987854251012134</v>
      </c>
      <c r="BY12" s="13">
        <f>IF('Données projet'!$A$114&gt;35,BY11+BX12-CG11,IF(A12&lt;'Données projet'!$A$114,$BV$205^A12,IF(A12='Données projet'!$A$114,'Données projet'!$B$114,BY11+BX12-CG11)))</f>
        <v>10.672458669818059</v>
      </c>
      <c r="BZ12" s="14">
        <f>BY12*VLOOKUP('Données projet'!$B$12,Paramètres!$A$1:$I$89,3,0)*VLOOKUP('Données projet'!$B$12,Paramètres!$A$1:$I$89,5,0)</f>
        <v>5.9659043964282947</v>
      </c>
      <c r="CA12" s="14">
        <f t="shared" si="39"/>
        <v>2.2332617841362223</v>
      </c>
      <c r="CB12" s="22">
        <f t="shared" si="10"/>
        <v>14.280214431149867</v>
      </c>
      <c r="CC12" s="62">
        <f t="shared" si="11"/>
        <v>281.94688109781657</v>
      </c>
      <c r="CD12" s="62">
        <f ca="1">AVERAGE(OFFSET($CC$3,0,0,'Données projet'!$E$12+1,1))-AVERAGE(OFFSET($H$3,0,0,'Données projet'!$E$12+1,1))</f>
        <v>323.98185264074681</v>
      </c>
      <c r="CE12" s="62">
        <f t="shared" si="40"/>
        <v>301.22207291854005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>
        <f>EXP(-LN(2)/35)*CK11+(1-EXP(-LN(2)/35))/(LN(2)/35)*CG12*CH12*VLOOKUP('Données projet'!$B$12,Paramètres!$A$1:$I$89,3,0)*0.475*44/12</f>
        <v>0</v>
      </c>
      <c r="CL12" s="23">
        <f>EXP(-LN(2)/25)*CL11+(1-EXP(-LN(2)/25))/(LN(2)/25)*Calculateur!CG12*Calculateur!CI12*VLOOKUP('Données projet'!$B$12,Paramètres!$A$1:$I$89,3,0)*0.475*44/12</f>
        <v>0</v>
      </c>
      <c r="CM12" s="23">
        <f>EXP(-LN(2)/2)*CM11+(1-EXP(-LN(2)/2))/(LN(2)/2)*CG12*CJ12*VLOOKUP('Données projet'!$B$12,Paramètres!$A$1:$I$89,3,0)*0.475*44/12</f>
        <v>0</v>
      </c>
      <c r="CN12" s="24">
        <f t="shared" si="12"/>
        <v>0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1.2</v>
      </c>
      <c r="CT12" s="13">
        <f>IF('Données projet'!$A$140&gt;35,CT11+CS12-DB11,IF(A12&lt;'Données projet'!$A$140,$CQ$205^A12,IF(A12='Données projet'!$A$140,'Données projet'!$B$140,CT11+CS12-DB11)))</f>
        <v>3.4022298585357786</v>
      </c>
      <c r="CU12" s="18">
        <f>CT12*VLOOKUP('Données projet'!$B$13,Paramètres!$A$1:$I$89,3,0)*VLOOKUP('Données projet'!$B$13,Paramètres!$A$1:$I$89,5,0)</f>
        <v>3.8744593629005446</v>
      </c>
      <c r="CV12" s="14">
        <f t="shared" si="41"/>
        <v>1.5250897485615453</v>
      </c>
      <c r="CW12" s="22">
        <f t="shared" si="13"/>
        <v>9.4042147024631397</v>
      </c>
      <c r="CX12" s="62">
        <f t="shared" si="14"/>
        <v>277.07088136912984</v>
      </c>
      <c r="CY12" s="62">
        <f ca="1">AVERAGE(OFFSET($CX$3,0,0,'Données projet'!$E$13+1,1))-AVERAGE(OFFSET($H$3,0,0,'Données projet'!$E$13+1,1))</f>
        <v>399.78832690250164</v>
      </c>
      <c r="CZ12" s="62">
        <f t="shared" si="42"/>
        <v>174.32967064896343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>
        <f>EXP(-LN(2)/35)*DF11+(1-EXP(-LN(2)/35))/(LN(2)/35)*DB12*DC12*VLOOKUP('Données projet'!$B$13,Paramètres!$A$1:$I$89,3,0)*0.475*44/12</f>
        <v>0</v>
      </c>
      <c r="DG12" s="23">
        <f>EXP(-LN(2)/25)*DG11+(1-EXP(-LN(2)/25))/(LN(2)/25)*Calculateur!DB12*Calculateur!DD12*VLOOKUP('Données projet'!$B$13,Paramètres!$A$1:$I$89,3,0)*0.475*44/12</f>
        <v>0</v>
      </c>
      <c r="DH12" s="23">
        <f>EXP(-LN(2)/2)*DH11+(1-EXP(-LN(2)/2))/(LN(2)/2)*DB12*DE12*VLOOKUP('Données projet'!$B$13,Paramètres!$A$1:$I$89,3,0)*0.475*44/12</f>
        <v>0</v>
      </c>
      <c r="DI12" s="24">
        <f t="shared" si="15"/>
        <v>0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2.1</v>
      </c>
      <c r="DO12" s="13">
        <f>IF('Données projet'!$A$166&gt;35,DO11+DN12-DW11,IF(A12&lt;'Données projet'!$A$166,$DL$205^A12,IF(A12='Données projet'!$A$166,'Données projet'!$B$166,DO11+DN12-DW11)))</f>
        <v>5.3760361537574148</v>
      </c>
      <c r="DP12" s="18">
        <f>DO12*VLOOKUP('Données projet'!$B$14,Paramètres!$A$1:$I$89,3,0)*VLOOKUP('Données projet'!$B$14,Paramètres!$A$1:$I$89,5,0)</f>
        <v>4.5287728559252471</v>
      </c>
      <c r="DQ12" s="14">
        <f t="shared" si="43"/>
        <v>1.7505578568733651</v>
      </c>
      <c r="DR12" s="22">
        <f t="shared" si="16"/>
        <v>10.93650099145758</v>
      </c>
      <c r="DS12" s="62">
        <f t="shared" si="17"/>
        <v>278.60316765812428</v>
      </c>
      <c r="DT12" s="62">
        <f ca="1">AVERAGE(OFFSET($DS$3,0,0,'Données projet'!$E$14+1,1))-AVERAGE(OFFSET($H$3,0,0,'Données projet'!$E$14+1,1))</f>
        <v>402.15128814037058</v>
      </c>
      <c r="DU12" s="62">
        <f t="shared" si="44"/>
        <v>232.85411068442738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>
        <f>EXP(-LN(2)/35)*EA11+(1-EXP(-LN(2)/35))/(LN(2)/35)*DW12*DX12*VLOOKUP('Données projet'!$B$14,Paramètres!$A$1:$I$89,3,0)*0.475*44/12</f>
        <v>0</v>
      </c>
      <c r="EB12" s="23">
        <f>EXP(-LN(2)/25)*EB11+(1-EXP(-LN(2)/25))/(LN(2)/25)*Calculateur!DW12*Calculateur!DY12*VLOOKUP('Données projet'!$B$14,Paramètres!$A$1:$I$89,3,0)*0.475*44/12</f>
        <v>0</v>
      </c>
      <c r="EC12" s="23">
        <f>EXP(-LN(2)/2)*EC11+(1-EXP(-LN(2)/2))/(LN(2)/2)*DW12*DZ12*VLOOKUP('Données projet'!$B$14,Paramètres!$A$1:$I$89,3,0)*0.475*44/12</f>
        <v>0</v>
      </c>
      <c r="ED12" s="24">
        <f t="shared" si="18"/>
        <v>0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2.8205128205128203</v>
      </c>
      <c r="EJ12" s="13">
        <f>IF('Données projet'!$A$192&gt;35,EJ11+EI12-ER11,IF(A12&lt;'Données projet'!$A$192,$EG$205^A12,IF(A12='Données projet'!$A$192,'Données projet'!$B$192,EJ11+EI12-ER11)))</f>
        <v>9.4591388896729018</v>
      </c>
      <c r="EK12" s="18">
        <f>EJ12*VLOOKUP('Données projet'!$B$15,Paramètres!$A$1:$I$89,3,0)*VLOOKUP('Données projet'!$B$15,Paramètres!$A$1:$I$89,5,0)</f>
        <v>9.8866919674861187</v>
      </c>
      <c r="EL12" s="14">
        <f t="shared" si="45"/>
        <v>3.4896279880614438</v>
      </c>
      <c r="EM12" s="22">
        <f t="shared" si="19"/>
        <v>23.297090589245332</v>
      </c>
      <c r="EN12" s="62">
        <f t="shared" si="20"/>
        <v>290.96375725591201</v>
      </c>
      <c r="EO12" s="62">
        <f ca="1">AVERAGE(OFFSET($EN$3,0,0,'Données projet'!$E$15+1,1))-AVERAGE(OFFSET($H$3,0,0,'Données projet'!$E$15+1,1))</f>
        <v>595.89992279024398</v>
      </c>
      <c r="EP12" s="62">
        <f t="shared" si="46"/>
        <v>378.16197659288338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>
        <f>EXP(-LN(2)/35)*EV11+(1-EXP(-LN(2)/35))/(LN(2)/35)*ER12*ES12*VLOOKUP('Données projet'!$B$15,Paramètres!$A$1:$I$89,3,0)*0.475*44/12</f>
        <v>0</v>
      </c>
      <c r="EW12" s="23">
        <f>EXP(-LN(2)/25)*EW11+(1-EXP(-LN(2)/25))/(LN(2)/25)*Calculateur!ER12*Calculateur!ET12*VLOOKUP('Données projet'!$B$15,Paramètres!$A$1:$I$89,3,0)*0.475*44/12</f>
        <v>0</v>
      </c>
      <c r="EX12" s="23">
        <f>EXP(-LN(2)/2)*EX11+(1-EXP(-LN(2)/2))/(LN(2)/2)*ER12*EU12*VLOOKUP('Données projet'!$B$15,Paramètres!$A$1:$I$89,3,0)*0.475*44/12</f>
        <v>0</v>
      </c>
      <c r="EY12" s="24">
        <f t="shared" si="21"/>
        <v>0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7.4312217194570129</v>
      </c>
      <c r="FE12" s="13">
        <f>IF('Données projet'!$A$218&gt;35,FE11+FD12-FM11,IF(A12&lt;'Données projet'!$A$218,$FB$205^A12,IF(A12='Données projet'!$A$218,'Données projet'!$B$218,FE11+FD12-FM11)))</f>
        <v>12.958766444511483</v>
      </c>
      <c r="FF12" s="18">
        <f>FE12*VLOOKUP('Données projet'!$B$16,Paramètres!$A$1:$I$89,3,0)*VLOOKUP('Données projet'!$B$16,Paramètres!$A$1:$I$89,5,0)</f>
        <v>7.7493423338178671</v>
      </c>
      <c r="FG12" s="14">
        <f t="shared" si="47"/>
        <v>2.8138859005026107</v>
      </c>
      <c r="FH12" s="22">
        <f t="shared" si="22"/>
        <v>18.397622508108167</v>
      </c>
      <c r="FI12" s="62">
        <f t="shared" si="23"/>
        <v>286.06428917477484</v>
      </c>
      <c r="FJ12" s="62">
        <f ca="1">AVERAGE(OFFSET($FI$3,0,0,'Données projet'!$E$16+1,1))-AVERAGE(OFFSET($H$3,0,0,'Données projet'!$E$16+1,1))</f>
        <v>257.56116197646924</v>
      </c>
      <c r="FK12" s="62">
        <f t="shared" si="48"/>
        <v>269.95556918835888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>
        <f>EXP(-LN(2)/35)*FQ11+(1-EXP(-LN(2)/35))/(LN(2)/35)*FM12*FN12*VLOOKUP('Données projet'!$B$16,Paramètres!$A$1:$I$89,3,0)*0.475*44/12</f>
        <v>0</v>
      </c>
      <c r="FR12" s="23">
        <f>EXP(-LN(2)/25)*FR11+(1-EXP(-LN(2)/25))/(LN(2)/25)*Calculateur!FM12*Calculateur!FO12*VLOOKUP('Données projet'!$B$16,Paramètres!$A$1:$I$89,3,0)*0.475*44/12</f>
        <v>0</v>
      </c>
      <c r="FS12" s="23">
        <f>EXP(-LN(2)/2)*FS11+(1-EXP(-LN(2)/2))/(LN(2)/2)*FM12*FP12*VLOOKUP('Données projet'!$B$16,Paramètres!$A$1:$I$89,3,0)*0.475*44/12</f>
        <v>0</v>
      </c>
      <c r="FT12" s="24">
        <f t="shared" si="24"/>
        <v>0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2.3805128205128203</v>
      </c>
      <c r="FZ12" s="13">
        <f>IF('Données projet'!$A$244&gt;35,FZ11+FY12-GH11,IF(A12&lt;'Données projet'!$A$244,$FW$205^A12,IF(A12='Données projet'!$A$244,'Données projet'!$B$244,FZ11+FY12-GH11)))</f>
        <v>8.5439179746567984</v>
      </c>
      <c r="GA12" s="18">
        <f>FZ12*VLOOKUP('Données projet'!$B$17,Paramètres!$A$1:$I$89,3,0)*VLOOKUP('Données projet'!$B$17,Paramètres!$A$1:$I$89,5,0)</f>
        <v>5.1092629488447656</v>
      </c>
      <c r="GB12" s="14">
        <f t="shared" si="49"/>
        <v>1.9474101011553873</v>
      </c>
      <c r="GC12" s="22">
        <f t="shared" si="25"/>
        <v>12.290372228750266</v>
      </c>
      <c r="GD12" s="62">
        <f t="shared" si="26"/>
        <v>279.95703889541693</v>
      </c>
      <c r="GE12" s="62">
        <f ca="1">AVERAGE(OFFSET($GD$3,0,0,'Données projet'!$E$17+1,1))-AVERAGE(OFFSET($H$3,0,0,'Données projet'!$E$17+1,1))</f>
        <v>289.12367833861299</v>
      </c>
      <c r="GF12" s="62">
        <f t="shared" si="50"/>
        <v>229.06617320689003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>
        <f>EXP(-LN(2)/35)*GL11+(1-EXP(-LN(2)/35))/(LN(2)/35)*GH12*GI12*VLOOKUP('Données projet'!$B$17,Paramètres!$A$1:$I$89,3,0)*0.475*44/12</f>
        <v>0</v>
      </c>
      <c r="GM12" s="23">
        <f>EXP(-LN(2)/25)*GM11+(1-EXP(-LN(2)/25))/(LN(2)/25)*Calculateur!GH12*Calculateur!GJ12*VLOOKUP('Données projet'!$B$17,Paramètres!$A$1:$I$89,3,0)*0.475*44/12</f>
        <v>0</v>
      </c>
      <c r="GN12" s="23">
        <f>EXP(-LN(2)/2)*GN11+(1-EXP(-LN(2)/2))/(LN(2)/2)*GH12*GK12*VLOOKUP('Données projet'!$B$17,Paramètres!$A$1:$I$89,3,0)*0.475*44/12</f>
        <v>0</v>
      </c>
      <c r="GO12" s="23">
        <f t="shared" si="27"/>
        <v>0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4.9084615384615384</v>
      </c>
      <c r="GU12" s="13">
        <f>IF('Données projet'!$A$270&gt;35,GU11+GT12-HC11,IF(A12&lt;'Données projet'!$A$270,$GR$205^A12,IF(A12='Données projet'!$A$270,'Données projet'!$B$270,GU11+GT12-HC11)))</f>
        <v>4.4711577636834461</v>
      </c>
      <c r="GV12" s="18">
        <f>GU12*VLOOKUP('Données projet'!$B$18,Paramètres!$A$1:$I$89,3,0)*VLOOKUP('Données projet'!$B$18,Paramètres!$A$1:$I$89,5,0)</f>
        <v>2.0925018334038525</v>
      </c>
      <c r="GW12" s="14">
        <f t="shared" si="51"/>
        <v>0.8848963575465858</v>
      </c>
      <c r="GX12" s="22">
        <f t="shared" si="28"/>
        <v>5.1856351825720131</v>
      </c>
      <c r="GY12" s="62">
        <f t="shared" si="29"/>
        <v>272.8523018492387</v>
      </c>
      <c r="GZ12" s="62">
        <f ca="1">AVERAGE(OFFSET($GY$3,0,0,'Données projet'!$E$18+1,1))-AVERAGE(OFFSET($H$3,0,0,'Données projet'!$E$18+1,1))</f>
        <v>284.88646502866419</v>
      </c>
      <c r="HA12" s="62">
        <f t="shared" si="52"/>
        <v>190.4880882944471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>
        <f>EXP(-LN(2)/35)*HG11+(1-EXP(-LN(2)/35))/(LN(2)/35)*HC12*HD12*VLOOKUP('Données projet'!$B$18,Paramètres!$A$1:$I$89,3,0)*0.475*44/12</f>
        <v>0</v>
      </c>
      <c r="HH12" s="23">
        <f>EXP(-LN(2)/25)*HH11+(1-EXP(-LN(2)/25))/(LN(2)/25)*Calculateur!HC12*Calculateur!HE12*VLOOKUP('Données projet'!$B$18,Paramètres!$A$1:$I$89,3,0)*0.475*44/12</f>
        <v>0</v>
      </c>
      <c r="HI12" s="23">
        <f>EXP(-LN(2)/2)*HI11+(1-EXP(-LN(2)/2))/(LN(2)/2)*HC12*HF12*VLOOKUP('Données projet'!$B$18,Paramètres!$A$1:$I$89,3,0)*0.475*44/12</f>
        <v>0</v>
      </c>
      <c r="HJ12" s="24">
        <f t="shared" si="30"/>
        <v>0</v>
      </c>
    </row>
    <row r="13" spans="1:218" s="5" customFormat="1" x14ac:dyDescent="0.25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2">
        <f t="shared" si="32"/>
        <v>0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0</v>
      </c>
      <c r="H13" s="70">
        <f t="shared" si="1"/>
        <v>256.66666666666669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2.4358974358974361</v>
      </c>
      <c r="N13" s="14">
        <f>IF('Données projet'!$A$36&gt;35,N12+M13-V12,IF(A13&lt;'Données projet'!$A$36,$K$205^A13,IF(A13='Données projet'!$A$36,'Données projet'!$B$36,N12+M13-V12)))</f>
        <v>11.011170942520771</v>
      </c>
      <c r="O13" s="14">
        <f>N13*VLOOKUP('Données projet'!$B$9,Paramètres!$A$1:$I$89,3,0)*VLOOKUP('Données projet'!$B$9,Paramètres!$A$1:$I$89,5,0)</f>
        <v>10.478230268902767</v>
      </c>
      <c r="P13" s="14">
        <f t="shared" si="33"/>
        <v>3.67348682940279</v>
      </c>
      <c r="Q13" s="22">
        <f t="shared" si="2"/>
        <v>24.647573946215513</v>
      </c>
      <c r="R13" s="62">
        <f t="shared" si="0"/>
        <v>293.53646283510437</v>
      </c>
      <c r="S13" s="62">
        <f ca="1">AVERAGE(OFFSET($R$3,0,0,'Données projet'!$E$9+1,1))-AVERAGE(OFFSET($H$3,0,0,'Données projet'!$E$9+1,1))</f>
        <v>367.11183928586667</v>
      </c>
      <c r="T13" s="62">
        <f t="shared" si="34"/>
        <v>281.52963027844595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2.1</v>
      </c>
      <c r="AI13" s="14">
        <f>IF('Données projet'!$A$62&gt;35,AI12+AH13-AQ12,IF(A13&lt;'Données projet'!$A$62,$AF$205^A13,IF(A13='Données projet'!$A$62,'Données projet'!$B$62,AI12+AH13-AQ12)))</f>
        <v>6.4807406984078657</v>
      </c>
      <c r="AJ13" s="14">
        <f>AI13*VLOOKUP('Données projet'!$B$10,Paramètres!$A$1:$I$89,3,0)*VLOOKUP('Données projet'!$B$10,Paramètres!$A$1:$I$89,5,0)</f>
        <v>5.8637741839194364</v>
      </c>
      <c r="AK13" s="14">
        <f t="shared" si="35"/>
        <v>2.1994468497187687</v>
      </c>
      <c r="AL13" s="22">
        <f t="shared" si="4"/>
        <v>14.043443300253207</v>
      </c>
      <c r="AM13" s="62">
        <f t="shared" si="5"/>
        <v>282.93233218914207</v>
      </c>
      <c r="AN13" s="62">
        <f ca="1">AVERAGE(OFFSET($AM$3,0,0,'Données projet'!$E$10+1,1))-AVERAGE(OFFSET($H$3,0,0,'Données projet'!$E$10+1,1))</f>
        <v>428.8489304403459</v>
      </c>
      <c r="AO13" s="62">
        <f t="shared" si="36"/>
        <v>247.01165577562966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0</v>
      </c>
      <c r="AX13" s="23">
        <f t="shared" si="6"/>
        <v>0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2.1</v>
      </c>
      <c r="BD13" s="13">
        <f>IF('Données projet'!$A$88&gt;35,BD12+BC13-BL12,IF(A13&lt;'Données projet'!$A$88,$BA$205^A13,IF(A13='Données projet'!$A$88,'Données projet'!$B$88,BD12+BC13-BL12)))</f>
        <v>6.4807406984078657</v>
      </c>
      <c r="BE13" s="14">
        <f>BD13*VLOOKUP('Données projet'!$B$11,Paramètres!$A$1:$I$89,3,0)*VLOOKUP('Données projet'!$B$11,Paramètres!$A$1:$I$89,5,0)</f>
        <v>6.5714710681855761</v>
      </c>
      <c r="BF13" s="14">
        <f t="shared" si="37"/>
        <v>2.4324209676242781</v>
      </c>
      <c r="BG13" s="22">
        <f t="shared" si="7"/>
        <v>15.681778629035497</v>
      </c>
      <c r="BH13" s="62">
        <f t="shared" si="8"/>
        <v>284.57066751792433</v>
      </c>
      <c r="BI13" s="62">
        <f ca="1">AVERAGE(OFFSET($BH$3,0,0,'Données projet'!$E$11+1,1))-AVERAGE(OFFSET($H$3,0,0,'Données projet'!$E$11+1,1))</f>
        <v>475.47920969424894</v>
      </c>
      <c r="BJ13" s="62">
        <f t="shared" si="38"/>
        <v>271.73544012419364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>
        <f>EXP(-LN(2)/35)*BP12+(1-EXP(-LN(2)/35))/(LN(2)/35)*BL13*BM13*VLOOKUP('Données projet'!$B$11,Paramètres!$A$1:$I$89,3,0)*0.475*44/12</f>
        <v>0</v>
      </c>
      <c r="BQ13" s="23">
        <f>EXP(-LN(2)/25)*BQ12+(1-EXP(-LN(2)/25))/(LN(2)/25)*Calculateur!BL13*Calculateur!BN13*VLOOKUP('Données projet'!$B$11,Paramètres!$A$1:$I$89,3,0)*0.475*44/12</f>
        <v>0</v>
      </c>
      <c r="BR13" s="23">
        <f>EXP(-LN(2)/2)*BR12+(1-EXP(-LN(2)/2))/(LN(2)/2)*BL13*BO13*VLOOKUP('Données projet'!$B$11,Paramètres!$A$1:$I$89,3,0)*0.475*44/12</f>
        <v>0</v>
      </c>
      <c r="BS13" s="24">
        <f t="shared" si="9"/>
        <v>0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7.7987854251012134</v>
      </c>
      <c r="BY13" s="13">
        <f>IF('Données projet'!$A$114&gt;35,BY12+BX13-CG12,IF(A13&lt;'Données projet'!$A$114,$BV$205^A13,IF(A13='Données projet'!$A$114,'Données projet'!$B$114,BY12+BX13-CG12)))</f>
        <v>13.884047496568932</v>
      </c>
      <c r="BZ13" s="14">
        <f>BY13*VLOOKUP('Données projet'!$B$12,Paramètres!$A$1:$I$89,3,0)*VLOOKUP('Données projet'!$B$12,Paramètres!$A$1:$I$89,5,0)</f>
        <v>7.7611825505820331</v>
      </c>
      <c r="CA13" s="14">
        <f t="shared" si="39"/>
        <v>2.8176844553216833</v>
      </c>
      <c r="CB13" s="22">
        <f t="shared" si="10"/>
        <v>18.424860035282308</v>
      </c>
      <c r="CC13" s="62">
        <f t="shared" si="11"/>
        <v>287.31374892417114</v>
      </c>
      <c r="CD13" s="62">
        <f ca="1">AVERAGE(OFFSET($CC$3,0,0,'Données projet'!$E$12+1,1))-AVERAGE(OFFSET($H$3,0,0,'Données projet'!$E$12+1,1))</f>
        <v>323.98185264074681</v>
      </c>
      <c r="CE13" s="62">
        <f t="shared" si="40"/>
        <v>301.22207291854005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>
        <f>EXP(-LN(2)/35)*CK12+(1-EXP(-LN(2)/35))/(LN(2)/35)*CG13*CH13*VLOOKUP('Données projet'!$B$12,Paramètres!$A$1:$I$89,3,0)*0.475*44/12</f>
        <v>0</v>
      </c>
      <c r="CL13" s="23">
        <f>EXP(-LN(2)/25)*CL12+(1-EXP(-LN(2)/25))/(LN(2)/25)*Calculateur!CG13*Calculateur!CI13*VLOOKUP('Données projet'!$B$12,Paramètres!$A$1:$I$89,3,0)*0.475*44/12</f>
        <v>0</v>
      </c>
      <c r="CM13" s="23">
        <f>EXP(-LN(2)/2)*CM12+(1-EXP(-LN(2)/2))/(LN(2)/2)*CG13*CJ13*VLOOKUP('Données projet'!$B$12,Paramètres!$A$1:$I$89,3,0)*0.475*44/12</f>
        <v>0</v>
      </c>
      <c r="CN13" s="24">
        <f t="shared" si="12"/>
        <v>0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1.2</v>
      </c>
      <c r="CT13" s="13">
        <f>IF('Données projet'!$A$140&gt;35,CT12+CS13-DB12,IF(A13&lt;'Données projet'!$A$140,$CQ$205^A13,IF(A13='Données projet'!$A$140,'Données projet'!$B$140,CT12+CS13-DB12)))</f>
        <v>3.8980598409161908</v>
      </c>
      <c r="CU13" s="18">
        <f>CT13*VLOOKUP('Données projet'!$B$13,Paramètres!$A$1:$I$89,3,0)*VLOOKUP('Données projet'!$B$13,Paramètres!$A$1:$I$89,5,0)</f>
        <v>4.4391105468353587</v>
      </c>
      <c r="CV13" s="14">
        <f t="shared" si="41"/>
        <v>1.7198983325588202</v>
      </c>
      <c r="CW13" s="22">
        <f t="shared" si="13"/>
        <v>10.72694046494486</v>
      </c>
      <c r="CX13" s="62">
        <f t="shared" si="14"/>
        <v>279.6158293538337</v>
      </c>
      <c r="CY13" s="62">
        <f ca="1">AVERAGE(OFFSET($CX$3,0,0,'Données projet'!$E$13+1,1))-AVERAGE(OFFSET($H$3,0,0,'Données projet'!$E$13+1,1))</f>
        <v>399.78832690250164</v>
      </c>
      <c r="CZ13" s="62">
        <f t="shared" si="42"/>
        <v>174.32967064896343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>
        <f>EXP(-LN(2)/35)*DF12+(1-EXP(-LN(2)/35))/(LN(2)/35)*DB13*DC13*VLOOKUP('Données projet'!$B$13,Paramètres!$A$1:$I$89,3,0)*0.475*44/12</f>
        <v>0</v>
      </c>
      <c r="DG13" s="23">
        <f>EXP(-LN(2)/25)*DG12+(1-EXP(-LN(2)/25))/(LN(2)/25)*Calculateur!DB13*Calculateur!DD13*VLOOKUP('Données projet'!$B$13,Paramètres!$A$1:$I$89,3,0)*0.475*44/12</f>
        <v>0</v>
      </c>
      <c r="DH13" s="23">
        <f>EXP(-LN(2)/2)*DH12+(1-EXP(-LN(2)/2))/(LN(2)/2)*DB13*DE13*VLOOKUP('Données projet'!$B$13,Paramètres!$A$1:$I$89,3,0)*0.475*44/12</f>
        <v>0</v>
      </c>
      <c r="DI13" s="24">
        <f t="shared" si="15"/>
        <v>0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2.1</v>
      </c>
      <c r="DO13" s="13">
        <f>IF('Données projet'!$A$166&gt;35,DO12+DN13-DW12,IF(A13&lt;'Données projet'!$A$166,$DL$205^A13,IF(A13='Données projet'!$A$166,'Données projet'!$B$166,DO12+DN13-DW12)))</f>
        <v>6.4807406984078657</v>
      </c>
      <c r="DP13" s="18">
        <f>DO13*VLOOKUP('Données projet'!$B$14,Paramètres!$A$1:$I$89,3,0)*VLOOKUP('Données projet'!$B$14,Paramètres!$A$1:$I$89,5,0)</f>
        <v>5.4593759643387862</v>
      </c>
      <c r="DQ13" s="14">
        <f t="shared" si="43"/>
        <v>2.0648648084962673</v>
      </c>
      <c r="DR13" s="22">
        <f t="shared" si="16"/>
        <v>13.104719346021051</v>
      </c>
      <c r="DS13" s="62">
        <f t="shared" si="17"/>
        <v>281.99360823490991</v>
      </c>
      <c r="DT13" s="62">
        <f ca="1">AVERAGE(OFFSET($DS$3,0,0,'Données projet'!$E$14+1,1))-AVERAGE(OFFSET($H$3,0,0,'Données projet'!$E$14+1,1))</f>
        <v>402.15128814037058</v>
      </c>
      <c r="DU13" s="62">
        <f t="shared" si="44"/>
        <v>232.85411068442738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>
        <f>EXP(-LN(2)/35)*EA12+(1-EXP(-LN(2)/35))/(LN(2)/35)*DW13*DX13*VLOOKUP('Données projet'!$B$14,Paramètres!$A$1:$I$89,3,0)*0.475*44/12</f>
        <v>0</v>
      </c>
      <c r="EB13" s="23">
        <f>EXP(-LN(2)/25)*EB12+(1-EXP(-LN(2)/25))/(LN(2)/25)*Calculateur!DW13*Calculateur!DY13*VLOOKUP('Données projet'!$B$14,Paramètres!$A$1:$I$89,3,0)*0.475*44/12</f>
        <v>0</v>
      </c>
      <c r="EC13" s="23">
        <f>EXP(-LN(2)/2)*EC12+(1-EXP(-LN(2)/2))/(LN(2)/2)*DW13*DZ13*VLOOKUP('Données projet'!$B$14,Paramètres!$A$1:$I$89,3,0)*0.475*44/12</f>
        <v>0</v>
      </c>
      <c r="ED13" s="24">
        <f t="shared" si="18"/>
        <v>0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2.8205128205128203</v>
      </c>
      <c r="EJ13" s="13">
        <f>IF('Données projet'!$A$192&gt;35,EJ12+EI13-ER12,IF(A13&lt;'Données projet'!$A$192,$EG$205^A13,IF(A13='Données projet'!$A$192,'Données projet'!$B$192,EJ12+EI13-ER12)))</f>
        <v>12.141701680412259</v>
      </c>
      <c r="EK13" s="18">
        <f>EJ13*VLOOKUP('Données projet'!$B$15,Paramètres!$A$1:$I$89,3,0)*VLOOKUP('Données projet'!$B$15,Paramètres!$A$1:$I$89,5,0)</f>
        <v>12.690506596366895</v>
      </c>
      <c r="EL13" s="14">
        <f t="shared" si="45"/>
        <v>4.3509698433589348</v>
      </c>
      <c r="EM13" s="22">
        <f t="shared" si="19"/>
        <v>29.68057146585582</v>
      </c>
      <c r="EN13" s="62">
        <f t="shared" si="20"/>
        <v>298.56946035474471</v>
      </c>
      <c r="EO13" s="62">
        <f ca="1">AVERAGE(OFFSET($EN$3,0,0,'Données projet'!$E$15+1,1))-AVERAGE(OFFSET($H$3,0,0,'Données projet'!$E$15+1,1))</f>
        <v>595.89992279024398</v>
      </c>
      <c r="EP13" s="62">
        <f t="shared" si="46"/>
        <v>378.16197659288338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>
        <f>EXP(-LN(2)/35)*EV12+(1-EXP(-LN(2)/35))/(LN(2)/35)*ER13*ES13*VLOOKUP('Données projet'!$B$15,Paramètres!$A$1:$I$89,3,0)*0.475*44/12</f>
        <v>0</v>
      </c>
      <c r="EW13" s="23">
        <f>EXP(-LN(2)/25)*EW12+(1-EXP(-LN(2)/25))/(LN(2)/25)*Calculateur!ER13*Calculateur!ET13*VLOOKUP('Données projet'!$B$15,Paramètres!$A$1:$I$89,3,0)*0.475*44/12</f>
        <v>0</v>
      </c>
      <c r="EX13" s="23">
        <f>EXP(-LN(2)/2)*EX12+(1-EXP(-LN(2)/2))/(LN(2)/2)*ER13*EU13*VLOOKUP('Données projet'!$B$15,Paramètres!$A$1:$I$89,3,0)*0.475*44/12</f>
        <v>0</v>
      </c>
      <c r="EY13" s="24">
        <f t="shared" si="21"/>
        <v>0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7.4312217194570129</v>
      </c>
      <c r="FE13" s="13">
        <f>IF('Données projet'!$A$218&gt;35,FE12+FD13-FM12,IF(A13&lt;'Données projet'!$A$218,$FB$205^A13,IF(A13='Données projet'!$A$218,'Données projet'!$B$218,FE12+FD13-FM12)))</f>
        <v>17.225897052240693</v>
      </c>
      <c r="FF13" s="18">
        <f>FE13*VLOOKUP('Données projet'!$B$16,Paramètres!$A$1:$I$89,3,0)*VLOOKUP('Données projet'!$B$16,Paramètres!$A$1:$I$89,5,0)</f>
        <v>10.301086437239935</v>
      </c>
      <c r="FG13" s="14">
        <f t="shared" si="47"/>
        <v>3.6185577775542006</v>
      </c>
      <c r="FH13" s="22">
        <f t="shared" si="22"/>
        <v>24.243380340766453</v>
      </c>
      <c r="FI13" s="62">
        <f t="shared" si="23"/>
        <v>293.13226922965532</v>
      </c>
      <c r="FJ13" s="62">
        <f ca="1">AVERAGE(OFFSET($FI$3,0,0,'Données projet'!$E$16+1,1))-AVERAGE(OFFSET($H$3,0,0,'Données projet'!$E$16+1,1))</f>
        <v>257.56116197646924</v>
      </c>
      <c r="FK13" s="62">
        <f t="shared" si="48"/>
        <v>269.95556918835888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>
        <f>EXP(-LN(2)/35)*FQ12+(1-EXP(-LN(2)/35))/(LN(2)/35)*FM13*FN13*VLOOKUP('Données projet'!$B$16,Paramètres!$A$1:$I$89,3,0)*0.475*44/12</f>
        <v>0</v>
      </c>
      <c r="FR13" s="23">
        <f>EXP(-LN(2)/25)*FR12+(1-EXP(-LN(2)/25))/(LN(2)/25)*Calculateur!FM13*Calculateur!FO13*VLOOKUP('Données projet'!$B$16,Paramètres!$A$1:$I$89,3,0)*0.475*44/12</f>
        <v>0</v>
      </c>
      <c r="FS13" s="23">
        <f>EXP(-LN(2)/2)*FS12+(1-EXP(-LN(2)/2))/(LN(2)/2)*FM13*FP13*VLOOKUP('Données projet'!$B$16,Paramètres!$A$1:$I$89,3,0)*0.475*44/12</f>
        <v>0</v>
      </c>
      <c r="FT13" s="24">
        <f t="shared" si="24"/>
        <v>0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2.3805128205128203</v>
      </c>
      <c r="FZ13" s="13">
        <f>IF('Données projet'!$A$244&gt;35,FZ12+FY13-GH12,IF(A13&lt;'Données projet'!$A$244,$FW$205^A13,IF(A13='Données projet'!$A$244,'Données projet'!$B$244,FZ12+FY13-GH12)))</f>
        <v>10.843625808385362</v>
      </c>
      <c r="GA13" s="18">
        <f>FZ13*VLOOKUP('Données projet'!$B$17,Paramètres!$A$1:$I$89,3,0)*VLOOKUP('Données projet'!$B$17,Paramètres!$A$1:$I$89,5,0)</f>
        <v>6.4844882334144467</v>
      </c>
      <c r="GB13" s="14">
        <f t="shared" si="49"/>
        <v>2.4039500479922649</v>
      </c>
      <c r="GC13" s="22">
        <f t="shared" si="25"/>
        <v>15.480696673450021</v>
      </c>
      <c r="GD13" s="62">
        <f t="shared" si="26"/>
        <v>284.3695855623389</v>
      </c>
      <c r="GE13" s="62">
        <f ca="1">AVERAGE(OFFSET($GD$3,0,0,'Données projet'!$E$17+1,1))-AVERAGE(OFFSET($H$3,0,0,'Données projet'!$E$17+1,1))</f>
        <v>289.12367833861299</v>
      </c>
      <c r="GF13" s="62">
        <f t="shared" si="50"/>
        <v>229.06617320689003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>
        <f>EXP(-LN(2)/35)*GL12+(1-EXP(-LN(2)/35))/(LN(2)/35)*GH13*GI13*VLOOKUP('Données projet'!$B$17,Paramètres!$A$1:$I$89,3,0)*0.475*44/12</f>
        <v>0</v>
      </c>
      <c r="GM13" s="23">
        <f>EXP(-LN(2)/25)*GM12+(1-EXP(-LN(2)/25))/(LN(2)/25)*Calculateur!GH13*Calculateur!GJ13*VLOOKUP('Données projet'!$B$17,Paramètres!$A$1:$I$89,3,0)*0.475*44/12</f>
        <v>0</v>
      </c>
      <c r="GN13" s="23">
        <f>EXP(-LN(2)/2)*GN12+(1-EXP(-LN(2)/2))/(LN(2)/2)*GH13*GK13*VLOOKUP('Données projet'!$B$17,Paramètres!$A$1:$I$89,3,0)*0.475*44/12</f>
        <v>0</v>
      </c>
      <c r="GO13" s="23">
        <f t="shared" si="27"/>
        <v>0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4.9084615384615384</v>
      </c>
      <c r="GU13" s="13">
        <f>IF('Données projet'!$A$270&gt;35,GU12+GT13-HC12,IF(A13&lt;'Données projet'!$A$270,$GR$205^A13,IF(A13='Données projet'!$A$270,'Données projet'!$B$270,GU12+GT13-HC12)))</f>
        <v>5.2806682243912917</v>
      </c>
      <c r="GV13" s="18">
        <f>GU13*VLOOKUP('Données projet'!$B$18,Paramètres!$A$1:$I$89,3,0)*VLOOKUP('Données projet'!$B$18,Paramètres!$A$1:$I$89,5,0)</f>
        <v>2.4713527290151243</v>
      </c>
      <c r="GW13" s="14">
        <f t="shared" si="51"/>
        <v>1.0250597883345953</v>
      </c>
      <c r="GX13" s="22">
        <f t="shared" si="28"/>
        <v>6.0895851343840945</v>
      </c>
      <c r="GY13" s="62">
        <f t="shared" si="29"/>
        <v>274.97847402327295</v>
      </c>
      <c r="GZ13" s="62">
        <f ca="1">AVERAGE(OFFSET($GY$3,0,0,'Données projet'!$E$18+1,1))-AVERAGE(OFFSET($H$3,0,0,'Données projet'!$E$18+1,1))</f>
        <v>284.88646502866419</v>
      </c>
      <c r="HA13" s="62">
        <f t="shared" si="52"/>
        <v>190.4880882944471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>
        <f>EXP(-LN(2)/35)*HG12+(1-EXP(-LN(2)/35))/(LN(2)/35)*HC13*HD13*VLOOKUP('Données projet'!$B$18,Paramètres!$A$1:$I$89,3,0)*0.475*44/12</f>
        <v>0</v>
      </c>
      <c r="HH13" s="23">
        <f>EXP(-LN(2)/25)*HH12+(1-EXP(-LN(2)/25))/(LN(2)/25)*Calculateur!HC13*Calculateur!HE13*VLOOKUP('Données projet'!$B$18,Paramètres!$A$1:$I$89,3,0)*0.475*44/12</f>
        <v>0</v>
      </c>
      <c r="HI13" s="23">
        <f>EXP(-LN(2)/2)*HI12+(1-EXP(-LN(2)/2))/(LN(2)/2)*HC13*HF13*VLOOKUP('Données projet'!$B$18,Paramètres!$A$1:$I$89,3,0)*0.475*44/12</f>
        <v>0</v>
      </c>
      <c r="HJ13" s="24">
        <f t="shared" si="30"/>
        <v>0</v>
      </c>
    </row>
    <row r="14" spans="1:218" s="5" customFormat="1" x14ac:dyDescent="0.25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2">
        <f t="shared" si="32"/>
        <v>0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0</v>
      </c>
      <c r="H14" s="70">
        <f t="shared" si="1"/>
        <v>256.66666666666669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2.4358974358974361</v>
      </c>
      <c r="N14" s="14">
        <f>IF('Données projet'!$A$36&gt;35,N13+M14-V13,IF(A14&lt;'Données projet'!$A$36,$K$205^A14,IF(A14='Données projet'!$A$36,'Données projet'!$B$36,N13+M14-V13)))</f>
        <v>13.996416428924077</v>
      </c>
      <c r="O14" s="14">
        <f>N14*VLOOKUP('Données projet'!$B$9,Paramètres!$A$1:$I$89,3,0)*VLOOKUP('Données projet'!$B$9,Paramètres!$A$1:$I$89,5,0)</f>
        <v>13.318989873764153</v>
      </c>
      <c r="P14" s="14">
        <f t="shared" si="33"/>
        <v>4.5408263671169857</v>
      </c>
      <c r="Q14" s="22">
        <f t="shared" si="2"/>
        <v>31.105846619534645</v>
      </c>
      <c r="R14" s="62">
        <f t="shared" si="0"/>
        <v>301.21695773064579</v>
      </c>
      <c r="S14" s="62">
        <f ca="1">AVERAGE(OFFSET($R$3,0,0,'Données projet'!$E$9+1,1))-AVERAGE(OFFSET($H$3,0,0,'Données projet'!$E$9+1,1))</f>
        <v>367.11183928586667</v>
      </c>
      <c r="T14" s="62">
        <f t="shared" si="34"/>
        <v>281.52963027844595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2.1</v>
      </c>
      <c r="AI14" s="14">
        <f>IF('Données projet'!$A$62&gt;35,AI13+AH14-AQ13,IF(A14&lt;'Données projet'!$A$62,$AF$205^A14,IF(A14='Données projet'!$A$62,'Données projet'!$B$62,AI13+AH14-AQ13)))</f>
        <v>7.8124474610620815</v>
      </c>
      <c r="AJ14" s="14">
        <f>AI14*VLOOKUP('Données projet'!$B$10,Paramètres!$A$1:$I$89,3,0)*VLOOKUP('Données projet'!$B$10,Paramètres!$A$1:$I$89,5,0)</f>
        <v>7.0687024627689707</v>
      </c>
      <c r="AK14" s="14">
        <f t="shared" si="35"/>
        <v>2.5943503554083325</v>
      </c>
      <c r="AL14" s="22">
        <f t="shared" si="4"/>
        <v>16.829816991658799</v>
      </c>
      <c r="AM14" s="62">
        <f t="shared" si="5"/>
        <v>286.94092810276993</v>
      </c>
      <c r="AN14" s="62">
        <f ca="1">AVERAGE(OFFSET($AM$3,0,0,'Données projet'!$E$10+1,1))-AVERAGE(OFFSET($H$3,0,0,'Données projet'!$E$10+1,1))</f>
        <v>428.8489304403459</v>
      </c>
      <c r="AO14" s="62">
        <f t="shared" si="36"/>
        <v>247.01165577562966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0</v>
      </c>
      <c r="AX14" s="23">
        <f t="shared" si="6"/>
        <v>0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2.1</v>
      </c>
      <c r="BD14" s="13">
        <f>IF('Données projet'!$A$88&gt;35,BD13+BC14-BL13,IF(A14&lt;'Données projet'!$A$88,$BA$205^A14,IF(A14='Données projet'!$A$88,'Données projet'!$B$88,BD13+BC14-BL13)))</f>
        <v>7.8124474610620815</v>
      </c>
      <c r="BE14" s="14">
        <f>BD14*VLOOKUP('Données projet'!$B$11,Paramètres!$A$1:$I$89,3,0)*VLOOKUP('Données projet'!$B$11,Paramètres!$A$1:$I$89,5,0)</f>
        <v>7.921821725516951</v>
      </c>
      <c r="BF14" s="14">
        <f t="shared" si="37"/>
        <v>2.869154216054651</v>
      </c>
      <c r="BG14" s="22">
        <f t="shared" si="7"/>
        <v>18.794283098237205</v>
      </c>
      <c r="BH14" s="62">
        <f t="shared" si="8"/>
        <v>288.90539420934834</v>
      </c>
      <c r="BI14" s="62">
        <f ca="1">AVERAGE(OFFSET($BH$3,0,0,'Données projet'!$E$11+1,1))-AVERAGE(OFFSET($H$3,0,0,'Données projet'!$E$11+1,1))</f>
        <v>475.47920969424894</v>
      </c>
      <c r="BJ14" s="62">
        <f t="shared" si="38"/>
        <v>271.73544012419364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>
        <f>EXP(-LN(2)/35)*BP13+(1-EXP(-LN(2)/35))/(LN(2)/35)*BL14*BM14*VLOOKUP('Données projet'!$B$11,Paramètres!$A$1:$I$89,3,0)*0.475*44/12</f>
        <v>0</v>
      </c>
      <c r="BQ14" s="23">
        <f>EXP(-LN(2)/25)*BQ13+(1-EXP(-LN(2)/25))/(LN(2)/25)*Calculateur!BL14*Calculateur!BN14*VLOOKUP('Données projet'!$B$11,Paramètres!$A$1:$I$89,3,0)*0.475*44/12</f>
        <v>0</v>
      </c>
      <c r="BR14" s="23">
        <f>EXP(-LN(2)/2)*BR13+(1-EXP(-LN(2)/2))/(LN(2)/2)*BL14*BO14*VLOOKUP('Données projet'!$B$11,Paramètres!$A$1:$I$89,3,0)*0.475*44/12</f>
        <v>0</v>
      </c>
      <c r="BS14" s="24">
        <f t="shared" si="9"/>
        <v>0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7.7987854251012134</v>
      </c>
      <c r="BY14" s="13">
        <f>IF('Données projet'!$A$114&gt;35,BY13+BX14-CG13,IF(A14&lt;'Données projet'!$A$114,$BV$205^A14,IF(A14='Données projet'!$A$114,'Données projet'!$B$114,BY13+BX14-CG13)))</f>
        <v>18.062077432272524</v>
      </c>
      <c r="BZ14" s="14">
        <f>BY14*VLOOKUP('Données projet'!$B$12,Paramètres!$A$1:$I$89,3,0)*VLOOKUP('Données projet'!$B$12,Paramètres!$A$1:$I$89,5,0)</f>
        <v>10.096701284640341</v>
      </c>
      <c r="CA14" s="14">
        <f t="shared" si="39"/>
        <v>3.5550447986697691</v>
      </c>
      <c r="CB14" s="22">
        <f t="shared" si="10"/>
        <v>23.776791095098442</v>
      </c>
      <c r="CC14" s="62">
        <f t="shared" si="11"/>
        <v>293.88790220620956</v>
      </c>
      <c r="CD14" s="62">
        <f ca="1">AVERAGE(OFFSET($CC$3,0,0,'Données projet'!$E$12+1,1))-AVERAGE(OFFSET($H$3,0,0,'Données projet'!$E$12+1,1))</f>
        <v>323.98185264074681</v>
      </c>
      <c r="CE14" s="62">
        <f t="shared" si="40"/>
        <v>301.22207291854005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>
        <f>EXP(-LN(2)/35)*CK13+(1-EXP(-LN(2)/35))/(LN(2)/35)*CG14*CH14*VLOOKUP('Données projet'!$B$12,Paramètres!$A$1:$I$89,3,0)*0.475*44/12</f>
        <v>0</v>
      </c>
      <c r="CL14" s="23">
        <f>EXP(-LN(2)/25)*CL13+(1-EXP(-LN(2)/25))/(LN(2)/25)*Calculateur!CG14*Calculateur!CI14*VLOOKUP('Données projet'!$B$12,Paramètres!$A$1:$I$89,3,0)*0.475*44/12</f>
        <v>0</v>
      </c>
      <c r="CM14" s="23">
        <f>EXP(-LN(2)/2)*CM13+(1-EXP(-LN(2)/2))/(LN(2)/2)*CG14*CJ14*VLOOKUP('Données projet'!$B$12,Paramètres!$A$1:$I$89,3,0)*0.475*44/12</f>
        <v>0</v>
      </c>
      <c r="CN14" s="24">
        <f t="shared" si="12"/>
        <v>0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1.2</v>
      </c>
      <c r="CT14" s="13">
        <f>IF('Données projet'!$A$140&gt;35,CT13+CS14-DB13,IF(A14&lt;'Données projet'!$A$140,$CQ$205^A14,IF(A14='Données projet'!$A$140,'Données projet'!$B$140,CT13+CS14-DB13)))</f>
        <v>4.4661504822319662</v>
      </c>
      <c r="CU14" s="18">
        <f>CT14*VLOOKUP('Données projet'!$B$13,Paramètres!$A$1:$I$89,3,0)*VLOOKUP('Données projet'!$B$13,Paramètres!$A$1:$I$89,5,0)</f>
        <v>5.0860521691657636</v>
      </c>
      <c r="CV14" s="14">
        <f t="shared" si="41"/>
        <v>1.9395909500595778</v>
      </c>
      <c r="CW14" s="22">
        <f t="shared" si="13"/>
        <v>12.236328432650803</v>
      </c>
      <c r="CX14" s="62">
        <f t="shared" si="14"/>
        <v>282.34743954376194</v>
      </c>
      <c r="CY14" s="62">
        <f ca="1">AVERAGE(OFFSET($CX$3,0,0,'Données projet'!$E$13+1,1))-AVERAGE(OFFSET($H$3,0,0,'Données projet'!$E$13+1,1))</f>
        <v>399.78832690250164</v>
      </c>
      <c r="CZ14" s="62">
        <f t="shared" si="42"/>
        <v>174.32967064896343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>
        <f>EXP(-LN(2)/35)*DF13+(1-EXP(-LN(2)/35))/(LN(2)/35)*DB14*DC14*VLOOKUP('Données projet'!$B$13,Paramètres!$A$1:$I$89,3,0)*0.475*44/12</f>
        <v>0</v>
      </c>
      <c r="DG14" s="23">
        <f>EXP(-LN(2)/25)*DG13+(1-EXP(-LN(2)/25))/(LN(2)/25)*Calculateur!DB14*Calculateur!DD14*VLOOKUP('Données projet'!$B$13,Paramètres!$A$1:$I$89,3,0)*0.475*44/12</f>
        <v>0</v>
      </c>
      <c r="DH14" s="23">
        <f>EXP(-LN(2)/2)*DH13+(1-EXP(-LN(2)/2))/(LN(2)/2)*DB14*DE14*VLOOKUP('Données projet'!$B$13,Paramètres!$A$1:$I$89,3,0)*0.475*44/12</f>
        <v>0</v>
      </c>
      <c r="DI14" s="24">
        <f t="shared" si="15"/>
        <v>0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2.1</v>
      </c>
      <c r="DO14" s="13">
        <f>IF('Données projet'!$A$166&gt;35,DO13+DN14-DW13,IF(A14&lt;'Données projet'!$A$166,$DL$205^A14,IF(A14='Données projet'!$A$166,'Données projet'!$B$166,DO13+DN14-DW13)))</f>
        <v>7.8124474610620815</v>
      </c>
      <c r="DP14" s="18">
        <f>DO14*VLOOKUP('Données projet'!$B$14,Paramètres!$A$1:$I$89,3,0)*VLOOKUP('Données projet'!$B$14,Paramètres!$A$1:$I$89,5,0)</f>
        <v>6.5812057411986977</v>
      </c>
      <c r="DQ14" s="14">
        <f t="shared" si="43"/>
        <v>2.4356045477877388</v>
      </c>
      <c r="DR14" s="22">
        <f t="shared" si="16"/>
        <v>15.70427791998471</v>
      </c>
      <c r="DS14" s="62">
        <f t="shared" si="17"/>
        <v>285.81538903109583</v>
      </c>
      <c r="DT14" s="62">
        <f ca="1">AVERAGE(OFFSET($DS$3,0,0,'Données projet'!$E$14+1,1))-AVERAGE(OFFSET($H$3,0,0,'Données projet'!$E$14+1,1))</f>
        <v>402.15128814037058</v>
      </c>
      <c r="DU14" s="62">
        <f t="shared" si="44"/>
        <v>232.85411068442738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>
        <f>EXP(-LN(2)/35)*EA13+(1-EXP(-LN(2)/35))/(LN(2)/35)*DW14*DX14*VLOOKUP('Données projet'!$B$14,Paramètres!$A$1:$I$89,3,0)*0.475*44/12</f>
        <v>0</v>
      </c>
      <c r="EB14" s="23">
        <f>EXP(-LN(2)/25)*EB13+(1-EXP(-LN(2)/25))/(LN(2)/25)*Calculateur!DW14*Calculateur!DY14*VLOOKUP('Données projet'!$B$14,Paramètres!$A$1:$I$89,3,0)*0.475*44/12</f>
        <v>0</v>
      </c>
      <c r="EC14" s="23">
        <f>EXP(-LN(2)/2)*EC13+(1-EXP(-LN(2)/2))/(LN(2)/2)*DW14*DZ14*VLOOKUP('Données projet'!$B$14,Paramètres!$A$1:$I$89,3,0)*0.475*44/12</f>
        <v>0</v>
      </c>
      <c r="ED14" s="24">
        <f t="shared" si="18"/>
        <v>0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2.8205128205128203</v>
      </c>
      <c r="EJ14" s="13">
        <f>IF('Données projet'!$A$192&gt;35,EJ13+EI14-ER13,IF(A14&lt;'Données projet'!$A$192,$EG$205^A14,IF(A14='Données projet'!$A$192,'Données projet'!$B$192,EJ13+EI14-ER13)))</f>
        <v>15.585025382920847</v>
      </c>
      <c r="EK14" s="18">
        <f>EJ14*VLOOKUP('Données projet'!$B$15,Paramètres!$A$1:$I$89,3,0)*VLOOKUP('Données projet'!$B$15,Paramètres!$A$1:$I$89,5,0)</f>
        <v>16.28946853022887</v>
      </c>
      <c r="EL14" s="14">
        <f t="shared" si="45"/>
        <v>5.4249159631297497</v>
      </c>
      <c r="EM14" s="22">
        <f t="shared" si="19"/>
        <v>37.81921965926626</v>
      </c>
      <c r="EN14" s="62">
        <f t="shared" si="20"/>
        <v>307.9303307703774</v>
      </c>
      <c r="EO14" s="62">
        <f ca="1">AVERAGE(OFFSET($EN$3,0,0,'Données projet'!$E$15+1,1))-AVERAGE(OFFSET($H$3,0,0,'Données projet'!$E$15+1,1))</f>
        <v>595.89992279024398</v>
      </c>
      <c r="EP14" s="62">
        <f t="shared" si="46"/>
        <v>378.16197659288338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>
        <f>EXP(-LN(2)/35)*EV13+(1-EXP(-LN(2)/35))/(LN(2)/35)*ER14*ES14*VLOOKUP('Données projet'!$B$15,Paramètres!$A$1:$I$89,3,0)*0.475*44/12</f>
        <v>0</v>
      </c>
      <c r="EW14" s="23">
        <f>EXP(-LN(2)/25)*EW13+(1-EXP(-LN(2)/25))/(LN(2)/25)*Calculateur!ER14*Calculateur!ET14*VLOOKUP('Données projet'!$B$15,Paramètres!$A$1:$I$89,3,0)*0.475*44/12</f>
        <v>0</v>
      </c>
      <c r="EX14" s="23">
        <f>EXP(-LN(2)/2)*EX13+(1-EXP(-LN(2)/2))/(LN(2)/2)*ER14*EU14*VLOOKUP('Données projet'!$B$15,Paramètres!$A$1:$I$89,3,0)*0.475*44/12</f>
        <v>0</v>
      </c>
      <c r="EY14" s="24">
        <f t="shared" si="21"/>
        <v>0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7.4312217194570129</v>
      </c>
      <c r="FE14" s="13">
        <f>IF('Données projet'!$A$218&gt;35,FE13+FD14-FM13,IF(A14&lt;'Données projet'!$A$218,$FB$205^A14,IF(A14='Données projet'!$A$218,'Données projet'!$B$218,FE13+FD14-FM13)))</f>
        <v>22.89813081553541</v>
      </c>
      <c r="FF14" s="18">
        <f>FE14*VLOOKUP('Données projet'!$B$16,Paramètres!$A$1:$I$89,3,0)*VLOOKUP('Données projet'!$B$16,Paramètres!$A$1:$I$89,5,0)</f>
        <v>13.693082227690176</v>
      </c>
      <c r="FG14" s="14">
        <f t="shared" si="47"/>
        <v>4.6533373606794726</v>
      </c>
      <c r="FH14" s="22">
        <f t="shared" si="22"/>
        <v>31.953347449743802</v>
      </c>
      <c r="FI14" s="62">
        <f t="shared" si="23"/>
        <v>302.06445856085497</v>
      </c>
      <c r="FJ14" s="62">
        <f ca="1">AVERAGE(OFFSET($FI$3,0,0,'Données projet'!$E$16+1,1))-AVERAGE(OFFSET($H$3,0,0,'Données projet'!$E$16+1,1))</f>
        <v>257.56116197646924</v>
      </c>
      <c r="FK14" s="62">
        <f t="shared" si="48"/>
        <v>269.95556918835888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>
        <f>EXP(-LN(2)/35)*FQ13+(1-EXP(-LN(2)/35))/(LN(2)/35)*FM14*FN14*VLOOKUP('Données projet'!$B$16,Paramètres!$A$1:$I$89,3,0)*0.475*44/12</f>
        <v>0</v>
      </c>
      <c r="FR14" s="23">
        <f>EXP(-LN(2)/25)*FR13+(1-EXP(-LN(2)/25))/(LN(2)/25)*Calculateur!FM14*Calculateur!FO14*VLOOKUP('Données projet'!$B$16,Paramètres!$A$1:$I$89,3,0)*0.475*44/12</f>
        <v>0</v>
      </c>
      <c r="FS14" s="23">
        <f>EXP(-LN(2)/2)*FS13+(1-EXP(-LN(2)/2))/(LN(2)/2)*FM14*FP14*VLOOKUP('Données projet'!$B$16,Paramètres!$A$1:$I$89,3,0)*0.475*44/12</f>
        <v>0</v>
      </c>
      <c r="FT14" s="24">
        <f t="shared" si="24"/>
        <v>0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2.3805128205128203</v>
      </c>
      <c r="FZ14" s="13">
        <f>IF('Données projet'!$A$244&gt;35,FZ13+FY14-GH13,IF(A14&lt;'Données projet'!$A$244,$FW$205^A14,IF(A14='Données projet'!$A$244,'Données projet'!$B$244,FZ13+FY14-GH13)))</f>
        <v>13.762330235503498</v>
      </c>
      <c r="GA14" s="18">
        <f>FZ14*VLOOKUP('Données projet'!$B$17,Paramètres!$A$1:$I$89,3,0)*VLOOKUP('Données projet'!$B$17,Paramètres!$A$1:$I$89,5,0)</f>
        <v>8.2298734808310936</v>
      </c>
      <c r="GB14" s="14">
        <f t="shared" si="49"/>
        <v>2.9675186699572826</v>
      </c>
      <c r="GC14" s="22">
        <f t="shared" si="25"/>
        <v>19.502124662623089</v>
      </c>
      <c r="GD14" s="62">
        <f t="shared" si="26"/>
        <v>289.61323577373423</v>
      </c>
      <c r="GE14" s="62">
        <f ca="1">AVERAGE(OFFSET($GD$3,0,0,'Données projet'!$E$17+1,1))-AVERAGE(OFFSET($H$3,0,0,'Données projet'!$E$17+1,1))</f>
        <v>289.12367833861299</v>
      </c>
      <c r="GF14" s="62">
        <f t="shared" si="50"/>
        <v>229.06617320689003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>
        <f>EXP(-LN(2)/35)*GL13+(1-EXP(-LN(2)/35))/(LN(2)/35)*GH14*GI14*VLOOKUP('Données projet'!$B$17,Paramètres!$A$1:$I$89,3,0)*0.475*44/12</f>
        <v>0</v>
      </c>
      <c r="GM14" s="23">
        <f>EXP(-LN(2)/25)*GM13+(1-EXP(-LN(2)/25))/(LN(2)/25)*Calculateur!GH14*Calculateur!GJ14*VLOOKUP('Données projet'!$B$17,Paramètres!$A$1:$I$89,3,0)*0.475*44/12</f>
        <v>0</v>
      </c>
      <c r="GN14" s="23">
        <f>EXP(-LN(2)/2)*GN13+(1-EXP(-LN(2)/2))/(LN(2)/2)*GH14*GK14*VLOOKUP('Données projet'!$B$17,Paramètres!$A$1:$I$89,3,0)*0.475*44/12</f>
        <v>0</v>
      </c>
      <c r="GO14" s="23">
        <f t="shared" si="27"/>
        <v>0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4.9084615384615384</v>
      </c>
      <c r="GU14" s="13">
        <f>IF('Données projet'!$A$270&gt;35,GU13+GT14-HC13,IF(A14&lt;'Données projet'!$A$270,$GR$205^A14,IF(A14='Données projet'!$A$270,'Données projet'!$B$270,GU13+GT14-HC13)))</f>
        <v>6.2367418843040729</v>
      </c>
      <c r="GV14" s="18">
        <f>GU14*VLOOKUP('Données projet'!$B$18,Paramètres!$A$1:$I$89,3,0)*VLOOKUP('Données projet'!$B$18,Paramètres!$A$1:$I$89,5,0)</f>
        <v>2.9187952018543064</v>
      </c>
      <c r="GW14" s="14">
        <f t="shared" si="51"/>
        <v>1.1874244488629264</v>
      </c>
      <c r="GX14" s="22">
        <f t="shared" si="28"/>
        <v>7.1516658916658464</v>
      </c>
      <c r="GY14" s="62">
        <f t="shared" si="29"/>
        <v>277.262777002777</v>
      </c>
      <c r="GZ14" s="62">
        <f ca="1">AVERAGE(OFFSET($GY$3,0,0,'Données projet'!$E$18+1,1))-AVERAGE(OFFSET($H$3,0,0,'Données projet'!$E$18+1,1))</f>
        <v>284.88646502866419</v>
      </c>
      <c r="HA14" s="62">
        <f t="shared" si="52"/>
        <v>190.4880882944471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>
        <f>EXP(-LN(2)/35)*HG13+(1-EXP(-LN(2)/35))/(LN(2)/35)*HC14*HD14*VLOOKUP('Données projet'!$B$18,Paramètres!$A$1:$I$89,3,0)*0.475*44/12</f>
        <v>0</v>
      </c>
      <c r="HH14" s="23">
        <f>EXP(-LN(2)/25)*HH13+(1-EXP(-LN(2)/25))/(LN(2)/25)*Calculateur!HC14*Calculateur!HE14*VLOOKUP('Données projet'!$B$18,Paramètres!$A$1:$I$89,3,0)*0.475*44/12</f>
        <v>0</v>
      </c>
      <c r="HI14" s="23">
        <f>EXP(-LN(2)/2)*HI13+(1-EXP(-LN(2)/2))/(LN(2)/2)*HC14*HF14*VLOOKUP('Données projet'!$B$18,Paramètres!$A$1:$I$89,3,0)*0.475*44/12</f>
        <v>0</v>
      </c>
      <c r="HJ14" s="24">
        <f t="shared" si="30"/>
        <v>0</v>
      </c>
    </row>
    <row r="15" spans="1:218" s="5" customFormat="1" x14ac:dyDescent="0.25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2">
        <f t="shared" si="32"/>
        <v>0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0</v>
      </c>
      <c r="H15" s="70">
        <f t="shared" si="1"/>
        <v>256.66666666666669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2.4358974358974361</v>
      </c>
      <c r="N15" s="14">
        <f>IF('Données projet'!$A$36&gt;35,N14+M15-V14,IF(A15&lt;'Données projet'!$A$36,$K$205^A15,IF(A15='Données projet'!$A$36,'Données projet'!$B$36,N14+M15-V14)))</f>
        <v>17.790993698532919</v>
      </c>
      <c r="O15" s="14">
        <f>N15*VLOOKUP('Données projet'!$B$9,Paramètres!$A$1:$I$89,3,0)*VLOOKUP('Données projet'!$B$9,Paramètres!$A$1:$I$89,5,0)</f>
        <v>16.929909603523928</v>
      </c>
      <c r="P15" s="14">
        <f t="shared" si="33"/>
        <v>5.6129516870098515</v>
      </c>
      <c r="Q15" s="22">
        <f t="shared" si="2"/>
        <v>39.262150081012997</v>
      </c>
      <c r="R15" s="62">
        <f t="shared" si="0"/>
        <v>310.59548341434629</v>
      </c>
      <c r="S15" s="62">
        <f ca="1">AVERAGE(OFFSET($R$3,0,0,'Données projet'!$E$9+1,1))-AVERAGE(OFFSET($H$3,0,0,'Données projet'!$E$9+1,1))</f>
        <v>367.11183928586667</v>
      </c>
      <c r="T15" s="62">
        <f t="shared" si="34"/>
        <v>281.52963027844595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2.1</v>
      </c>
      <c r="AI15" s="14">
        <f>IF('Données projet'!$A$62&gt;35,AI14+AH15-AQ14,IF(A15&lt;'Données projet'!$A$62,$AF$205^A15,IF(A15='Données projet'!$A$62,'Données projet'!$B$62,AI14+AH15-AQ14)))</f>
        <v>9.4178024044149407</v>
      </c>
      <c r="AJ15" s="14">
        <f>AI15*VLOOKUP('Données projet'!$B$10,Paramètres!$A$1:$I$89,3,0)*VLOOKUP('Données projet'!$B$10,Paramètres!$A$1:$I$89,5,0)</f>
        <v>8.521227615514638</v>
      </c>
      <c r="AK15" s="14">
        <f t="shared" si="35"/>
        <v>3.0601574970852128</v>
      </c>
      <c r="AL15" s="22">
        <f t="shared" si="4"/>
        <v>20.170912404444739</v>
      </c>
      <c r="AM15" s="62">
        <f t="shared" si="5"/>
        <v>291.50424573777804</v>
      </c>
      <c r="AN15" s="62">
        <f ca="1">AVERAGE(OFFSET($AM$3,0,0,'Données projet'!$E$10+1,1))-AVERAGE(OFFSET($H$3,0,0,'Données projet'!$E$10+1,1))</f>
        <v>428.8489304403459</v>
      </c>
      <c r="AO15" s="62">
        <f t="shared" si="36"/>
        <v>247.01165577562966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0</v>
      </c>
      <c r="AX15" s="23">
        <f t="shared" si="6"/>
        <v>0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2.1</v>
      </c>
      <c r="BD15" s="13">
        <f>IF('Données projet'!$A$88&gt;35,BD14+BC15-BL14,IF(A15&lt;'Données projet'!$A$88,$BA$205^A15,IF(A15='Données projet'!$A$88,'Données projet'!$B$88,BD14+BC15-BL14)))</f>
        <v>9.4178024044149407</v>
      </c>
      <c r="BE15" s="14">
        <f>BD15*VLOOKUP('Données projet'!$B$11,Paramètres!$A$1:$I$89,3,0)*VLOOKUP('Données projet'!$B$11,Paramètres!$A$1:$I$89,5,0)</f>
        <v>9.5496516380767513</v>
      </c>
      <c r="BF15" s="14">
        <f t="shared" si="37"/>
        <v>3.3843014943027487</v>
      </c>
      <c r="BG15" s="22">
        <f t="shared" si="7"/>
        <v>22.526635038894295</v>
      </c>
      <c r="BH15" s="62">
        <f t="shared" si="8"/>
        <v>293.85996837222763</v>
      </c>
      <c r="BI15" s="62">
        <f ca="1">AVERAGE(OFFSET($BH$3,0,0,'Données projet'!$E$11+1,1))-AVERAGE(OFFSET($H$3,0,0,'Données projet'!$E$11+1,1))</f>
        <v>475.47920969424894</v>
      </c>
      <c r="BJ15" s="62">
        <f t="shared" si="38"/>
        <v>271.73544012419364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>
        <f>EXP(-LN(2)/35)*BP14+(1-EXP(-LN(2)/35))/(LN(2)/35)*BL15*BM15*VLOOKUP('Données projet'!$B$11,Paramètres!$A$1:$I$89,3,0)*0.475*44/12</f>
        <v>0</v>
      </c>
      <c r="BQ15" s="23">
        <f>EXP(-LN(2)/25)*BQ14+(1-EXP(-LN(2)/25))/(LN(2)/25)*Calculateur!BL15*Calculateur!BN15*VLOOKUP('Données projet'!$B$11,Paramètres!$A$1:$I$89,3,0)*0.475*44/12</f>
        <v>0</v>
      </c>
      <c r="BR15" s="23">
        <f>EXP(-LN(2)/2)*BR14+(1-EXP(-LN(2)/2))/(LN(2)/2)*BL15*BO15*VLOOKUP('Données projet'!$B$11,Paramètres!$A$1:$I$89,3,0)*0.475*44/12</f>
        <v>0</v>
      </c>
      <c r="BS15" s="24">
        <f t="shared" si="9"/>
        <v>0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7.7987854251012134</v>
      </c>
      <c r="BY15" s="13">
        <f>IF('Données projet'!$A$114&gt;35,BY14+BX15-CG14,IF(A15&lt;'Données projet'!$A$114,$BV$205^A15,IF(A15='Données projet'!$A$114,'Données projet'!$B$114,BY14+BX15-CG14)))</f>
        <v>23.497372884242115</v>
      </c>
      <c r="BZ15" s="14">
        <f>BY15*VLOOKUP('Données projet'!$B$12,Paramètres!$A$1:$I$89,3,0)*VLOOKUP('Données projet'!$B$12,Paramètres!$A$1:$I$89,5,0)</f>
        <v>13.135031442291343</v>
      </c>
      <c r="CA15" s="14">
        <f t="shared" si="39"/>
        <v>4.4853651006518103</v>
      </c>
      <c r="CB15" s="22">
        <f t="shared" si="10"/>
        <v>30.688857312292658</v>
      </c>
      <c r="CC15" s="62">
        <f t="shared" si="11"/>
        <v>302.02219064562598</v>
      </c>
      <c r="CD15" s="62">
        <f ca="1">AVERAGE(OFFSET($CC$3,0,0,'Données projet'!$E$12+1,1))-AVERAGE(OFFSET($H$3,0,0,'Données projet'!$E$12+1,1))</f>
        <v>323.98185264074681</v>
      </c>
      <c r="CE15" s="62">
        <f t="shared" si="40"/>
        <v>301.22207291854005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>
        <f>EXP(-LN(2)/35)*CK14+(1-EXP(-LN(2)/35))/(LN(2)/35)*CG15*CH15*VLOOKUP('Données projet'!$B$12,Paramètres!$A$1:$I$89,3,0)*0.475*44/12</f>
        <v>0</v>
      </c>
      <c r="CL15" s="23">
        <f>EXP(-LN(2)/25)*CL14+(1-EXP(-LN(2)/25))/(LN(2)/25)*Calculateur!CG15*Calculateur!CI15*VLOOKUP('Données projet'!$B$12,Paramètres!$A$1:$I$89,3,0)*0.475*44/12</f>
        <v>0</v>
      </c>
      <c r="CM15" s="23">
        <f>EXP(-LN(2)/2)*CM14+(1-EXP(-LN(2)/2))/(LN(2)/2)*CG15*CJ15*VLOOKUP('Données projet'!$B$12,Paramètres!$A$1:$I$89,3,0)*0.475*44/12</f>
        <v>0</v>
      </c>
      <c r="CN15" s="24">
        <f t="shared" si="12"/>
        <v>0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1.2</v>
      </c>
      <c r="CT15" s="13">
        <f>IF('Données projet'!$A$140&gt;35,CT14+CS15-DB14,IF(A15&lt;'Données projet'!$A$140,$CQ$205^A15,IF(A15='Données projet'!$A$140,'Données projet'!$B$140,CT14+CS15-DB14)))</f>
        <v>5.1170328173444979</v>
      </c>
      <c r="CU15" s="18">
        <f>CT15*VLOOKUP('Données projet'!$B$13,Paramètres!$A$1:$I$89,3,0)*VLOOKUP('Données projet'!$B$13,Paramètres!$A$1:$I$89,5,0)</f>
        <v>5.827276972391914</v>
      </c>
      <c r="CV15" s="14">
        <f t="shared" si="41"/>
        <v>2.1873461833967758</v>
      </c>
      <c r="CW15" s="22">
        <f t="shared" si="13"/>
        <v>13.958801996331969</v>
      </c>
      <c r="CX15" s="62">
        <f t="shared" si="14"/>
        <v>285.29213532966526</v>
      </c>
      <c r="CY15" s="62">
        <f ca="1">AVERAGE(OFFSET($CX$3,0,0,'Données projet'!$E$13+1,1))-AVERAGE(OFFSET($H$3,0,0,'Données projet'!$E$13+1,1))</f>
        <v>399.78832690250164</v>
      </c>
      <c r="CZ15" s="62">
        <f t="shared" si="42"/>
        <v>174.32967064896343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>
        <f>EXP(-LN(2)/35)*DF14+(1-EXP(-LN(2)/35))/(LN(2)/35)*DB15*DC15*VLOOKUP('Données projet'!$B$13,Paramètres!$A$1:$I$89,3,0)*0.475*44/12</f>
        <v>0</v>
      </c>
      <c r="DG15" s="23">
        <f>EXP(-LN(2)/25)*DG14+(1-EXP(-LN(2)/25))/(LN(2)/25)*Calculateur!DB15*Calculateur!DD15*VLOOKUP('Données projet'!$B$13,Paramètres!$A$1:$I$89,3,0)*0.475*44/12</f>
        <v>0</v>
      </c>
      <c r="DH15" s="23">
        <f>EXP(-LN(2)/2)*DH14+(1-EXP(-LN(2)/2))/(LN(2)/2)*DB15*DE15*VLOOKUP('Données projet'!$B$13,Paramètres!$A$1:$I$89,3,0)*0.475*44/12</f>
        <v>0</v>
      </c>
      <c r="DI15" s="24">
        <f t="shared" si="15"/>
        <v>0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2.1</v>
      </c>
      <c r="DO15" s="13">
        <f>IF('Données projet'!$A$166&gt;35,DO14+DN15-DW14,IF(A15&lt;'Données projet'!$A$166,$DL$205^A15,IF(A15='Données projet'!$A$166,'Données projet'!$B$166,DO14+DN15-DW14)))</f>
        <v>9.4178024044149407</v>
      </c>
      <c r="DP15" s="18">
        <f>DO15*VLOOKUP('Données projet'!$B$14,Paramètres!$A$1:$I$89,3,0)*VLOOKUP('Données projet'!$B$14,Paramètres!$A$1:$I$89,5,0)</f>
        <v>7.9335567454791462</v>
      </c>
      <c r="DQ15" s="14">
        <f t="shared" si="43"/>
        <v>2.8729093976493338</v>
      </c>
      <c r="DR15" s="22">
        <f t="shared" si="16"/>
        <v>18.82126186594877</v>
      </c>
      <c r="DS15" s="62">
        <f t="shared" si="17"/>
        <v>290.15459519928208</v>
      </c>
      <c r="DT15" s="62">
        <f ca="1">AVERAGE(OFFSET($DS$3,0,0,'Données projet'!$E$14+1,1))-AVERAGE(OFFSET($H$3,0,0,'Données projet'!$E$14+1,1))</f>
        <v>402.15128814037058</v>
      </c>
      <c r="DU15" s="62">
        <f t="shared" si="44"/>
        <v>232.85411068442738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>
        <f>EXP(-LN(2)/35)*EA14+(1-EXP(-LN(2)/35))/(LN(2)/35)*DW15*DX15*VLOOKUP('Données projet'!$B$14,Paramètres!$A$1:$I$89,3,0)*0.475*44/12</f>
        <v>0</v>
      </c>
      <c r="EB15" s="23">
        <f>EXP(-LN(2)/25)*EB14+(1-EXP(-LN(2)/25))/(LN(2)/25)*Calculateur!DW15*Calculateur!DY15*VLOOKUP('Données projet'!$B$14,Paramètres!$A$1:$I$89,3,0)*0.475*44/12</f>
        <v>0</v>
      </c>
      <c r="EC15" s="23">
        <f>EXP(-LN(2)/2)*EC14+(1-EXP(-LN(2)/2))/(LN(2)/2)*DW15*DZ15*VLOOKUP('Données projet'!$B$14,Paramètres!$A$1:$I$89,3,0)*0.475*44/12</f>
        <v>0</v>
      </c>
      <c r="ED15" s="24">
        <f t="shared" si="18"/>
        <v>0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2.8205128205128203</v>
      </c>
      <c r="EJ15" s="13">
        <f>IF('Données projet'!$A$192&gt;35,EJ14+EI15-ER14,IF(A15&lt;'Données projet'!$A$192,$EG$205^A15,IF(A15='Données projet'!$A$192,'Données projet'!$B$192,EJ14+EI15-ER14)))</f>
        <v>20.004857851032284</v>
      </c>
      <c r="EK15" s="18">
        <f>EJ15*VLOOKUP('Données projet'!$B$15,Paramètres!$A$1:$I$89,3,0)*VLOOKUP('Données projet'!$B$15,Paramètres!$A$1:$I$89,5,0)</f>
        <v>20.909077425898946</v>
      </c>
      <c r="EL15" s="14">
        <f t="shared" si="45"/>
        <v>6.7639432739208196</v>
      </c>
      <c r="EM15" s="22">
        <f t="shared" si="19"/>
        <v>48.19717771885275</v>
      </c>
      <c r="EN15" s="62">
        <f t="shared" si="20"/>
        <v>319.53051105218606</v>
      </c>
      <c r="EO15" s="62">
        <f ca="1">AVERAGE(OFFSET($EN$3,0,0,'Données projet'!$E$15+1,1))-AVERAGE(OFFSET($H$3,0,0,'Données projet'!$E$15+1,1))</f>
        <v>595.89992279024398</v>
      </c>
      <c r="EP15" s="62">
        <f t="shared" si="46"/>
        <v>378.16197659288338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>
        <f>EXP(-LN(2)/35)*EV14+(1-EXP(-LN(2)/35))/(LN(2)/35)*ER15*ES15*VLOOKUP('Données projet'!$B$15,Paramètres!$A$1:$I$89,3,0)*0.475*44/12</f>
        <v>0</v>
      </c>
      <c r="EW15" s="23">
        <f>EXP(-LN(2)/25)*EW14+(1-EXP(-LN(2)/25))/(LN(2)/25)*Calculateur!ER15*Calculateur!ET15*VLOOKUP('Données projet'!$B$15,Paramètres!$A$1:$I$89,3,0)*0.475*44/12</f>
        <v>0</v>
      </c>
      <c r="EX15" s="23">
        <f>EXP(-LN(2)/2)*EX14+(1-EXP(-LN(2)/2))/(LN(2)/2)*ER15*EU15*VLOOKUP('Données projet'!$B$15,Paramètres!$A$1:$I$89,3,0)*0.475*44/12</f>
        <v>0</v>
      </c>
      <c r="EY15" s="24">
        <f t="shared" si="21"/>
        <v>0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7.4312217194570129</v>
      </c>
      <c r="FE15" s="13">
        <f>IF('Données projet'!$A$218&gt;35,FE14+FD15-FM14,IF(A15&lt;'Données projet'!$A$218,$FB$205^A15,IF(A15='Données projet'!$A$218,'Données projet'!$B$218,FE14+FD15-FM14)))</f>
        <v>30.438147473844893</v>
      </c>
      <c r="FF15" s="18">
        <f>FE15*VLOOKUP('Données projet'!$B$16,Paramètres!$A$1:$I$89,3,0)*VLOOKUP('Données projet'!$B$16,Paramètres!$A$1:$I$89,5,0)</f>
        <v>18.202012189359248</v>
      </c>
      <c r="FG15" s="14">
        <f t="shared" si="47"/>
        <v>5.984027317903192</v>
      </c>
      <c r="FH15" s="22">
        <f t="shared" si="22"/>
        <v>42.124018808482084</v>
      </c>
      <c r="FI15" s="62">
        <f t="shared" si="23"/>
        <v>313.45735214181542</v>
      </c>
      <c r="FJ15" s="62">
        <f ca="1">AVERAGE(OFFSET($FI$3,0,0,'Données projet'!$E$16+1,1))-AVERAGE(OFFSET($H$3,0,0,'Données projet'!$E$16+1,1))</f>
        <v>257.56116197646924</v>
      </c>
      <c r="FK15" s="62">
        <f t="shared" si="48"/>
        <v>269.95556918835888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>
        <f>EXP(-LN(2)/35)*FQ14+(1-EXP(-LN(2)/35))/(LN(2)/35)*FM15*FN15*VLOOKUP('Données projet'!$B$16,Paramètres!$A$1:$I$89,3,0)*0.475*44/12</f>
        <v>0</v>
      </c>
      <c r="FR15" s="23">
        <f>EXP(-LN(2)/25)*FR14+(1-EXP(-LN(2)/25))/(LN(2)/25)*Calculateur!FM15*Calculateur!FO15*VLOOKUP('Données projet'!$B$16,Paramètres!$A$1:$I$89,3,0)*0.475*44/12</f>
        <v>0</v>
      </c>
      <c r="FS15" s="23">
        <f>EXP(-LN(2)/2)*FS14+(1-EXP(-LN(2)/2))/(LN(2)/2)*FM15*FP15*VLOOKUP('Données projet'!$B$16,Paramètres!$A$1:$I$89,3,0)*0.475*44/12</f>
        <v>0</v>
      </c>
      <c r="FT15" s="24">
        <f t="shared" si="24"/>
        <v>0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2.3805128205128203</v>
      </c>
      <c r="FZ15" s="13">
        <f>IF('Données projet'!$A$244&gt;35,FZ14+FY15-GH14,IF(A15&lt;'Données projet'!$A$244,$FW$205^A15,IF(A15='Données projet'!$A$244,'Données projet'!$B$244,FZ14+FY15-GH14)))</f>
        <v>17.466642325908158</v>
      </c>
      <c r="GA15" s="18">
        <f>FZ15*VLOOKUP('Données projet'!$B$17,Paramètres!$A$1:$I$89,3,0)*VLOOKUP('Données projet'!$B$17,Paramètres!$A$1:$I$89,5,0)</f>
        <v>10.44505211089308</v>
      </c>
      <c r="GB15" s="14">
        <f t="shared" si="49"/>
        <v>3.6632071718377808</v>
      </c>
      <c r="GC15" s="22">
        <f t="shared" si="25"/>
        <v>24.571884917422917</v>
      </c>
      <c r="GD15" s="62">
        <f t="shared" si="26"/>
        <v>295.90521825075621</v>
      </c>
      <c r="GE15" s="62">
        <f ca="1">AVERAGE(OFFSET($GD$3,0,0,'Données projet'!$E$17+1,1))-AVERAGE(OFFSET($H$3,0,0,'Données projet'!$E$17+1,1))</f>
        <v>289.12367833861299</v>
      </c>
      <c r="GF15" s="62">
        <f t="shared" si="50"/>
        <v>229.06617320689003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>
        <f>EXP(-LN(2)/35)*GL14+(1-EXP(-LN(2)/35))/(LN(2)/35)*GH15*GI15*VLOOKUP('Données projet'!$B$17,Paramètres!$A$1:$I$89,3,0)*0.475*44/12</f>
        <v>0</v>
      </c>
      <c r="GM15" s="23">
        <f>EXP(-LN(2)/25)*GM14+(1-EXP(-LN(2)/25))/(LN(2)/25)*Calculateur!GH15*Calculateur!GJ15*VLOOKUP('Données projet'!$B$17,Paramètres!$A$1:$I$89,3,0)*0.475*44/12</f>
        <v>0</v>
      </c>
      <c r="GN15" s="23">
        <f>EXP(-LN(2)/2)*GN14+(1-EXP(-LN(2)/2))/(LN(2)/2)*GH15*GK15*VLOOKUP('Données projet'!$B$17,Paramètres!$A$1:$I$89,3,0)*0.475*44/12</f>
        <v>0</v>
      </c>
      <c r="GO15" s="23">
        <f t="shared" si="27"/>
        <v>0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4.9084615384615384</v>
      </c>
      <c r="GU15" s="13">
        <f>IF('Données projet'!$A$270&gt;35,GU14+GT15-HC14,IF(A15&lt;'Données projet'!$A$270,$GR$205^A15,IF(A15='Données projet'!$A$270,'Données projet'!$B$270,GU14+GT15-HC14)))</f>
        <v>7.3659142514897171</v>
      </c>
      <c r="GV15" s="18">
        <f>GU15*VLOOKUP('Données projet'!$B$18,Paramètres!$A$1:$I$89,3,0)*VLOOKUP('Données projet'!$B$18,Paramètres!$A$1:$I$89,5,0)</f>
        <v>3.447247869697188</v>
      </c>
      <c r="GW15" s="14">
        <f t="shared" si="51"/>
        <v>1.3755069097464061</v>
      </c>
      <c r="GX15" s="22">
        <f t="shared" si="28"/>
        <v>8.3996312408642595</v>
      </c>
      <c r="GY15" s="62">
        <f t="shared" si="29"/>
        <v>279.73296457419758</v>
      </c>
      <c r="GZ15" s="62">
        <f ca="1">AVERAGE(OFFSET($GY$3,0,0,'Données projet'!$E$18+1,1))-AVERAGE(OFFSET($H$3,0,0,'Données projet'!$E$18+1,1))</f>
        <v>284.88646502866419</v>
      </c>
      <c r="HA15" s="62">
        <f t="shared" si="52"/>
        <v>190.4880882944471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>
        <f>EXP(-LN(2)/35)*HG14+(1-EXP(-LN(2)/35))/(LN(2)/35)*HC15*HD15*VLOOKUP('Données projet'!$B$18,Paramètres!$A$1:$I$89,3,0)*0.475*44/12</f>
        <v>0</v>
      </c>
      <c r="HH15" s="23">
        <f>EXP(-LN(2)/25)*HH14+(1-EXP(-LN(2)/25))/(LN(2)/25)*Calculateur!HC15*Calculateur!HE15*VLOOKUP('Données projet'!$B$18,Paramètres!$A$1:$I$89,3,0)*0.475*44/12</f>
        <v>0</v>
      </c>
      <c r="HI15" s="23">
        <f>EXP(-LN(2)/2)*HI14+(1-EXP(-LN(2)/2))/(LN(2)/2)*HC15*HF15*VLOOKUP('Données projet'!$B$18,Paramètres!$A$1:$I$89,3,0)*0.475*44/12</f>
        <v>0</v>
      </c>
      <c r="HJ15" s="24">
        <f t="shared" si="30"/>
        <v>0</v>
      </c>
    </row>
    <row r="16" spans="1:218" s="5" customFormat="1" x14ac:dyDescent="0.25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2">
        <f t="shared" si="32"/>
        <v>0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0</v>
      </c>
      <c r="H16" s="70">
        <f t="shared" si="1"/>
        <v>256.66666666666669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2.4358974358974361</v>
      </c>
      <c r="N16" s="14">
        <f>IF('Données projet'!$A$36&gt;35,N15+M16-V15,IF(A16&lt;'Données projet'!$A$36,$K$205^A16,IF(A16='Données projet'!$A$36,'Données projet'!$B$36,N15+M16-V15)))</f>
        <v>22.614321200613873</v>
      </c>
      <c r="O16" s="14">
        <f>N16*VLOOKUP('Données projet'!$B$9,Paramètres!$A$1:$I$89,3,0)*VLOOKUP('Données projet'!$B$9,Paramètres!$A$1:$I$89,5,0)</f>
        <v>21.519788054504161</v>
      </c>
      <c r="P16" s="14">
        <f t="shared" si="33"/>
        <v>6.9382143454892127</v>
      </c>
      <c r="Q16" s="22">
        <f t="shared" si="2"/>
        <v>49.564354179988463</v>
      </c>
      <c r="R16" s="62">
        <f t="shared" si="0"/>
        <v>322.11990973554401</v>
      </c>
      <c r="S16" s="62">
        <f ca="1">AVERAGE(OFFSET($R$3,0,0,'Données projet'!$E$9+1,1))-AVERAGE(OFFSET($H$3,0,0,'Données projet'!$E$9+1,1))</f>
        <v>367.11183928586667</v>
      </c>
      <c r="T16" s="62">
        <f t="shared" si="34"/>
        <v>281.52963027844595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2.1</v>
      </c>
      <c r="AI16" s="14">
        <f>IF('Données projet'!$A$62&gt;35,AI15+AH16-AQ15,IF(A16&lt;'Données projet'!$A$62,$AF$205^A16,IF(A16='Données projet'!$A$62,'Données projet'!$B$62,AI15+AH16-AQ15)))</f>
        <v>11.35303662145153</v>
      </c>
      <c r="AJ16" s="14">
        <f>AI16*VLOOKUP('Données projet'!$B$10,Paramètres!$A$1:$I$89,3,0)*VLOOKUP('Données projet'!$B$10,Paramètres!$A$1:$I$89,5,0)</f>
        <v>10.272227535089344</v>
      </c>
      <c r="AK16" s="14">
        <f t="shared" si="35"/>
        <v>3.6095987912522753</v>
      </c>
      <c r="AL16" s="22">
        <f t="shared" si="4"/>
        <v>24.177514185044988</v>
      </c>
      <c r="AM16" s="62">
        <f t="shared" si="5"/>
        <v>296.73306974060051</v>
      </c>
      <c r="AN16" s="62">
        <f ca="1">AVERAGE(OFFSET($AM$3,0,0,'Données projet'!$E$10+1,1))-AVERAGE(OFFSET($H$3,0,0,'Données projet'!$E$10+1,1))</f>
        <v>428.8489304403459</v>
      </c>
      <c r="AO16" s="62">
        <f t="shared" si="36"/>
        <v>247.01165577562966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0</v>
      </c>
      <c r="AX16" s="23">
        <f t="shared" si="6"/>
        <v>0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2.1</v>
      </c>
      <c r="BD16" s="13">
        <f>IF('Données projet'!$A$88&gt;35,BD15+BC16-BL15,IF(A16&lt;'Données projet'!$A$88,$BA$205^A16,IF(A16='Données projet'!$A$88,'Données projet'!$B$88,BD15+BC16-BL15)))</f>
        <v>11.35303662145153</v>
      </c>
      <c r="BE16" s="14">
        <f>BD16*VLOOKUP('Données projet'!$B$11,Paramètres!$A$1:$I$89,3,0)*VLOOKUP('Données projet'!$B$11,Paramètres!$A$1:$I$89,5,0)</f>
        <v>11.511979134151852</v>
      </c>
      <c r="BF16" s="14">
        <f t="shared" si="37"/>
        <v>3.9919417855793822</v>
      </c>
      <c r="BG16" s="22">
        <f t="shared" si="7"/>
        <v>27.002662268531896</v>
      </c>
      <c r="BH16" s="62">
        <f t="shared" si="8"/>
        <v>299.55821782408742</v>
      </c>
      <c r="BI16" s="62">
        <f ca="1">AVERAGE(OFFSET($BH$3,0,0,'Données projet'!$E$11+1,1))-AVERAGE(OFFSET($H$3,0,0,'Données projet'!$E$11+1,1))</f>
        <v>475.47920969424894</v>
      </c>
      <c r="BJ16" s="62">
        <f t="shared" si="38"/>
        <v>271.73544012419364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>
        <f>EXP(-LN(2)/35)*BP15+(1-EXP(-LN(2)/35))/(LN(2)/35)*BL16*BM16*VLOOKUP('Données projet'!$B$11,Paramètres!$A$1:$I$89,3,0)*0.475*44/12</f>
        <v>0</v>
      </c>
      <c r="BQ16" s="23">
        <f>EXP(-LN(2)/25)*BQ15+(1-EXP(-LN(2)/25))/(LN(2)/25)*Calculateur!BL16*Calculateur!BN16*VLOOKUP('Données projet'!$B$11,Paramètres!$A$1:$I$89,3,0)*0.475*44/12</f>
        <v>0</v>
      </c>
      <c r="BR16" s="23">
        <f>EXP(-LN(2)/2)*BR15+(1-EXP(-LN(2)/2))/(LN(2)/2)*BL16*BO16*VLOOKUP('Données projet'!$B$11,Paramètres!$A$1:$I$89,3,0)*0.475*44/12</f>
        <v>0</v>
      </c>
      <c r="BS16" s="24">
        <f t="shared" si="9"/>
        <v>0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7.7987854251012134</v>
      </c>
      <c r="BY16" s="13">
        <f>IF('Données projet'!$A$114&gt;35,BY15+BX16-CG15,IF(A16&lt;'Données projet'!$A$114,$BV$205^A16,IF(A16='Données projet'!$A$114,'Données projet'!$B$114,BY15+BX16-CG15)))</f>
        <v>30.56827402780376</v>
      </c>
      <c r="BZ16" s="14">
        <f>BY16*VLOOKUP('Données projet'!$B$12,Paramètres!$A$1:$I$89,3,0)*VLOOKUP('Données projet'!$B$12,Paramètres!$A$1:$I$89,5,0)</f>
        <v>17.087665181542302</v>
      </c>
      <c r="CA16" s="14">
        <f t="shared" si="39"/>
        <v>5.6591410869627277</v>
      </c>
      <c r="CB16" s="22">
        <f t="shared" si="10"/>
        <v>39.617354250979595</v>
      </c>
      <c r="CC16" s="62">
        <f t="shared" si="11"/>
        <v>312.17290980653513</v>
      </c>
      <c r="CD16" s="62">
        <f ca="1">AVERAGE(OFFSET($CC$3,0,0,'Données projet'!$E$12+1,1))-AVERAGE(OFFSET($H$3,0,0,'Données projet'!$E$12+1,1))</f>
        <v>323.98185264074681</v>
      </c>
      <c r="CE16" s="62">
        <f t="shared" si="40"/>
        <v>301.22207291854005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>
        <f>EXP(-LN(2)/35)*CK15+(1-EXP(-LN(2)/35))/(LN(2)/35)*CG16*CH16*VLOOKUP('Données projet'!$B$12,Paramètres!$A$1:$I$89,3,0)*0.475*44/12</f>
        <v>0</v>
      </c>
      <c r="CL16" s="23">
        <f>EXP(-LN(2)/25)*CL15+(1-EXP(-LN(2)/25))/(LN(2)/25)*Calculateur!CG16*Calculateur!CI16*VLOOKUP('Données projet'!$B$12,Paramètres!$A$1:$I$89,3,0)*0.475*44/12</f>
        <v>0</v>
      </c>
      <c r="CM16" s="23">
        <f>EXP(-LN(2)/2)*CM15+(1-EXP(-LN(2)/2))/(LN(2)/2)*CG16*CJ16*VLOOKUP('Données projet'!$B$12,Paramètres!$A$1:$I$89,3,0)*0.475*44/12</f>
        <v>0</v>
      </c>
      <c r="CN16" s="24">
        <f t="shared" si="12"/>
        <v>0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1.2</v>
      </c>
      <c r="CT16" s="13">
        <f>IF('Données projet'!$A$140&gt;35,CT15+CS16-DB15,IF(A16&lt;'Données projet'!$A$140,$CQ$205^A16,IF(A16='Données projet'!$A$140,'Données projet'!$B$140,CT15+CS16-DB15)))</f>
        <v>5.8627726400958746</v>
      </c>
      <c r="CU16" s="18">
        <f>CT16*VLOOKUP('Données projet'!$B$13,Paramètres!$A$1:$I$89,3,0)*VLOOKUP('Données projet'!$B$13,Paramètres!$A$1:$I$89,5,0)</f>
        <v>6.6765254825411819</v>
      </c>
      <c r="CV16" s="14">
        <f t="shared" si="41"/>
        <v>2.4667486337124225</v>
      </c>
      <c r="CW16" s="22">
        <f t="shared" si="13"/>
        <v>15.924535752475025</v>
      </c>
      <c r="CX16" s="62">
        <f t="shared" si="14"/>
        <v>288.48009130803058</v>
      </c>
      <c r="CY16" s="62">
        <f ca="1">AVERAGE(OFFSET($CX$3,0,0,'Données projet'!$E$13+1,1))-AVERAGE(OFFSET($H$3,0,0,'Données projet'!$E$13+1,1))</f>
        <v>399.78832690250164</v>
      </c>
      <c r="CZ16" s="62">
        <f t="shared" si="42"/>
        <v>174.32967064896343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>
        <f>EXP(-LN(2)/35)*DF15+(1-EXP(-LN(2)/35))/(LN(2)/35)*DB16*DC16*VLOOKUP('Données projet'!$B$13,Paramètres!$A$1:$I$89,3,0)*0.475*44/12</f>
        <v>0</v>
      </c>
      <c r="DG16" s="23">
        <f>EXP(-LN(2)/25)*DG15+(1-EXP(-LN(2)/25))/(LN(2)/25)*Calculateur!DB16*Calculateur!DD16*VLOOKUP('Données projet'!$B$13,Paramètres!$A$1:$I$89,3,0)*0.475*44/12</f>
        <v>0</v>
      </c>
      <c r="DH16" s="23">
        <f>EXP(-LN(2)/2)*DH15+(1-EXP(-LN(2)/2))/(LN(2)/2)*DB16*DE16*VLOOKUP('Données projet'!$B$13,Paramètres!$A$1:$I$89,3,0)*0.475*44/12</f>
        <v>0</v>
      </c>
      <c r="DI16" s="24">
        <f t="shared" si="15"/>
        <v>0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2.1</v>
      </c>
      <c r="DO16" s="13">
        <f>IF('Données projet'!$A$166&gt;35,DO15+DN16-DW15,IF(A16&lt;'Données projet'!$A$166,$DL$205^A16,IF(A16='Données projet'!$A$166,'Données projet'!$B$166,DO15+DN16-DW15)))</f>
        <v>11.35303662145153</v>
      </c>
      <c r="DP16" s="18">
        <f>DO16*VLOOKUP('Données projet'!$B$14,Paramètres!$A$1:$I$89,3,0)*VLOOKUP('Données projet'!$B$14,Paramètres!$A$1:$I$89,5,0)</f>
        <v>9.5637980499107691</v>
      </c>
      <c r="DQ16" s="14">
        <f t="shared" si="43"/>
        <v>3.3887309065006521</v>
      </c>
      <c r="DR16" s="22">
        <f t="shared" si="16"/>
        <v>22.558987932416557</v>
      </c>
      <c r="DS16" s="62">
        <f t="shared" si="17"/>
        <v>295.11454348797213</v>
      </c>
      <c r="DT16" s="62">
        <f ca="1">AVERAGE(OFFSET($DS$3,0,0,'Données projet'!$E$14+1,1))-AVERAGE(OFFSET($H$3,0,0,'Données projet'!$E$14+1,1))</f>
        <v>402.15128814037058</v>
      </c>
      <c r="DU16" s="62">
        <f t="shared" si="44"/>
        <v>232.85411068442738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>
        <f>EXP(-LN(2)/35)*EA15+(1-EXP(-LN(2)/35))/(LN(2)/35)*DW16*DX16*VLOOKUP('Données projet'!$B$14,Paramètres!$A$1:$I$89,3,0)*0.475*44/12</f>
        <v>0</v>
      </c>
      <c r="EB16" s="23">
        <f>EXP(-LN(2)/25)*EB15+(1-EXP(-LN(2)/25))/(LN(2)/25)*Calculateur!DW16*Calculateur!DY16*VLOOKUP('Données projet'!$B$14,Paramètres!$A$1:$I$89,3,0)*0.475*44/12</f>
        <v>0</v>
      </c>
      <c r="EC16" s="23">
        <f>EXP(-LN(2)/2)*EC15+(1-EXP(-LN(2)/2))/(LN(2)/2)*DW16*DZ16*VLOOKUP('Données projet'!$B$14,Paramètres!$A$1:$I$89,3,0)*0.475*44/12</f>
        <v>0</v>
      </c>
      <c r="ED16" s="24">
        <f t="shared" si="18"/>
        <v>0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2.8205128205128203</v>
      </c>
      <c r="EJ16" s="13">
        <f>IF('Données projet'!$A$192&gt;35,EJ15+EI16-ER15,IF(A16&lt;'Données projet'!$A$192,$EG$205^A16,IF(A16='Données projet'!$A$192,'Données projet'!$B$192,EJ15+EI16-ER15)))</f>
        <v>25.678131912352789</v>
      </c>
      <c r="EK16" s="18">
        <f>EJ16*VLOOKUP('Données projet'!$B$15,Paramètres!$A$1:$I$89,3,0)*VLOOKUP('Données projet'!$B$15,Paramètres!$A$1:$I$89,5,0)</f>
        <v>26.838783474791136</v>
      </c>
      <c r="EL16" s="14">
        <f t="shared" si="45"/>
        <v>8.4334815366289995</v>
      </c>
      <c r="EM16" s="22">
        <f t="shared" si="19"/>
        <v>61.432528228223397</v>
      </c>
      <c r="EN16" s="62">
        <f t="shared" si="20"/>
        <v>333.98808378377896</v>
      </c>
      <c r="EO16" s="62">
        <f ca="1">AVERAGE(OFFSET($EN$3,0,0,'Données projet'!$E$15+1,1))-AVERAGE(OFFSET($H$3,0,0,'Données projet'!$E$15+1,1))</f>
        <v>595.89992279024398</v>
      </c>
      <c r="EP16" s="62">
        <f t="shared" si="46"/>
        <v>378.16197659288338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>
        <f>EXP(-LN(2)/35)*EV15+(1-EXP(-LN(2)/35))/(LN(2)/35)*ER16*ES16*VLOOKUP('Données projet'!$B$15,Paramètres!$A$1:$I$89,3,0)*0.475*44/12</f>
        <v>0</v>
      </c>
      <c r="EW16" s="23">
        <f>EXP(-LN(2)/25)*EW15+(1-EXP(-LN(2)/25))/(LN(2)/25)*Calculateur!ER16*Calculateur!ET16*VLOOKUP('Données projet'!$B$15,Paramètres!$A$1:$I$89,3,0)*0.475*44/12</f>
        <v>0</v>
      </c>
      <c r="EX16" s="23">
        <f>EXP(-LN(2)/2)*EX15+(1-EXP(-LN(2)/2))/(LN(2)/2)*ER16*EU16*VLOOKUP('Données projet'!$B$15,Paramètres!$A$1:$I$89,3,0)*0.475*44/12</f>
        <v>0</v>
      </c>
      <c r="EY16" s="24">
        <f t="shared" si="21"/>
        <v>0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7.4312217194570129</v>
      </c>
      <c r="FE16" s="13">
        <f>IF('Données projet'!$A$218&gt;35,FE15+FD16-FM15,IF(A16&lt;'Données projet'!$A$218,$FB$205^A16,IF(A16='Données projet'!$A$218,'Données projet'!$B$218,FE15+FD16-FM15)))</f>
        <v>40.460980378841768</v>
      </c>
      <c r="FF16" s="18">
        <f>FE16*VLOOKUP('Données projet'!$B$16,Paramètres!$A$1:$I$89,3,0)*VLOOKUP('Données projet'!$B$16,Paramètres!$A$1:$I$89,5,0)</f>
        <v>24.195666266547377</v>
      </c>
      <c r="FG16" s="14">
        <f t="shared" si="47"/>
        <v>7.6952475537219458</v>
      </c>
      <c r="FH16" s="22">
        <f t="shared" si="22"/>
        <v>55.543341570302402</v>
      </c>
      <c r="FI16" s="62">
        <f t="shared" si="23"/>
        <v>328.09889712585795</v>
      </c>
      <c r="FJ16" s="62">
        <f ca="1">AVERAGE(OFFSET($FI$3,0,0,'Données projet'!$E$16+1,1))-AVERAGE(OFFSET($H$3,0,0,'Données projet'!$E$16+1,1))</f>
        <v>257.56116197646924</v>
      </c>
      <c r="FK16" s="62">
        <f t="shared" si="48"/>
        <v>269.95556918835888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>
        <f>EXP(-LN(2)/35)*FQ15+(1-EXP(-LN(2)/35))/(LN(2)/35)*FM16*FN16*VLOOKUP('Données projet'!$B$16,Paramètres!$A$1:$I$89,3,0)*0.475*44/12</f>
        <v>0</v>
      </c>
      <c r="FR16" s="23">
        <f>EXP(-LN(2)/25)*FR15+(1-EXP(-LN(2)/25))/(LN(2)/25)*Calculateur!FM16*Calculateur!FO16*VLOOKUP('Données projet'!$B$16,Paramètres!$A$1:$I$89,3,0)*0.475*44/12</f>
        <v>0</v>
      </c>
      <c r="FS16" s="23">
        <f>EXP(-LN(2)/2)*FS15+(1-EXP(-LN(2)/2))/(LN(2)/2)*FM16*FP16*VLOOKUP('Données projet'!$B$16,Paramètres!$A$1:$I$89,3,0)*0.475*44/12</f>
        <v>0</v>
      </c>
      <c r="FT16" s="24">
        <f t="shared" si="24"/>
        <v>0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2.3805128205128203</v>
      </c>
      <c r="FZ16" s="13">
        <f>IF('Données projet'!$A$244&gt;35,FZ15+FY16-GH15,IF(A16&lt;'Données projet'!$A$244,$FW$205^A16,IF(A16='Données projet'!$A$244,'Données projet'!$B$244,FZ15+FY16-GH15)))</f>
        <v>22.168018709081991</v>
      </c>
      <c r="GA16" s="18">
        <f>FZ16*VLOOKUP('Données projet'!$B$17,Paramètres!$A$1:$I$89,3,0)*VLOOKUP('Données projet'!$B$17,Paramètres!$A$1:$I$89,5,0)</f>
        <v>13.256475188031033</v>
      </c>
      <c r="GB16" s="14">
        <f t="shared" si="49"/>
        <v>4.5219890003242735</v>
      </c>
      <c r="GC16" s="22">
        <f t="shared" si="25"/>
        <v>30.964158461385495</v>
      </c>
      <c r="GD16" s="62">
        <f t="shared" si="26"/>
        <v>303.51971401694107</v>
      </c>
      <c r="GE16" s="62">
        <f ca="1">AVERAGE(OFFSET($GD$3,0,0,'Données projet'!$E$17+1,1))-AVERAGE(OFFSET($H$3,0,0,'Données projet'!$E$17+1,1))</f>
        <v>289.12367833861299</v>
      </c>
      <c r="GF16" s="62">
        <f t="shared" si="50"/>
        <v>229.06617320689003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>
        <f>EXP(-LN(2)/35)*GL15+(1-EXP(-LN(2)/35))/(LN(2)/35)*GH16*GI16*VLOOKUP('Données projet'!$B$17,Paramètres!$A$1:$I$89,3,0)*0.475*44/12</f>
        <v>0</v>
      </c>
      <c r="GM16" s="23">
        <f>EXP(-LN(2)/25)*GM15+(1-EXP(-LN(2)/25))/(LN(2)/25)*Calculateur!GH16*Calculateur!GJ16*VLOOKUP('Données projet'!$B$17,Paramètres!$A$1:$I$89,3,0)*0.475*44/12</f>
        <v>0</v>
      </c>
      <c r="GN16" s="23">
        <f>EXP(-LN(2)/2)*GN15+(1-EXP(-LN(2)/2))/(LN(2)/2)*GH16*GK16*VLOOKUP('Données projet'!$B$17,Paramètres!$A$1:$I$89,3,0)*0.475*44/12</f>
        <v>0</v>
      </c>
      <c r="GO16" s="23">
        <f t="shared" si="27"/>
        <v>0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4.9084615384615384</v>
      </c>
      <c r="GU16" s="13">
        <f>IF('Données projet'!$A$270&gt;35,GU15+GT16-HC15,IF(A16&lt;'Données projet'!$A$270,$GR$205^A16,IF(A16='Données projet'!$A$270,'Données projet'!$B$270,GU15+GT16-HC15)))</f>
        <v>8.6995251313584792</v>
      </c>
      <c r="GV16" s="18">
        <f>GU16*VLOOKUP('Données projet'!$B$18,Paramètres!$A$1:$I$89,3,0)*VLOOKUP('Données projet'!$B$18,Paramètres!$A$1:$I$89,5,0)</f>
        <v>4.0713777614757687</v>
      </c>
      <c r="GW16" s="14">
        <f t="shared" si="51"/>
        <v>1.5933807498842545</v>
      </c>
      <c r="GX16" s="22">
        <f t="shared" si="28"/>
        <v>9.8661210739520406</v>
      </c>
      <c r="GY16" s="62">
        <f t="shared" si="29"/>
        <v>282.4216766295076</v>
      </c>
      <c r="GZ16" s="62">
        <f ca="1">AVERAGE(OFFSET($GY$3,0,0,'Données projet'!$E$18+1,1))-AVERAGE(OFFSET($H$3,0,0,'Données projet'!$E$18+1,1))</f>
        <v>284.88646502866419</v>
      </c>
      <c r="HA16" s="62">
        <f t="shared" si="52"/>
        <v>190.4880882944471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>
        <f>EXP(-LN(2)/35)*HG15+(1-EXP(-LN(2)/35))/(LN(2)/35)*HC16*HD16*VLOOKUP('Données projet'!$B$18,Paramètres!$A$1:$I$89,3,0)*0.475*44/12</f>
        <v>0</v>
      </c>
      <c r="HH16" s="23">
        <f>EXP(-LN(2)/25)*HH15+(1-EXP(-LN(2)/25))/(LN(2)/25)*Calculateur!HC16*Calculateur!HE16*VLOOKUP('Données projet'!$B$18,Paramètres!$A$1:$I$89,3,0)*0.475*44/12</f>
        <v>0</v>
      </c>
      <c r="HI16" s="23">
        <f>EXP(-LN(2)/2)*HI15+(1-EXP(-LN(2)/2))/(LN(2)/2)*HC16*HF16*VLOOKUP('Données projet'!$B$18,Paramètres!$A$1:$I$89,3,0)*0.475*44/12</f>
        <v>0</v>
      </c>
      <c r="HJ16" s="24">
        <f t="shared" si="30"/>
        <v>0</v>
      </c>
    </row>
    <row r="17" spans="1:218" s="5" customFormat="1" x14ac:dyDescent="0.25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2">
        <f t="shared" si="32"/>
        <v>0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0</v>
      </c>
      <c r="H17" s="70">
        <f t="shared" si="1"/>
        <v>256.66666666666669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2.4358974358974361</v>
      </c>
      <c r="N17" s="14">
        <f>IF('Données projet'!$A$36&gt;35,N16+M17-V16,IF(A17&lt;'Données projet'!$A$36,$K$205^A17,IF(A17='Données projet'!$A$36,'Données projet'!$B$36,N16+M17-V16)))</f>
        <v>28.745304058350921</v>
      </c>
      <c r="O17" s="14">
        <f>N17*VLOOKUP('Données projet'!$B$9,Paramètres!$A$1:$I$89,3,0)*VLOOKUP('Données projet'!$B$9,Paramètres!$A$1:$I$89,5,0)</f>
        <v>27.354031341926738</v>
      </c>
      <c r="P17" s="14">
        <f t="shared" si="33"/>
        <v>8.5763820870506962</v>
      </c>
      <c r="Q17" s="22">
        <f t="shared" si="2"/>
        <v>62.578803388802356</v>
      </c>
      <c r="R17" s="62">
        <f t="shared" si="0"/>
        <v>336.3565811665801</v>
      </c>
      <c r="S17" s="62">
        <f ca="1">AVERAGE(OFFSET($R$3,0,0,'Données projet'!$E$9+1,1))-AVERAGE(OFFSET($H$3,0,0,'Données projet'!$E$9+1,1))</f>
        <v>367.11183928586667</v>
      </c>
      <c r="T17" s="62">
        <f t="shared" si="34"/>
        <v>281.52963027844595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2.1</v>
      </c>
      <c r="AI17" s="14">
        <f>IF('Données projet'!$A$62&gt;35,AI16+AH17-AQ16,IF(A17&lt;'Données projet'!$A$62,$AF$205^A17,IF(A17='Données projet'!$A$62,'Données projet'!$B$62,AI16+AH17-AQ16)))</f>
        <v>13.685935953338433</v>
      </c>
      <c r="AJ17" s="14">
        <f>AI17*VLOOKUP('Données projet'!$B$10,Paramètres!$A$1:$I$89,3,0)*VLOOKUP('Données projet'!$B$10,Paramètres!$A$1:$I$89,5,0)</f>
        <v>12.383034850580612</v>
      </c>
      <c r="AK17" s="14">
        <f t="shared" si="35"/>
        <v>4.2576904771143838</v>
      </c>
      <c r="AL17" s="22">
        <f t="shared" si="4"/>
        <v>28.982596612402116</v>
      </c>
      <c r="AM17" s="62">
        <f t="shared" si="5"/>
        <v>302.76037439017989</v>
      </c>
      <c r="AN17" s="62">
        <f ca="1">AVERAGE(OFFSET($AM$3,0,0,'Données projet'!$E$10+1,1))-AVERAGE(OFFSET($H$3,0,0,'Données projet'!$E$10+1,1))</f>
        <v>428.8489304403459</v>
      </c>
      <c r="AO17" s="62">
        <f t="shared" si="36"/>
        <v>247.01165577562966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0</v>
      </c>
      <c r="AX17" s="23">
        <f t="shared" si="6"/>
        <v>0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2.1</v>
      </c>
      <c r="BD17" s="13">
        <f>IF('Données projet'!$A$88&gt;35,BD16+BC17-BL16,IF(A17&lt;'Données projet'!$A$88,$BA$205^A17,IF(A17='Données projet'!$A$88,'Données projet'!$B$88,BD16+BC17-BL16)))</f>
        <v>13.685935953338433</v>
      </c>
      <c r="BE17" s="14">
        <f>BD17*VLOOKUP('Données projet'!$B$11,Paramètres!$A$1:$I$89,3,0)*VLOOKUP('Données projet'!$B$11,Paramètres!$A$1:$I$89,5,0)</f>
        <v>13.877539056685173</v>
      </c>
      <c r="BF17" s="14">
        <f t="shared" si="37"/>
        <v>4.7086819085950955</v>
      </c>
      <c r="BG17" s="22">
        <f t="shared" si="7"/>
        <v>32.371001514529802</v>
      </c>
      <c r="BH17" s="62">
        <f t="shared" si="8"/>
        <v>306.14877929230755</v>
      </c>
      <c r="BI17" s="62">
        <f ca="1">AVERAGE(OFFSET($BH$3,0,0,'Données projet'!$E$11+1,1))-AVERAGE(OFFSET($H$3,0,0,'Données projet'!$E$11+1,1))</f>
        <v>475.47920969424894</v>
      </c>
      <c r="BJ17" s="62">
        <f t="shared" si="38"/>
        <v>271.73544012419364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>
        <f>EXP(-LN(2)/35)*BP16+(1-EXP(-LN(2)/35))/(LN(2)/35)*BL17*BM17*VLOOKUP('Données projet'!$B$11,Paramètres!$A$1:$I$89,3,0)*0.475*44/12</f>
        <v>0</v>
      </c>
      <c r="BQ17" s="23">
        <f>EXP(-LN(2)/25)*BQ16+(1-EXP(-LN(2)/25))/(LN(2)/25)*Calculateur!BL17*Calculateur!BN17*VLOOKUP('Données projet'!$B$11,Paramètres!$A$1:$I$89,3,0)*0.475*44/12</f>
        <v>0</v>
      </c>
      <c r="BR17" s="23">
        <f>EXP(-LN(2)/2)*BR16+(1-EXP(-LN(2)/2))/(LN(2)/2)*BL17*BO17*VLOOKUP('Données projet'!$B$11,Paramètres!$A$1:$I$89,3,0)*0.475*44/12</f>
        <v>0</v>
      </c>
      <c r="BS17" s="24">
        <f t="shared" si="9"/>
        <v>0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7.7987854251012134</v>
      </c>
      <c r="BY17" s="13">
        <f>IF('Données projet'!$A$114&gt;35,BY16+BX17-CG16,IF(A17&lt;'Données projet'!$A$114,$BV$205^A17,IF(A17='Données projet'!$A$114,'Données projet'!$B$114,BY16+BX17-CG16)))</f>
        <v>39.766972318234998</v>
      </c>
      <c r="BZ17" s="14">
        <f>BY17*VLOOKUP('Données projet'!$B$12,Paramètres!$A$1:$I$89,3,0)*VLOOKUP('Données projet'!$B$12,Paramètres!$A$1:$I$89,5,0)</f>
        <v>22.229737525893363</v>
      </c>
      <c r="CA17" s="14">
        <f t="shared" si="39"/>
        <v>7.1400827186834128</v>
      </c>
      <c r="CB17" s="22">
        <f t="shared" si="10"/>
        <v>51.152436925971216</v>
      </c>
      <c r="CC17" s="62">
        <f t="shared" si="11"/>
        <v>324.93021470374902</v>
      </c>
      <c r="CD17" s="62">
        <f ca="1">AVERAGE(OFFSET($CC$3,0,0,'Données projet'!$E$12+1,1))-AVERAGE(OFFSET($H$3,0,0,'Données projet'!$E$12+1,1))</f>
        <v>323.98185264074681</v>
      </c>
      <c r="CE17" s="62">
        <f t="shared" si="40"/>
        <v>301.22207291854005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>
        <f>EXP(-LN(2)/35)*CK16+(1-EXP(-LN(2)/35))/(LN(2)/35)*CG17*CH17*VLOOKUP('Données projet'!$B$12,Paramètres!$A$1:$I$89,3,0)*0.475*44/12</f>
        <v>0</v>
      </c>
      <c r="CL17" s="23">
        <f>EXP(-LN(2)/25)*CL16+(1-EXP(-LN(2)/25))/(LN(2)/25)*Calculateur!CG17*Calculateur!CI17*VLOOKUP('Données projet'!$B$12,Paramètres!$A$1:$I$89,3,0)*0.475*44/12</f>
        <v>0</v>
      </c>
      <c r="CM17" s="23">
        <f>EXP(-LN(2)/2)*CM16+(1-EXP(-LN(2)/2))/(LN(2)/2)*CG17*CJ17*VLOOKUP('Données projet'!$B$12,Paramètres!$A$1:$I$89,3,0)*0.475*44/12</f>
        <v>0</v>
      </c>
      <c r="CN17" s="24">
        <f t="shared" si="12"/>
        <v>0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1.2</v>
      </c>
      <c r="CT17" s="13">
        <f>IF('Données projet'!$A$140&gt;35,CT16+CS17-DB16,IF(A17&lt;'Données projet'!$A$140,$CQ$205^A17,IF(A17='Données projet'!$A$140,'Données projet'!$B$140,CT16+CS17-DB16)))</f>
        <v>6.7171941741218459</v>
      </c>
      <c r="CU17" s="18">
        <f>CT17*VLOOKUP('Données projet'!$B$13,Paramètres!$A$1:$I$89,3,0)*VLOOKUP('Données projet'!$B$13,Paramètres!$A$1:$I$89,5,0)</f>
        <v>7.6495407254899579</v>
      </c>
      <c r="CV17" s="14">
        <f t="shared" si="41"/>
        <v>2.7818407841015893</v>
      </c>
      <c r="CW17" s="22">
        <f t="shared" si="13"/>
        <v>18.16798946253861</v>
      </c>
      <c r="CX17" s="62">
        <f t="shared" si="14"/>
        <v>291.9457672403164</v>
      </c>
      <c r="CY17" s="62">
        <f ca="1">AVERAGE(OFFSET($CX$3,0,0,'Données projet'!$E$13+1,1))-AVERAGE(OFFSET($H$3,0,0,'Données projet'!$E$13+1,1))</f>
        <v>399.78832690250164</v>
      </c>
      <c r="CZ17" s="62">
        <f t="shared" si="42"/>
        <v>174.32967064896343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>
        <f>EXP(-LN(2)/35)*DF16+(1-EXP(-LN(2)/35))/(LN(2)/35)*DB17*DC17*VLOOKUP('Données projet'!$B$13,Paramètres!$A$1:$I$89,3,0)*0.475*44/12</f>
        <v>0</v>
      </c>
      <c r="DG17" s="23">
        <f>EXP(-LN(2)/25)*DG16+(1-EXP(-LN(2)/25))/(LN(2)/25)*Calculateur!DB17*Calculateur!DD17*VLOOKUP('Données projet'!$B$13,Paramètres!$A$1:$I$89,3,0)*0.475*44/12</f>
        <v>0</v>
      </c>
      <c r="DH17" s="23">
        <f>EXP(-LN(2)/2)*DH16+(1-EXP(-LN(2)/2))/(LN(2)/2)*DB17*DE17*VLOOKUP('Données projet'!$B$13,Paramètres!$A$1:$I$89,3,0)*0.475*44/12</f>
        <v>0</v>
      </c>
      <c r="DI17" s="24">
        <f t="shared" si="15"/>
        <v>0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2.1</v>
      </c>
      <c r="DO17" s="13">
        <f>IF('Données projet'!$A$166&gt;35,DO16+DN17-DW16,IF(A17&lt;'Données projet'!$A$166,$DL$205^A17,IF(A17='Données projet'!$A$166,'Données projet'!$B$166,DO16+DN17-DW16)))</f>
        <v>13.685935953338433</v>
      </c>
      <c r="DP17" s="18">
        <f>DO17*VLOOKUP('Données projet'!$B$14,Paramètres!$A$1:$I$89,3,0)*VLOOKUP('Données projet'!$B$14,Paramètres!$A$1:$I$89,5,0)</f>
        <v>11.529032447092296</v>
      </c>
      <c r="DQ17" s="14">
        <f t="shared" si="43"/>
        <v>3.9971664842854926</v>
      </c>
      <c r="DR17" s="22">
        <f t="shared" si="16"/>
        <v>27.041463138816312</v>
      </c>
      <c r="DS17" s="62">
        <f t="shared" si="17"/>
        <v>300.81924091659408</v>
      </c>
      <c r="DT17" s="62">
        <f ca="1">AVERAGE(OFFSET($DS$3,0,0,'Données projet'!$E$14+1,1))-AVERAGE(OFFSET($H$3,0,0,'Données projet'!$E$14+1,1))</f>
        <v>402.15128814037058</v>
      </c>
      <c r="DU17" s="62">
        <f t="shared" si="44"/>
        <v>232.85411068442738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>
        <f>EXP(-LN(2)/35)*EA16+(1-EXP(-LN(2)/35))/(LN(2)/35)*DW17*DX17*VLOOKUP('Données projet'!$B$14,Paramètres!$A$1:$I$89,3,0)*0.475*44/12</f>
        <v>0</v>
      </c>
      <c r="EB17" s="23">
        <f>EXP(-LN(2)/25)*EB16+(1-EXP(-LN(2)/25))/(LN(2)/25)*Calculateur!DW17*Calculateur!DY17*VLOOKUP('Données projet'!$B$14,Paramètres!$A$1:$I$89,3,0)*0.475*44/12</f>
        <v>0</v>
      </c>
      <c r="EC17" s="23">
        <f>EXP(-LN(2)/2)*EC16+(1-EXP(-LN(2)/2))/(LN(2)/2)*DW17*DZ17*VLOOKUP('Données projet'!$B$14,Paramètres!$A$1:$I$89,3,0)*0.475*44/12</f>
        <v>0</v>
      </c>
      <c r="ED17" s="24">
        <f t="shared" si="18"/>
        <v>0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2.8205128205128203</v>
      </c>
      <c r="EJ17" s="13">
        <f>IF('Données projet'!$A$192&gt;35,EJ16+EI17-ER16,IF(A17&lt;'Données projet'!$A$192,$EG$205^A17,IF(A17='Données projet'!$A$192,'Données projet'!$B$192,EJ16+EI17-ER16)))</f>
        <v>32.960317109884706</v>
      </c>
      <c r="EK17" s="18">
        <f>EJ17*VLOOKUP('Données projet'!$B$15,Paramètres!$A$1:$I$89,3,0)*VLOOKUP('Données projet'!$B$15,Paramètres!$A$1:$I$89,5,0)</f>
        <v>34.450123443251499</v>
      </c>
      <c r="EL17" s="14">
        <f t="shared" si="45"/>
        <v>10.515110483390327</v>
      </c>
      <c r="EM17" s="22">
        <f t="shared" si="19"/>
        <v>78.314449088901185</v>
      </c>
      <c r="EN17" s="62">
        <f t="shared" si="20"/>
        <v>352.09222686667897</v>
      </c>
      <c r="EO17" s="62">
        <f ca="1">AVERAGE(OFFSET($EN$3,0,0,'Données projet'!$E$15+1,1))-AVERAGE(OFFSET($H$3,0,0,'Données projet'!$E$15+1,1))</f>
        <v>595.89992279024398</v>
      </c>
      <c r="EP17" s="62">
        <f t="shared" si="46"/>
        <v>378.16197659288338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>
        <f>EXP(-LN(2)/35)*EV16+(1-EXP(-LN(2)/35))/(LN(2)/35)*ER17*ES17*VLOOKUP('Données projet'!$B$15,Paramètres!$A$1:$I$89,3,0)*0.475*44/12</f>
        <v>0</v>
      </c>
      <c r="EW17" s="23">
        <f>EXP(-LN(2)/25)*EW16+(1-EXP(-LN(2)/25))/(LN(2)/25)*Calculateur!ER17*Calculateur!ET17*VLOOKUP('Données projet'!$B$15,Paramètres!$A$1:$I$89,3,0)*0.475*44/12</f>
        <v>0</v>
      </c>
      <c r="EX17" s="23">
        <f>EXP(-LN(2)/2)*EX16+(1-EXP(-LN(2)/2))/(LN(2)/2)*ER17*EU17*VLOOKUP('Données projet'!$B$15,Paramètres!$A$1:$I$89,3,0)*0.475*44/12</f>
        <v>0</v>
      </c>
      <c r="EY17" s="24">
        <f t="shared" si="21"/>
        <v>0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7.4312217194570129</v>
      </c>
      <c r="FE17" s="13">
        <f>IF('Données projet'!$A$218&gt;35,FE16+FD17-FM16,IF(A17&lt;'Données projet'!$A$218,$FB$205^A17,IF(A17='Données projet'!$A$218,'Données projet'!$B$218,FE16+FD17-FM16)))</f>
        <v>53.784184291233551</v>
      </c>
      <c r="FF17" s="18">
        <f>FE17*VLOOKUP('Données projet'!$B$16,Paramètres!$A$1:$I$89,3,0)*VLOOKUP('Données projet'!$B$16,Paramètres!$A$1:$I$89,5,0)</f>
        <v>32.162942206157666</v>
      </c>
      <c r="FG17" s="14">
        <f t="shared" si="47"/>
        <v>9.8958162734145461</v>
      </c>
      <c r="FH17" s="22">
        <f t="shared" si="22"/>
        <v>73.252337685254929</v>
      </c>
      <c r="FI17" s="62">
        <f t="shared" si="23"/>
        <v>347.0301154630327</v>
      </c>
      <c r="FJ17" s="62">
        <f ca="1">AVERAGE(OFFSET($FI$3,0,0,'Données projet'!$E$16+1,1))-AVERAGE(OFFSET($H$3,0,0,'Données projet'!$E$16+1,1))</f>
        <v>257.56116197646924</v>
      </c>
      <c r="FK17" s="62">
        <f t="shared" si="48"/>
        <v>269.95556918835888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>
        <f>EXP(-LN(2)/35)*FQ16+(1-EXP(-LN(2)/35))/(LN(2)/35)*FM17*FN17*VLOOKUP('Données projet'!$B$16,Paramètres!$A$1:$I$89,3,0)*0.475*44/12</f>
        <v>0</v>
      </c>
      <c r="FR17" s="23">
        <f>EXP(-LN(2)/25)*FR16+(1-EXP(-LN(2)/25))/(LN(2)/25)*Calculateur!FM17*Calculateur!FO17*VLOOKUP('Données projet'!$B$16,Paramètres!$A$1:$I$89,3,0)*0.475*44/12</f>
        <v>0</v>
      </c>
      <c r="FS17" s="23">
        <f>EXP(-LN(2)/2)*FS16+(1-EXP(-LN(2)/2))/(LN(2)/2)*FM17*FP17*VLOOKUP('Données projet'!$B$16,Paramètres!$A$1:$I$89,3,0)*0.475*44/12</f>
        <v>0</v>
      </c>
      <c r="FT17" s="24">
        <f t="shared" si="24"/>
        <v>0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2.3805128205128203</v>
      </c>
      <c r="FZ17" s="13">
        <f>IF('Données projet'!$A$244&gt;35,FZ16+FY17-GH16,IF(A17&lt;'Données projet'!$A$244,$FW$205^A17,IF(A17='Données projet'!$A$244,'Données projet'!$B$244,FZ16+FY17-GH16)))</f>
        <v>28.134832345956244</v>
      </c>
      <c r="GA17" s="18">
        <f>FZ17*VLOOKUP('Données projet'!$B$17,Paramètres!$A$1:$I$89,3,0)*VLOOKUP('Données projet'!$B$17,Paramètres!$A$1:$I$89,5,0)</f>
        <v>16.824629742881836</v>
      </c>
      <c r="GB17" s="14">
        <f t="shared" si="49"/>
        <v>5.5820988439469144</v>
      </c>
      <c r="GC17" s="22">
        <f t="shared" si="25"/>
        <v>39.025052288726734</v>
      </c>
      <c r="GD17" s="62">
        <f t="shared" si="26"/>
        <v>312.8028300665045</v>
      </c>
      <c r="GE17" s="62">
        <f ca="1">AVERAGE(OFFSET($GD$3,0,0,'Données projet'!$E$17+1,1))-AVERAGE(OFFSET($H$3,0,0,'Données projet'!$E$17+1,1))</f>
        <v>289.12367833861299</v>
      </c>
      <c r="GF17" s="62">
        <f t="shared" si="50"/>
        <v>229.06617320689003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>
        <f>EXP(-LN(2)/35)*GL16+(1-EXP(-LN(2)/35))/(LN(2)/35)*GH17*GI17*VLOOKUP('Données projet'!$B$17,Paramètres!$A$1:$I$89,3,0)*0.475*44/12</f>
        <v>0</v>
      </c>
      <c r="GM17" s="23">
        <f>EXP(-LN(2)/25)*GM16+(1-EXP(-LN(2)/25))/(LN(2)/25)*Calculateur!GH17*Calculateur!GJ17*VLOOKUP('Données projet'!$B$17,Paramètres!$A$1:$I$89,3,0)*0.475*44/12</f>
        <v>0</v>
      </c>
      <c r="GN17" s="23">
        <f>EXP(-LN(2)/2)*GN16+(1-EXP(-LN(2)/2))/(LN(2)/2)*GH17*GK17*VLOOKUP('Données projet'!$B$17,Paramètres!$A$1:$I$89,3,0)*0.475*44/12</f>
        <v>0</v>
      </c>
      <c r="GO17" s="23">
        <f t="shared" si="27"/>
        <v>0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4.9084615384615384</v>
      </c>
      <c r="GU17" s="13">
        <f>IF('Données projet'!$A$270&gt;35,GU16+GT17-HC16,IF(A17&lt;'Données projet'!$A$270,$GR$205^A17,IF(A17='Données projet'!$A$270,'Données projet'!$B$270,GU16+GT17-HC16)))</f>
        <v>10.27458845259182</v>
      </c>
      <c r="GV17" s="18">
        <f>GU17*VLOOKUP('Données projet'!$B$18,Paramètres!$A$1:$I$89,3,0)*VLOOKUP('Données projet'!$B$18,Paramètres!$A$1:$I$89,5,0)</f>
        <v>4.8085073958129714</v>
      </c>
      <c r="GW17" s="14">
        <f t="shared" si="51"/>
        <v>1.8457647839586531</v>
      </c>
      <c r="GX17" s="22">
        <f t="shared" si="28"/>
        <v>11.589524046435578</v>
      </c>
      <c r="GY17" s="62">
        <f t="shared" si="29"/>
        <v>285.36730182421337</v>
      </c>
      <c r="GZ17" s="62">
        <f ca="1">AVERAGE(OFFSET($GY$3,0,0,'Données projet'!$E$18+1,1))-AVERAGE(OFFSET($H$3,0,0,'Données projet'!$E$18+1,1))</f>
        <v>284.88646502866419</v>
      </c>
      <c r="HA17" s="62">
        <f t="shared" si="52"/>
        <v>190.4880882944471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>
        <f>EXP(-LN(2)/35)*HG16+(1-EXP(-LN(2)/35))/(LN(2)/35)*HC17*HD17*VLOOKUP('Données projet'!$B$18,Paramètres!$A$1:$I$89,3,0)*0.475*44/12</f>
        <v>0</v>
      </c>
      <c r="HH17" s="23">
        <f>EXP(-LN(2)/25)*HH16+(1-EXP(-LN(2)/25))/(LN(2)/25)*Calculateur!HC17*Calculateur!HE17*VLOOKUP('Données projet'!$B$18,Paramètres!$A$1:$I$89,3,0)*0.475*44/12</f>
        <v>0</v>
      </c>
      <c r="HI17" s="23">
        <f>EXP(-LN(2)/2)*HI16+(1-EXP(-LN(2)/2))/(LN(2)/2)*HC17*HF17*VLOOKUP('Données projet'!$B$18,Paramètres!$A$1:$I$89,3,0)*0.475*44/12</f>
        <v>0</v>
      </c>
      <c r="HJ17" s="24">
        <f t="shared" si="30"/>
        <v>0</v>
      </c>
    </row>
    <row r="18" spans="1:218" s="5" customFormat="1" x14ac:dyDescent="0.25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2">
        <f t="shared" si="32"/>
        <v>0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0</v>
      </c>
      <c r="H18" s="70">
        <f t="shared" si="1"/>
        <v>256.66666666666669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">
        <f>VLOOKUP(A18,'Données projet'!$A$35:$I$55,2,0)</f>
        <v>36.53846153846154</v>
      </c>
      <c r="L18" s="13">
        <f>VLOOKUP(A18,'Données projet'!$A$35:$I$55,9,0)</f>
        <v>2.4358974358974361</v>
      </c>
      <c r="M18" s="13">
        <f t="array" ref="M18">INDEX(L:L,MIN(IF(ISNUMBER(L18:L214),ROW(L18:L214),"")))</f>
        <v>2.4358974358974361</v>
      </c>
      <c r="N18" s="14">
        <f>IF('Données projet'!$A$36&gt;35,N17+M18-V17,IF(A18&lt;'Données projet'!$A$36,$K$205^A18,IF(A18='Données projet'!$A$36,'Données projet'!$B$36,N17+M18-V17)))</f>
        <v>36.53846153846154</v>
      </c>
      <c r="O18" s="14">
        <f>N18*VLOOKUP('Données projet'!$B$9,Paramètres!$A$1:$I$89,3,0)*VLOOKUP('Données projet'!$B$9,Paramètres!$A$1:$I$89,5,0)</f>
        <v>34.770000000000003</v>
      </c>
      <c r="P18" s="14">
        <f t="shared" si="33"/>
        <v>10.601334297333203</v>
      </c>
      <c r="Q18" s="22">
        <f t="shared" si="2"/>
        <v>79.021740567855332</v>
      </c>
      <c r="R18" s="62">
        <f t="shared" si="0"/>
        <v>354.02174056785532</v>
      </c>
      <c r="S18" s="62">
        <f ca="1">AVERAGE(OFFSET($R$3,0,0,'Données projet'!$E$9+1,1))-AVERAGE(OFFSET($H$3,0,0,'Données projet'!$E$9+1,1))</f>
        <v>367.11183928586667</v>
      </c>
      <c r="T18" s="62">
        <f t="shared" si="34"/>
        <v>281.52963027844595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2.1</v>
      </c>
      <c r="AI18" s="14">
        <f>IF('Données projet'!$A$62&gt;35,AI17+AH18-AQ17,IF(A18&lt;'Données projet'!$A$62,$AF$205^A18,IF(A18='Données projet'!$A$62,'Données projet'!$B$62,AI17+AH18-AQ17)))</f>
        <v>16.498215337821566</v>
      </c>
      <c r="AJ18" s="14">
        <f>AI18*VLOOKUP('Données projet'!$B$10,Paramètres!$A$1:$I$89,3,0)*VLOOKUP('Données projet'!$B$10,Paramètres!$A$1:$I$89,5,0)</f>
        <v>14.927585237660953</v>
      </c>
      <c r="AK18" s="14">
        <f t="shared" si="35"/>
        <v>5.0221449106318534</v>
      </c>
      <c r="AL18" s="22">
        <f t="shared" si="4"/>
        <v>34.745780008276633</v>
      </c>
      <c r="AM18" s="62">
        <f t="shared" si="5"/>
        <v>309.74578000827665</v>
      </c>
      <c r="AN18" s="62">
        <f ca="1">AVERAGE(OFFSET($AM$3,0,0,'Données projet'!$E$10+1,1))-AVERAGE(OFFSET($H$3,0,0,'Données projet'!$E$10+1,1))</f>
        <v>428.8489304403459</v>
      </c>
      <c r="AO18" s="62">
        <f t="shared" si="36"/>
        <v>247.01165577562966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projet'!$B$10,Paramètres!$A$1:$I$89,3,0)*0.475*44/12</f>
        <v>0</v>
      </c>
      <c r="AV18" s="23">
        <f>EXP(-LN(2)/25)*AV17+(1-EXP(-LN(2)/25))/(LN(2)/25)*Calculateur!AQ18*Calculateur!AS18*VLOOKUP('Données projet'!$B$10,Paramètres!$A$1:$I$89,3,0)*0.475*44/12</f>
        <v>0</v>
      </c>
      <c r="AW18" s="23">
        <f>EXP(-LN(2)/2)*AW17+(1-EXP(-LN(2)/2))/(LN(2)/2)*AQ18*AT18*VLOOKUP('Données projet'!$B$10,Paramètres!$A$1:$I$89,3,0)*0.475*44/12</f>
        <v>0</v>
      </c>
      <c r="AX18" s="23">
        <f t="shared" si="6"/>
        <v>0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2.1</v>
      </c>
      <c r="BD18" s="13">
        <f>IF('Données projet'!$A$88&gt;35,BD17+BC18-BL17,IF(A18&lt;'Données projet'!$A$88,$BA$205^A18,IF(A18='Données projet'!$A$88,'Données projet'!$B$88,BD17+BC18-BL17)))</f>
        <v>16.498215337821566</v>
      </c>
      <c r="BE18" s="14">
        <f>BD18*VLOOKUP('Données projet'!$B$11,Paramètres!$A$1:$I$89,3,0)*VLOOKUP('Données projet'!$B$11,Paramètres!$A$1:$I$89,5,0)</f>
        <v>16.729190352551068</v>
      </c>
      <c r="BF18" s="14">
        <f t="shared" si="37"/>
        <v>5.5541103821765283</v>
      </c>
      <c r="BG18" s="22">
        <f t="shared" si="7"/>
        <v>38.810082112983899</v>
      </c>
      <c r="BH18" s="62">
        <f t="shared" si="8"/>
        <v>313.81008211298388</v>
      </c>
      <c r="BI18" s="62">
        <f ca="1">AVERAGE(OFFSET($BH$3,0,0,'Données projet'!$E$11+1,1))-AVERAGE(OFFSET($H$3,0,0,'Données projet'!$E$11+1,1))</f>
        <v>475.47920969424894</v>
      </c>
      <c r="BJ18" s="62">
        <f t="shared" si="38"/>
        <v>271.73544012419364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>
        <f>EXP(-LN(2)/35)*BP17+(1-EXP(-LN(2)/35))/(LN(2)/35)*BL18*BM18*VLOOKUP('Données projet'!$B$11,Paramètres!$A$1:$I$89,3,0)*0.475*44/12</f>
        <v>0</v>
      </c>
      <c r="BQ18" s="23">
        <f>EXP(-LN(2)/25)*BQ17+(1-EXP(-LN(2)/25))/(LN(2)/25)*Calculateur!BL18*Calculateur!BN18*VLOOKUP('Données projet'!$B$11,Paramètres!$A$1:$I$89,3,0)*0.475*44/12</f>
        <v>0</v>
      </c>
      <c r="BR18" s="23">
        <f>EXP(-LN(2)/2)*BR17+(1-EXP(-LN(2)/2))/(LN(2)/2)*BL18*BO18*VLOOKUP('Données projet'!$B$11,Paramètres!$A$1:$I$89,3,0)*0.475*44/12</f>
        <v>0</v>
      </c>
      <c r="BS18" s="24">
        <f t="shared" si="9"/>
        <v>0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7.7987854251012134</v>
      </c>
      <c r="BY18" s="13">
        <f>IF('Données projet'!$A$114&gt;35,BY17+BX18-CG17,IF(A18&lt;'Données projet'!$A$114,$BV$205^A18,IF(A18='Données projet'!$A$114,'Données projet'!$B$114,BY17+BX18-CG17)))</f>
        <v>51.73377096531113</v>
      </c>
      <c r="BZ18" s="14">
        <f>BY18*VLOOKUP('Données projet'!$B$12,Paramètres!$A$1:$I$89,3,0)*VLOOKUP('Données projet'!$B$12,Paramètres!$A$1:$I$89,5,0)</f>
        <v>28.919177969608924</v>
      </c>
      <c r="CA18" s="14">
        <f t="shared" si="39"/>
        <v>9.0085722278754812</v>
      </c>
      <c r="CB18" s="22">
        <f t="shared" si="10"/>
        <v>66.057498260618672</v>
      </c>
      <c r="CC18" s="62">
        <f t="shared" si="11"/>
        <v>341.05749826061867</v>
      </c>
      <c r="CD18" s="62">
        <f ca="1">AVERAGE(OFFSET($CC$3,0,0,'Données projet'!$E$12+1,1))-AVERAGE(OFFSET($H$3,0,0,'Données projet'!$E$12+1,1))</f>
        <v>323.98185264074681</v>
      </c>
      <c r="CE18" s="62">
        <f t="shared" si="40"/>
        <v>301.22207291854005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>
        <f>EXP(-LN(2)/35)*CK17+(1-EXP(-LN(2)/35))/(LN(2)/35)*CG18*CH18*VLOOKUP('Données projet'!$B$12,Paramètres!$A$1:$I$89,3,0)*0.475*44/12</f>
        <v>0</v>
      </c>
      <c r="CL18" s="23">
        <f>EXP(-LN(2)/25)*CL17+(1-EXP(-LN(2)/25))/(LN(2)/25)*Calculateur!CG18*Calculateur!CI18*VLOOKUP('Données projet'!$B$12,Paramètres!$A$1:$I$89,3,0)*0.475*44/12</f>
        <v>0</v>
      </c>
      <c r="CM18" s="23">
        <f>EXP(-LN(2)/2)*CM17+(1-EXP(-LN(2)/2))/(LN(2)/2)*CG18*CJ18*VLOOKUP('Données projet'!$B$12,Paramètres!$A$1:$I$89,3,0)*0.475*44/12</f>
        <v>0</v>
      </c>
      <c r="CN18" s="24">
        <f t="shared" si="12"/>
        <v>0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1.2</v>
      </c>
      <c r="CT18" s="13">
        <f>IF('Données projet'!$A$140&gt;35,CT17+CS18-DB17,IF(A18&lt;'Données projet'!$A$140,$CQ$205^A18,IF(A18='Données projet'!$A$140,'Données projet'!$B$140,CT17+CS18-DB17)))</f>
        <v>7.6961363407260848</v>
      </c>
      <c r="CU18" s="18">
        <f>CT18*VLOOKUP('Données projet'!$B$13,Paramètres!$A$1:$I$89,3,0)*VLOOKUP('Données projet'!$B$13,Paramètres!$A$1:$I$89,5,0)</f>
        <v>8.7643600648188649</v>
      </c>
      <c r="CV18" s="14">
        <f t="shared" si="41"/>
        <v>3.1371814875374633</v>
      </c>
      <c r="CW18" s="22">
        <f t="shared" si="13"/>
        <v>20.728518203687273</v>
      </c>
      <c r="CX18" s="62">
        <f t="shared" si="14"/>
        <v>295.72851820368726</v>
      </c>
      <c r="CY18" s="62">
        <f ca="1">AVERAGE(OFFSET($CX$3,0,0,'Données projet'!$E$13+1,1))-AVERAGE(OFFSET($H$3,0,0,'Données projet'!$E$13+1,1))</f>
        <v>399.78832690250164</v>
      </c>
      <c r="CZ18" s="62">
        <f t="shared" si="42"/>
        <v>174.32967064896343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>
        <f>EXP(-LN(2)/35)*DF17+(1-EXP(-LN(2)/35))/(LN(2)/35)*DB18*DC18*VLOOKUP('Données projet'!$B$13,Paramètres!$A$1:$I$89,3,0)*0.475*44/12</f>
        <v>0</v>
      </c>
      <c r="DG18" s="23">
        <f>EXP(-LN(2)/25)*DG17+(1-EXP(-LN(2)/25))/(LN(2)/25)*Calculateur!DB18*Calculateur!DD18*VLOOKUP('Données projet'!$B$13,Paramètres!$A$1:$I$89,3,0)*0.475*44/12</f>
        <v>0</v>
      </c>
      <c r="DH18" s="23">
        <f>EXP(-LN(2)/2)*DH17+(1-EXP(-LN(2)/2))/(LN(2)/2)*DB18*DE18*VLOOKUP('Données projet'!$B$13,Paramètres!$A$1:$I$89,3,0)*0.475*44/12</f>
        <v>0</v>
      </c>
      <c r="DI18" s="24">
        <f t="shared" si="15"/>
        <v>0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2.1</v>
      </c>
      <c r="DO18" s="13">
        <f>IF('Données projet'!$A$166&gt;35,DO17+DN18-DW17,IF(A18&lt;'Données projet'!$A$166,$DL$205^A18,IF(A18='Données projet'!$A$166,'Données projet'!$B$166,DO17+DN18-DW17)))</f>
        <v>16.498215337821566</v>
      </c>
      <c r="DP18" s="18">
        <f>DO18*VLOOKUP('Données projet'!$B$14,Paramètres!$A$1:$I$89,3,0)*VLOOKUP('Données projet'!$B$14,Paramètres!$A$1:$I$89,5,0)</f>
        <v>13.898096600580887</v>
      </c>
      <c r="DQ18" s="14">
        <f t="shared" si="43"/>
        <v>4.7148446849071632</v>
      </c>
      <c r="DR18" s="22">
        <f t="shared" si="16"/>
        <v>32.417539405558351</v>
      </c>
      <c r="DS18" s="62">
        <f t="shared" si="17"/>
        <v>307.41753940555833</v>
      </c>
      <c r="DT18" s="62">
        <f ca="1">AVERAGE(OFFSET($DS$3,0,0,'Données projet'!$E$14+1,1))-AVERAGE(OFFSET($H$3,0,0,'Données projet'!$E$14+1,1))</f>
        <v>402.15128814037058</v>
      </c>
      <c r="DU18" s="62">
        <f t="shared" si="44"/>
        <v>232.85411068442738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>
        <f>EXP(-LN(2)/35)*EA17+(1-EXP(-LN(2)/35))/(LN(2)/35)*DW18*DX18*VLOOKUP('Données projet'!$B$14,Paramètres!$A$1:$I$89,3,0)*0.475*44/12</f>
        <v>0</v>
      </c>
      <c r="EB18" s="23">
        <f>EXP(-LN(2)/25)*EB17+(1-EXP(-LN(2)/25))/(LN(2)/25)*Calculateur!DW18*Calculateur!DY18*VLOOKUP('Données projet'!$B$14,Paramètres!$A$1:$I$89,3,0)*0.475*44/12</f>
        <v>0</v>
      </c>
      <c r="EC18" s="23">
        <f>EXP(-LN(2)/2)*EC17+(1-EXP(-LN(2)/2))/(LN(2)/2)*DW18*DZ18*VLOOKUP('Données projet'!$B$14,Paramètres!$A$1:$I$89,3,0)*0.475*44/12</f>
        <v>0</v>
      </c>
      <c r="ED18" s="24">
        <f t="shared" si="18"/>
        <v>0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">
        <f>VLOOKUP(A18,'Données projet'!$A$191:$I$211,2,0)</f>
        <v>42.307692307692307</v>
      </c>
      <c r="EH18" s="13">
        <f>VLOOKUP(A18,'Données projet'!$A$191:$I$211,9,0)</f>
        <v>2.8205128205128203</v>
      </c>
      <c r="EI18" s="13">
        <f t="array" ref="EI18">INDEX(EH:EH,MIN(IF(ISNUMBER(EH18:EH214),ROW(EH18:EH214),"")))</f>
        <v>2.8205128205128203</v>
      </c>
      <c r="EJ18" s="13">
        <f>IF('Données projet'!$A$192&gt;35,EJ17+EI18-ER17,IF(A18&lt;'Données projet'!$A$192,$EG$205^A18,IF(A18='Données projet'!$A$192,'Données projet'!$B$192,EJ17+EI18-ER17)))</f>
        <v>42.307692307692307</v>
      </c>
      <c r="EK18" s="18">
        <f>EJ18*VLOOKUP('Données projet'!$B$15,Paramètres!$A$1:$I$89,3,0)*VLOOKUP('Données projet'!$B$15,Paramètres!$A$1:$I$89,5,0)</f>
        <v>44.22</v>
      </c>
      <c r="EL18" s="14">
        <f t="shared" si="45"/>
        <v>13.110546100999768</v>
      </c>
      <c r="EM18" s="22">
        <f t="shared" si="19"/>
        <v>99.850701125907918</v>
      </c>
      <c r="EN18" s="62">
        <f t="shared" si="20"/>
        <v>374.8507011259079</v>
      </c>
      <c r="EO18" s="62">
        <f ca="1">AVERAGE(OFFSET($EN$3,0,0,'Données projet'!$E$15+1,1))-AVERAGE(OFFSET($H$3,0,0,'Données projet'!$E$15+1,1))</f>
        <v>595.89992279024398</v>
      </c>
      <c r="EP18" s="62">
        <f t="shared" si="46"/>
        <v>378.16197659288338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>
        <f>EXP(-LN(2)/35)*EV17+(1-EXP(-LN(2)/35))/(LN(2)/35)*ER18*ES18*VLOOKUP('Données projet'!$B$15,Paramètres!$A$1:$I$89,3,0)*0.475*44/12</f>
        <v>0</v>
      </c>
      <c r="EW18" s="23">
        <f>EXP(-LN(2)/25)*EW17+(1-EXP(-LN(2)/25))/(LN(2)/25)*Calculateur!ER18*Calculateur!ET18*VLOOKUP('Données projet'!$B$15,Paramètres!$A$1:$I$89,3,0)*0.475*44/12</f>
        <v>0</v>
      </c>
      <c r="EX18" s="23">
        <f>EXP(-LN(2)/2)*EX17+(1-EXP(-LN(2)/2))/(LN(2)/2)*ER18*EU18*VLOOKUP('Données projet'!$B$15,Paramètres!$A$1:$I$89,3,0)*0.475*44/12</f>
        <v>0</v>
      </c>
      <c r="EY18" s="24">
        <f t="shared" si="21"/>
        <v>0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7.4312217194570129</v>
      </c>
      <c r="FE18" s="13">
        <f>IF('Données projet'!$A$218&gt;35,FE17+FD18-FM17,IF(A18&lt;'Données projet'!$A$218,$FB$205^A18,IF(A18='Données projet'!$A$218,'Données projet'!$B$218,FE17+FD18-FM17)))</f>
        <v>71.494522692931866</v>
      </c>
      <c r="FF18" s="18">
        <f>FE18*VLOOKUP('Données projet'!$B$16,Paramètres!$A$1:$I$89,3,0)*VLOOKUP('Données projet'!$B$16,Paramètres!$A$1:$I$89,5,0)</f>
        <v>42.753724570373258</v>
      </c>
      <c r="FG18" s="14">
        <f t="shared" si="47"/>
        <v>12.725669841487028</v>
      </c>
      <c r="FH18" s="22">
        <f t="shared" si="22"/>
        <v>96.626611933989992</v>
      </c>
      <c r="FI18" s="62">
        <f t="shared" si="23"/>
        <v>371.62661193398998</v>
      </c>
      <c r="FJ18" s="62">
        <f ca="1">AVERAGE(OFFSET($FI$3,0,0,'Données projet'!$E$16+1,1))-AVERAGE(OFFSET($H$3,0,0,'Données projet'!$E$16+1,1))</f>
        <v>257.56116197646924</v>
      </c>
      <c r="FK18" s="62">
        <f t="shared" si="48"/>
        <v>269.95556918835888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>
        <f>EXP(-LN(2)/35)*FQ17+(1-EXP(-LN(2)/35))/(LN(2)/35)*FM18*FN18*VLOOKUP('Données projet'!$B$16,Paramètres!$A$1:$I$89,3,0)*0.475*44/12</f>
        <v>0</v>
      </c>
      <c r="FR18" s="23">
        <f>EXP(-LN(2)/25)*FR17+(1-EXP(-LN(2)/25))/(LN(2)/25)*Calculateur!FM18*Calculateur!FO18*VLOOKUP('Données projet'!$B$16,Paramètres!$A$1:$I$89,3,0)*0.475*44/12</f>
        <v>0</v>
      </c>
      <c r="FS18" s="23">
        <f>EXP(-LN(2)/2)*FS17+(1-EXP(-LN(2)/2))/(LN(2)/2)*FM18*FP18*VLOOKUP('Données projet'!$B$16,Paramètres!$A$1:$I$89,3,0)*0.475*44/12</f>
        <v>0</v>
      </c>
      <c r="FT18" s="24">
        <f t="shared" si="24"/>
        <v>0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">
        <f>VLOOKUP(A18,'Données projet'!$A$243:$I$263,2,0)</f>
        <v>35.707692307692305</v>
      </c>
      <c r="FX18" s="13">
        <f>VLOOKUP(A18,'Données projet'!$A$243:$I$263,9,0)</f>
        <v>2.3805128205128203</v>
      </c>
      <c r="FY18" s="13">
        <f t="array" ref="FY18">INDEX(FX:FX,MIN(IF(ISNUMBER(FX18:FX214),ROW(FX18:FX214),"")))</f>
        <v>2.3805128205128203</v>
      </c>
      <c r="FZ18" s="13">
        <f>IF('Données projet'!$A$244&gt;35,FZ17+FY18-GH17,IF(A18&lt;'Données projet'!$A$244,$FW$205^A18,IF(A18='Données projet'!$A$244,'Données projet'!$B$244,FZ17+FY18-GH17)))</f>
        <v>35.707692307692305</v>
      </c>
      <c r="GA18" s="18">
        <f>FZ18*VLOOKUP('Données projet'!$B$17,Paramètres!$A$1:$I$89,3,0)*VLOOKUP('Données projet'!$B$17,Paramètres!$A$1:$I$89,5,0)</f>
        <v>21.353200000000001</v>
      </c>
      <c r="GB18" s="14">
        <f t="shared" si="49"/>
        <v>6.8907349180546449</v>
      </c>
      <c r="GC18" s="22">
        <f t="shared" si="25"/>
        <v>49.1915199822785</v>
      </c>
      <c r="GD18" s="62">
        <f t="shared" si="26"/>
        <v>324.19151998227852</v>
      </c>
      <c r="GE18" s="62">
        <f ca="1">AVERAGE(OFFSET($GD$3,0,0,'Données projet'!$E$17+1,1))-AVERAGE(OFFSET($H$3,0,0,'Données projet'!$E$17+1,1))</f>
        <v>289.12367833861299</v>
      </c>
      <c r="GF18" s="62">
        <f t="shared" si="50"/>
        <v>229.06617320689003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>
        <f>EXP(-LN(2)/35)*GL17+(1-EXP(-LN(2)/35))/(LN(2)/35)*GH18*GI18*VLOOKUP('Données projet'!$B$17,Paramètres!$A$1:$I$89,3,0)*0.475*44/12</f>
        <v>0</v>
      </c>
      <c r="GM18" s="23">
        <f>EXP(-LN(2)/25)*GM17+(1-EXP(-LN(2)/25))/(LN(2)/25)*Calculateur!GH18*Calculateur!GJ18*VLOOKUP('Données projet'!$B$17,Paramètres!$A$1:$I$89,3,0)*0.475*44/12</f>
        <v>0</v>
      </c>
      <c r="GN18" s="23">
        <f>EXP(-LN(2)/2)*GN17+(1-EXP(-LN(2)/2))/(LN(2)/2)*GH18*GK18*VLOOKUP('Données projet'!$B$17,Paramètres!$A$1:$I$89,3,0)*0.475*44/12</f>
        <v>0</v>
      </c>
      <c r="GO18" s="23">
        <f t="shared" si="27"/>
        <v>0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4.9084615384615384</v>
      </c>
      <c r="GU18" s="13">
        <f>IF('Données projet'!$A$270&gt;35,GU17+GT18-HC17,IF(A18&lt;'Données projet'!$A$270,$GR$205^A18,IF(A18='Données projet'!$A$270,'Données projet'!$B$270,GU17+GT18-HC17)))</f>
        <v>12.134819576485119</v>
      </c>
      <c r="GV18" s="18">
        <f>GU18*VLOOKUP('Données projet'!$B$18,Paramètres!$A$1:$I$89,3,0)*VLOOKUP('Données projet'!$B$18,Paramètres!$A$1:$I$89,5,0)</f>
        <v>5.6790955617950356</v>
      </c>
      <c r="GW18" s="14">
        <f t="shared" si="51"/>
        <v>2.1381252647550886</v>
      </c>
      <c r="GX18" s="22">
        <f t="shared" si="28"/>
        <v>13.614992939574798</v>
      </c>
      <c r="GY18" s="62">
        <f t="shared" si="29"/>
        <v>288.61499293957479</v>
      </c>
      <c r="GZ18" s="62">
        <f ca="1">AVERAGE(OFFSET($GY$3,0,0,'Données projet'!$E$18+1,1))-AVERAGE(OFFSET($H$3,0,0,'Données projet'!$E$18+1,1))</f>
        <v>284.88646502866419</v>
      </c>
      <c r="HA18" s="62">
        <f t="shared" si="52"/>
        <v>190.4880882944471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>
        <f>EXP(-LN(2)/35)*HG17+(1-EXP(-LN(2)/35))/(LN(2)/35)*HC18*HD18*VLOOKUP('Données projet'!$B$18,Paramètres!$A$1:$I$89,3,0)*0.475*44/12</f>
        <v>0</v>
      </c>
      <c r="HH18" s="23">
        <f>EXP(-LN(2)/25)*HH17+(1-EXP(-LN(2)/25))/(LN(2)/25)*Calculateur!HC18*Calculateur!HE18*VLOOKUP('Données projet'!$B$18,Paramètres!$A$1:$I$89,3,0)*0.475*44/12</f>
        <v>0</v>
      </c>
      <c r="HI18" s="23">
        <f>EXP(-LN(2)/2)*HI17+(1-EXP(-LN(2)/2))/(LN(2)/2)*HC18*HF18*VLOOKUP('Données projet'!$B$18,Paramètres!$A$1:$I$89,3,0)*0.475*44/12</f>
        <v>0</v>
      </c>
      <c r="HJ18" s="24">
        <f t="shared" si="30"/>
        <v>0</v>
      </c>
    </row>
    <row r="19" spans="1:218" s="5" customFormat="1" x14ac:dyDescent="0.25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2">
        <f t="shared" si="32"/>
        <v>0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0</v>
      </c>
      <c r="H19" s="70">
        <f t="shared" si="1"/>
        <v>256.66666666666669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6.2820512820512802</v>
      </c>
      <c r="N19" s="14">
        <f>IF('Données projet'!$A$36&gt;35,N18+M19-V18,IF(A19&lt;'Données projet'!$A$36,$K$205^A19,IF(A19='Données projet'!$A$36,'Données projet'!$B$36,N18+M19-V18)))</f>
        <v>42.820512820512818</v>
      </c>
      <c r="O19" s="14">
        <f>N19*VLOOKUP('Données projet'!$B$9,Paramètres!$A$1:$I$89,3,0)*VLOOKUP('Données projet'!$B$9,Paramètres!$A$1:$I$89,5,0)</f>
        <v>40.747999999999998</v>
      </c>
      <c r="P19" s="14">
        <f t="shared" si="33"/>
        <v>12.196690104400222</v>
      </c>
      <c r="Q19" s="22">
        <f t="shared" si="2"/>
        <v>92.212001931830386</v>
      </c>
      <c r="R19" s="62">
        <f t="shared" si="0"/>
        <v>368.43422415405263</v>
      </c>
      <c r="S19" s="62">
        <f ca="1">AVERAGE(OFFSET($R$3,0,0,'Données projet'!$E$9+1,1))-AVERAGE(OFFSET($H$3,0,0,'Données projet'!$E$9+1,1))</f>
        <v>367.11183928586667</v>
      </c>
      <c r="T19" s="62">
        <f t="shared" si="34"/>
        <v>281.52963027844595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2.1</v>
      </c>
      <c r="AI19" s="14">
        <f>IF('Données projet'!$A$62&gt;35,AI18+AH19-AQ18,IF(A19&lt;'Données projet'!$A$62,$AF$205^A19,IF(A19='Données projet'!$A$62,'Données projet'!$B$62,AI18+AH19-AQ18)))</f>
        <v>19.888381054913147</v>
      </c>
      <c r="AJ19" s="14">
        <f>AI19*VLOOKUP('Données projet'!$B$10,Paramètres!$A$1:$I$89,3,0)*VLOOKUP('Données projet'!$B$10,Paramètres!$A$1:$I$89,5,0)</f>
        <v>17.995007178485412</v>
      </c>
      <c r="AK19" s="14">
        <f t="shared" si="35"/>
        <v>5.9238546434872337</v>
      </c>
      <c r="AL19" s="22">
        <f t="shared" si="4"/>
        <v>41.658684339935689</v>
      </c>
      <c r="AM19" s="62">
        <f t="shared" si="5"/>
        <v>317.88090656215792</v>
      </c>
      <c r="AN19" s="62">
        <f ca="1">AVERAGE(OFFSET($AM$3,0,0,'Données projet'!$E$10+1,1))-AVERAGE(OFFSET($H$3,0,0,'Données projet'!$E$10+1,1))</f>
        <v>428.8489304403459</v>
      </c>
      <c r="AO19" s="62">
        <f t="shared" si="36"/>
        <v>247.01165577562966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0</v>
      </c>
      <c r="AV19" s="23">
        <f>EXP(-LN(2)/25)*AV18+(1-EXP(-LN(2)/25))/(LN(2)/25)*Calculateur!AQ19*Calculateur!AS19*VLOOKUP('Données projet'!$B$10,Paramètres!$A$1:$I$89,3,0)*0.475*44/12</f>
        <v>0</v>
      </c>
      <c r="AW19" s="23">
        <f>EXP(-LN(2)/2)*AW18+(1-EXP(-LN(2)/2))/(LN(2)/2)*AQ19*AT19*VLOOKUP('Données projet'!$B$10,Paramètres!$A$1:$I$89,3,0)*0.475*44/12</f>
        <v>0</v>
      </c>
      <c r="AX19" s="23">
        <f t="shared" si="6"/>
        <v>0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2.1</v>
      </c>
      <c r="BD19" s="13">
        <f>IF('Données projet'!$A$88&gt;35,BD18+BC19-BL18,IF(A19&lt;'Données projet'!$A$88,$BA$205^A19,IF(A19='Données projet'!$A$88,'Données projet'!$B$88,BD18+BC19-BL18)))</f>
        <v>19.888381054913147</v>
      </c>
      <c r="BE19" s="14">
        <f>BD19*VLOOKUP('Données projet'!$B$11,Paramètres!$A$1:$I$89,3,0)*VLOOKUP('Données projet'!$B$11,Paramètres!$A$1:$I$89,5,0)</f>
        <v>20.166818389681932</v>
      </c>
      <c r="BF19" s="14">
        <f t="shared" si="37"/>
        <v>6.5513327797938032</v>
      </c>
      <c r="BG19" s="22">
        <f t="shared" si="7"/>
        <v>46.534113286836906</v>
      </c>
      <c r="BH19" s="62">
        <f t="shared" si="8"/>
        <v>322.75633550905911</v>
      </c>
      <c r="BI19" s="62">
        <f ca="1">AVERAGE(OFFSET($BH$3,0,0,'Données projet'!$E$11+1,1))-AVERAGE(OFFSET($H$3,0,0,'Données projet'!$E$11+1,1))</f>
        <v>475.47920969424894</v>
      </c>
      <c r="BJ19" s="62">
        <f t="shared" si="38"/>
        <v>271.73544012419364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>
        <f>EXP(-LN(2)/35)*BP18+(1-EXP(-LN(2)/35))/(LN(2)/35)*BL19*BM19*VLOOKUP('Données projet'!$B$11,Paramètres!$A$1:$I$89,3,0)*0.475*44/12</f>
        <v>0</v>
      </c>
      <c r="BQ19" s="23">
        <f>EXP(-LN(2)/25)*BQ18+(1-EXP(-LN(2)/25))/(LN(2)/25)*Calculateur!BL19*Calculateur!BN19*VLOOKUP('Données projet'!$B$11,Paramètres!$A$1:$I$89,3,0)*0.475*44/12</f>
        <v>0</v>
      </c>
      <c r="BR19" s="23">
        <f>EXP(-LN(2)/2)*BR18+(1-EXP(-LN(2)/2))/(LN(2)/2)*BL19*BO19*VLOOKUP('Données projet'!$B$11,Paramètres!$A$1:$I$89,3,0)*0.475*44/12</f>
        <v>0</v>
      </c>
      <c r="BS19" s="24">
        <f t="shared" si="9"/>
        <v>0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7.7987854251012134</v>
      </c>
      <c r="BY19" s="13">
        <f>IF('Données projet'!$A$114&gt;35,BY18+BX19-CG18,IF(A19&lt;'Données projet'!$A$114,$BV$205^A19,IF(A19='Données projet'!$A$114,'Données projet'!$B$114,BY18+BX19-CG18)))</f>
        <v>67.301655174387619</v>
      </c>
      <c r="BZ19" s="14">
        <f>BY19*VLOOKUP('Données projet'!$B$12,Paramètres!$A$1:$I$89,3,0)*VLOOKUP('Données projet'!$B$12,Paramètres!$A$1:$I$89,5,0)</f>
        <v>37.621625242482679</v>
      </c>
      <c r="CA19" s="14">
        <f t="shared" si="39"/>
        <v>11.366027087122298</v>
      </c>
      <c r="CB19" s="22">
        <f t="shared" si="10"/>
        <v>85.320161140728672</v>
      </c>
      <c r="CC19" s="62">
        <f t="shared" si="11"/>
        <v>361.54238336295089</v>
      </c>
      <c r="CD19" s="62">
        <f ca="1">AVERAGE(OFFSET($CC$3,0,0,'Données projet'!$E$12+1,1))-AVERAGE(OFFSET($H$3,0,0,'Données projet'!$E$12+1,1))</f>
        <v>323.98185264074681</v>
      </c>
      <c r="CE19" s="62">
        <f t="shared" si="40"/>
        <v>301.22207291854005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>
        <f>EXP(-LN(2)/35)*CK18+(1-EXP(-LN(2)/35))/(LN(2)/35)*CG19*CH19*VLOOKUP('Données projet'!$B$12,Paramètres!$A$1:$I$89,3,0)*0.475*44/12</f>
        <v>0</v>
      </c>
      <c r="CL19" s="23">
        <f>EXP(-LN(2)/25)*CL18+(1-EXP(-LN(2)/25))/(LN(2)/25)*Calculateur!CG19*Calculateur!CI19*VLOOKUP('Données projet'!$B$12,Paramètres!$A$1:$I$89,3,0)*0.475*44/12</f>
        <v>0</v>
      </c>
      <c r="CM19" s="23">
        <f>EXP(-LN(2)/2)*CM18+(1-EXP(-LN(2)/2))/(LN(2)/2)*CG19*CJ19*VLOOKUP('Données projet'!$B$12,Paramètres!$A$1:$I$89,3,0)*0.475*44/12</f>
        <v>0</v>
      </c>
      <c r="CN19" s="24">
        <f t="shared" si="12"/>
        <v>0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1.2</v>
      </c>
      <c r="CT19" s="13">
        <f>IF('Données projet'!$A$140&gt;35,CT18+CS19-DB18,IF(A19&lt;'Données projet'!$A$140,$CQ$205^A19,IF(A19='Données projet'!$A$140,'Données projet'!$B$140,CT18+CS19-DB18)))</f>
        <v>8.8177463744060987</v>
      </c>
      <c r="CU19" s="18">
        <f>CT19*VLOOKUP('Données projet'!$B$13,Paramètres!$A$1:$I$89,3,0)*VLOOKUP('Données projet'!$B$13,Paramètres!$A$1:$I$89,5,0)</f>
        <v>10.041649571173666</v>
      </c>
      <c r="CV19" s="14">
        <f t="shared" si="41"/>
        <v>3.537911925799258</v>
      </c>
      <c r="CW19" s="22">
        <f t="shared" si="13"/>
        <v>23.651069607227843</v>
      </c>
      <c r="CX19" s="62">
        <f t="shared" si="14"/>
        <v>299.87329182945007</v>
      </c>
      <c r="CY19" s="62">
        <f ca="1">AVERAGE(OFFSET($CX$3,0,0,'Données projet'!$E$13+1,1))-AVERAGE(OFFSET($H$3,0,0,'Données projet'!$E$13+1,1))</f>
        <v>399.78832690250164</v>
      </c>
      <c r="CZ19" s="62">
        <f t="shared" si="42"/>
        <v>174.32967064896343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>
        <f>EXP(-LN(2)/35)*DF18+(1-EXP(-LN(2)/35))/(LN(2)/35)*DB19*DC19*VLOOKUP('Données projet'!$B$13,Paramètres!$A$1:$I$89,3,0)*0.475*44/12</f>
        <v>0</v>
      </c>
      <c r="DG19" s="23">
        <f>EXP(-LN(2)/25)*DG18+(1-EXP(-LN(2)/25))/(LN(2)/25)*Calculateur!DB19*Calculateur!DD19*VLOOKUP('Données projet'!$B$13,Paramètres!$A$1:$I$89,3,0)*0.475*44/12</f>
        <v>0</v>
      </c>
      <c r="DH19" s="23">
        <f>EXP(-LN(2)/2)*DH18+(1-EXP(-LN(2)/2))/(LN(2)/2)*DB19*DE19*VLOOKUP('Données projet'!$B$13,Paramètres!$A$1:$I$89,3,0)*0.475*44/12</f>
        <v>0</v>
      </c>
      <c r="DI19" s="24">
        <f t="shared" si="15"/>
        <v>0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2.1</v>
      </c>
      <c r="DO19" s="13">
        <f>IF('Données projet'!$A$166&gt;35,DO18+DN19-DW18,IF(A19&lt;'Données projet'!$A$166,$DL$205^A19,IF(A19='Données projet'!$A$166,'Données projet'!$B$166,DO18+DN19-DW18)))</f>
        <v>19.888381054913147</v>
      </c>
      <c r="DP19" s="18">
        <f>DO19*VLOOKUP('Données projet'!$B$14,Paramètres!$A$1:$I$89,3,0)*VLOOKUP('Données projet'!$B$14,Paramètres!$A$1:$I$89,5,0)</f>
        <v>16.753972200658836</v>
      </c>
      <c r="DQ19" s="14">
        <f t="shared" si="43"/>
        <v>5.5613796648680189</v>
      </c>
      <c r="DR19" s="22">
        <f t="shared" si="16"/>
        <v>38.865904499125939</v>
      </c>
      <c r="DS19" s="62">
        <f t="shared" si="17"/>
        <v>315.08812672134815</v>
      </c>
      <c r="DT19" s="62">
        <f ca="1">AVERAGE(OFFSET($DS$3,0,0,'Données projet'!$E$14+1,1))-AVERAGE(OFFSET($H$3,0,0,'Données projet'!$E$14+1,1))</f>
        <v>402.15128814037058</v>
      </c>
      <c r="DU19" s="62">
        <f t="shared" si="44"/>
        <v>232.85411068442738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>
        <f>EXP(-LN(2)/35)*EA18+(1-EXP(-LN(2)/35))/(LN(2)/35)*DW19*DX19*VLOOKUP('Données projet'!$B$14,Paramètres!$A$1:$I$89,3,0)*0.475*44/12</f>
        <v>0</v>
      </c>
      <c r="EB19" s="23">
        <f>EXP(-LN(2)/25)*EB18+(1-EXP(-LN(2)/25))/(LN(2)/25)*Calculateur!DW19*Calculateur!DY19*VLOOKUP('Données projet'!$B$14,Paramètres!$A$1:$I$89,3,0)*0.475*44/12</f>
        <v>0</v>
      </c>
      <c r="EC19" s="23">
        <f>EXP(-LN(2)/2)*EC18+(1-EXP(-LN(2)/2))/(LN(2)/2)*DW19*DZ19*VLOOKUP('Données projet'!$B$14,Paramètres!$A$1:$I$89,3,0)*0.475*44/12</f>
        <v>0</v>
      </c>
      <c r="ED19" s="24">
        <f t="shared" si="18"/>
        <v>0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7.4358974358974361</v>
      </c>
      <c r="EJ19" s="13">
        <f>IF('Données projet'!$A$192&gt;35,EJ18+EI19-ER18,IF(A19&lt;'Données projet'!$A$192,$EG$205^A19,IF(A19='Données projet'!$A$192,'Données projet'!$B$192,EJ18+EI19-ER18)))</f>
        <v>49.743589743589745</v>
      </c>
      <c r="EK19" s="18">
        <f>EJ19*VLOOKUP('Données projet'!$B$15,Paramètres!$A$1:$I$89,3,0)*VLOOKUP('Données projet'!$B$15,Paramètres!$A$1:$I$89,5,0)</f>
        <v>51.992000000000012</v>
      </c>
      <c r="EL19" s="14">
        <f t="shared" si="45"/>
        <v>15.127026838938239</v>
      </c>
      <c r="EM19" s="22">
        <f t="shared" si="19"/>
        <v>116.89897174448413</v>
      </c>
      <c r="EN19" s="62">
        <f t="shared" si="20"/>
        <v>393.12119396670636</v>
      </c>
      <c r="EO19" s="62">
        <f ca="1">AVERAGE(OFFSET($EN$3,0,0,'Données projet'!$E$15+1,1))-AVERAGE(OFFSET($H$3,0,0,'Données projet'!$E$15+1,1))</f>
        <v>595.89992279024398</v>
      </c>
      <c r="EP19" s="62">
        <f t="shared" si="46"/>
        <v>378.16197659288338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>
        <f>EXP(-LN(2)/35)*EV18+(1-EXP(-LN(2)/35))/(LN(2)/35)*ER19*ES19*VLOOKUP('Données projet'!$B$15,Paramètres!$A$1:$I$89,3,0)*0.475*44/12</f>
        <v>0</v>
      </c>
      <c r="EW19" s="23">
        <f>EXP(-LN(2)/25)*EW18+(1-EXP(-LN(2)/25))/(LN(2)/25)*Calculateur!ER19*Calculateur!ET19*VLOOKUP('Données projet'!$B$15,Paramètres!$A$1:$I$89,3,0)*0.475*44/12</f>
        <v>0</v>
      </c>
      <c r="EX19" s="23">
        <f>EXP(-LN(2)/2)*EX18+(1-EXP(-LN(2)/2))/(LN(2)/2)*ER19*EU19*VLOOKUP('Données projet'!$B$15,Paramètres!$A$1:$I$89,3,0)*0.475*44/12</f>
        <v>0</v>
      </c>
      <c r="EY19" s="24">
        <f t="shared" si="21"/>
        <v>0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7.4312217194570129</v>
      </c>
      <c r="FE19" s="13">
        <f>IF('Données projet'!$A$218&gt;35,FE18+FD19-FM18,IF(A19&lt;'Données projet'!$A$218,$FB$205^A19,IF(A19='Données projet'!$A$218,'Données projet'!$B$218,FE18+FD19-FM18)))</f>
        <v>95.036614247271999</v>
      </c>
      <c r="FF19" s="18">
        <f>FE19*VLOOKUP('Données projet'!$B$16,Paramètres!$A$1:$I$89,3,0)*VLOOKUP('Données projet'!$B$16,Paramètres!$A$1:$I$89,5,0)</f>
        <v>56.831895319868664</v>
      </c>
      <c r="FG19" s="14">
        <f t="shared" si="47"/>
        <v>16.364761474967661</v>
      </c>
      <c r="FH19" s="22">
        <f t="shared" si="22"/>
        <v>127.4841772510066</v>
      </c>
      <c r="FI19" s="62">
        <f t="shared" si="23"/>
        <v>403.70639947322883</v>
      </c>
      <c r="FJ19" s="62">
        <f ca="1">AVERAGE(OFFSET($FI$3,0,0,'Données projet'!$E$16+1,1))-AVERAGE(OFFSET($H$3,0,0,'Données projet'!$E$16+1,1))</f>
        <v>257.56116197646924</v>
      </c>
      <c r="FK19" s="62">
        <f t="shared" si="48"/>
        <v>269.95556918835888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>
        <f>EXP(-LN(2)/35)*FQ18+(1-EXP(-LN(2)/35))/(LN(2)/35)*FM19*FN19*VLOOKUP('Données projet'!$B$16,Paramètres!$A$1:$I$89,3,0)*0.475*44/12</f>
        <v>0</v>
      </c>
      <c r="FR19" s="23">
        <f>EXP(-LN(2)/25)*FR18+(1-EXP(-LN(2)/25))/(LN(2)/25)*Calculateur!FM19*Calculateur!FO19*VLOOKUP('Données projet'!$B$16,Paramètres!$A$1:$I$89,3,0)*0.475*44/12</f>
        <v>0</v>
      </c>
      <c r="FS19" s="23">
        <f>EXP(-LN(2)/2)*FS18+(1-EXP(-LN(2)/2))/(LN(2)/2)*FM19*FP19*VLOOKUP('Données projet'!$B$16,Paramètres!$A$1:$I$89,3,0)*0.475*44/12</f>
        <v>0</v>
      </c>
      <c r="FT19" s="24">
        <f t="shared" si="24"/>
        <v>0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13.103846153846154</v>
      </c>
      <c r="FZ19" s="13">
        <f>IF('Données projet'!$A$244&gt;35,FZ18+FY19-GH18,IF(A19&lt;'Données projet'!$A$244,$FW$205^A19,IF(A19='Données projet'!$A$244,'Données projet'!$B$244,FZ18+FY19-GH18)))</f>
        <v>48.811538461538461</v>
      </c>
      <c r="GA19" s="18">
        <f>FZ19*VLOOKUP('Données projet'!$B$17,Paramètres!$A$1:$I$89,3,0)*VLOOKUP('Données projet'!$B$17,Paramètres!$A$1:$I$89,5,0)</f>
        <v>29.189300000000003</v>
      </c>
      <c r="GB19" s="14">
        <f t="shared" si="49"/>
        <v>9.0828827639780165</v>
      </c>
      <c r="GC19" s="22">
        <f t="shared" si="25"/>
        <v>66.657384980595054</v>
      </c>
      <c r="GD19" s="62">
        <f t="shared" si="26"/>
        <v>342.87960720281728</v>
      </c>
      <c r="GE19" s="62">
        <f ca="1">AVERAGE(OFFSET($GD$3,0,0,'Données projet'!$E$17+1,1))-AVERAGE(OFFSET($H$3,0,0,'Données projet'!$E$17+1,1))</f>
        <v>289.12367833861299</v>
      </c>
      <c r="GF19" s="62">
        <f t="shared" si="50"/>
        <v>229.06617320689003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>
        <f>EXP(-LN(2)/35)*GL18+(1-EXP(-LN(2)/35))/(LN(2)/35)*GH19*GI19*VLOOKUP('Données projet'!$B$17,Paramètres!$A$1:$I$89,3,0)*0.475*44/12</f>
        <v>0</v>
      </c>
      <c r="GM19" s="23">
        <f>EXP(-LN(2)/25)*GM18+(1-EXP(-LN(2)/25))/(LN(2)/25)*Calculateur!GH19*Calculateur!GJ19*VLOOKUP('Données projet'!$B$17,Paramètres!$A$1:$I$89,3,0)*0.475*44/12</f>
        <v>0</v>
      </c>
      <c r="GN19" s="23">
        <f>EXP(-LN(2)/2)*GN18+(1-EXP(-LN(2)/2))/(LN(2)/2)*GH19*GK19*VLOOKUP('Données projet'!$B$17,Paramètres!$A$1:$I$89,3,0)*0.475*44/12</f>
        <v>0</v>
      </c>
      <c r="GO19" s="23">
        <f t="shared" si="27"/>
        <v>0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4.9084615384615384</v>
      </c>
      <c r="GU19" s="13">
        <f>IF('Données projet'!$A$270&gt;35,GU18+GT19-HC18,IF(A19&lt;'Données projet'!$A$270,$GR$205^A19,IF(A19='Données projet'!$A$270,'Données projet'!$B$270,GU18+GT19-HC18)))</f>
        <v>14.331848602335111</v>
      </c>
      <c r="GV19" s="18">
        <f>GU19*VLOOKUP('Données projet'!$B$18,Paramètres!$A$1:$I$89,3,0)*VLOOKUP('Données projet'!$B$18,Paramètres!$A$1:$I$89,5,0)</f>
        <v>6.7073051458928319</v>
      </c>
      <c r="GW19" s="14">
        <f t="shared" si="51"/>
        <v>2.4767942738506736</v>
      </c>
      <c r="GX19" s="22">
        <f t="shared" si="28"/>
        <v>15.995639822719939</v>
      </c>
      <c r="GY19" s="62">
        <f t="shared" si="29"/>
        <v>292.21786204494219</v>
      </c>
      <c r="GZ19" s="62">
        <f ca="1">AVERAGE(OFFSET($GY$3,0,0,'Données projet'!$E$18+1,1))-AVERAGE(OFFSET($H$3,0,0,'Données projet'!$E$18+1,1))</f>
        <v>284.88646502866419</v>
      </c>
      <c r="HA19" s="62">
        <f t="shared" si="52"/>
        <v>190.4880882944471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>
        <f>EXP(-LN(2)/35)*HG18+(1-EXP(-LN(2)/35))/(LN(2)/35)*HC19*HD19*VLOOKUP('Données projet'!$B$18,Paramètres!$A$1:$I$89,3,0)*0.475*44/12</f>
        <v>0</v>
      </c>
      <c r="HH19" s="23">
        <f>EXP(-LN(2)/25)*HH18+(1-EXP(-LN(2)/25))/(LN(2)/25)*Calculateur!HC19*Calculateur!HE19*VLOOKUP('Données projet'!$B$18,Paramètres!$A$1:$I$89,3,0)*0.475*44/12</f>
        <v>0</v>
      </c>
      <c r="HI19" s="23">
        <f>EXP(-LN(2)/2)*HI18+(1-EXP(-LN(2)/2))/(LN(2)/2)*HC19*HF19*VLOOKUP('Données projet'!$B$18,Paramètres!$A$1:$I$89,3,0)*0.475*44/12</f>
        <v>0</v>
      </c>
      <c r="HJ19" s="24">
        <f t="shared" si="30"/>
        <v>0</v>
      </c>
    </row>
    <row r="20" spans="1:218" s="5" customFormat="1" x14ac:dyDescent="0.25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2">
        <f t="shared" si="32"/>
        <v>0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0</v>
      </c>
      <c r="H20" s="70">
        <f t="shared" si="1"/>
        <v>256.66666666666669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6.2820512820512802</v>
      </c>
      <c r="N20" s="14">
        <f>IF('Données projet'!$A$36&gt;35,N19+M20-V19,IF(A20&lt;'Données projet'!$A$36,$K$205^A20,IF(A20='Données projet'!$A$36,'Données projet'!$B$36,N19+M20-V19)))</f>
        <v>49.102564102564095</v>
      </c>
      <c r="O20" s="14">
        <f>N20*VLOOKUP('Données projet'!$B$9,Paramètres!$A$1:$I$89,3,0)*VLOOKUP('Données projet'!$B$9,Paramètres!$A$1:$I$89,5,0)</f>
        <v>46.725999999999992</v>
      </c>
      <c r="P20" s="14">
        <f t="shared" si="33"/>
        <v>13.764931291666562</v>
      </c>
      <c r="Q20" s="22">
        <f t="shared" si="2"/>
        <v>105.35503866631923</v>
      </c>
      <c r="R20" s="62">
        <f t="shared" si="0"/>
        <v>382.79948311076367</v>
      </c>
      <c r="S20" s="62">
        <f ca="1">AVERAGE(OFFSET($R$3,0,0,'Données projet'!$E$9+1,1))-AVERAGE(OFFSET($H$3,0,0,'Données projet'!$E$9+1,1))</f>
        <v>367.11183928586667</v>
      </c>
      <c r="T20" s="62">
        <f t="shared" si="34"/>
        <v>281.52963027844595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0</v>
      </c>
      <c r="AC20" s="24">
        <f t="shared" si="3"/>
        <v>0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2.1</v>
      </c>
      <c r="AI20" s="14">
        <f>IF('Données projet'!$A$62&gt;35,AI19+AH20-AQ19,IF(A20&lt;'Données projet'!$A$62,$AF$205^A20,IF(A20='Données projet'!$A$62,'Données projet'!$B$62,AI19+AH20-AQ19)))</f>
        <v>23.975181126327602</v>
      </c>
      <c r="AJ20" s="14">
        <f>AI20*VLOOKUP('Données projet'!$B$10,Paramètres!$A$1:$I$89,3,0)*VLOOKUP('Données projet'!$B$10,Paramètres!$A$1:$I$89,5,0)</f>
        <v>21.692743883101215</v>
      </c>
      <c r="AK20" s="14">
        <f t="shared" si="35"/>
        <v>6.98746341685115</v>
      </c>
      <c r="AL20" s="22">
        <f t="shared" si="4"/>
        <v>49.951361047417038</v>
      </c>
      <c r="AM20" s="62">
        <f t="shared" si="5"/>
        <v>327.39580549186149</v>
      </c>
      <c r="AN20" s="62">
        <f ca="1">AVERAGE(OFFSET($AM$3,0,0,'Données projet'!$E$10+1,1))-AVERAGE(OFFSET($H$3,0,0,'Données projet'!$E$10+1,1))</f>
        <v>428.8489304403459</v>
      </c>
      <c r="AO20" s="62">
        <f t="shared" si="36"/>
        <v>247.01165577562966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projet'!$B$10,Paramètres!$A$1:$I$89,3,0)*0.475*44/12</f>
        <v>0</v>
      </c>
      <c r="AV20" s="23">
        <f>EXP(-LN(2)/25)*AV19+(1-EXP(-LN(2)/25))/(LN(2)/25)*Calculateur!AQ20*Calculateur!AS20*VLOOKUP('Données projet'!$B$10,Paramètres!$A$1:$I$89,3,0)*0.475*44/12</f>
        <v>0</v>
      </c>
      <c r="AW20" s="23">
        <f>EXP(-LN(2)/2)*AW19+(1-EXP(-LN(2)/2))/(LN(2)/2)*AQ20*AT20*VLOOKUP('Données projet'!$B$10,Paramètres!$A$1:$I$89,3,0)*0.475*44/12</f>
        <v>0</v>
      </c>
      <c r="AX20" s="23">
        <f t="shared" si="6"/>
        <v>0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2.1</v>
      </c>
      <c r="BD20" s="13">
        <f>IF('Données projet'!$A$88&gt;35,BD19+BC20-BL19,IF(A20&lt;'Données projet'!$A$88,$BA$205^A20,IF(A20='Données projet'!$A$88,'Données projet'!$B$88,BD19+BC20-BL19)))</f>
        <v>23.975181126327602</v>
      </c>
      <c r="BE20" s="14">
        <f>BD20*VLOOKUP('Données projet'!$B$11,Paramètres!$A$1:$I$89,3,0)*VLOOKUP('Données projet'!$B$11,Paramètres!$A$1:$I$89,5,0)</f>
        <v>24.31083366209619</v>
      </c>
      <c r="BF20" s="14">
        <f t="shared" si="37"/>
        <v>7.7276032052466093</v>
      </c>
      <c r="BG20" s="22">
        <f t="shared" si="7"/>
        <v>55.800277543955367</v>
      </c>
      <c r="BH20" s="62">
        <f t="shared" si="8"/>
        <v>333.24472198839982</v>
      </c>
      <c r="BI20" s="62">
        <f ca="1">AVERAGE(OFFSET($BH$3,0,0,'Données projet'!$E$11+1,1))-AVERAGE(OFFSET($H$3,0,0,'Données projet'!$E$11+1,1))</f>
        <v>475.47920969424894</v>
      </c>
      <c r="BJ20" s="62">
        <f t="shared" si="38"/>
        <v>271.73544012419364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>
        <f>EXP(-LN(2)/35)*BP19+(1-EXP(-LN(2)/35))/(LN(2)/35)*BL20*BM20*VLOOKUP('Données projet'!$B$11,Paramètres!$A$1:$I$89,3,0)*0.475*44/12</f>
        <v>0</v>
      </c>
      <c r="BQ20" s="23">
        <f>EXP(-LN(2)/25)*BQ19+(1-EXP(-LN(2)/25))/(LN(2)/25)*Calculateur!BL20*Calculateur!BN20*VLOOKUP('Données projet'!$B$11,Paramètres!$A$1:$I$89,3,0)*0.475*44/12</f>
        <v>0</v>
      </c>
      <c r="BR20" s="23">
        <f>EXP(-LN(2)/2)*BR19+(1-EXP(-LN(2)/2))/(LN(2)/2)*BL20*BO20*VLOOKUP('Données projet'!$B$11,Paramètres!$A$1:$I$89,3,0)*0.475*44/12</f>
        <v>0</v>
      </c>
      <c r="BS20" s="24">
        <f t="shared" si="9"/>
        <v>0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7.7987854251012134</v>
      </c>
      <c r="BY20" s="13">
        <f>IF('Données projet'!$A$114&gt;35,BY19+BX20-CG19,IF(A20&lt;'Données projet'!$A$114,$BV$205^A20,IF(A20='Données projet'!$A$114,'Données projet'!$B$114,BY19+BX20-CG19)))</f>
        <v>87.554274600421721</v>
      </c>
      <c r="BZ20" s="14">
        <f>BY20*VLOOKUP('Données projet'!$B$12,Paramètres!$A$1:$I$89,3,0)*VLOOKUP('Données projet'!$B$12,Paramètres!$A$1:$I$89,5,0)</f>
        <v>48.942839501635746</v>
      </c>
      <c r="CA20" s="14">
        <f t="shared" si="39"/>
        <v>14.340404725340607</v>
      </c>
      <c r="CB20" s="22">
        <f t="shared" si="10"/>
        <v>110.21831702865047</v>
      </c>
      <c r="CC20" s="62">
        <f t="shared" si="11"/>
        <v>387.66276147309492</v>
      </c>
      <c r="CD20" s="62">
        <f ca="1">AVERAGE(OFFSET($CC$3,0,0,'Données projet'!$E$12+1,1))-AVERAGE(OFFSET($H$3,0,0,'Données projet'!$E$12+1,1))</f>
        <v>323.98185264074681</v>
      </c>
      <c r="CE20" s="62">
        <f t="shared" si="40"/>
        <v>301.22207291854005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>
        <f>EXP(-LN(2)/35)*CK19+(1-EXP(-LN(2)/35))/(LN(2)/35)*CG20*CH20*VLOOKUP('Données projet'!$B$12,Paramètres!$A$1:$I$89,3,0)*0.475*44/12</f>
        <v>0</v>
      </c>
      <c r="CL20" s="23">
        <f>EXP(-LN(2)/25)*CL19+(1-EXP(-LN(2)/25))/(LN(2)/25)*Calculateur!CG20*Calculateur!CI20*VLOOKUP('Données projet'!$B$12,Paramètres!$A$1:$I$89,3,0)*0.475*44/12</f>
        <v>0</v>
      </c>
      <c r="CM20" s="23">
        <f>EXP(-LN(2)/2)*CM19+(1-EXP(-LN(2)/2))/(LN(2)/2)*CG20*CJ20*VLOOKUP('Données projet'!$B$12,Paramètres!$A$1:$I$89,3,0)*0.475*44/12</f>
        <v>0</v>
      </c>
      <c r="CN20" s="24">
        <f t="shared" si="12"/>
        <v>0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1.2</v>
      </c>
      <c r="CT20" s="13">
        <f>IF('Données projet'!$A$140&gt;35,CT19+CS20-DB19,IF(A20&lt;'Données projet'!$A$140,$CQ$205^A20,IF(A20='Données projet'!$A$140,'Données projet'!$B$140,CT19+CS20-DB19)))</f>
        <v>10.102816228956828</v>
      </c>
      <c r="CU20" s="18">
        <f>CT20*VLOOKUP('Données projet'!$B$13,Paramètres!$A$1:$I$89,3,0)*VLOOKUP('Données projet'!$B$13,Paramètres!$A$1:$I$89,5,0)</f>
        <v>11.505087121536034</v>
      </c>
      <c r="CV20" s="14">
        <f t="shared" si="41"/>
        <v>3.9898299937176129</v>
      </c>
      <c r="CW20" s="22">
        <f t="shared" si="13"/>
        <v>26.986980642400102</v>
      </c>
      <c r="CX20" s="62">
        <f t="shared" si="14"/>
        <v>304.43142508684457</v>
      </c>
      <c r="CY20" s="62">
        <f ca="1">AVERAGE(OFFSET($CX$3,0,0,'Données projet'!$E$13+1,1))-AVERAGE(OFFSET($H$3,0,0,'Données projet'!$E$13+1,1))</f>
        <v>399.78832690250164</v>
      </c>
      <c r="CZ20" s="62">
        <f t="shared" si="42"/>
        <v>174.32967064896343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>
        <f>EXP(-LN(2)/35)*DF19+(1-EXP(-LN(2)/35))/(LN(2)/35)*DB20*DC20*VLOOKUP('Données projet'!$B$13,Paramètres!$A$1:$I$89,3,0)*0.475*44/12</f>
        <v>0</v>
      </c>
      <c r="DG20" s="23">
        <f>EXP(-LN(2)/25)*DG19+(1-EXP(-LN(2)/25))/(LN(2)/25)*Calculateur!DB20*Calculateur!DD20*VLOOKUP('Données projet'!$B$13,Paramètres!$A$1:$I$89,3,0)*0.475*44/12</f>
        <v>0</v>
      </c>
      <c r="DH20" s="23">
        <f>EXP(-LN(2)/2)*DH19+(1-EXP(-LN(2)/2))/(LN(2)/2)*DB20*DE20*VLOOKUP('Données projet'!$B$13,Paramètres!$A$1:$I$89,3,0)*0.475*44/12</f>
        <v>0</v>
      </c>
      <c r="DI20" s="24">
        <f t="shared" si="15"/>
        <v>0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2.1</v>
      </c>
      <c r="DO20" s="13">
        <f>IF('Données projet'!$A$166&gt;35,DO19+DN20-DW19,IF(A20&lt;'Données projet'!$A$166,$DL$205^A20,IF(A20='Données projet'!$A$166,'Données projet'!$B$166,DO19+DN20-DW19)))</f>
        <v>23.975181126327602</v>
      </c>
      <c r="DP20" s="18">
        <f>DO20*VLOOKUP('Données projet'!$B$14,Paramètres!$A$1:$I$89,3,0)*VLOOKUP('Données projet'!$B$14,Paramètres!$A$1:$I$89,5,0)</f>
        <v>20.196692580818372</v>
      </c>
      <c r="DQ20" s="14">
        <f t="shared" si="43"/>
        <v>6.5599072384749233</v>
      </c>
      <c r="DR20" s="22">
        <f t="shared" si="16"/>
        <v>46.601078018602493</v>
      </c>
      <c r="DS20" s="62">
        <f t="shared" si="17"/>
        <v>324.04552246304695</v>
      </c>
      <c r="DT20" s="62">
        <f ca="1">AVERAGE(OFFSET($DS$3,0,0,'Données projet'!$E$14+1,1))-AVERAGE(OFFSET($H$3,0,0,'Données projet'!$E$14+1,1))</f>
        <v>402.15128814037058</v>
      </c>
      <c r="DU20" s="62">
        <f t="shared" si="44"/>
        <v>232.85411068442738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>
        <f>EXP(-LN(2)/35)*EA19+(1-EXP(-LN(2)/35))/(LN(2)/35)*DW20*DX20*VLOOKUP('Données projet'!$B$14,Paramètres!$A$1:$I$89,3,0)*0.475*44/12</f>
        <v>0</v>
      </c>
      <c r="EB20" s="23">
        <f>EXP(-LN(2)/25)*EB19+(1-EXP(-LN(2)/25))/(LN(2)/25)*Calculateur!DW20*Calculateur!DY20*VLOOKUP('Données projet'!$B$14,Paramètres!$A$1:$I$89,3,0)*0.475*44/12</f>
        <v>0</v>
      </c>
      <c r="EC20" s="23">
        <f>EXP(-LN(2)/2)*EC19+(1-EXP(-LN(2)/2))/(LN(2)/2)*DW20*DZ20*VLOOKUP('Données projet'!$B$14,Paramètres!$A$1:$I$89,3,0)*0.475*44/12</f>
        <v>0</v>
      </c>
      <c r="ED20" s="24">
        <f t="shared" si="18"/>
        <v>0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7.4358974358974361</v>
      </c>
      <c r="EJ20" s="13">
        <f>IF('Données projet'!$A$192&gt;35,EJ19+EI20-ER19,IF(A20&lt;'Données projet'!$A$192,$EG$205^A20,IF(A20='Données projet'!$A$192,'Données projet'!$B$192,EJ19+EI20-ER19)))</f>
        <v>57.179487179487182</v>
      </c>
      <c r="EK20" s="18">
        <f>EJ20*VLOOKUP('Données projet'!$B$15,Paramètres!$A$1:$I$89,3,0)*VLOOKUP('Données projet'!$B$15,Paramètres!$A$1:$I$89,5,0)</f>
        <v>59.76400000000001</v>
      </c>
      <c r="EL20" s="14">
        <f t="shared" si="45"/>
        <v>17.108587128719051</v>
      </c>
      <c r="EM20" s="22">
        <f t="shared" si="19"/>
        <v>133.88642258251903</v>
      </c>
      <c r="EN20" s="62">
        <f t="shared" si="20"/>
        <v>411.33086702696346</v>
      </c>
      <c r="EO20" s="62">
        <f ca="1">AVERAGE(OFFSET($EN$3,0,0,'Données projet'!$E$15+1,1))-AVERAGE(OFFSET($H$3,0,0,'Données projet'!$E$15+1,1))</f>
        <v>595.89992279024398</v>
      </c>
      <c r="EP20" s="62">
        <f t="shared" si="46"/>
        <v>378.16197659288338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>
        <f>EXP(-LN(2)/35)*EV19+(1-EXP(-LN(2)/35))/(LN(2)/35)*ER20*ES20*VLOOKUP('Données projet'!$B$15,Paramètres!$A$1:$I$89,3,0)*0.475*44/12</f>
        <v>0</v>
      </c>
      <c r="EW20" s="23">
        <f>EXP(-LN(2)/25)*EW19+(1-EXP(-LN(2)/25))/(LN(2)/25)*Calculateur!ER20*Calculateur!ET20*VLOOKUP('Données projet'!$B$15,Paramètres!$A$1:$I$89,3,0)*0.475*44/12</f>
        <v>0</v>
      </c>
      <c r="EX20" s="23">
        <f>EXP(-LN(2)/2)*EX19+(1-EXP(-LN(2)/2))/(LN(2)/2)*ER20*EU20*VLOOKUP('Données projet'!$B$15,Paramètres!$A$1:$I$89,3,0)*0.475*44/12</f>
        <v>0</v>
      </c>
      <c r="EY20" s="24">
        <f t="shared" si="21"/>
        <v>0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3">
        <f>VLOOKUP(A20,'Données projet'!$A$217:$I$237,2,0)</f>
        <v>126.33076923076922</v>
      </c>
      <c r="FC20" s="13">
        <f>VLOOKUP(A20,'Données projet'!$A$217:$I$237,9,0)</f>
        <v>7.4312217194570129</v>
      </c>
      <c r="FD20" s="13">
        <f t="array" ref="FD20">INDEX(FC:FC,MIN(IF(ISNUMBER(FC20:FC216),ROW(FC20:FC216),"")))</f>
        <v>7.4312217194570129</v>
      </c>
      <c r="FE20" s="13">
        <f>IF('Données projet'!$A$218&gt;35,FE19+FD20-FM19,IF(A20&lt;'Données projet'!$A$218,$FB$205^A20,IF(A20='Données projet'!$A$218,'Données projet'!$B$218,FE19+FD20-FM19)))</f>
        <v>126.33076923076922</v>
      </c>
      <c r="FF20" s="18">
        <f>FE20*VLOOKUP('Données projet'!$B$16,Paramètres!$A$1:$I$89,3,0)*VLOOKUP('Données projet'!$B$16,Paramètres!$A$1:$I$89,5,0)</f>
        <v>75.5458</v>
      </c>
      <c r="FG20" s="14">
        <f t="shared" si="47"/>
        <v>21.044504648353485</v>
      </c>
      <c r="FH20" s="22">
        <f t="shared" si="22"/>
        <v>168.22811392921565</v>
      </c>
      <c r="FI20" s="62">
        <f t="shared" si="23"/>
        <v>445.67255837366008</v>
      </c>
      <c r="FJ20" s="62">
        <f ca="1">AVERAGE(OFFSET($FI$3,0,0,'Données projet'!$E$16+1,1))-AVERAGE(OFFSET($H$3,0,0,'Données projet'!$E$16+1,1))</f>
        <v>257.56116197646924</v>
      </c>
      <c r="FK20" s="62">
        <f t="shared" si="48"/>
        <v>269.95556918835888</v>
      </c>
      <c r="FL20" s="16">
        <f>IF(ISNA(VLOOKUP(A20,'Données projet'!$A$217:$I$237,3,0)),0,VLOOKUP(A20,'Données projet'!$A$217:$I$237,3,0))</f>
        <v>1</v>
      </c>
      <c r="FM20" s="16">
        <f>IF(ISNA(VLOOKUP(A20,'Données projet'!$A$217:$I$237,4,0)),0,VLOOKUP(A20,'Données projet'!$A$217:$I$237,4,0))</f>
        <v>42.084615384615383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0.22500000000000001</v>
      </c>
      <c r="FP20" s="17">
        <f>IF(ISNA(VLOOKUP(A20,'Données projet'!$A$217:$I$237,7,0)),0%,VLOOKUP(A20,'Données projet'!$A$217:$I$237,7,0))</f>
        <v>0.5</v>
      </c>
      <c r="FQ20" s="23">
        <f>EXP(-LN(2)/35)*FQ19+(1-EXP(-LN(2)/35))/(LN(2)/35)*FM20*FN20*VLOOKUP('Données projet'!$B$16,Paramètres!$A$1:$I$89,3,0)*0.475*44/12</f>
        <v>0</v>
      </c>
      <c r="FR20" s="23">
        <f>EXP(-LN(2)/25)*FR19+(1-EXP(-LN(2)/25))/(LN(2)/25)*Calculateur!FM20*Calculateur!FO20*VLOOKUP('Données projet'!$B$16,Paramètres!$A$1:$I$89,3,0)*0.475*44/12</f>
        <v>7.4820750970079999</v>
      </c>
      <c r="FS20" s="23">
        <f>EXP(-LN(2)/2)*FS19+(1-EXP(-LN(2)/2))/(LN(2)/2)*FM20*FP20*VLOOKUP('Données projet'!$B$16,Paramètres!$A$1:$I$89,3,0)*0.475*44/12</f>
        <v>14.247218669464779</v>
      </c>
      <c r="FT20" s="24">
        <f t="shared" si="24"/>
        <v>21.729293766472779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13.103846153846154</v>
      </c>
      <c r="FZ20" s="13">
        <f>IF('Données projet'!$A$244&gt;35,FZ19+FY20-GH19,IF(A20&lt;'Données projet'!$A$244,$FW$205^A20,IF(A20='Données projet'!$A$244,'Données projet'!$B$244,FZ19+FY20-GH19)))</f>
        <v>61.915384615384617</v>
      </c>
      <c r="GA20" s="18">
        <f>FZ20*VLOOKUP('Données projet'!$B$17,Paramètres!$A$1:$I$89,3,0)*VLOOKUP('Données projet'!$B$17,Paramètres!$A$1:$I$89,5,0)</f>
        <v>37.025400000000005</v>
      </c>
      <c r="GB20" s="14">
        <f t="shared" si="49"/>
        <v>11.206718213534849</v>
      </c>
      <c r="GC20" s="22">
        <f t="shared" si="25"/>
        <v>84.004272555239865</v>
      </c>
      <c r="GD20" s="62">
        <f t="shared" si="26"/>
        <v>361.44871699968434</v>
      </c>
      <c r="GE20" s="62">
        <f ca="1">AVERAGE(OFFSET($GD$3,0,0,'Données projet'!$E$17+1,1))-AVERAGE(OFFSET($H$3,0,0,'Données projet'!$E$17+1,1))</f>
        <v>289.12367833861299</v>
      </c>
      <c r="GF20" s="62">
        <f t="shared" si="50"/>
        <v>229.06617320689003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>
        <f>EXP(-LN(2)/35)*GL19+(1-EXP(-LN(2)/35))/(LN(2)/35)*GH20*GI20*VLOOKUP('Données projet'!$B$17,Paramètres!$A$1:$I$89,3,0)*0.475*44/12</f>
        <v>0</v>
      </c>
      <c r="GM20" s="23">
        <f>EXP(-LN(2)/25)*GM19+(1-EXP(-LN(2)/25))/(LN(2)/25)*Calculateur!GH20*Calculateur!GJ20*VLOOKUP('Données projet'!$B$17,Paramètres!$A$1:$I$89,3,0)*0.475*44/12</f>
        <v>0</v>
      </c>
      <c r="GN20" s="23">
        <f>EXP(-LN(2)/2)*GN19+(1-EXP(-LN(2)/2))/(LN(2)/2)*GH20*GK20*VLOOKUP('Données projet'!$B$17,Paramètres!$A$1:$I$89,3,0)*0.475*44/12</f>
        <v>0</v>
      </c>
      <c r="GO20" s="23">
        <f t="shared" si="27"/>
        <v>0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4.9084615384615384</v>
      </c>
      <c r="GU20" s="13">
        <f>IF('Données projet'!$A$270&gt;35,GU19+GT20-HC19,IF(A20&lt;'Données projet'!$A$270,$GR$205^A20,IF(A20='Données projet'!$A$270,'Données projet'!$B$270,GU19+GT20-HC19)))</f>
        <v>16.926653343761537</v>
      </c>
      <c r="GV20" s="18">
        <f>GU20*VLOOKUP('Données projet'!$B$18,Paramètres!$A$1:$I$89,3,0)*VLOOKUP('Données projet'!$B$18,Paramètres!$A$1:$I$89,5,0)</f>
        <v>7.9216737648803992</v>
      </c>
      <c r="GW20" s="14">
        <f t="shared" si="51"/>
        <v>2.8691068648319642</v>
      </c>
      <c r="GX20" s="22">
        <f t="shared" si="28"/>
        <v>18.793942930082366</v>
      </c>
      <c r="GY20" s="62">
        <f t="shared" si="29"/>
        <v>296.23838737452684</v>
      </c>
      <c r="GZ20" s="62">
        <f ca="1">AVERAGE(OFFSET($GY$3,0,0,'Données projet'!$E$18+1,1))-AVERAGE(OFFSET($H$3,0,0,'Données projet'!$E$18+1,1))</f>
        <v>284.88646502866419</v>
      </c>
      <c r="HA20" s="62">
        <f t="shared" si="52"/>
        <v>190.4880882944471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>
        <f>EXP(-LN(2)/35)*HG19+(1-EXP(-LN(2)/35))/(LN(2)/35)*HC20*HD20*VLOOKUP('Données projet'!$B$18,Paramètres!$A$1:$I$89,3,0)*0.475*44/12</f>
        <v>0</v>
      </c>
      <c r="HH20" s="23">
        <f>EXP(-LN(2)/25)*HH19+(1-EXP(-LN(2)/25))/(LN(2)/25)*Calculateur!HC20*Calculateur!HE20*VLOOKUP('Données projet'!$B$18,Paramètres!$A$1:$I$89,3,0)*0.475*44/12</f>
        <v>0</v>
      </c>
      <c r="HI20" s="23">
        <f>EXP(-LN(2)/2)*HI19+(1-EXP(-LN(2)/2))/(LN(2)/2)*HC20*HF20*VLOOKUP('Données projet'!$B$18,Paramètres!$A$1:$I$89,3,0)*0.475*44/12</f>
        <v>0</v>
      </c>
      <c r="HJ20" s="24">
        <f t="shared" si="30"/>
        <v>0</v>
      </c>
    </row>
    <row r="21" spans="1:218" s="5" customFormat="1" x14ac:dyDescent="0.25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2">
        <f t="shared" si="32"/>
        <v>0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0</v>
      </c>
      <c r="H21" s="70">
        <f t="shared" si="1"/>
        <v>256.66666666666669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6.2820512820512802</v>
      </c>
      <c r="N21" s="14">
        <f>IF('Données projet'!$A$36&gt;35,N20+M21-V20,IF(A21&lt;'Données projet'!$A$36,$K$205^A21,IF(A21='Données projet'!$A$36,'Données projet'!$B$36,N20+M21-V20)))</f>
        <v>55.384615384615373</v>
      </c>
      <c r="O21" s="14">
        <f>N21*VLOOKUP('Données projet'!$B$9,Paramètres!$A$1:$I$89,3,0)*VLOOKUP('Données projet'!$B$9,Paramètres!$A$1:$I$89,5,0)</f>
        <v>52.703999999999994</v>
      </c>
      <c r="P21" s="14">
        <f t="shared" si="33"/>
        <v>15.30992453291827</v>
      </c>
      <c r="Q21" s="22">
        <f t="shared" si="2"/>
        <v>118.45758522816597</v>
      </c>
      <c r="R21" s="62">
        <f t="shared" si="0"/>
        <v>397.12425189483264</v>
      </c>
      <c r="S21" s="62">
        <f ca="1">AVERAGE(OFFSET($R$3,0,0,'Données projet'!$E$9+1,1))-AVERAGE(OFFSET($H$3,0,0,'Données projet'!$E$9+1,1))</f>
        <v>367.11183928586667</v>
      </c>
      <c r="T21" s="62">
        <f t="shared" si="34"/>
        <v>281.52963027844595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0</v>
      </c>
      <c r="AC21" s="24">
        <f t="shared" si="3"/>
        <v>0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2.1</v>
      </c>
      <c r="AI21" s="14">
        <f>IF('Données projet'!$A$62&gt;35,AI20+AH21-AQ20,IF(A21&lt;'Données projet'!$A$62,$AF$205^A21,IF(A21='Données projet'!$A$62,'Données projet'!$B$62,AI20+AH21-AQ20)))</f>
        <v>28.901764726506816</v>
      </c>
      <c r="AJ21" s="14">
        <f>AI21*VLOOKUP('Données projet'!$B$10,Paramètres!$A$1:$I$89,3,0)*VLOOKUP('Données projet'!$B$10,Paramètres!$A$1:$I$89,5,0)</f>
        <v>26.150316724543362</v>
      </c>
      <c r="AK21" s="14">
        <f t="shared" si="35"/>
        <v>8.2420396752158016</v>
      </c>
      <c r="AL21" s="22">
        <f t="shared" si="4"/>
        <v>59.900020729580547</v>
      </c>
      <c r="AM21" s="62">
        <f t="shared" si="5"/>
        <v>338.56668739624723</v>
      </c>
      <c r="AN21" s="62">
        <f ca="1">AVERAGE(OFFSET($AM$3,0,0,'Données projet'!$E$10+1,1))-AVERAGE(OFFSET($H$3,0,0,'Données projet'!$E$10+1,1))</f>
        <v>428.8489304403459</v>
      </c>
      <c r="AO21" s="62">
        <f t="shared" si="36"/>
        <v>247.01165577562966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projet'!$B$10,Paramètres!$A$1:$I$89,3,0)*0.475*44/12</f>
        <v>0</v>
      </c>
      <c r="AV21" s="23">
        <f>EXP(-LN(2)/25)*AV20+(1-EXP(-LN(2)/25))/(LN(2)/25)*Calculateur!AQ21*Calculateur!AS21*VLOOKUP('Données projet'!$B$10,Paramètres!$A$1:$I$89,3,0)*0.475*44/12</f>
        <v>0</v>
      </c>
      <c r="AW21" s="23">
        <f>EXP(-LN(2)/2)*AW20+(1-EXP(-LN(2)/2))/(LN(2)/2)*AQ21*AT21*VLOOKUP('Données projet'!$B$10,Paramètres!$A$1:$I$89,3,0)*0.475*44/12</f>
        <v>0</v>
      </c>
      <c r="AX21" s="23">
        <f t="shared" si="6"/>
        <v>0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2.1</v>
      </c>
      <c r="BD21" s="13">
        <f>IF('Données projet'!$A$88&gt;35,BD20+BC21-BL20,IF(A21&lt;'Données projet'!$A$88,$BA$205^A21,IF(A21='Données projet'!$A$88,'Données projet'!$B$88,BD20+BC21-BL20)))</f>
        <v>28.901764726506816</v>
      </c>
      <c r="BE21" s="14">
        <f>BD21*VLOOKUP('Données projet'!$B$11,Paramètres!$A$1:$I$89,3,0)*VLOOKUP('Données projet'!$B$11,Paramètres!$A$1:$I$89,5,0)</f>
        <v>29.306389432677911</v>
      </c>
      <c r="BF21" s="14">
        <f t="shared" si="37"/>
        <v>9.1150691477493808</v>
      </c>
      <c r="BG21" s="22">
        <f t="shared" si="7"/>
        <v>66.917373694244205</v>
      </c>
      <c r="BH21" s="62">
        <f t="shared" si="8"/>
        <v>345.58404036091088</v>
      </c>
      <c r="BI21" s="62">
        <f ca="1">AVERAGE(OFFSET($BH$3,0,0,'Données projet'!$E$11+1,1))-AVERAGE(OFFSET($H$3,0,0,'Données projet'!$E$11+1,1))</f>
        <v>475.47920969424894</v>
      </c>
      <c r="BJ21" s="62">
        <f t="shared" si="38"/>
        <v>271.73544012419364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>
        <f>EXP(-LN(2)/35)*BP20+(1-EXP(-LN(2)/35))/(LN(2)/35)*BL21*BM21*VLOOKUP('Données projet'!$B$11,Paramètres!$A$1:$I$89,3,0)*0.475*44/12</f>
        <v>0</v>
      </c>
      <c r="BQ21" s="23">
        <f>EXP(-LN(2)/25)*BQ20+(1-EXP(-LN(2)/25))/(LN(2)/25)*Calculateur!BL21*Calculateur!BN21*VLOOKUP('Données projet'!$B$11,Paramètres!$A$1:$I$89,3,0)*0.475*44/12</f>
        <v>0</v>
      </c>
      <c r="BR21" s="23">
        <f>EXP(-LN(2)/2)*BR20+(1-EXP(-LN(2)/2))/(LN(2)/2)*BL21*BO21*VLOOKUP('Données projet'!$B$11,Paramètres!$A$1:$I$89,3,0)*0.475*44/12</f>
        <v>0</v>
      </c>
      <c r="BS21" s="24">
        <f t="shared" si="9"/>
        <v>0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7.7987854251012134</v>
      </c>
      <c r="BY21" s="13">
        <f>IF('Données projet'!$A$114&gt;35,BY20+BX21-CG20,IF(A21&lt;'Données projet'!$A$114,$BV$205^A21,IF(A21='Données projet'!$A$114,'Données projet'!$B$114,BY20+BX21-CG20)))</f>
        <v>113.90137405897467</v>
      </c>
      <c r="BZ21" s="14">
        <f>BY21*VLOOKUP('Données projet'!$B$12,Paramètres!$A$1:$I$89,3,0)*VLOOKUP('Données projet'!$B$12,Paramètres!$A$1:$I$89,5,0)</f>
        <v>63.670868098966835</v>
      </c>
      <c r="CA21" s="14">
        <f t="shared" si="39"/>
        <v>18.093147773646375</v>
      </c>
      <c r="CB21" s="22">
        <f t="shared" si="10"/>
        <v>142.40566097813468</v>
      </c>
      <c r="CC21" s="62">
        <f t="shared" si="11"/>
        <v>421.07232764480136</v>
      </c>
      <c r="CD21" s="62">
        <f ca="1">AVERAGE(OFFSET($CC$3,0,0,'Données projet'!$E$12+1,1))-AVERAGE(OFFSET($H$3,0,0,'Données projet'!$E$12+1,1))</f>
        <v>323.98185264074681</v>
      </c>
      <c r="CE21" s="62">
        <f t="shared" si="40"/>
        <v>301.22207291854005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>
        <f>EXP(-LN(2)/35)*CK20+(1-EXP(-LN(2)/35))/(LN(2)/35)*CG21*CH21*VLOOKUP('Données projet'!$B$12,Paramètres!$A$1:$I$89,3,0)*0.475*44/12</f>
        <v>0</v>
      </c>
      <c r="CL21" s="23">
        <f>EXP(-LN(2)/25)*CL20+(1-EXP(-LN(2)/25))/(LN(2)/25)*Calculateur!CG21*Calculateur!CI21*VLOOKUP('Données projet'!$B$12,Paramètres!$A$1:$I$89,3,0)*0.475*44/12</f>
        <v>0</v>
      </c>
      <c r="CM21" s="23">
        <f>EXP(-LN(2)/2)*CM20+(1-EXP(-LN(2)/2))/(LN(2)/2)*CG21*CJ21*VLOOKUP('Données projet'!$B$12,Paramètres!$A$1:$I$89,3,0)*0.475*44/12</f>
        <v>0</v>
      </c>
      <c r="CN21" s="24">
        <f t="shared" si="12"/>
        <v>0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1.2</v>
      </c>
      <c r="CT21" s="13">
        <f>IF('Données projet'!$A$140&gt;35,CT20+CS21-DB20,IF(A21&lt;'Données projet'!$A$140,$CQ$205^A21,IF(A21='Données projet'!$A$140,'Données projet'!$B$140,CT20+CS21-DB20)))</f>
        <v>11.575168010312384</v>
      </c>
      <c r="CU21" s="18">
        <f>CT21*VLOOKUP('Données projet'!$B$13,Paramètres!$A$1:$I$89,3,0)*VLOOKUP('Données projet'!$B$13,Paramètres!$A$1:$I$89,5,0)</f>
        <v>13.181801330143742</v>
      </c>
      <c r="CV21" s="14">
        <f t="shared" si="41"/>
        <v>4.4994741849523159</v>
      </c>
      <c r="CW21" s="22">
        <f t="shared" si="13"/>
        <v>30.794888188792299</v>
      </c>
      <c r="CX21" s="62">
        <f t="shared" si="14"/>
        <v>309.46155485545899</v>
      </c>
      <c r="CY21" s="62">
        <f ca="1">AVERAGE(OFFSET($CX$3,0,0,'Données projet'!$E$13+1,1))-AVERAGE(OFFSET($H$3,0,0,'Données projet'!$E$13+1,1))</f>
        <v>399.78832690250164</v>
      </c>
      <c r="CZ21" s="62">
        <f t="shared" si="42"/>
        <v>174.32967064896343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>
        <f>EXP(-LN(2)/35)*DF20+(1-EXP(-LN(2)/35))/(LN(2)/35)*DB21*DC21*VLOOKUP('Données projet'!$B$13,Paramètres!$A$1:$I$89,3,0)*0.475*44/12</f>
        <v>0</v>
      </c>
      <c r="DG21" s="23">
        <f>EXP(-LN(2)/25)*DG20+(1-EXP(-LN(2)/25))/(LN(2)/25)*Calculateur!DB21*Calculateur!DD21*VLOOKUP('Données projet'!$B$13,Paramètres!$A$1:$I$89,3,0)*0.475*44/12</f>
        <v>0</v>
      </c>
      <c r="DH21" s="23">
        <f>EXP(-LN(2)/2)*DH20+(1-EXP(-LN(2)/2))/(LN(2)/2)*DB21*DE21*VLOOKUP('Données projet'!$B$13,Paramètres!$A$1:$I$89,3,0)*0.475*44/12</f>
        <v>0</v>
      </c>
      <c r="DI21" s="24">
        <f t="shared" si="15"/>
        <v>0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2.1</v>
      </c>
      <c r="DO21" s="13">
        <f>IF('Données projet'!$A$166&gt;35,DO20+DN21-DW20,IF(A21&lt;'Données projet'!$A$166,$DL$205^A21,IF(A21='Données projet'!$A$166,'Données projet'!$B$166,DO20+DN21-DW20)))</f>
        <v>28.901764726506816</v>
      </c>
      <c r="DP21" s="18">
        <f>DO21*VLOOKUP('Données projet'!$B$14,Paramètres!$A$1:$I$89,3,0)*VLOOKUP('Données projet'!$B$14,Paramètres!$A$1:$I$89,5,0)</f>
        <v>24.346846605609343</v>
      </c>
      <c r="DQ21" s="14">
        <f t="shared" si="43"/>
        <v>7.7377171800078735</v>
      </c>
      <c r="DR21" s="22">
        <f t="shared" si="16"/>
        <v>55.880615259949991</v>
      </c>
      <c r="DS21" s="62">
        <f t="shared" si="17"/>
        <v>334.54728192661668</v>
      </c>
      <c r="DT21" s="62">
        <f ca="1">AVERAGE(OFFSET($DS$3,0,0,'Données projet'!$E$14+1,1))-AVERAGE(OFFSET($H$3,0,0,'Données projet'!$E$14+1,1))</f>
        <v>402.15128814037058</v>
      </c>
      <c r="DU21" s="62">
        <f t="shared" si="44"/>
        <v>232.85411068442738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>
        <f>EXP(-LN(2)/35)*EA20+(1-EXP(-LN(2)/35))/(LN(2)/35)*DW21*DX21*VLOOKUP('Données projet'!$B$14,Paramètres!$A$1:$I$89,3,0)*0.475*44/12</f>
        <v>0</v>
      </c>
      <c r="EB21" s="23">
        <f>EXP(-LN(2)/25)*EB20+(1-EXP(-LN(2)/25))/(LN(2)/25)*Calculateur!DW21*Calculateur!DY21*VLOOKUP('Données projet'!$B$14,Paramètres!$A$1:$I$89,3,0)*0.475*44/12</f>
        <v>0</v>
      </c>
      <c r="EC21" s="23">
        <f>EXP(-LN(2)/2)*EC20+(1-EXP(-LN(2)/2))/(LN(2)/2)*DW21*DZ21*VLOOKUP('Données projet'!$B$14,Paramètres!$A$1:$I$89,3,0)*0.475*44/12</f>
        <v>0</v>
      </c>
      <c r="ED21" s="24">
        <f t="shared" si="18"/>
        <v>0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7.4358974358974361</v>
      </c>
      <c r="EJ21" s="13">
        <f>IF('Données projet'!$A$192&gt;35,EJ20+EI21-ER20,IF(A21&lt;'Données projet'!$A$192,$EG$205^A21,IF(A21='Données projet'!$A$192,'Données projet'!$B$192,EJ20+EI21-ER20)))</f>
        <v>64.615384615384613</v>
      </c>
      <c r="EK21" s="18">
        <f>EJ21*VLOOKUP('Données projet'!$B$15,Paramètres!$A$1:$I$89,3,0)*VLOOKUP('Données projet'!$B$15,Paramètres!$A$1:$I$89,5,0)</f>
        <v>67.536000000000001</v>
      </c>
      <c r="EL21" s="14">
        <f t="shared" si="45"/>
        <v>19.060289237119235</v>
      </c>
      <c r="EM21" s="22">
        <f t="shared" si="19"/>
        <v>150.82187042131599</v>
      </c>
      <c r="EN21" s="62">
        <f t="shared" si="20"/>
        <v>429.48853708798265</v>
      </c>
      <c r="EO21" s="62">
        <f ca="1">AVERAGE(OFFSET($EN$3,0,0,'Données projet'!$E$15+1,1))-AVERAGE(OFFSET($H$3,0,0,'Données projet'!$E$15+1,1))</f>
        <v>595.89992279024398</v>
      </c>
      <c r="EP21" s="62">
        <f t="shared" si="46"/>
        <v>378.16197659288338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>
        <f>EXP(-LN(2)/35)*EV20+(1-EXP(-LN(2)/35))/(LN(2)/35)*ER21*ES21*VLOOKUP('Données projet'!$B$15,Paramètres!$A$1:$I$89,3,0)*0.475*44/12</f>
        <v>0</v>
      </c>
      <c r="EW21" s="23">
        <f>EXP(-LN(2)/25)*EW20+(1-EXP(-LN(2)/25))/(LN(2)/25)*Calculateur!ER21*Calculateur!ET21*VLOOKUP('Données projet'!$B$15,Paramètres!$A$1:$I$89,3,0)*0.475*44/12</f>
        <v>0</v>
      </c>
      <c r="EX21" s="23">
        <f>EXP(-LN(2)/2)*EX20+(1-EXP(-LN(2)/2))/(LN(2)/2)*ER21*EU21*VLOOKUP('Données projet'!$B$15,Paramètres!$A$1:$I$89,3,0)*0.475*44/12</f>
        <v>0</v>
      </c>
      <c r="EY21" s="24">
        <f t="shared" si="21"/>
        <v>0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14.926923076923075</v>
      </c>
      <c r="FE21" s="13">
        <f>IF('Données projet'!$A$218&gt;35,FE20+FD21-FM20,IF(A21&lt;'Données projet'!$A$218,$FB$205^A21,IF(A21='Données projet'!$A$218,'Données projet'!$B$218,FE20+FD21-FM20)))</f>
        <v>99.173076923076934</v>
      </c>
      <c r="FF21" s="18">
        <f>FE21*VLOOKUP('Données projet'!$B$16,Paramètres!$A$1:$I$89,3,0)*VLOOKUP('Données projet'!$B$16,Paramètres!$A$1:$I$89,5,0)</f>
        <v>59.305500000000016</v>
      </c>
      <c r="FG21" s="14">
        <f t="shared" si="47"/>
        <v>16.992558820122873</v>
      </c>
      <c r="FH21" s="22">
        <f t="shared" si="22"/>
        <v>132.88578577838067</v>
      </c>
      <c r="FI21" s="62">
        <f t="shared" si="23"/>
        <v>411.55245244504738</v>
      </c>
      <c r="FJ21" s="62">
        <f ca="1">AVERAGE(OFFSET($FI$3,0,0,'Données projet'!$E$16+1,1))-AVERAGE(OFFSET($H$3,0,0,'Données projet'!$E$16+1,1))</f>
        <v>257.56116197646924</v>
      </c>
      <c r="FK21" s="62">
        <f t="shared" si="48"/>
        <v>269.95556918835888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>
        <f>EXP(-LN(2)/35)*FQ20+(1-EXP(-LN(2)/35))/(LN(2)/35)*FM21*FN21*VLOOKUP('Données projet'!$B$16,Paramètres!$A$1:$I$89,3,0)*0.475*44/12</f>
        <v>0</v>
      </c>
      <c r="FR21" s="23">
        <f>EXP(-LN(2)/25)*FR20+(1-EXP(-LN(2)/25))/(LN(2)/25)*Calculateur!FM21*Calculateur!FO21*VLOOKUP('Données projet'!$B$16,Paramètres!$A$1:$I$89,3,0)*0.475*44/12</f>
        <v>7.2774773600150873</v>
      </c>
      <c r="FS21" s="23">
        <f>EXP(-LN(2)/2)*FS20+(1-EXP(-LN(2)/2))/(LN(2)/2)*FM21*FP21*VLOOKUP('Données projet'!$B$16,Paramètres!$A$1:$I$89,3,0)*0.475*44/12</f>
        <v>10.074304934226127</v>
      </c>
      <c r="FT21" s="24">
        <f t="shared" si="24"/>
        <v>17.351782294241215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13.103846153846154</v>
      </c>
      <c r="FZ21" s="13">
        <f>IF('Données projet'!$A$244&gt;35,FZ20+FY21-GH20,IF(A21&lt;'Données projet'!$A$244,$FW$205^A21,IF(A21='Données projet'!$A$244,'Données projet'!$B$244,FZ20+FY21-GH20)))</f>
        <v>75.019230769230774</v>
      </c>
      <c r="GA21" s="18">
        <f>FZ21*VLOOKUP('Données projet'!$B$17,Paramètres!$A$1:$I$89,3,0)*VLOOKUP('Données projet'!$B$17,Paramètres!$A$1:$I$89,5,0)</f>
        <v>44.861500000000007</v>
      </c>
      <c r="GB21" s="14">
        <f t="shared" si="49"/>
        <v>13.278461120637754</v>
      </c>
      <c r="GC21" s="22">
        <f t="shared" si="25"/>
        <v>101.26043228511077</v>
      </c>
      <c r="GD21" s="62">
        <f t="shared" si="26"/>
        <v>379.92709895177745</v>
      </c>
      <c r="GE21" s="62">
        <f ca="1">AVERAGE(OFFSET($GD$3,0,0,'Données projet'!$E$17+1,1))-AVERAGE(OFFSET($H$3,0,0,'Données projet'!$E$17+1,1))</f>
        <v>289.12367833861299</v>
      </c>
      <c r="GF21" s="62">
        <f t="shared" si="50"/>
        <v>229.06617320689003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>
        <f>EXP(-LN(2)/35)*GL20+(1-EXP(-LN(2)/35))/(LN(2)/35)*GH21*GI21*VLOOKUP('Données projet'!$B$17,Paramètres!$A$1:$I$89,3,0)*0.475*44/12</f>
        <v>0</v>
      </c>
      <c r="GM21" s="23">
        <f>EXP(-LN(2)/25)*GM20+(1-EXP(-LN(2)/25))/(LN(2)/25)*Calculateur!GH21*Calculateur!GJ21*VLOOKUP('Données projet'!$B$17,Paramètres!$A$1:$I$89,3,0)*0.475*44/12</f>
        <v>0</v>
      </c>
      <c r="GN21" s="23">
        <f>EXP(-LN(2)/2)*GN20+(1-EXP(-LN(2)/2))/(LN(2)/2)*GH21*GK21*VLOOKUP('Données projet'!$B$17,Paramètres!$A$1:$I$89,3,0)*0.475*44/12</f>
        <v>0</v>
      </c>
      <c r="GO21" s="23">
        <f t="shared" si="27"/>
        <v>0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4.9084615384615384</v>
      </c>
      <c r="GU21" s="13">
        <f>IF('Données projet'!$A$270&gt;35,GU20+GT21-HC20,IF(A21&lt;'Données projet'!$A$270,$GR$205^A21,IF(A21='Données projet'!$A$270,'Données projet'!$B$270,GU20+GT21-HC20)))</f>
        <v>19.991251747746755</v>
      </c>
      <c r="GV21" s="18">
        <f>GU21*VLOOKUP('Données projet'!$B$18,Paramètres!$A$1:$I$89,3,0)*VLOOKUP('Données projet'!$B$18,Paramètres!$A$1:$I$89,5,0)</f>
        <v>9.3559058179454802</v>
      </c>
      <c r="GW21" s="14">
        <f t="shared" si="51"/>
        <v>3.3235599293549551</v>
      </c>
      <c r="GX21" s="22">
        <f t="shared" si="28"/>
        <v>22.083402843214927</v>
      </c>
      <c r="GY21" s="62">
        <f t="shared" si="29"/>
        <v>300.7500695098816</v>
      </c>
      <c r="GZ21" s="62">
        <f ca="1">AVERAGE(OFFSET($GY$3,0,0,'Données projet'!$E$18+1,1))-AVERAGE(OFFSET($H$3,0,0,'Données projet'!$E$18+1,1))</f>
        <v>284.88646502866419</v>
      </c>
      <c r="HA21" s="62">
        <f t="shared" si="52"/>
        <v>190.4880882944471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>
        <f>EXP(-LN(2)/35)*HG20+(1-EXP(-LN(2)/35))/(LN(2)/35)*HC21*HD21*VLOOKUP('Données projet'!$B$18,Paramètres!$A$1:$I$89,3,0)*0.475*44/12</f>
        <v>0</v>
      </c>
      <c r="HH21" s="23">
        <f>EXP(-LN(2)/25)*HH20+(1-EXP(-LN(2)/25))/(LN(2)/25)*Calculateur!HC21*Calculateur!HE21*VLOOKUP('Données projet'!$B$18,Paramètres!$A$1:$I$89,3,0)*0.475*44/12</f>
        <v>0</v>
      </c>
      <c r="HI21" s="23">
        <f>EXP(-LN(2)/2)*HI20+(1-EXP(-LN(2)/2))/(LN(2)/2)*HC21*HF21*VLOOKUP('Données projet'!$B$18,Paramètres!$A$1:$I$89,3,0)*0.475*44/12</f>
        <v>0</v>
      </c>
      <c r="HJ21" s="24">
        <f t="shared" si="30"/>
        <v>0</v>
      </c>
    </row>
    <row r="22" spans="1:218" s="5" customFormat="1" x14ac:dyDescent="0.25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2">
        <f t="shared" si="32"/>
        <v>0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0</v>
      </c>
      <c r="H22" s="70">
        <f t="shared" si="1"/>
        <v>256.66666666666669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6.2820512820512802</v>
      </c>
      <c r="N22" s="14">
        <f>IF('Données projet'!$A$36&gt;35,N21+M22-V21,IF(A22&lt;'Données projet'!$A$36,$K$205^A22,IF(A22='Données projet'!$A$36,'Données projet'!$B$36,N21+M22-V21)))</f>
        <v>61.66666666666665</v>
      </c>
      <c r="O22" s="14">
        <f>N22*VLOOKUP('Données projet'!$B$9,Paramètres!$A$1:$I$89,3,0)*VLOOKUP('Données projet'!$B$9,Paramètres!$A$1:$I$89,5,0)</f>
        <v>58.681999999999981</v>
      </c>
      <c r="P22" s="14">
        <f t="shared" si="33"/>
        <v>16.834607713213735</v>
      </c>
      <c r="Q22" s="22">
        <f t="shared" si="2"/>
        <v>131.52475843384721</v>
      </c>
      <c r="R22" s="62">
        <f t="shared" si="0"/>
        <v>411.4136473227361</v>
      </c>
      <c r="S22" s="62">
        <f ca="1">AVERAGE(OFFSET($R$3,0,0,'Données projet'!$E$9+1,1))-AVERAGE(OFFSET($H$3,0,0,'Données projet'!$E$9+1,1))</f>
        <v>367.11183928586667</v>
      </c>
      <c r="T22" s="62">
        <f t="shared" si="34"/>
        <v>281.52963027844595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0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0</v>
      </c>
      <c r="AC22" s="24">
        <f t="shared" si="3"/>
        <v>0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2.1</v>
      </c>
      <c r="AI22" s="14">
        <f>IF('Données projet'!$A$62&gt;35,AI21+AH22-AQ21,IF(A22&lt;'Données projet'!$A$62,$AF$205^A22,IF(A22='Données projet'!$A$62,'Données projet'!$B$62,AI21+AH22-AQ21)))</f>
        <v>34.840696297767764</v>
      </c>
      <c r="AJ22" s="14">
        <f>AI22*VLOOKUP('Données projet'!$B$10,Paramètres!$A$1:$I$89,3,0)*VLOOKUP('Données projet'!$B$10,Paramètres!$A$1:$I$89,5,0)</f>
        <v>31.52386201022027</v>
      </c>
      <c r="AK22" s="14">
        <f t="shared" si="35"/>
        <v>9.7218710074397983</v>
      </c>
      <c r="AL22" s="22">
        <f t="shared" si="4"/>
        <v>71.836318339091292</v>
      </c>
      <c r="AM22" s="62">
        <f t="shared" si="5"/>
        <v>351.72520722798015</v>
      </c>
      <c r="AN22" s="62">
        <f ca="1">AVERAGE(OFFSET($AM$3,0,0,'Données projet'!$E$10+1,1))-AVERAGE(OFFSET($H$3,0,0,'Données projet'!$E$10+1,1))</f>
        <v>428.8489304403459</v>
      </c>
      <c r="AO22" s="62">
        <f t="shared" si="36"/>
        <v>247.01165577562966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projet'!$B$10,Paramètres!$A$1:$I$89,3,0)*0.475*44/12</f>
        <v>0</v>
      </c>
      <c r="AV22" s="23">
        <f>EXP(-LN(2)/25)*AV21+(1-EXP(-LN(2)/25))/(LN(2)/25)*Calculateur!AQ22*Calculateur!AS22*VLOOKUP('Données projet'!$B$10,Paramètres!$A$1:$I$89,3,0)*0.475*44/12</f>
        <v>0</v>
      </c>
      <c r="AW22" s="23">
        <f>EXP(-LN(2)/2)*AW21+(1-EXP(-LN(2)/2))/(LN(2)/2)*AQ22*AT22*VLOOKUP('Données projet'!$B$10,Paramètres!$A$1:$I$89,3,0)*0.475*44/12</f>
        <v>0</v>
      </c>
      <c r="AX22" s="23">
        <f t="shared" si="6"/>
        <v>0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2.1</v>
      </c>
      <c r="BD22" s="13">
        <f>IF('Données projet'!$A$88&gt;35,BD21+BC22-BL21,IF(A22&lt;'Données projet'!$A$88,$BA$205^A22,IF(A22='Données projet'!$A$88,'Données projet'!$B$88,BD21+BC22-BL21)))</f>
        <v>34.840696297767764</v>
      </c>
      <c r="BE22" s="14">
        <f>BD22*VLOOKUP('Données projet'!$B$11,Paramètres!$A$1:$I$89,3,0)*VLOOKUP('Données projet'!$B$11,Paramètres!$A$1:$I$89,5,0)</f>
        <v>35.328466045936516</v>
      </c>
      <c r="BF22" s="14">
        <f t="shared" si="37"/>
        <v>10.751650073316766</v>
      </c>
      <c r="BG22" s="22">
        <f t="shared" si="7"/>
        <v>80.256202241032796</v>
      </c>
      <c r="BH22" s="62">
        <f t="shared" si="8"/>
        <v>360.14509112992164</v>
      </c>
      <c r="BI22" s="62">
        <f ca="1">AVERAGE(OFFSET($BH$3,0,0,'Données projet'!$E$11+1,1))-AVERAGE(OFFSET($H$3,0,0,'Données projet'!$E$11+1,1))</f>
        <v>475.47920969424894</v>
      </c>
      <c r="BJ22" s="62">
        <f t="shared" si="38"/>
        <v>271.73544012419364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>
        <f>EXP(-LN(2)/35)*BP21+(1-EXP(-LN(2)/35))/(LN(2)/35)*BL22*BM22*VLOOKUP('Données projet'!$B$11,Paramètres!$A$1:$I$89,3,0)*0.475*44/12</f>
        <v>0</v>
      </c>
      <c r="BQ22" s="23">
        <f>EXP(-LN(2)/25)*BQ21+(1-EXP(-LN(2)/25))/(LN(2)/25)*Calculateur!BL22*Calculateur!BN22*VLOOKUP('Données projet'!$B$11,Paramètres!$A$1:$I$89,3,0)*0.475*44/12</f>
        <v>0</v>
      </c>
      <c r="BR22" s="23">
        <f>EXP(-LN(2)/2)*BR21+(1-EXP(-LN(2)/2))/(LN(2)/2)*BL22*BO22*VLOOKUP('Données projet'!$B$11,Paramètres!$A$1:$I$89,3,0)*0.475*44/12</f>
        <v>0</v>
      </c>
      <c r="BS22" s="24">
        <f t="shared" si="9"/>
        <v>0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3">
        <f>VLOOKUP(A22,'Données projet'!$A$113:$I$133,2,0)</f>
        <v>148.17692307692306</v>
      </c>
      <c r="BW22" s="13">
        <f>VLOOKUP(A22,'Données projet'!$A$113:$I$133,9,0)</f>
        <v>7.7987854251012134</v>
      </c>
      <c r="BX22" s="13">
        <f t="array" ref="BX22">INDEX(BW:BW,MIN(IF(ISNUMBER(BW22:BW218),ROW(BW22:BW218),"")))</f>
        <v>7.7987854251012134</v>
      </c>
      <c r="BY22" s="13">
        <f>IF('Données projet'!$A$114&gt;35,BY21+BX22-CG21,IF(A22&lt;'Données projet'!$A$114,$BV$205^A22,IF(A22='Données projet'!$A$114,'Données projet'!$B$114,BY21+BX22-CG21)))</f>
        <v>148.17692307692306</v>
      </c>
      <c r="BZ22" s="14">
        <f>BY22*VLOOKUP('Données projet'!$B$12,Paramètres!$A$1:$I$89,3,0)*VLOOKUP('Données projet'!$B$12,Paramètres!$A$1:$I$89,5,0)</f>
        <v>82.830899999999986</v>
      </c>
      <c r="CA22" s="14">
        <f t="shared" si="39"/>
        <v>22.827946813839315</v>
      </c>
      <c r="CB22" s="22">
        <f t="shared" si="10"/>
        <v>184.02249153410344</v>
      </c>
      <c r="CC22" s="62">
        <f t="shared" si="11"/>
        <v>463.91138042299229</v>
      </c>
      <c r="CD22" s="62">
        <f ca="1">AVERAGE(OFFSET($CC$3,0,0,'Données projet'!$E$12+1,1))-AVERAGE(OFFSET($H$3,0,0,'Données projet'!$E$12+1,1))</f>
        <v>323.98185264074681</v>
      </c>
      <c r="CE22" s="62">
        <f t="shared" si="40"/>
        <v>301.22207291854005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>
        <f>EXP(-LN(2)/35)*CK21+(1-EXP(-LN(2)/35))/(LN(2)/35)*CG22*CH22*VLOOKUP('Données projet'!$B$12,Paramètres!$A$1:$I$89,3,0)*0.475*44/12</f>
        <v>0</v>
      </c>
      <c r="CL22" s="23">
        <f>EXP(-LN(2)/25)*CL21+(1-EXP(-LN(2)/25))/(LN(2)/25)*Calculateur!CG22*Calculateur!CI22*VLOOKUP('Données projet'!$B$12,Paramètres!$A$1:$I$89,3,0)*0.475*44/12</f>
        <v>0</v>
      </c>
      <c r="CM22" s="23">
        <f>EXP(-LN(2)/2)*CM21+(1-EXP(-LN(2)/2))/(LN(2)/2)*CG22*CJ22*VLOOKUP('Données projet'!$B$12,Paramètres!$A$1:$I$89,3,0)*0.475*44/12</f>
        <v>0</v>
      </c>
      <c r="CN22" s="24">
        <f t="shared" si="12"/>
        <v>0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1.2</v>
      </c>
      <c r="CT22" s="13">
        <f>IF('Données projet'!$A$140&gt;35,CT21+CS22-DB21,IF(A22&lt;'Données projet'!$A$140,$CQ$205^A22,IF(A22='Données projet'!$A$140,'Données projet'!$B$140,CT21+CS22-DB21)))</f>
        <v>13.262095581124292</v>
      </c>
      <c r="CU22" s="18">
        <f>CT22*VLOOKUP('Données projet'!$B$13,Paramètres!$A$1:$I$89,3,0)*VLOOKUP('Données projet'!$B$13,Paramètres!$A$1:$I$89,5,0)</f>
        <v>15.102874447784345</v>
      </c>
      <c r="CV22" s="14">
        <f t="shared" si="41"/>
        <v>5.074218192988301</v>
      </c>
      <c r="CW22" s="22">
        <f t="shared" si="13"/>
        <v>35.141769682679019</v>
      </c>
      <c r="CX22" s="62">
        <f t="shared" si="14"/>
        <v>315.03065857156787</v>
      </c>
      <c r="CY22" s="62">
        <f ca="1">AVERAGE(OFFSET($CX$3,0,0,'Données projet'!$E$13+1,1))-AVERAGE(OFFSET($H$3,0,0,'Données projet'!$E$13+1,1))</f>
        <v>399.78832690250164</v>
      </c>
      <c r="CZ22" s="62">
        <f t="shared" si="42"/>
        <v>174.32967064896343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>
        <f>EXP(-LN(2)/35)*DF21+(1-EXP(-LN(2)/35))/(LN(2)/35)*DB22*DC22*VLOOKUP('Données projet'!$B$13,Paramètres!$A$1:$I$89,3,0)*0.475*44/12</f>
        <v>0</v>
      </c>
      <c r="DG22" s="23">
        <f>EXP(-LN(2)/25)*DG21+(1-EXP(-LN(2)/25))/(LN(2)/25)*Calculateur!DB22*Calculateur!DD22*VLOOKUP('Données projet'!$B$13,Paramètres!$A$1:$I$89,3,0)*0.475*44/12</f>
        <v>0</v>
      </c>
      <c r="DH22" s="23">
        <f>EXP(-LN(2)/2)*DH21+(1-EXP(-LN(2)/2))/(LN(2)/2)*DB22*DE22*VLOOKUP('Données projet'!$B$13,Paramètres!$A$1:$I$89,3,0)*0.475*44/12</f>
        <v>0</v>
      </c>
      <c r="DI22" s="24">
        <f t="shared" si="15"/>
        <v>0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2.1</v>
      </c>
      <c r="DO22" s="13">
        <f>IF('Données projet'!$A$166&gt;35,DO21+DN22-DW21,IF(A22&lt;'Données projet'!$A$166,$DL$205^A22,IF(A22='Données projet'!$A$166,'Données projet'!$B$166,DO21+DN22-DW21)))</f>
        <v>34.840696297767764</v>
      </c>
      <c r="DP22" s="18">
        <f>DO22*VLOOKUP('Données projet'!$B$14,Paramètres!$A$1:$I$89,3,0)*VLOOKUP('Données projet'!$B$14,Paramètres!$A$1:$I$89,5,0)</f>
        <v>29.349802561239567</v>
      </c>
      <c r="DQ22" s="14">
        <f t="shared" si="43"/>
        <v>9.1269990536799668</v>
      </c>
      <c r="DR22" s="22">
        <f t="shared" si="16"/>
        <v>67.013762812651535</v>
      </c>
      <c r="DS22" s="62">
        <f t="shared" si="17"/>
        <v>346.90265170154038</v>
      </c>
      <c r="DT22" s="62">
        <f ca="1">AVERAGE(OFFSET($DS$3,0,0,'Données projet'!$E$14+1,1))-AVERAGE(OFFSET($H$3,0,0,'Données projet'!$E$14+1,1))</f>
        <v>402.15128814037058</v>
      </c>
      <c r="DU22" s="62">
        <f t="shared" si="44"/>
        <v>232.85411068442738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>
        <f>EXP(-LN(2)/35)*EA21+(1-EXP(-LN(2)/35))/(LN(2)/35)*DW22*DX22*VLOOKUP('Données projet'!$B$14,Paramètres!$A$1:$I$89,3,0)*0.475*44/12</f>
        <v>0</v>
      </c>
      <c r="EB22" s="23">
        <f>EXP(-LN(2)/25)*EB21+(1-EXP(-LN(2)/25))/(LN(2)/25)*Calculateur!DW22*Calculateur!DY22*VLOOKUP('Données projet'!$B$14,Paramètres!$A$1:$I$89,3,0)*0.475*44/12</f>
        <v>0</v>
      </c>
      <c r="EC22" s="23">
        <f>EXP(-LN(2)/2)*EC21+(1-EXP(-LN(2)/2))/(LN(2)/2)*DW22*DZ22*VLOOKUP('Données projet'!$B$14,Paramètres!$A$1:$I$89,3,0)*0.475*44/12</f>
        <v>0</v>
      </c>
      <c r="ED22" s="24">
        <f t="shared" si="18"/>
        <v>0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7.4358974358974361</v>
      </c>
      <c r="EJ22" s="13">
        <f>IF('Données projet'!$A$192&gt;35,EJ21+EI22-ER21,IF(A22&lt;'Données projet'!$A$192,$EG$205^A22,IF(A22='Données projet'!$A$192,'Données projet'!$B$192,EJ21+EI22-ER21)))</f>
        <v>72.051282051282044</v>
      </c>
      <c r="EK22" s="18">
        <f>EJ22*VLOOKUP('Données projet'!$B$15,Paramètres!$A$1:$I$89,3,0)*VLOOKUP('Données projet'!$B$15,Paramètres!$A$1:$I$89,5,0)</f>
        <v>75.308000000000007</v>
      </c>
      <c r="EL22" s="14">
        <f t="shared" si="45"/>
        <v>20.985961565400835</v>
      </c>
      <c r="EM22" s="22">
        <f t="shared" si="19"/>
        <v>167.71198305973982</v>
      </c>
      <c r="EN22" s="62">
        <f t="shared" si="20"/>
        <v>447.60087194862865</v>
      </c>
      <c r="EO22" s="62">
        <f ca="1">AVERAGE(OFFSET($EN$3,0,0,'Données projet'!$E$15+1,1))-AVERAGE(OFFSET($H$3,0,0,'Données projet'!$E$15+1,1))</f>
        <v>595.89992279024398</v>
      </c>
      <c r="EP22" s="62">
        <f t="shared" si="46"/>
        <v>378.16197659288338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>
        <f>EXP(-LN(2)/35)*EV21+(1-EXP(-LN(2)/35))/(LN(2)/35)*ER22*ES22*VLOOKUP('Données projet'!$B$15,Paramètres!$A$1:$I$89,3,0)*0.475*44/12</f>
        <v>0</v>
      </c>
      <c r="EW22" s="23">
        <f>EXP(-LN(2)/25)*EW21+(1-EXP(-LN(2)/25))/(LN(2)/25)*Calculateur!ER22*Calculateur!ET22*VLOOKUP('Données projet'!$B$15,Paramètres!$A$1:$I$89,3,0)*0.475*44/12</f>
        <v>0</v>
      </c>
      <c r="EX22" s="23">
        <f>EXP(-LN(2)/2)*EX21+(1-EXP(-LN(2)/2))/(LN(2)/2)*ER22*EU22*VLOOKUP('Données projet'!$B$15,Paramètres!$A$1:$I$89,3,0)*0.475*44/12</f>
        <v>0</v>
      </c>
      <c r="EY22" s="24">
        <f t="shared" si="21"/>
        <v>0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14.926923076923075</v>
      </c>
      <c r="FE22" s="13">
        <f>IF('Données projet'!$A$218&gt;35,FE21+FD22-FM21,IF(A22&lt;'Données projet'!$A$218,$FB$205^A22,IF(A22='Données projet'!$A$218,'Données projet'!$B$218,FE21+FD22-FM21)))</f>
        <v>114.10000000000001</v>
      </c>
      <c r="FF22" s="18">
        <f>FE22*VLOOKUP('Données projet'!$B$16,Paramètres!$A$1:$I$89,3,0)*VLOOKUP('Données projet'!$B$16,Paramètres!$A$1:$I$89,5,0)</f>
        <v>68.231800000000007</v>
      </c>
      <c r="FG22" s="14">
        <f t="shared" si="47"/>
        <v>19.233699497264624</v>
      </c>
      <c r="FH22" s="22">
        <f t="shared" si="22"/>
        <v>152.3357449577359</v>
      </c>
      <c r="FI22" s="62">
        <f t="shared" si="23"/>
        <v>432.22463384662478</v>
      </c>
      <c r="FJ22" s="62">
        <f ca="1">AVERAGE(OFFSET($FI$3,0,0,'Données projet'!$E$16+1,1))-AVERAGE(OFFSET($H$3,0,0,'Données projet'!$E$16+1,1))</f>
        <v>257.56116197646924</v>
      </c>
      <c r="FK22" s="62">
        <f t="shared" si="48"/>
        <v>269.95556918835888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>
        <f>EXP(-LN(2)/35)*FQ21+(1-EXP(-LN(2)/35))/(LN(2)/35)*FM22*FN22*VLOOKUP('Données projet'!$B$16,Paramètres!$A$1:$I$89,3,0)*0.475*44/12</f>
        <v>0</v>
      </c>
      <c r="FR22" s="23">
        <f>EXP(-LN(2)/25)*FR21+(1-EXP(-LN(2)/25))/(LN(2)/25)*Calculateur!FM22*Calculateur!FO22*VLOOKUP('Données projet'!$B$16,Paramètres!$A$1:$I$89,3,0)*0.475*44/12</f>
        <v>7.0784743588995731</v>
      </c>
      <c r="FS22" s="23">
        <f>EXP(-LN(2)/2)*FS21+(1-EXP(-LN(2)/2))/(LN(2)/2)*FM22*FP22*VLOOKUP('Données projet'!$B$16,Paramètres!$A$1:$I$89,3,0)*0.475*44/12</f>
        <v>7.1236093347323903</v>
      </c>
      <c r="FT22" s="24">
        <f t="shared" si="24"/>
        <v>14.202083693631963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13.103846153846154</v>
      </c>
      <c r="FZ22" s="13">
        <f>IF('Données projet'!$A$244&gt;35,FZ21+FY22-GH21,IF(A22&lt;'Données projet'!$A$244,$FW$205^A22,IF(A22='Données projet'!$A$244,'Données projet'!$B$244,FZ21+FY22-GH21)))</f>
        <v>88.123076923076923</v>
      </c>
      <c r="GA22" s="18">
        <f>FZ22*VLOOKUP('Données projet'!$B$17,Paramètres!$A$1:$I$89,3,0)*VLOOKUP('Données projet'!$B$17,Paramètres!$A$1:$I$89,5,0)</f>
        <v>52.697600000000008</v>
      </c>
      <c r="GB22" s="14">
        <f t="shared" si="49"/>
        <v>15.30828179522207</v>
      </c>
      <c r="GC22" s="22">
        <f t="shared" si="25"/>
        <v>118.4435774600118</v>
      </c>
      <c r="GD22" s="62">
        <f t="shared" si="26"/>
        <v>398.33246634890065</v>
      </c>
      <c r="GE22" s="62">
        <f ca="1">AVERAGE(OFFSET($GD$3,0,0,'Données projet'!$E$17+1,1))-AVERAGE(OFFSET($H$3,0,0,'Données projet'!$E$17+1,1))</f>
        <v>289.12367833861299</v>
      </c>
      <c r="GF22" s="62">
        <f t="shared" si="50"/>
        <v>229.06617320689003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>
        <f>EXP(-LN(2)/35)*GL21+(1-EXP(-LN(2)/35))/(LN(2)/35)*GH22*GI22*VLOOKUP('Données projet'!$B$17,Paramètres!$A$1:$I$89,3,0)*0.475*44/12</f>
        <v>0</v>
      </c>
      <c r="GM22" s="23">
        <f>EXP(-LN(2)/25)*GM21+(1-EXP(-LN(2)/25))/(LN(2)/25)*Calculateur!GH22*Calculateur!GJ22*VLOOKUP('Données projet'!$B$17,Paramètres!$A$1:$I$89,3,0)*0.475*44/12</f>
        <v>0</v>
      </c>
      <c r="GN22" s="23">
        <f>EXP(-LN(2)/2)*GN21+(1-EXP(-LN(2)/2))/(LN(2)/2)*GH22*GK22*VLOOKUP('Données projet'!$B$17,Paramètres!$A$1:$I$89,3,0)*0.475*44/12</f>
        <v>0</v>
      </c>
      <c r="GO22" s="23">
        <f t="shared" si="27"/>
        <v>0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4.9084615384615384</v>
      </c>
      <c r="GU22" s="13">
        <f>IF('Données projet'!$A$270&gt;35,GU21+GT22-HC21,IF(A22&lt;'Données projet'!$A$270,$GR$205^A22,IF(A22='Données projet'!$A$270,'Données projet'!$B$270,GU21+GT22-HC21)))</f>
        <v>23.610700728923604</v>
      </c>
      <c r="GV22" s="18">
        <f>GU22*VLOOKUP('Données projet'!$B$18,Paramètres!$A$1:$I$89,3,0)*VLOOKUP('Données projet'!$B$18,Paramètres!$A$1:$I$89,5,0)</f>
        <v>11.049807941136248</v>
      </c>
      <c r="GW22" s="14">
        <f t="shared" si="51"/>
        <v>3.8499962268435248</v>
      </c>
      <c r="GX22" s="22">
        <f t="shared" si="28"/>
        <v>25.950492259231435</v>
      </c>
      <c r="GY22" s="62">
        <f t="shared" si="29"/>
        <v>305.83938114812031</v>
      </c>
      <c r="GZ22" s="62">
        <f ca="1">AVERAGE(OFFSET($GY$3,0,0,'Données projet'!$E$18+1,1))-AVERAGE(OFFSET($H$3,0,0,'Données projet'!$E$18+1,1))</f>
        <v>284.88646502866419</v>
      </c>
      <c r="HA22" s="62">
        <f t="shared" si="52"/>
        <v>190.4880882944471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>
        <f>EXP(-LN(2)/35)*HG21+(1-EXP(-LN(2)/35))/(LN(2)/35)*HC22*HD22*VLOOKUP('Données projet'!$B$18,Paramètres!$A$1:$I$89,3,0)*0.475*44/12</f>
        <v>0</v>
      </c>
      <c r="HH22" s="23">
        <f>EXP(-LN(2)/25)*HH21+(1-EXP(-LN(2)/25))/(LN(2)/25)*Calculateur!HC22*Calculateur!HE22*VLOOKUP('Données projet'!$B$18,Paramètres!$A$1:$I$89,3,0)*0.475*44/12</f>
        <v>0</v>
      </c>
      <c r="HI22" s="23">
        <f>EXP(-LN(2)/2)*HI21+(1-EXP(-LN(2)/2))/(LN(2)/2)*HC22*HF22*VLOOKUP('Données projet'!$B$18,Paramètres!$A$1:$I$89,3,0)*0.475*44/12</f>
        <v>0</v>
      </c>
      <c r="HJ22" s="24">
        <f t="shared" si="30"/>
        <v>0</v>
      </c>
    </row>
    <row r="23" spans="1:218" s="5" customFormat="1" x14ac:dyDescent="0.25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2">
        <f t="shared" si="32"/>
        <v>0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0</v>
      </c>
      <c r="H23" s="70">
        <f t="shared" si="1"/>
        <v>256.66666666666669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3">
        <f>VLOOKUP(A23,'Données projet'!$A$35:$I$55,2,0)</f>
        <v>67.948717948717942</v>
      </c>
      <c r="L23" s="13">
        <f>VLOOKUP(A23,'Données projet'!$A$35:$I$55,9,0)</f>
        <v>6.2820512820512802</v>
      </c>
      <c r="M23" s="13">
        <f t="array" ref="M23">INDEX(L:L,MIN(IF(ISNUMBER(L23:L219),ROW(L23:L219),"")))</f>
        <v>6.2820512820512802</v>
      </c>
      <c r="N23" s="14">
        <f>IF('Données projet'!$A$36&gt;35,N22+M23-V22,IF(A23&lt;'Données projet'!$A$36,$K$205^A23,IF(A23='Données projet'!$A$36,'Données projet'!$B$36,N22+M23-V22)))</f>
        <v>67.948717948717928</v>
      </c>
      <c r="O23" s="14">
        <f>N23*VLOOKUP('Données projet'!$B$9,Paramètres!$A$1:$I$89,3,0)*VLOOKUP('Données projet'!$B$9,Paramètres!$A$1:$I$89,5,0)</f>
        <v>64.659999999999982</v>
      </c>
      <c r="P23" s="14">
        <f t="shared" si="33"/>
        <v>18.341285436472681</v>
      </c>
      <c r="Q23" s="22">
        <f t="shared" si="2"/>
        <v>144.56057213518989</v>
      </c>
      <c r="R23" s="62">
        <f t="shared" si="0"/>
        <v>425.67168324630103</v>
      </c>
      <c r="S23" s="62">
        <f ca="1">AVERAGE(OFFSET($R$3,0,0,'Données projet'!$E$9+1,1))-AVERAGE(OFFSET($H$3,0,0,'Données projet'!$E$9+1,1))</f>
        <v>367.11183928586667</v>
      </c>
      <c r="T23" s="62">
        <f t="shared" si="34"/>
        <v>281.52963027844595</v>
      </c>
      <c r="U23" s="16">
        <f>IF(ISNA(VLOOKUP(A23,'Données projet'!$A$35:$I$55,3,0)),0,VLOOKUP(A23,'Données projet'!$A$35:$I$55,3,0))</f>
        <v>1</v>
      </c>
      <c r="V23" s="16">
        <f>IF(ISNA(VLOOKUP(A23,'Données projet'!$A$35:$I$55,4,0)),0,VLOOKUP(A23,'Données projet'!$A$35:$I$55,4,0))</f>
        <v>16.666666666666668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0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0</v>
      </c>
      <c r="AC23" s="24">
        <f t="shared" si="3"/>
        <v>0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3">
        <f>VLOOKUP(A23,'Données projet'!$A$61:$I$81,2,0)</f>
        <v>42</v>
      </c>
      <c r="AG23" s="13">
        <f>VLOOKUP(A23,'Données projet'!$A$61:$I$81,9,0)</f>
        <v>2.1</v>
      </c>
      <c r="AH23" s="13">
        <f t="array" ref="AH23">INDEX(AG:AG,MIN(IF(ISNUMBER(AG23:AG219),ROW(AG23:AG219),"")))</f>
        <v>2.1</v>
      </c>
      <c r="AI23" s="14">
        <f>IF('Données projet'!$A$62&gt;35,AI22+AH23-AQ22,IF(A23&lt;'Données projet'!$A$62,$AF$205^A23,IF(A23='Données projet'!$A$62,'Données projet'!$B$62,AI22+AH23-AQ22)))</f>
        <v>42</v>
      </c>
      <c r="AJ23" s="14">
        <f>AI23*VLOOKUP('Données projet'!$B$10,Paramètres!$A$1:$I$89,3,0)*VLOOKUP('Données projet'!$B$10,Paramètres!$A$1:$I$89,5,0)</f>
        <v>38.001600000000003</v>
      </c>
      <c r="AK23" s="14">
        <f t="shared" si="35"/>
        <v>11.467401227090512</v>
      </c>
      <c r="AL23" s="22">
        <f t="shared" si="4"/>
        <v>86.158510470515978</v>
      </c>
      <c r="AM23" s="62">
        <f t="shared" si="5"/>
        <v>367.26962158162712</v>
      </c>
      <c r="AN23" s="62">
        <f ca="1">AVERAGE(OFFSET($AM$3,0,0,'Données projet'!$E$10+1,1))-AVERAGE(OFFSET($H$3,0,0,'Données projet'!$E$10+1,1))</f>
        <v>428.8489304403459</v>
      </c>
      <c r="AO23" s="62">
        <f t="shared" si="36"/>
        <v>247.01165577562966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>
        <f>EXP(-LN(2)/35)*AU22+(1-EXP(-LN(2)/35))/(LN(2)/35)*AQ23*AR23*VLOOKUP('Données projet'!$B$10,Paramètres!$A$1:$I$89,3,0)*0.475*44/12</f>
        <v>0</v>
      </c>
      <c r="AV23" s="23">
        <f>EXP(-LN(2)/25)*AV22+(1-EXP(-LN(2)/25))/(LN(2)/25)*Calculateur!AQ23*Calculateur!AS23*VLOOKUP('Données projet'!$B$10,Paramètres!$A$1:$I$89,3,0)*0.475*44/12</f>
        <v>0</v>
      </c>
      <c r="AW23" s="23">
        <f>EXP(-LN(2)/2)*AW22+(1-EXP(-LN(2)/2))/(LN(2)/2)*AQ23*AT23*VLOOKUP('Données projet'!$B$10,Paramètres!$A$1:$I$89,3,0)*0.475*44/12</f>
        <v>0</v>
      </c>
      <c r="AX23" s="23">
        <f t="shared" si="6"/>
        <v>0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3">
        <f>VLOOKUP(A23,'Données projet'!$A$87:$I$107,2,0)</f>
        <v>42</v>
      </c>
      <c r="BB23" s="13">
        <f>VLOOKUP(A23,'Données projet'!$A$87:$I$107,9,0)</f>
        <v>2.1</v>
      </c>
      <c r="BC23" s="13">
        <f t="array" ref="BC23">INDEX(BB:BB,MIN(IF(ISNUMBER(BB23:BB219),ROW(BB23:BB219),"")))</f>
        <v>2.1</v>
      </c>
      <c r="BD23" s="13">
        <f>IF('Données projet'!$A$88&gt;35,BD22+BC23-BL22,IF(A23&lt;'Données projet'!$A$88,$BA$205^A23,IF(A23='Données projet'!$A$88,'Données projet'!$B$88,BD22+BC23-BL22)))</f>
        <v>42</v>
      </c>
      <c r="BE23" s="14">
        <f>BD23*VLOOKUP('Données projet'!$B$11,Paramètres!$A$1:$I$89,3,0)*VLOOKUP('Données projet'!$B$11,Paramètres!$A$1:$I$89,5,0)</f>
        <v>42.588000000000001</v>
      </c>
      <c r="BF23" s="14">
        <f t="shared" si="37"/>
        <v>12.682073764365764</v>
      </c>
      <c r="BG23" s="22">
        <f t="shared" si="7"/>
        <v>96.262045139603686</v>
      </c>
      <c r="BH23" s="62">
        <f t="shared" si="8"/>
        <v>377.37315625071483</v>
      </c>
      <c r="BI23" s="62">
        <f ca="1">AVERAGE(OFFSET($BH$3,0,0,'Données projet'!$E$11+1,1))-AVERAGE(OFFSET($H$3,0,0,'Données projet'!$E$11+1,1))</f>
        <v>475.47920969424894</v>
      </c>
      <c r="BJ23" s="62">
        <f t="shared" si="38"/>
        <v>271.73544012419364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>
        <f>EXP(-LN(2)/35)*BP22+(1-EXP(-LN(2)/35))/(LN(2)/35)*BL23*BM23*VLOOKUP('Données projet'!$B$11,Paramètres!$A$1:$I$89,3,0)*0.475*44/12</f>
        <v>0</v>
      </c>
      <c r="BQ23" s="23">
        <f>EXP(-LN(2)/25)*BQ22+(1-EXP(-LN(2)/25))/(LN(2)/25)*Calculateur!BL23*Calculateur!BN23*VLOOKUP('Données projet'!$B$11,Paramètres!$A$1:$I$89,3,0)*0.475*44/12</f>
        <v>0</v>
      </c>
      <c r="BR23" s="23">
        <f>EXP(-LN(2)/2)*BR22+(1-EXP(-LN(2)/2))/(LN(2)/2)*BL23*BO23*VLOOKUP('Données projet'!$B$11,Paramètres!$A$1:$I$89,3,0)*0.475*44/12</f>
        <v>0</v>
      </c>
      <c r="BS23" s="24">
        <f t="shared" si="9"/>
        <v>0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15.942307692307708</v>
      </c>
      <c r="BY23" s="13">
        <f>IF('Données projet'!$A$114&gt;35,BY22+BX23-CG22,IF(A23&lt;'Données projet'!$A$114,$BV$205^A23,IF(A23='Données projet'!$A$114,'Données projet'!$B$114,BY22+BX23-CG22)))</f>
        <v>164.11923076923077</v>
      </c>
      <c r="BZ23" s="14">
        <f>BY23*VLOOKUP('Données projet'!$B$12,Paramètres!$A$1:$I$89,3,0)*VLOOKUP('Données projet'!$B$12,Paramètres!$A$1:$I$89,5,0)</f>
        <v>91.742650000000012</v>
      </c>
      <c r="CA23" s="14">
        <f t="shared" si="39"/>
        <v>24.985039964008102</v>
      </c>
      <c r="CB23" s="22">
        <f t="shared" si="10"/>
        <v>203.3007266873141</v>
      </c>
      <c r="CC23" s="62">
        <f t="shared" si="11"/>
        <v>484.41183779842527</v>
      </c>
      <c r="CD23" s="62">
        <f ca="1">AVERAGE(OFFSET($CC$3,0,0,'Données projet'!$E$12+1,1))-AVERAGE(OFFSET($H$3,0,0,'Données projet'!$E$12+1,1))</f>
        <v>323.98185264074681</v>
      </c>
      <c r="CE23" s="62">
        <f t="shared" si="40"/>
        <v>301.22207291854005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>
        <f>EXP(-LN(2)/35)*CK22+(1-EXP(-LN(2)/35))/(LN(2)/35)*CG23*CH23*VLOOKUP('Données projet'!$B$12,Paramètres!$A$1:$I$89,3,0)*0.475*44/12</f>
        <v>0</v>
      </c>
      <c r="CL23" s="23">
        <f>EXP(-LN(2)/25)*CL22+(1-EXP(-LN(2)/25))/(LN(2)/25)*Calculateur!CG23*Calculateur!CI23*VLOOKUP('Données projet'!$B$12,Paramètres!$A$1:$I$89,3,0)*0.475*44/12</f>
        <v>0</v>
      </c>
      <c r="CM23" s="23">
        <f>EXP(-LN(2)/2)*CM22+(1-EXP(-LN(2)/2))/(LN(2)/2)*CG23*CJ23*VLOOKUP('Données projet'!$B$12,Paramètres!$A$1:$I$89,3,0)*0.475*44/12</f>
        <v>0</v>
      </c>
      <c r="CN23" s="24">
        <f t="shared" si="12"/>
        <v>0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1.2</v>
      </c>
      <c r="CT23" s="13">
        <f>IF('Données projet'!$A$140&gt;35,CT22+CS23-DB22,IF(A23&lt;'Données projet'!$A$140,$CQ$205^A23,IF(A23='Données projet'!$A$140,'Données projet'!$B$140,CT22+CS23-DB22)))</f>
        <v>15.194870523363559</v>
      </c>
      <c r="CU23" s="18">
        <f>CT23*VLOOKUP('Données projet'!$B$13,Paramètres!$A$1:$I$89,3,0)*VLOOKUP('Données projet'!$B$13,Paramètres!$A$1:$I$89,5,0)</f>
        <v>17.303918552006422</v>
      </c>
      <c r="CV23" s="14">
        <f t="shared" si="41"/>
        <v>5.7223775960671075</v>
      </c>
      <c r="CW23" s="22">
        <f t="shared" si="13"/>
        <v>40.104132457894728</v>
      </c>
      <c r="CX23" s="62">
        <f t="shared" si="14"/>
        <v>321.21524356900585</v>
      </c>
      <c r="CY23" s="62">
        <f ca="1">AVERAGE(OFFSET($CX$3,0,0,'Données projet'!$E$13+1,1))-AVERAGE(OFFSET($H$3,0,0,'Données projet'!$E$13+1,1))</f>
        <v>399.78832690250164</v>
      </c>
      <c r="CZ23" s="62">
        <f t="shared" si="42"/>
        <v>174.32967064896343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>
        <f>EXP(-LN(2)/35)*DF22+(1-EXP(-LN(2)/35))/(LN(2)/35)*DB23*DC23*VLOOKUP('Données projet'!$B$13,Paramètres!$A$1:$I$89,3,0)*0.475*44/12</f>
        <v>0</v>
      </c>
      <c r="DG23" s="23">
        <f>EXP(-LN(2)/25)*DG22+(1-EXP(-LN(2)/25))/(LN(2)/25)*Calculateur!DB23*Calculateur!DD23*VLOOKUP('Données projet'!$B$13,Paramètres!$A$1:$I$89,3,0)*0.475*44/12</f>
        <v>0</v>
      </c>
      <c r="DH23" s="23">
        <f>EXP(-LN(2)/2)*DH22+(1-EXP(-LN(2)/2))/(LN(2)/2)*DB23*DE23*VLOOKUP('Données projet'!$B$13,Paramètres!$A$1:$I$89,3,0)*0.475*44/12</f>
        <v>0</v>
      </c>
      <c r="DI23" s="24">
        <f t="shared" si="15"/>
        <v>0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3">
        <f>VLOOKUP(A23,'Données projet'!$A$165:$I$185,2,0)</f>
        <v>42</v>
      </c>
      <c r="DM23" s="13">
        <f>VLOOKUP(A23,'Données projet'!$A$165:$I$185,9,0)</f>
        <v>2.1</v>
      </c>
      <c r="DN23" s="13">
        <f t="array" ref="DN23">INDEX(DM:DM,MIN(IF(ISNUMBER(DM23:DM219),ROW(DM23:DM219),"")))</f>
        <v>2.1</v>
      </c>
      <c r="DO23" s="13">
        <f>IF('Données projet'!$A$166&gt;35,DO22+DN23-DW22,IF(A23&lt;'Données projet'!$A$166,$DL$205^A23,IF(A23='Données projet'!$A$166,'Données projet'!$B$166,DO22+DN23-DW22)))</f>
        <v>42</v>
      </c>
      <c r="DP23" s="18">
        <f>DO23*VLOOKUP('Données projet'!$B$14,Paramètres!$A$1:$I$89,3,0)*VLOOKUP('Données projet'!$B$14,Paramètres!$A$1:$I$89,5,0)</f>
        <v>35.380800000000001</v>
      </c>
      <c r="DQ23" s="14">
        <f t="shared" si="43"/>
        <v>10.765721954933243</v>
      </c>
      <c r="DR23" s="22">
        <f t="shared" si="16"/>
        <v>80.371859071508723</v>
      </c>
      <c r="DS23" s="62">
        <f t="shared" si="17"/>
        <v>361.48297018261985</v>
      </c>
      <c r="DT23" s="62">
        <f ca="1">AVERAGE(OFFSET($DS$3,0,0,'Données projet'!$E$14+1,1))-AVERAGE(OFFSET($H$3,0,0,'Données projet'!$E$14+1,1))</f>
        <v>402.15128814037058</v>
      </c>
      <c r="DU23" s="62">
        <f t="shared" si="44"/>
        <v>232.85411068442738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>
        <f>EXP(-LN(2)/35)*EA22+(1-EXP(-LN(2)/35))/(LN(2)/35)*DW23*DX23*VLOOKUP('Données projet'!$B$14,Paramètres!$A$1:$I$89,3,0)*0.475*44/12</f>
        <v>0</v>
      </c>
      <c r="EB23" s="23">
        <f>EXP(-LN(2)/25)*EB22+(1-EXP(-LN(2)/25))/(LN(2)/25)*Calculateur!DW23*Calculateur!DY23*VLOOKUP('Données projet'!$B$14,Paramètres!$A$1:$I$89,3,0)*0.475*44/12</f>
        <v>0</v>
      </c>
      <c r="EC23" s="23">
        <f>EXP(-LN(2)/2)*EC22+(1-EXP(-LN(2)/2))/(LN(2)/2)*DW23*DZ23*VLOOKUP('Données projet'!$B$14,Paramètres!$A$1:$I$89,3,0)*0.475*44/12</f>
        <v>0</v>
      </c>
      <c r="ED23" s="24">
        <f t="shared" si="18"/>
        <v>0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3">
        <f>VLOOKUP(A23,'Données projet'!$A$191:$I$211,2,0)</f>
        <v>79.487179487179489</v>
      </c>
      <c r="EH23" s="13">
        <f>VLOOKUP(A23,'Données projet'!$A$191:$I$211,9,0)</f>
        <v>7.4358974358974361</v>
      </c>
      <c r="EI23" s="13">
        <f t="array" ref="EI23">INDEX(EH:EH,MIN(IF(ISNUMBER(EH23:EH219),ROW(EH23:EH219),"")))</f>
        <v>7.4358974358974361</v>
      </c>
      <c r="EJ23" s="13">
        <f>IF('Données projet'!$A$192&gt;35,EJ22+EI23-ER22,IF(A23&lt;'Données projet'!$A$192,$EG$205^A23,IF(A23='Données projet'!$A$192,'Données projet'!$B$192,EJ22+EI23-ER22)))</f>
        <v>79.487179487179475</v>
      </c>
      <c r="EK23" s="18">
        <f>EJ23*VLOOKUP('Données projet'!$B$15,Paramètres!$A$1:$I$89,3,0)*VLOOKUP('Données projet'!$B$15,Paramètres!$A$1:$I$89,5,0)</f>
        <v>83.079999999999984</v>
      </c>
      <c r="EL23" s="14">
        <f t="shared" si="45"/>
        <v>22.888596418138132</v>
      </c>
      <c r="EM23" s="22">
        <f t="shared" si="19"/>
        <v>184.5619720949239</v>
      </c>
      <c r="EN23" s="62">
        <f t="shared" si="20"/>
        <v>465.67308320603502</v>
      </c>
      <c r="EO23" s="62">
        <f ca="1">AVERAGE(OFFSET($EN$3,0,0,'Données projet'!$E$15+1,1))-AVERAGE(OFFSET($H$3,0,0,'Données projet'!$E$15+1,1))</f>
        <v>595.89992279024398</v>
      </c>
      <c r="EP23" s="62">
        <f t="shared" si="46"/>
        <v>378.16197659288338</v>
      </c>
      <c r="EQ23" s="16">
        <f>IF(ISNA(VLOOKUP(A23,'Données projet'!$A$191:$I$211,3,0)),0,VLOOKUP(A23,'Données projet'!$A$191:$I$211,3,0))</f>
        <v>1</v>
      </c>
      <c r="ER23" s="16">
        <f>IF(ISNA(VLOOKUP(A23,'Données projet'!$A$191:$I$211,4,0)),0,VLOOKUP(A23,'Données projet'!$A$191:$I$211,4,0))</f>
        <v>12.820512820512819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>
        <f>EXP(-LN(2)/35)*EV22+(1-EXP(-LN(2)/35))/(LN(2)/35)*ER23*ES23*VLOOKUP('Données projet'!$B$15,Paramètres!$A$1:$I$89,3,0)*0.475*44/12</f>
        <v>0</v>
      </c>
      <c r="EW23" s="23">
        <f>EXP(-LN(2)/25)*EW22+(1-EXP(-LN(2)/25))/(LN(2)/25)*Calculateur!ER23*Calculateur!ET23*VLOOKUP('Données projet'!$B$15,Paramètres!$A$1:$I$89,3,0)*0.475*44/12</f>
        <v>0</v>
      </c>
      <c r="EX23" s="23">
        <f>EXP(-LN(2)/2)*EX22+(1-EXP(-LN(2)/2))/(LN(2)/2)*ER23*EU23*VLOOKUP('Données projet'!$B$15,Paramètres!$A$1:$I$89,3,0)*0.475*44/12</f>
        <v>0</v>
      </c>
      <c r="EY23" s="24">
        <f t="shared" si="21"/>
        <v>0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14.926923076923075</v>
      </c>
      <c r="FE23" s="13">
        <f>IF('Données projet'!$A$218&gt;35,FE22+FD23-FM22,IF(A23&lt;'Données projet'!$A$218,$FB$205^A23,IF(A23='Données projet'!$A$218,'Données projet'!$B$218,FE22+FD23-FM22)))</f>
        <v>129.02692307692308</v>
      </c>
      <c r="FF23" s="18">
        <f>FE23*VLOOKUP('Données projet'!$B$16,Paramètres!$A$1:$I$89,3,0)*VLOOKUP('Données projet'!$B$16,Paramètres!$A$1:$I$89,5,0)</f>
        <v>77.158100000000005</v>
      </c>
      <c r="FG23" s="14">
        <f t="shared" si="47"/>
        <v>21.440868838738705</v>
      </c>
      <c r="FH23" s="22">
        <f t="shared" si="22"/>
        <v>171.72653739413659</v>
      </c>
      <c r="FI23" s="62">
        <f t="shared" si="23"/>
        <v>452.83764850524773</v>
      </c>
      <c r="FJ23" s="62">
        <f ca="1">AVERAGE(OFFSET($FI$3,0,0,'Données projet'!$E$16+1,1))-AVERAGE(OFFSET($H$3,0,0,'Données projet'!$E$16+1,1))</f>
        <v>257.56116197646924</v>
      </c>
      <c r="FK23" s="62">
        <f t="shared" si="48"/>
        <v>269.95556918835888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>
        <f>EXP(-LN(2)/35)*FQ22+(1-EXP(-LN(2)/35))/(LN(2)/35)*FM23*FN23*VLOOKUP('Données projet'!$B$16,Paramètres!$A$1:$I$89,3,0)*0.475*44/12</f>
        <v>0</v>
      </c>
      <c r="FR23" s="23">
        <f>EXP(-LN(2)/25)*FR22+(1-EXP(-LN(2)/25))/(LN(2)/25)*Calculateur!FM23*Calculateur!FO23*VLOOKUP('Données projet'!$B$16,Paramètres!$A$1:$I$89,3,0)*0.475*44/12</f>
        <v>6.8849131053146762</v>
      </c>
      <c r="FS23" s="23">
        <f>EXP(-LN(2)/2)*FS22+(1-EXP(-LN(2)/2))/(LN(2)/2)*FM23*FP23*VLOOKUP('Données projet'!$B$16,Paramètres!$A$1:$I$89,3,0)*0.475*44/12</f>
        <v>5.0371524671130636</v>
      </c>
      <c r="FT23" s="24">
        <f t="shared" si="24"/>
        <v>11.922065572427741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13.103846153846154</v>
      </c>
      <c r="FZ23" s="13">
        <f>IF('Données projet'!$A$244&gt;35,FZ22+FY23-GH22,IF(A23&lt;'Données projet'!$A$244,$FW$205^A23,IF(A23='Données projet'!$A$244,'Données projet'!$B$244,FZ22+FY23-GH22)))</f>
        <v>101.22692307692307</v>
      </c>
      <c r="GA23" s="18">
        <f>FZ23*VLOOKUP('Données projet'!$B$17,Paramètres!$A$1:$I$89,3,0)*VLOOKUP('Données projet'!$B$17,Paramètres!$A$1:$I$89,5,0)</f>
        <v>60.533700000000003</v>
      </c>
      <c r="GB23" s="14">
        <f t="shared" si="49"/>
        <v>17.303135492539088</v>
      </c>
      <c r="GC23" s="22">
        <f t="shared" si="25"/>
        <v>135.56582181617225</v>
      </c>
      <c r="GD23" s="62">
        <f t="shared" si="26"/>
        <v>416.67693292728336</v>
      </c>
      <c r="GE23" s="62">
        <f ca="1">AVERAGE(OFFSET($GD$3,0,0,'Données projet'!$E$17+1,1))-AVERAGE(OFFSET($H$3,0,0,'Données projet'!$E$17+1,1))</f>
        <v>289.12367833861299</v>
      </c>
      <c r="GF23" s="62">
        <f t="shared" si="50"/>
        <v>229.06617320689003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>
        <f>EXP(-LN(2)/35)*GL22+(1-EXP(-LN(2)/35))/(LN(2)/35)*GH23*GI23*VLOOKUP('Données projet'!$B$17,Paramètres!$A$1:$I$89,3,0)*0.475*44/12</f>
        <v>0</v>
      </c>
      <c r="GM23" s="23">
        <f>EXP(-LN(2)/25)*GM22+(1-EXP(-LN(2)/25))/(LN(2)/25)*Calculateur!GH23*Calculateur!GJ23*VLOOKUP('Données projet'!$B$17,Paramètres!$A$1:$I$89,3,0)*0.475*44/12</f>
        <v>0</v>
      </c>
      <c r="GN23" s="23">
        <f>EXP(-LN(2)/2)*GN22+(1-EXP(-LN(2)/2))/(LN(2)/2)*GH23*GK23*VLOOKUP('Données projet'!$B$17,Paramètres!$A$1:$I$89,3,0)*0.475*44/12</f>
        <v>0</v>
      </c>
      <c r="GO23" s="23">
        <f t="shared" si="27"/>
        <v>0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4.9084615384615384</v>
      </c>
      <c r="GU23" s="13">
        <f>IF('Données projet'!$A$270&gt;35,GU22+GT23-HC22,IF(A23&lt;'Données projet'!$A$270,$GR$205^A23,IF(A23='Données projet'!$A$270,'Données projet'!$B$270,GU22+GT23-HC22)))</f>
        <v>27.885456896095882</v>
      </c>
      <c r="GV23" s="18">
        <f>GU23*VLOOKUP('Données projet'!$B$18,Paramètres!$A$1:$I$89,3,0)*VLOOKUP('Données projet'!$B$18,Paramètres!$A$1:$I$89,5,0)</f>
        <v>13.050393827372874</v>
      </c>
      <c r="GW23" s="14">
        <f t="shared" si="51"/>
        <v>4.459817563628576</v>
      </c>
      <c r="GX23" s="22">
        <f t="shared" si="28"/>
        <v>30.49695150599419</v>
      </c>
      <c r="GY23" s="62">
        <f t="shared" si="29"/>
        <v>311.60806261710536</v>
      </c>
      <c r="GZ23" s="62">
        <f ca="1">AVERAGE(OFFSET($GY$3,0,0,'Données projet'!$E$18+1,1))-AVERAGE(OFFSET($H$3,0,0,'Données projet'!$E$18+1,1))</f>
        <v>284.88646502866419</v>
      </c>
      <c r="HA23" s="62">
        <f t="shared" si="52"/>
        <v>190.4880882944471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>
        <f>EXP(-LN(2)/35)*HG22+(1-EXP(-LN(2)/35))/(LN(2)/35)*HC23*HD23*VLOOKUP('Données projet'!$B$18,Paramètres!$A$1:$I$89,3,0)*0.475*44/12</f>
        <v>0</v>
      </c>
      <c r="HH23" s="23">
        <f>EXP(-LN(2)/25)*HH22+(1-EXP(-LN(2)/25))/(LN(2)/25)*Calculateur!HC23*Calculateur!HE23*VLOOKUP('Données projet'!$B$18,Paramètres!$A$1:$I$89,3,0)*0.475*44/12</f>
        <v>0</v>
      </c>
      <c r="HI23" s="23">
        <f>EXP(-LN(2)/2)*HI22+(1-EXP(-LN(2)/2))/(LN(2)/2)*HC23*HF23*VLOOKUP('Données projet'!$B$18,Paramètres!$A$1:$I$89,3,0)*0.475*44/12</f>
        <v>0</v>
      </c>
      <c r="HJ23" s="24">
        <f t="shared" si="30"/>
        <v>0</v>
      </c>
    </row>
    <row r="24" spans="1:218" s="5" customFormat="1" x14ac:dyDescent="0.25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2">
        <f t="shared" si="32"/>
        <v>0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0</v>
      </c>
      <c r="H24" s="70">
        <f t="shared" si="1"/>
        <v>256.66666666666669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6.5384615384615419</v>
      </c>
      <c r="N24" s="14">
        <f>IF('Données projet'!$A$36&gt;35,N23+M24-V23,IF(A24&lt;'Données projet'!$A$36,$K$205^A24,IF(A24='Données projet'!$A$36,'Données projet'!$B$36,N23+M24-V23)))</f>
        <v>57.820512820512803</v>
      </c>
      <c r="O24" s="14">
        <f>N24*VLOOKUP('Données projet'!$B$9,Paramètres!$A$1:$I$89,3,0)*VLOOKUP('Données projet'!$B$9,Paramètres!$A$1:$I$89,5,0)</f>
        <v>55.021999999999977</v>
      </c>
      <c r="P24" s="14">
        <f t="shared" si="33"/>
        <v>15.903400778596186</v>
      </c>
      <c r="Q24" s="22">
        <f t="shared" si="2"/>
        <v>123.52840635605497</v>
      </c>
      <c r="R24" s="62">
        <f t="shared" si="0"/>
        <v>405.86173968938829</v>
      </c>
      <c r="S24" s="62">
        <f ca="1">AVERAGE(OFFSET($R$3,0,0,'Données projet'!$E$9+1,1))-AVERAGE(OFFSET($H$3,0,0,'Données projet'!$E$9+1,1))</f>
        <v>367.11183928586667</v>
      </c>
      <c r="T24" s="62">
        <f t="shared" si="34"/>
        <v>281.52963027844595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0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0</v>
      </c>
      <c r="AC24" s="24">
        <f t="shared" si="3"/>
        <v>0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5.6</v>
      </c>
      <c r="AI24" s="14">
        <f>IF('Données projet'!$A$62&gt;35,AI23+AH24-AQ23,IF(A24&lt;'Données projet'!$A$62,$AF$205^A24,IF(A24='Données projet'!$A$62,'Données projet'!$B$62,AI23+AH24-AQ23)))</f>
        <v>47.6</v>
      </c>
      <c r="AJ24" s="14">
        <f>AI24*VLOOKUP('Données projet'!$B$10,Paramètres!$A$1:$I$89,3,0)*VLOOKUP('Données projet'!$B$10,Paramètres!$A$1:$I$89,5,0)</f>
        <v>43.068480000000001</v>
      </c>
      <c r="AK24" s="14">
        <f t="shared" si="35"/>
        <v>12.808416415102187</v>
      </c>
      <c r="AL24" s="22">
        <f t="shared" si="4"/>
        <v>97.318927922969635</v>
      </c>
      <c r="AM24" s="62">
        <f t="shared" si="5"/>
        <v>379.65226125630295</v>
      </c>
      <c r="AN24" s="62">
        <f ca="1">AVERAGE(OFFSET($AM$3,0,0,'Données projet'!$E$10+1,1))-AVERAGE(OFFSET($H$3,0,0,'Données projet'!$E$10+1,1))</f>
        <v>428.8489304403459</v>
      </c>
      <c r="AO24" s="62">
        <f t="shared" si="36"/>
        <v>247.01165577562966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0</v>
      </c>
      <c r="AV24" s="23">
        <f>EXP(-LN(2)/25)*AV23+(1-EXP(-LN(2)/25))/(LN(2)/25)*Calculateur!AQ24*Calculateur!AS24*VLOOKUP('Données projet'!$B$10,Paramètres!$A$1:$I$89,3,0)*0.475*44/12</f>
        <v>0</v>
      </c>
      <c r="AW24" s="23">
        <f>EXP(-LN(2)/2)*AW23+(1-EXP(-LN(2)/2))/(LN(2)/2)*AQ24*AT24*VLOOKUP('Données projet'!$B$10,Paramètres!$A$1:$I$89,3,0)*0.475*44/12</f>
        <v>0</v>
      </c>
      <c r="AX24" s="23">
        <f t="shared" si="6"/>
        <v>0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5.6</v>
      </c>
      <c r="BD24" s="13">
        <f>IF('Données projet'!$A$88&gt;35,BD23+BC24-BL23,IF(A24&lt;'Données projet'!$A$88,$BA$205^A24,IF(A24='Données projet'!$A$88,'Données projet'!$B$88,BD23+BC24-BL23)))</f>
        <v>47.6</v>
      </c>
      <c r="BE24" s="14">
        <f>BD24*VLOOKUP('Données projet'!$B$11,Paramètres!$A$1:$I$89,3,0)*VLOOKUP('Données projet'!$B$11,Paramètres!$A$1:$I$89,5,0)</f>
        <v>48.266400000000004</v>
      </c>
      <c r="BF24" s="14">
        <f t="shared" si="37"/>
        <v>14.165134590154434</v>
      </c>
      <c r="BG24" s="22">
        <f t="shared" si="7"/>
        <v>108.73492274451898</v>
      </c>
      <c r="BH24" s="62">
        <f t="shared" si="8"/>
        <v>391.06825607785231</v>
      </c>
      <c r="BI24" s="62">
        <f ca="1">AVERAGE(OFFSET($BH$3,0,0,'Données projet'!$E$11+1,1))-AVERAGE(OFFSET($H$3,0,0,'Données projet'!$E$11+1,1))</f>
        <v>475.47920969424894</v>
      </c>
      <c r="BJ24" s="62">
        <f t="shared" si="38"/>
        <v>271.73544012419364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>
        <f>EXP(-LN(2)/35)*BP23+(1-EXP(-LN(2)/35))/(LN(2)/35)*BL24*BM24*VLOOKUP('Données projet'!$B$11,Paramètres!$A$1:$I$89,3,0)*0.475*44/12</f>
        <v>0</v>
      </c>
      <c r="BQ24" s="23">
        <f>EXP(-LN(2)/25)*BQ23+(1-EXP(-LN(2)/25))/(LN(2)/25)*Calculateur!BL24*Calculateur!BN24*VLOOKUP('Données projet'!$B$11,Paramètres!$A$1:$I$89,3,0)*0.475*44/12</f>
        <v>0</v>
      </c>
      <c r="BR24" s="23">
        <f>EXP(-LN(2)/2)*BR23+(1-EXP(-LN(2)/2))/(LN(2)/2)*BL24*BO24*VLOOKUP('Données projet'!$B$11,Paramètres!$A$1:$I$89,3,0)*0.475*44/12</f>
        <v>0</v>
      </c>
      <c r="BS24" s="24">
        <f t="shared" si="9"/>
        <v>0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">
        <f>VLOOKUP(A24,'Données projet'!$A$113:$I$133,2,0)</f>
        <v>180.06153846153848</v>
      </c>
      <c r="BW24" s="13">
        <f>VLOOKUP(A24,'Données projet'!$A$113:$I$133,9,0)</f>
        <v>15.942307692307708</v>
      </c>
      <c r="BX24" s="13">
        <f t="array" ref="BX24">INDEX(BW:BW,MIN(IF(ISNUMBER(BW24:BW220),ROW(BW24:BW220),"")))</f>
        <v>15.942307692307708</v>
      </c>
      <c r="BY24" s="13">
        <f>IF('Données projet'!$A$114&gt;35,BY23+BX24-CG23,IF(A24&lt;'Données projet'!$A$114,$BV$205^A24,IF(A24='Données projet'!$A$114,'Données projet'!$B$114,BY23+BX24-CG23)))</f>
        <v>180.06153846153848</v>
      </c>
      <c r="BZ24" s="14">
        <f>BY24*VLOOKUP('Données projet'!$B$12,Paramètres!$A$1:$I$89,3,0)*VLOOKUP('Données projet'!$B$12,Paramètres!$A$1:$I$89,5,0)</f>
        <v>100.65440000000001</v>
      </c>
      <c r="CA24" s="14">
        <f t="shared" si="39"/>
        <v>27.117840091618859</v>
      </c>
      <c r="CB24" s="22">
        <f t="shared" si="10"/>
        <v>222.53665149290285</v>
      </c>
      <c r="CC24" s="62">
        <f t="shared" si="11"/>
        <v>504.86998482623619</v>
      </c>
      <c r="CD24" s="62">
        <f ca="1">AVERAGE(OFFSET($CC$3,0,0,'Données projet'!$E$12+1,1))-AVERAGE(OFFSET($H$3,0,0,'Données projet'!$E$12+1,1))</f>
        <v>323.98185264074681</v>
      </c>
      <c r="CE24" s="62">
        <f t="shared" si="40"/>
        <v>301.22207291854005</v>
      </c>
      <c r="CF24" s="16">
        <f>IF(ISNA(VLOOKUP(A24,'Données projet'!$A$113:$I$133,3,0)),0,VLOOKUP(A24,'Données projet'!$A$113:$I$133,3,0))</f>
        <v>1</v>
      </c>
      <c r="CG24" s="16">
        <f>IF(ISNA(VLOOKUP(A24,'Données projet'!$A$113:$I$133,4,0)),0,VLOOKUP(A24,'Données projet'!$A$113:$I$133,4,0))</f>
        <v>61.169230769230765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0.11000000000000001</v>
      </c>
      <c r="CJ24" s="17">
        <f>IF(ISNA(VLOOKUP(A24,'Données projet'!$A$113:$I$133,7,0)),0%,VLOOKUP(A24,'Données projet'!$A$113:$I$133,7,0))</f>
        <v>0.4</v>
      </c>
      <c r="CK24" s="23">
        <f>EXP(-LN(2)/35)*CK23+(1-EXP(-LN(2)/35))/(LN(2)/35)*CG24*CH24*VLOOKUP('Données projet'!$B$12,Paramètres!$A$1:$I$89,3,0)*0.475*44/12</f>
        <v>0</v>
      </c>
      <c r="CL24" s="23">
        <f>EXP(-LN(2)/25)*CL23+(1-EXP(-LN(2)/25))/(LN(2)/25)*Calculateur!CG24*Calculateur!CI24*VLOOKUP('Données projet'!$B$12,Paramètres!$A$1:$I$89,3,0)*0.475*44/12</f>
        <v>4.9699556173792603</v>
      </c>
      <c r="CM24" s="23">
        <f>EXP(-LN(2)/2)*CM23+(1-EXP(-LN(2)/2))/(LN(2)/2)*CG24*CJ24*VLOOKUP('Données projet'!$B$12,Paramètres!$A$1:$I$89,3,0)*0.475*44/12</f>
        <v>15.486039315480385</v>
      </c>
      <c r="CN24" s="24">
        <f t="shared" si="12"/>
        <v>20.455994932859646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1.2</v>
      </c>
      <c r="CT24" s="13">
        <f>IF('Données projet'!$A$140&gt;35,CT23+CS24-DB23,IF(A24&lt;'Données projet'!$A$140,$CQ$205^A24,IF(A24='Données projet'!$A$140,'Données projet'!$B$140,CT23+CS24-DB23)))</f>
        <v>17.409321838276906</v>
      </c>
      <c r="CU24" s="18">
        <f>CT24*VLOOKUP('Données projet'!$B$13,Paramètres!$A$1:$I$89,3,0)*VLOOKUP('Données projet'!$B$13,Paramètres!$A$1:$I$89,5,0)</f>
        <v>19.82573570942974</v>
      </c>
      <c r="CV24" s="14">
        <f t="shared" si="41"/>
        <v>6.4533301696051613</v>
      </c>
      <c r="CW24" s="22">
        <f t="shared" si="13"/>
        <v>45.769373072652449</v>
      </c>
      <c r="CX24" s="62">
        <f t="shared" si="14"/>
        <v>328.10270640598577</v>
      </c>
      <c r="CY24" s="62">
        <f ca="1">AVERAGE(OFFSET($CX$3,0,0,'Données projet'!$E$13+1,1))-AVERAGE(OFFSET($H$3,0,0,'Données projet'!$E$13+1,1))</f>
        <v>399.78832690250164</v>
      </c>
      <c r="CZ24" s="62">
        <f t="shared" si="42"/>
        <v>174.32967064896343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>
        <f>EXP(-LN(2)/35)*DF23+(1-EXP(-LN(2)/35))/(LN(2)/35)*DB24*DC24*VLOOKUP('Données projet'!$B$13,Paramètres!$A$1:$I$89,3,0)*0.475*44/12</f>
        <v>0</v>
      </c>
      <c r="DG24" s="23">
        <f>EXP(-LN(2)/25)*DG23+(1-EXP(-LN(2)/25))/(LN(2)/25)*Calculateur!DB24*Calculateur!DD24*VLOOKUP('Données projet'!$B$13,Paramètres!$A$1:$I$89,3,0)*0.475*44/12</f>
        <v>0</v>
      </c>
      <c r="DH24" s="23">
        <f>EXP(-LN(2)/2)*DH23+(1-EXP(-LN(2)/2))/(LN(2)/2)*DB24*DE24*VLOOKUP('Données projet'!$B$13,Paramètres!$A$1:$I$89,3,0)*0.475*44/12</f>
        <v>0</v>
      </c>
      <c r="DI24" s="24">
        <f t="shared" si="15"/>
        <v>0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5.6</v>
      </c>
      <c r="DO24" s="13">
        <f>IF('Données projet'!$A$166&gt;35,DO23+DN24-DW23,IF(A24&lt;'Données projet'!$A$166,$DL$205^A24,IF(A24='Données projet'!$A$166,'Données projet'!$B$166,DO23+DN24-DW23)))</f>
        <v>47.6</v>
      </c>
      <c r="DP24" s="18">
        <f>DO24*VLOOKUP('Données projet'!$B$14,Paramètres!$A$1:$I$89,3,0)*VLOOKUP('Données projet'!$B$14,Paramètres!$A$1:$I$89,5,0)</f>
        <v>40.098240000000011</v>
      </c>
      <c r="DQ24" s="14">
        <f t="shared" si="43"/>
        <v>12.024681710991171</v>
      </c>
      <c r="DR24" s="22">
        <f t="shared" si="16"/>
        <v>90.780755313309626</v>
      </c>
      <c r="DS24" s="62">
        <f t="shared" si="17"/>
        <v>373.11408864664293</v>
      </c>
      <c r="DT24" s="62">
        <f ca="1">AVERAGE(OFFSET($DS$3,0,0,'Données projet'!$E$14+1,1))-AVERAGE(OFFSET($H$3,0,0,'Données projet'!$E$14+1,1))</f>
        <v>402.15128814037058</v>
      </c>
      <c r="DU24" s="62">
        <f t="shared" si="44"/>
        <v>232.85411068442738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>
        <f>EXP(-LN(2)/35)*EA23+(1-EXP(-LN(2)/35))/(LN(2)/35)*DW24*DX24*VLOOKUP('Données projet'!$B$14,Paramètres!$A$1:$I$89,3,0)*0.475*44/12</f>
        <v>0</v>
      </c>
      <c r="EB24" s="23">
        <f>EXP(-LN(2)/25)*EB23+(1-EXP(-LN(2)/25))/(LN(2)/25)*Calculateur!DW24*Calculateur!DY24*VLOOKUP('Données projet'!$B$14,Paramètres!$A$1:$I$89,3,0)*0.475*44/12</f>
        <v>0</v>
      </c>
      <c r="EC24" s="23">
        <f>EXP(-LN(2)/2)*EC23+(1-EXP(-LN(2)/2))/(LN(2)/2)*DW24*DZ24*VLOOKUP('Données projet'!$B$14,Paramètres!$A$1:$I$89,3,0)*0.475*44/12</f>
        <v>0</v>
      </c>
      <c r="ED24" s="24">
        <f t="shared" si="18"/>
        <v>0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8.2051282051282044</v>
      </c>
      <c r="EJ24" s="13">
        <f>IF('Données projet'!$A$192&gt;35,EJ23+EI24-ER23,IF(A24&lt;'Données projet'!$A$192,$EG$205^A24,IF(A24='Données projet'!$A$192,'Données projet'!$B$192,EJ23+EI24-ER23)))</f>
        <v>74.871794871794862</v>
      </c>
      <c r="EK24" s="18">
        <f>EJ24*VLOOKUP('Données projet'!$B$15,Paramètres!$A$1:$I$89,3,0)*VLOOKUP('Données projet'!$B$15,Paramètres!$A$1:$I$89,5,0)</f>
        <v>78.256</v>
      </c>
      <c r="EL24" s="14">
        <f t="shared" si="45"/>
        <v>21.710221600850431</v>
      </c>
      <c r="EM24" s="22">
        <f t="shared" si="19"/>
        <v>174.1078359548145</v>
      </c>
      <c r="EN24" s="62">
        <f t="shared" si="20"/>
        <v>456.44116928814782</v>
      </c>
      <c r="EO24" s="62">
        <f ca="1">AVERAGE(OFFSET($EN$3,0,0,'Données projet'!$E$15+1,1))-AVERAGE(OFFSET($H$3,0,0,'Données projet'!$E$15+1,1))</f>
        <v>595.89992279024398</v>
      </c>
      <c r="EP24" s="62">
        <f t="shared" si="46"/>
        <v>378.16197659288338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>
        <f>EXP(-LN(2)/35)*EV23+(1-EXP(-LN(2)/35))/(LN(2)/35)*ER24*ES24*VLOOKUP('Données projet'!$B$15,Paramètres!$A$1:$I$89,3,0)*0.475*44/12</f>
        <v>0</v>
      </c>
      <c r="EW24" s="23">
        <f>EXP(-LN(2)/25)*EW23+(1-EXP(-LN(2)/25))/(LN(2)/25)*Calculateur!ER24*Calculateur!ET24*VLOOKUP('Données projet'!$B$15,Paramètres!$A$1:$I$89,3,0)*0.475*44/12</f>
        <v>0</v>
      </c>
      <c r="EX24" s="23">
        <f>EXP(-LN(2)/2)*EX23+(1-EXP(-LN(2)/2))/(LN(2)/2)*ER24*EU24*VLOOKUP('Données projet'!$B$15,Paramètres!$A$1:$I$89,3,0)*0.475*44/12</f>
        <v>0</v>
      </c>
      <c r="EY24" s="24">
        <f t="shared" si="21"/>
        <v>0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14.926923076923075</v>
      </c>
      <c r="FE24" s="13">
        <f>IF('Données projet'!$A$218&gt;35,FE23+FD24-FM23,IF(A24&lt;'Données projet'!$A$218,$FB$205^A24,IF(A24='Données projet'!$A$218,'Données projet'!$B$218,FE23+FD24-FM23)))</f>
        <v>143.95384615384614</v>
      </c>
      <c r="FF24" s="18">
        <f>FE24*VLOOKUP('Données projet'!$B$16,Paramètres!$A$1:$I$89,3,0)*VLOOKUP('Données projet'!$B$16,Paramètres!$A$1:$I$89,5,0)</f>
        <v>86.084400000000002</v>
      </c>
      <c r="FG24" s="14">
        <f t="shared" si="47"/>
        <v>23.618445758177199</v>
      </c>
      <c r="FH24" s="22">
        <f t="shared" si="22"/>
        <v>191.06578969549196</v>
      </c>
      <c r="FI24" s="62">
        <f t="shared" si="23"/>
        <v>473.39912302882527</v>
      </c>
      <c r="FJ24" s="62">
        <f ca="1">AVERAGE(OFFSET($FI$3,0,0,'Données projet'!$E$16+1,1))-AVERAGE(OFFSET($H$3,0,0,'Données projet'!$E$16+1,1))</f>
        <v>257.56116197646924</v>
      </c>
      <c r="FK24" s="62">
        <f t="shared" si="48"/>
        <v>269.95556918835888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>
        <f>EXP(-LN(2)/35)*FQ23+(1-EXP(-LN(2)/35))/(LN(2)/35)*FM24*FN24*VLOOKUP('Données projet'!$B$16,Paramètres!$A$1:$I$89,3,0)*0.475*44/12</f>
        <v>0</v>
      </c>
      <c r="FR24" s="23">
        <f>EXP(-LN(2)/25)*FR23+(1-EXP(-LN(2)/25))/(LN(2)/25)*Calculateur!FM24*Calculateur!FO24*VLOOKUP('Données projet'!$B$16,Paramètres!$A$1:$I$89,3,0)*0.475*44/12</f>
        <v>6.6966447943880016</v>
      </c>
      <c r="FS24" s="23">
        <f>EXP(-LN(2)/2)*FS23+(1-EXP(-LN(2)/2))/(LN(2)/2)*FM24*FP24*VLOOKUP('Données projet'!$B$16,Paramètres!$A$1:$I$89,3,0)*0.475*44/12</f>
        <v>3.5618046673661952</v>
      </c>
      <c r="FT24" s="24">
        <f t="shared" si="24"/>
        <v>10.258449461754196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">
        <f>VLOOKUP(A24,'Données projet'!$A$243:$I$263,2,0)</f>
        <v>114.33076923076922</v>
      </c>
      <c r="FX24" s="13">
        <f>VLOOKUP(A24,'Données projet'!$A$243:$I$263,9,0)</f>
        <v>13.103846153846154</v>
      </c>
      <c r="FY24" s="13">
        <f t="array" ref="FY24">INDEX(FX:FX,MIN(IF(ISNUMBER(FX24:FX220),ROW(FX24:FX220),"")))</f>
        <v>13.103846153846154</v>
      </c>
      <c r="FZ24" s="13">
        <f>IF('Données projet'!$A$244&gt;35,FZ23+FY24-GH23,IF(A24&lt;'Données projet'!$A$244,$FW$205^A24,IF(A24='Données projet'!$A$244,'Données projet'!$B$244,FZ23+FY24-GH23)))</f>
        <v>114.33076923076922</v>
      </c>
      <c r="GA24" s="18">
        <f>FZ24*VLOOKUP('Données projet'!$B$17,Paramètres!$A$1:$I$89,3,0)*VLOOKUP('Données projet'!$B$17,Paramètres!$A$1:$I$89,5,0)</f>
        <v>68.369799999999998</v>
      </c>
      <c r="GB24" s="14">
        <f t="shared" si="49"/>
        <v>19.268067928266802</v>
      </c>
      <c r="GC24" s="22">
        <f t="shared" si="25"/>
        <v>152.635953308398</v>
      </c>
      <c r="GD24" s="62">
        <f t="shared" si="26"/>
        <v>434.96928664173129</v>
      </c>
      <c r="GE24" s="62">
        <f ca="1">AVERAGE(OFFSET($GD$3,0,0,'Données projet'!$E$17+1,1))-AVERAGE(OFFSET($H$3,0,0,'Données projet'!$E$17+1,1))</f>
        <v>289.12367833861299</v>
      </c>
      <c r="GF24" s="62">
        <f t="shared" si="50"/>
        <v>229.06617320689003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>
        <f>EXP(-LN(2)/35)*GL23+(1-EXP(-LN(2)/35))/(LN(2)/35)*GH24*GI24*VLOOKUP('Données projet'!$B$17,Paramètres!$A$1:$I$89,3,0)*0.475*44/12</f>
        <v>0</v>
      </c>
      <c r="GM24" s="23">
        <f>EXP(-LN(2)/25)*GM23+(1-EXP(-LN(2)/25))/(LN(2)/25)*Calculateur!GH24*Calculateur!GJ24*VLOOKUP('Données projet'!$B$17,Paramètres!$A$1:$I$89,3,0)*0.475*44/12</f>
        <v>0</v>
      </c>
      <c r="GN24" s="23">
        <f>EXP(-LN(2)/2)*GN23+(1-EXP(-LN(2)/2))/(LN(2)/2)*GH24*GK24*VLOOKUP('Données projet'!$B$17,Paramètres!$A$1:$I$89,3,0)*0.475*44/12</f>
        <v>0</v>
      </c>
      <c r="GO24" s="23">
        <f t="shared" si="27"/>
        <v>0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4.9084615384615384</v>
      </c>
      <c r="GU24" s="13">
        <f>IF('Données projet'!$A$270&gt;35,GU23+GT24-HC23,IF(A24&lt;'Données projet'!$A$270,$GR$205^A24,IF(A24='Données projet'!$A$270,'Données projet'!$B$270,GU23+GT24-HC23)))</f>
        <v>32.934164692174789</v>
      </c>
      <c r="GV24" s="18">
        <f>GU24*VLOOKUP('Données projet'!$B$18,Paramètres!$A$1:$I$89,3,0)*VLOOKUP('Données projet'!$B$18,Paramètres!$A$1:$I$89,5,0)</f>
        <v>15.413189075937803</v>
      </c>
      <c r="GW24" s="14">
        <f t="shared" si="51"/>
        <v>5.166231738662507</v>
      </c>
      <c r="GX24" s="22">
        <f t="shared" si="28"/>
        <v>35.842491252095542</v>
      </c>
      <c r="GY24" s="62">
        <f t="shared" si="29"/>
        <v>318.17582458542887</v>
      </c>
      <c r="GZ24" s="62">
        <f ca="1">AVERAGE(OFFSET($GY$3,0,0,'Données projet'!$E$18+1,1))-AVERAGE(OFFSET($H$3,0,0,'Données projet'!$E$18+1,1))</f>
        <v>284.88646502866419</v>
      </c>
      <c r="HA24" s="62">
        <f t="shared" si="52"/>
        <v>190.4880882944471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>
        <f>EXP(-LN(2)/35)*HG23+(1-EXP(-LN(2)/35))/(LN(2)/35)*HC24*HD24*VLOOKUP('Données projet'!$B$18,Paramètres!$A$1:$I$89,3,0)*0.475*44/12</f>
        <v>0</v>
      </c>
      <c r="HH24" s="23">
        <f>EXP(-LN(2)/25)*HH23+(1-EXP(-LN(2)/25))/(LN(2)/25)*Calculateur!HC24*Calculateur!HE24*VLOOKUP('Données projet'!$B$18,Paramètres!$A$1:$I$89,3,0)*0.475*44/12</f>
        <v>0</v>
      </c>
      <c r="HI24" s="23">
        <f>EXP(-LN(2)/2)*HI23+(1-EXP(-LN(2)/2))/(LN(2)/2)*HC24*HF24*VLOOKUP('Données projet'!$B$18,Paramètres!$A$1:$I$89,3,0)*0.475*44/12</f>
        <v>0</v>
      </c>
      <c r="HJ24" s="24">
        <f t="shared" si="30"/>
        <v>0</v>
      </c>
    </row>
    <row r="25" spans="1:218" s="5" customFormat="1" x14ac:dyDescent="0.25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2">
        <f t="shared" si="32"/>
        <v>0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0</v>
      </c>
      <c r="H25" s="70">
        <f t="shared" si="1"/>
        <v>256.66666666666669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6.5384615384615419</v>
      </c>
      <c r="N25" s="14">
        <f>IF('Données projet'!$A$36&gt;35,N24+M25-V24,IF(A25&lt;'Données projet'!$A$36,$K$205^A25,IF(A25='Données projet'!$A$36,'Données projet'!$B$36,N24+M25-V24)))</f>
        <v>64.358974358974351</v>
      </c>
      <c r="O25" s="14">
        <f>N25*VLOOKUP('Données projet'!$B$9,Paramètres!$A$1:$I$89,3,0)*VLOOKUP('Données projet'!$B$9,Paramètres!$A$1:$I$89,5,0)</f>
        <v>61.244</v>
      </c>
      <c r="P25" s="14">
        <f t="shared" si="33"/>
        <v>17.482414611857141</v>
      </c>
      <c r="Q25" s="22">
        <f t="shared" si="2"/>
        <v>137.11517211565118</v>
      </c>
      <c r="R25" s="62">
        <f t="shared" si="0"/>
        <v>420.67072767120669</v>
      </c>
      <c r="S25" s="62">
        <f ca="1">AVERAGE(OFFSET($R$3,0,0,'Données projet'!$E$9+1,1))-AVERAGE(OFFSET($H$3,0,0,'Données projet'!$E$9+1,1))</f>
        <v>367.11183928586667</v>
      </c>
      <c r="T25" s="62">
        <f t="shared" si="34"/>
        <v>281.52963027844595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0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0</v>
      </c>
      <c r="AC25" s="24">
        <f t="shared" si="3"/>
        <v>0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5.6</v>
      </c>
      <c r="AI25" s="14">
        <f>IF('Données projet'!$A$62&gt;35,AI24+AH25-AQ24,IF(A25&lt;'Données projet'!$A$62,$AF$205^A25,IF(A25='Données projet'!$A$62,'Données projet'!$B$62,AI24+AH25-AQ24)))</f>
        <v>53.2</v>
      </c>
      <c r="AJ25" s="14">
        <f>AI25*VLOOKUP('Données projet'!$B$10,Paramètres!$A$1:$I$89,3,0)*VLOOKUP('Données projet'!$B$10,Paramètres!$A$1:$I$89,5,0)</f>
        <v>48.135359999999999</v>
      </c>
      <c r="AK25" s="14">
        <f t="shared" si="35"/>
        <v>14.131148275361113</v>
      </c>
      <c r="AL25" s="22">
        <f t="shared" si="4"/>
        <v>108.4475019129206</v>
      </c>
      <c r="AM25" s="62">
        <f t="shared" si="5"/>
        <v>392.00305746847613</v>
      </c>
      <c r="AN25" s="62">
        <f ca="1">AVERAGE(OFFSET($AM$3,0,0,'Données projet'!$E$10+1,1))-AVERAGE(OFFSET($H$3,0,0,'Données projet'!$E$10+1,1))</f>
        <v>428.8489304403459</v>
      </c>
      <c r="AO25" s="62">
        <f t="shared" si="36"/>
        <v>247.01165577562966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projet'!$B$10,Paramètres!$A$1:$I$89,3,0)*0.475*44/12</f>
        <v>0</v>
      </c>
      <c r="AV25" s="23">
        <f>EXP(-LN(2)/25)*AV24+(1-EXP(-LN(2)/25))/(LN(2)/25)*Calculateur!AQ25*Calculateur!AS25*VLOOKUP('Données projet'!$B$10,Paramètres!$A$1:$I$89,3,0)*0.475*44/12</f>
        <v>0</v>
      </c>
      <c r="AW25" s="23">
        <f>EXP(-LN(2)/2)*AW24+(1-EXP(-LN(2)/2))/(LN(2)/2)*AQ25*AT25*VLOOKUP('Données projet'!$B$10,Paramètres!$A$1:$I$89,3,0)*0.475*44/12</f>
        <v>0</v>
      </c>
      <c r="AX25" s="23">
        <f t="shared" si="6"/>
        <v>0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5.6</v>
      </c>
      <c r="BD25" s="13">
        <f>IF('Données projet'!$A$88&gt;35,BD24+BC25-BL24,IF(A25&lt;'Données projet'!$A$88,$BA$205^A25,IF(A25='Données projet'!$A$88,'Données projet'!$B$88,BD24+BC25-BL24)))</f>
        <v>53.2</v>
      </c>
      <c r="BE25" s="14">
        <f>BD25*VLOOKUP('Données projet'!$B$11,Paramètres!$A$1:$I$89,3,0)*VLOOKUP('Données projet'!$B$11,Paramètres!$A$1:$I$89,5,0)</f>
        <v>53.944800000000008</v>
      </c>
      <c r="BF25" s="14">
        <f t="shared" si="37"/>
        <v>15.627975445731321</v>
      </c>
      <c r="BG25" s="22">
        <f t="shared" si="7"/>
        <v>121.17258390131538</v>
      </c>
      <c r="BH25" s="62">
        <f t="shared" si="8"/>
        <v>404.72813945687091</v>
      </c>
      <c r="BI25" s="62">
        <f ca="1">AVERAGE(OFFSET($BH$3,0,0,'Données projet'!$E$11+1,1))-AVERAGE(OFFSET($H$3,0,0,'Données projet'!$E$11+1,1))</f>
        <v>475.47920969424894</v>
      </c>
      <c r="BJ25" s="62">
        <f t="shared" si="38"/>
        <v>271.73544012419364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>
        <f>EXP(-LN(2)/35)*BP24+(1-EXP(-LN(2)/35))/(LN(2)/35)*BL25*BM25*VLOOKUP('Données projet'!$B$11,Paramètres!$A$1:$I$89,3,0)*0.475*44/12</f>
        <v>0</v>
      </c>
      <c r="BQ25" s="23">
        <f>EXP(-LN(2)/25)*BQ24+(1-EXP(-LN(2)/25))/(LN(2)/25)*Calculateur!BL25*Calculateur!BN25*VLOOKUP('Données projet'!$B$11,Paramètres!$A$1:$I$89,3,0)*0.475*44/12</f>
        <v>0</v>
      </c>
      <c r="BR25" s="23">
        <f>EXP(-LN(2)/2)*BR24+(1-EXP(-LN(2)/2))/(LN(2)/2)*BL25*BO25*VLOOKUP('Données projet'!$B$11,Paramètres!$A$1:$I$89,3,0)*0.475*44/12</f>
        <v>0</v>
      </c>
      <c r="BS25" s="24">
        <f t="shared" si="9"/>
        <v>0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16.687912087912085</v>
      </c>
      <c r="BY25" s="13">
        <f>IF('Données projet'!$A$114&gt;35,BY24+BX25-CG24,IF(A25&lt;'Données projet'!$A$114,$BV$205^A25,IF(A25='Données projet'!$A$114,'Données projet'!$B$114,BY24+BX25-CG24)))</f>
        <v>135.58021978021981</v>
      </c>
      <c r="BZ25" s="14">
        <f>BY25*VLOOKUP('Données projet'!$B$12,Paramètres!$A$1:$I$89,3,0)*VLOOKUP('Données projet'!$B$12,Paramètres!$A$1:$I$89,5,0)</f>
        <v>75.78934285714287</v>
      </c>
      <c r="CA25" s="14">
        <f t="shared" si="39"/>
        <v>21.104439314832948</v>
      </c>
      <c r="CB25" s="22">
        <f t="shared" si="10"/>
        <v>168.7566706161912</v>
      </c>
      <c r="CC25" s="62">
        <f t="shared" si="11"/>
        <v>452.31222617174672</v>
      </c>
      <c r="CD25" s="62">
        <f ca="1">AVERAGE(OFFSET($CC$3,0,0,'Données projet'!$E$12+1,1))-AVERAGE(OFFSET($H$3,0,0,'Données projet'!$E$12+1,1))</f>
        <v>323.98185264074681</v>
      </c>
      <c r="CE25" s="62">
        <f t="shared" si="40"/>
        <v>301.22207291854005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>
        <f>EXP(-LN(2)/35)*CK24+(1-EXP(-LN(2)/35))/(LN(2)/35)*CG25*CH25*VLOOKUP('Données projet'!$B$12,Paramètres!$A$1:$I$89,3,0)*0.475*44/12</f>
        <v>0</v>
      </c>
      <c r="CL25" s="23">
        <f>EXP(-LN(2)/25)*CL24+(1-EXP(-LN(2)/25))/(LN(2)/25)*Calculateur!CG25*Calculateur!CI25*VLOOKUP('Données projet'!$B$12,Paramètres!$A$1:$I$89,3,0)*0.475*44/12</f>
        <v>4.8340519196634171</v>
      </c>
      <c r="CM25" s="23">
        <f>EXP(-LN(2)/2)*CM24+(1-EXP(-LN(2)/2))/(LN(2)/2)*CG25*CJ25*VLOOKUP('Données projet'!$B$12,Paramètres!$A$1:$I$89,3,0)*0.475*44/12</f>
        <v>10.950283413697662</v>
      </c>
      <c r="CN25" s="24">
        <f t="shared" si="12"/>
        <v>15.784335333361078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1.2</v>
      </c>
      <c r="CT25" s="13">
        <f>IF('Données projet'!$A$140&gt;35,CT24+CS25-DB24,IF(A25&lt;'Données projet'!$A$140,$CQ$205^A25,IF(A25='Données projet'!$A$140,'Données projet'!$B$140,CT24+CS25-DB24)))</f>
        <v>19.946500129940819</v>
      </c>
      <c r="CU25" s="18">
        <f>CT25*VLOOKUP('Données projet'!$B$13,Paramètres!$A$1:$I$89,3,0)*VLOOKUP('Données projet'!$B$13,Paramètres!$A$1:$I$89,5,0)</f>
        <v>22.715074347976607</v>
      </c>
      <c r="CV25" s="14">
        <f t="shared" si="41"/>
        <v>7.2776515668169814</v>
      </c>
      <c r="CW25" s="22">
        <f t="shared" si="13"/>
        <v>52.237330968265496</v>
      </c>
      <c r="CX25" s="62">
        <f t="shared" si="14"/>
        <v>335.79288652382104</v>
      </c>
      <c r="CY25" s="62">
        <f ca="1">AVERAGE(OFFSET($CX$3,0,0,'Données projet'!$E$13+1,1))-AVERAGE(OFFSET($H$3,0,0,'Données projet'!$E$13+1,1))</f>
        <v>399.78832690250164</v>
      </c>
      <c r="CZ25" s="62">
        <f t="shared" si="42"/>
        <v>174.32967064896343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>
        <f>EXP(-LN(2)/35)*DF24+(1-EXP(-LN(2)/35))/(LN(2)/35)*DB25*DC25*VLOOKUP('Données projet'!$B$13,Paramètres!$A$1:$I$89,3,0)*0.475*44/12</f>
        <v>0</v>
      </c>
      <c r="DG25" s="23">
        <f>EXP(-LN(2)/25)*DG24+(1-EXP(-LN(2)/25))/(LN(2)/25)*Calculateur!DB25*Calculateur!DD25*VLOOKUP('Données projet'!$B$13,Paramètres!$A$1:$I$89,3,0)*0.475*44/12</f>
        <v>0</v>
      </c>
      <c r="DH25" s="23">
        <f>EXP(-LN(2)/2)*DH24+(1-EXP(-LN(2)/2))/(LN(2)/2)*DB25*DE25*VLOOKUP('Données projet'!$B$13,Paramètres!$A$1:$I$89,3,0)*0.475*44/12</f>
        <v>0</v>
      </c>
      <c r="DI25" s="24">
        <f t="shared" si="15"/>
        <v>0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5.6</v>
      </c>
      <c r="DO25" s="13">
        <f>IF('Données projet'!$A$166&gt;35,DO24+DN25-DW24,IF(A25&lt;'Données projet'!$A$166,$DL$205^A25,IF(A25='Données projet'!$A$166,'Données projet'!$B$166,DO24+DN25-DW24)))</f>
        <v>53.2</v>
      </c>
      <c r="DP25" s="18">
        <f>DO25*VLOOKUP('Données projet'!$B$14,Paramètres!$A$1:$I$89,3,0)*VLOOKUP('Données projet'!$B$14,Paramètres!$A$1:$I$89,5,0)</f>
        <v>44.815680000000008</v>
      </c>
      <c r="DQ25" s="14">
        <f t="shared" si="43"/>
        <v>13.266476878569183</v>
      </c>
      <c r="DR25" s="22">
        <f t="shared" si="16"/>
        <v>101.159756563508</v>
      </c>
      <c r="DS25" s="62">
        <f t="shared" si="17"/>
        <v>384.71531211906353</v>
      </c>
      <c r="DT25" s="62">
        <f ca="1">AVERAGE(OFFSET($DS$3,0,0,'Données projet'!$E$14+1,1))-AVERAGE(OFFSET($H$3,0,0,'Données projet'!$E$14+1,1))</f>
        <v>402.15128814037058</v>
      </c>
      <c r="DU25" s="62">
        <f t="shared" si="44"/>
        <v>232.85411068442738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>
        <f>EXP(-LN(2)/35)*EA24+(1-EXP(-LN(2)/35))/(LN(2)/35)*DW25*DX25*VLOOKUP('Données projet'!$B$14,Paramètres!$A$1:$I$89,3,0)*0.475*44/12</f>
        <v>0</v>
      </c>
      <c r="EB25" s="23">
        <f>EXP(-LN(2)/25)*EB24+(1-EXP(-LN(2)/25))/(LN(2)/25)*Calculateur!DW25*Calculateur!DY25*VLOOKUP('Données projet'!$B$14,Paramètres!$A$1:$I$89,3,0)*0.475*44/12</f>
        <v>0</v>
      </c>
      <c r="EC25" s="23">
        <f>EXP(-LN(2)/2)*EC24+(1-EXP(-LN(2)/2))/(LN(2)/2)*DW25*DZ25*VLOOKUP('Données projet'!$B$14,Paramètres!$A$1:$I$89,3,0)*0.475*44/12</f>
        <v>0</v>
      </c>
      <c r="ED25" s="24">
        <f t="shared" si="18"/>
        <v>0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8.2051282051282044</v>
      </c>
      <c r="EJ25" s="13">
        <f>IF('Données projet'!$A$192&gt;35,EJ24+EI25-ER24,IF(A25&lt;'Données projet'!$A$192,$EG$205^A25,IF(A25='Données projet'!$A$192,'Données projet'!$B$192,EJ24+EI25-ER24)))</f>
        <v>83.076923076923066</v>
      </c>
      <c r="EK25" s="18">
        <f>EJ25*VLOOKUP('Données projet'!$B$15,Paramètres!$A$1:$I$89,3,0)*VLOOKUP('Données projet'!$B$15,Paramètres!$A$1:$I$89,5,0)</f>
        <v>86.831999999999994</v>
      </c>
      <c r="EL25" s="14">
        <f t="shared" si="45"/>
        <v>23.799593531540278</v>
      </c>
      <c r="EM25" s="22">
        <f t="shared" si="19"/>
        <v>192.6833587340993</v>
      </c>
      <c r="EN25" s="62">
        <f t="shared" si="20"/>
        <v>476.23891428965487</v>
      </c>
      <c r="EO25" s="62">
        <f ca="1">AVERAGE(OFFSET($EN$3,0,0,'Données projet'!$E$15+1,1))-AVERAGE(OFFSET($H$3,0,0,'Données projet'!$E$15+1,1))</f>
        <v>595.89992279024398</v>
      </c>
      <c r="EP25" s="62">
        <f t="shared" si="46"/>
        <v>378.16197659288338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>
        <f>EXP(-LN(2)/35)*EV24+(1-EXP(-LN(2)/35))/(LN(2)/35)*ER25*ES25*VLOOKUP('Données projet'!$B$15,Paramètres!$A$1:$I$89,3,0)*0.475*44/12</f>
        <v>0</v>
      </c>
      <c r="EW25" s="23">
        <f>EXP(-LN(2)/25)*EW24+(1-EXP(-LN(2)/25))/(LN(2)/25)*Calculateur!ER25*Calculateur!ET25*VLOOKUP('Données projet'!$B$15,Paramètres!$A$1:$I$89,3,0)*0.475*44/12</f>
        <v>0</v>
      </c>
      <c r="EX25" s="23">
        <f>EXP(-LN(2)/2)*EX24+(1-EXP(-LN(2)/2))/(LN(2)/2)*ER25*EU25*VLOOKUP('Données projet'!$B$15,Paramètres!$A$1:$I$89,3,0)*0.475*44/12</f>
        <v>0</v>
      </c>
      <c r="EY25" s="24">
        <f t="shared" si="21"/>
        <v>0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14.926923076923075</v>
      </c>
      <c r="FE25" s="13">
        <f>IF('Données projet'!$A$218&gt;35,FE24+FD25-FM24,IF(A25&lt;'Données projet'!$A$218,$FB$205^A25,IF(A25='Données projet'!$A$218,'Données projet'!$B$218,FE24+FD25-FM24)))</f>
        <v>158.8807692307692</v>
      </c>
      <c r="FF25" s="18">
        <f>FE25*VLOOKUP('Données projet'!$B$16,Paramètres!$A$1:$I$89,3,0)*VLOOKUP('Données projet'!$B$16,Paramètres!$A$1:$I$89,5,0)</f>
        <v>95.0107</v>
      </c>
      <c r="FG25" s="14">
        <f t="shared" si="47"/>
        <v>25.769848277327686</v>
      </c>
      <c r="FH25" s="22">
        <f t="shared" si="22"/>
        <v>210.3594549163457</v>
      </c>
      <c r="FI25" s="62">
        <f t="shared" si="23"/>
        <v>493.91501047190127</v>
      </c>
      <c r="FJ25" s="62">
        <f ca="1">AVERAGE(OFFSET($FI$3,0,0,'Données projet'!$E$16+1,1))-AVERAGE(OFFSET($H$3,0,0,'Données projet'!$E$16+1,1))</f>
        <v>257.56116197646924</v>
      </c>
      <c r="FK25" s="62">
        <f t="shared" si="48"/>
        <v>269.95556918835888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>
        <f>EXP(-LN(2)/35)*FQ24+(1-EXP(-LN(2)/35))/(LN(2)/35)*FM25*FN25*VLOOKUP('Données projet'!$B$16,Paramètres!$A$1:$I$89,3,0)*0.475*44/12</f>
        <v>0</v>
      </c>
      <c r="FR25" s="23">
        <f>EXP(-LN(2)/25)*FR24+(1-EXP(-LN(2)/25))/(LN(2)/25)*Calculateur!FM25*Calculateur!FO25*VLOOKUP('Données projet'!$B$16,Paramètres!$A$1:$I$89,3,0)*0.475*44/12</f>
        <v>6.5135246903242177</v>
      </c>
      <c r="FS25" s="23">
        <f>EXP(-LN(2)/2)*FS24+(1-EXP(-LN(2)/2))/(LN(2)/2)*FM25*FP25*VLOOKUP('Données projet'!$B$16,Paramètres!$A$1:$I$89,3,0)*0.475*44/12</f>
        <v>2.5185762335565318</v>
      </c>
      <c r="FT25" s="24">
        <f t="shared" si="24"/>
        <v>9.0321009238807495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3">
        <f>VLOOKUP(A25,'Données projet'!$A$243:$I$263,2,0)</f>
        <v>129.98461538461538</v>
      </c>
      <c r="FX25" s="13">
        <f>VLOOKUP(A25,'Données projet'!$A$243:$I$263,9,0)</f>
        <v>15.65384615384616</v>
      </c>
      <c r="FY25" s="13">
        <f t="array" ref="FY25">INDEX(FX:FX,MIN(IF(ISNUMBER(FX25:FX221),ROW(FX25:FX221),"")))</f>
        <v>15.65384615384616</v>
      </c>
      <c r="FZ25" s="13">
        <f>IF('Données projet'!$A$244&gt;35,FZ24+FY25-GH24,IF(A25&lt;'Données projet'!$A$244,$FW$205^A25,IF(A25='Données projet'!$A$244,'Données projet'!$B$244,FZ24+FY25-GH24)))</f>
        <v>129.98461538461538</v>
      </c>
      <c r="GA25" s="18">
        <f>FZ25*VLOOKUP('Données projet'!$B$17,Paramètres!$A$1:$I$89,3,0)*VLOOKUP('Données projet'!$B$17,Paramètres!$A$1:$I$89,5,0)</f>
        <v>77.730800000000002</v>
      </c>
      <c r="GB25" s="14">
        <f t="shared" si="49"/>
        <v>21.581427176601697</v>
      </c>
      <c r="GC25" s="22">
        <f t="shared" si="25"/>
        <v>172.96879566591463</v>
      </c>
      <c r="GD25" s="62">
        <f t="shared" si="26"/>
        <v>456.52435122147017</v>
      </c>
      <c r="GE25" s="62">
        <f ca="1">AVERAGE(OFFSET($GD$3,0,0,'Données projet'!$E$17+1,1))-AVERAGE(OFFSET($H$3,0,0,'Données projet'!$E$17+1,1))</f>
        <v>289.12367833861299</v>
      </c>
      <c r="GF25" s="62">
        <f t="shared" si="50"/>
        <v>229.06617320689003</v>
      </c>
      <c r="GG25" s="16">
        <f>IF(ISNA(VLOOKUP(A25,'Données projet'!$A$243:$I$263,3,0)),0,VLOOKUP(A25,'Données projet'!$A$243:$I$263,3,0))</f>
        <v>1</v>
      </c>
      <c r="GH25" s="16">
        <f>IF(ISNA(VLOOKUP(A25,'Données projet'!$A$243:$I$263,4,0)),0,VLOOKUP(A25,'Données projet'!$A$243:$I$263,4,0))</f>
        <v>52.746153846153838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>
        <f>EXP(-LN(2)/35)*GL24+(1-EXP(-LN(2)/35))/(LN(2)/35)*GH25*GI25*VLOOKUP('Données projet'!$B$17,Paramètres!$A$1:$I$89,3,0)*0.475*44/12</f>
        <v>0</v>
      </c>
      <c r="GM25" s="23">
        <f>EXP(-LN(2)/25)*GM24+(1-EXP(-LN(2)/25))/(LN(2)/25)*Calculateur!GH25*Calculateur!GJ25*VLOOKUP('Données projet'!$B$17,Paramètres!$A$1:$I$89,3,0)*0.475*44/12</f>
        <v>0</v>
      </c>
      <c r="GN25" s="23">
        <f>EXP(-LN(2)/2)*GN24+(1-EXP(-LN(2)/2))/(LN(2)/2)*GH25*GK25*VLOOKUP('Données projet'!$B$17,Paramètres!$A$1:$I$89,3,0)*0.475*44/12</f>
        <v>0</v>
      </c>
      <c r="GO25" s="23">
        <f t="shared" si="27"/>
        <v>0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4.9084615384615384</v>
      </c>
      <c r="GU25" s="13">
        <f>IF('Données projet'!$A$270&gt;35,GU24+GT25-HC24,IF(A25&lt;'Données projet'!$A$270,$GR$205^A25,IF(A25='Données projet'!$A$270,'Données projet'!$B$270,GU24+GT25-HC24)))</f>
        <v>38.896949331432715</v>
      </c>
      <c r="GV25" s="18">
        <f>GU25*VLOOKUP('Données projet'!$B$18,Paramètres!$A$1:$I$89,3,0)*VLOOKUP('Données projet'!$B$18,Paramètres!$A$1:$I$89,5,0)</f>
        <v>18.20377228711051</v>
      </c>
      <c r="GW25" s="14">
        <f t="shared" si="51"/>
        <v>5.9845386042761088</v>
      </c>
      <c r="GX25" s="22">
        <f t="shared" si="28"/>
        <v>42.127974802498365</v>
      </c>
      <c r="GY25" s="62">
        <f t="shared" si="29"/>
        <v>325.68353035805393</v>
      </c>
      <c r="GZ25" s="62">
        <f ca="1">AVERAGE(OFFSET($GY$3,0,0,'Données projet'!$E$18+1,1))-AVERAGE(OFFSET($H$3,0,0,'Données projet'!$E$18+1,1))</f>
        <v>284.88646502866419</v>
      </c>
      <c r="HA25" s="62">
        <f t="shared" si="52"/>
        <v>190.4880882944471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>
        <f>EXP(-LN(2)/35)*HG24+(1-EXP(-LN(2)/35))/(LN(2)/35)*HC25*HD25*VLOOKUP('Données projet'!$B$18,Paramètres!$A$1:$I$89,3,0)*0.475*44/12</f>
        <v>0</v>
      </c>
      <c r="HH25" s="23">
        <f>EXP(-LN(2)/25)*HH24+(1-EXP(-LN(2)/25))/(LN(2)/25)*Calculateur!HC25*Calculateur!HE25*VLOOKUP('Données projet'!$B$18,Paramètres!$A$1:$I$89,3,0)*0.475*44/12</f>
        <v>0</v>
      </c>
      <c r="HI25" s="23">
        <f>EXP(-LN(2)/2)*HI24+(1-EXP(-LN(2)/2))/(LN(2)/2)*HC25*HF25*VLOOKUP('Données projet'!$B$18,Paramètres!$A$1:$I$89,3,0)*0.475*44/12</f>
        <v>0</v>
      </c>
      <c r="HJ25" s="24">
        <f t="shared" si="30"/>
        <v>0</v>
      </c>
    </row>
    <row r="26" spans="1:218" s="5" customFormat="1" x14ac:dyDescent="0.25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2">
        <f t="shared" si="32"/>
        <v>0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0</v>
      </c>
      <c r="H26" s="70">
        <f t="shared" si="1"/>
        <v>256.66666666666669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6.5384615384615419</v>
      </c>
      <c r="N26" s="14">
        <f>IF('Données projet'!$A$36&gt;35,N25+M26-V25,IF(A26&lt;'Données projet'!$A$36,$K$205^A26,IF(A26='Données projet'!$A$36,'Données projet'!$B$36,N25+M26-V25)))</f>
        <v>70.897435897435898</v>
      </c>
      <c r="O26" s="14">
        <f>N26*VLOOKUP('Données projet'!$B$9,Paramètres!$A$1:$I$89,3,0)*VLOOKUP('Données projet'!$B$9,Paramètres!$A$1:$I$89,5,0)</f>
        <v>67.466000000000008</v>
      </c>
      <c r="P26" s="14">
        <f t="shared" si="33"/>
        <v>19.042832056451115</v>
      </c>
      <c r="Q26" s="22">
        <f t="shared" si="2"/>
        <v>150.66954916498568</v>
      </c>
      <c r="R26" s="62">
        <f t="shared" si="0"/>
        <v>435.44732694276342</v>
      </c>
      <c r="S26" s="62">
        <f ca="1">AVERAGE(OFFSET($R$3,0,0,'Données projet'!$E$9+1,1))-AVERAGE(OFFSET($H$3,0,0,'Données projet'!$E$9+1,1))</f>
        <v>367.11183928586667</v>
      </c>
      <c r="T26" s="62">
        <f t="shared" si="34"/>
        <v>281.52963027844595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0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0</v>
      </c>
      <c r="AC26" s="24">
        <f t="shared" si="3"/>
        <v>0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5.6</v>
      </c>
      <c r="AI26" s="14">
        <f>IF('Données projet'!$A$62&gt;35,AI25+AH26-AQ25,IF(A26&lt;'Données projet'!$A$62,$AF$205^A26,IF(A26='Données projet'!$A$62,'Données projet'!$B$62,AI25+AH26-AQ25)))</f>
        <v>58.800000000000004</v>
      </c>
      <c r="AJ26" s="14">
        <f>AI26*VLOOKUP('Données projet'!$B$10,Paramètres!$A$1:$I$89,3,0)*VLOOKUP('Données projet'!$B$10,Paramètres!$A$1:$I$89,5,0)</f>
        <v>53.202240000000003</v>
      </c>
      <c r="AK26" s="14">
        <f t="shared" si="35"/>
        <v>15.437740642425908</v>
      </c>
      <c r="AL26" s="22">
        <f t="shared" si="4"/>
        <v>119.54796628555846</v>
      </c>
      <c r="AM26" s="62">
        <f t="shared" si="5"/>
        <v>404.32574406333623</v>
      </c>
      <c r="AN26" s="62">
        <f ca="1">AVERAGE(OFFSET($AM$3,0,0,'Données projet'!$E$10+1,1))-AVERAGE(OFFSET($H$3,0,0,'Données projet'!$E$10+1,1))</f>
        <v>428.8489304403459</v>
      </c>
      <c r="AO26" s="62">
        <f t="shared" si="36"/>
        <v>247.01165577562966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projet'!$B$10,Paramètres!$A$1:$I$89,3,0)*0.475*44/12</f>
        <v>0</v>
      </c>
      <c r="AV26" s="23">
        <f>EXP(-LN(2)/25)*AV25+(1-EXP(-LN(2)/25))/(LN(2)/25)*Calculateur!AQ26*Calculateur!AS26*VLOOKUP('Données projet'!$B$10,Paramètres!$A$1:$I$89,3,0)*0.475*44/12</f>
        <v>0</v>
      </c>
      <c r="AW26" s="23">
        <f>EXP(-LN(2)/2)*AW25+(1-EXP(-LN(2)/2))/(LN(2)/2)*AQ26*AT26*VLOOKUP('Données projet'!$B$10,Paramètres!$A$1:$I$89,3,0)*0.475*44/12</f>
        <v>0</v>
      </c>
      <c r="AX26" s="23">
        <f t="shared" si="6"/>
        <v>0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5.6</v>
      </c>
      <c r="BD26" s="13">
        <f>IF('Données projet'!$A$88&gt;35,BD25+BC26-BL25,IF(A26&lt;'Données projet'!$A$88,$BA$205^A26,IF(A26='Données projet'!$A$88,'Données projet'!$B$88,BD25+BC26-BL25)))</f>
        <v>58.800000000000004</v>
      </c>
      <c r="BE26" s="14">
        <f>BD26*VLOOKUP('Données projet'!$B$11,Paramètres!$A$1:$I$89,3,0)*VLOOKUP('Données projet'!$B$11,Paramètres!$A$1:$I$89,5,0)</f>
        <v>59.623200000000011</v>
      </c>
      <c r="BF26" s="14">
        <f t="shared" si="37"/>
        <v>17.072967249098898</v>
      </c>
      <c r="BG26" s="22">
        <f t="shared" si="7"/>
        <v>133.57915795884725</v>
      </c>
      <c r="BH26" s="62">
        <f t="shared" si="8"/>
        <v>418.35693573662502</v>
      </c>
      <c r="BI26" s="62">
        <f ca="1">AVERAGE(OFFSET($BH$3,0,0,'Données projet'!$E$11+1,1))-AVERAGE(OFFSET($H$3,0,0,'Données projet'!$E$11+1,1))</f>
        <v>475.47920969424894</v>
      </c>
      <c r="BJ26" s="62">
        <f t="shared" si="38"/>
        <v>271.73544012419364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>
        <f>EXP(-LN(2)/35)*BP25+(1-EXP(-LN(2)/35))/(LN(2)/35)*BL26*BM26*VLOOKUP('Données projet'!$B$11,Paramètres!$A$1:$I$89,3,0)*0.475*44/12</f>
        <v>0</v>
      </c>
      <c r="BQ26" s="23">
        <f>EXP(-LN(2)/25)*BQ25+(1-EXP(-LN(2)/25))/(LN(2)/25)*Calculateur!BL26*Calculateur!BN26*VLOOKUP('Données projet'!$B$11,Paramètres!$A$1:$I$89,3,0)*0.475*44/12</f>
        <v>0</v>
      </c>
      <c r="BR26" s="23">
        <f>EXP(-LN(2)/2)*BR25+(1-EXP(-LN(2)/2))/(LN(2)/2)*BL26*BO26*VLOOKUP('Données projet'!$B$11,Paramètres!$A$1:$I$89,3,0)*0.475*44/12</f>
        <v>0</v>
      </c>
      <c r="BS26" s="24">
        <f t="shared" si="9"/>
        <v>0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16.687912087912085</v>
      </c>
      <c r="BY26" s="13">
        <f>IF('Données projet'!$A$114&gt;35,BY25+BX26-CG25,IF(A26&lt;'Données projet'!$A$114,$BV$205^A26,IF(A26='Données projet'!$A$114,'Données projet'!$B$114,BY25+BX26-CG25)))</f>
        <v>152.26813186813189</v>
      </c>
      <c r="BZ26" s="14">
        <f>BY26*VLOOKUP('Données projet'!$B$12,Paramètres!$A$1:$I$89,3,0)*VLOOKUP('Données projet'!$B$12,Paramètres!$A$1:$I$89,5,0)</f>
        <v>85.11788571428572</v>
      </c>
      <c r="CA26" s="14">
        <f t="shared" si="39"/>
        <v>23.383981996566973</v>
      </c>
      <c r="CB26" s="22">
        <f t="shared" si="10"/>
        <v>188.97408626306844</v>
      </c>
      <c r="CC26" s="62">
        <f t="shared" si="11"/>
        <v>473.75186404084621</v>
      </c>
      <c r="CD26" s="62">
        <f ca="1">AVERAGE(OFFSET($CC$3,0,0,'Données projet'!$E$12+1,1))-AVERAGE(OFFSET($H$3,0,0,'Données projet'!$E$12+1,1))</f>
        <v>323.98185264074681</v>
      </c>
      <c r="CE26" s="62">
        <f t="shared" si="40"/>
        <v>301.22207291854005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>
        <f>EXP(-LN(2)/35)*CK25+(1-EXP(-LN(2)/35))/(LN(2)/35)*CG26*CH26*VLOOKUP('Données projet'!$B$12,Paramètres!$A$1:$I$89,3,0)*0.475*44/12</f>
        <v>0</v>
      </c>
      <c r="CL26" s="23">
        <f>EXP(-LN(2)/25)*CL25+(1-EXP(-LN(2)/25))/(LN(2)/25)*Calculateur!CG26*Calculateur!CI26*VLOOKUP('Données projet'!$B$12,Paramètres!$A$1:$I$89,3,0)*0.475*44/12</f>
        <v>4.7018645157084791</v>
      </c>
      <c r="CM26" s="23">
        <f>EXP(-LN(2)/2)*CM25+(1-EXP(-LN(2)/2))/(LN(2)/2)*CG26*CJ26*VLOOKUP('Données projet'!$B$12,Paramètres!$A$1:$I$89,3,0)*0.475*44/12</f>
        <v>7.7430196577401933</v>
      </c>
      <c r="CN26" s="24">
        <f t="shared" si="12"/>
        <v>12.444884173448672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1.2</v>
      </c>
      <c r="CT26" s="13">
        <f>IF('Données projet'!$A$140&gt;35,CT25+CS26-DB25,IF(A26&lt;'Données projet'!$A$140,$CQ$205^A26,IF(A26='Données projet'!$A$140,'Données projet'!$B$140,CT25+CS26-DB25)))</f>
        <v>22.853438584779923</v>
      </c>
      <c r="CU26" s="18">
        <f>CT26*VLOOKUP('Données projet'!$B$13,Paramètres!$A$1:$I$89,3,0)*VLOOKUP('Données projet'!$B$13,Paramètres!$A$1:$I$89,5,0)</f>
        <v>26.025495860347377</v>
      </c>
      <c r="CV26" s="14">
        <f t="shared" si="41"/>
        <v>8.2072683306135854</v>
      </c>
      <c r="CW26" s="22">
        <f t="shared" si="13"/>
        <v>59.622064299257012</v>
      </c>
      <c r="CX26" s="62">
        <f t="shared" si="14"/>
        <v>344.3998420770348</v>
      </c>
      <c r="CY26" s="62">
        <f ca="1">AVERAGE(OFFSET($CX$3,0,0,'Données projet'!$E$13+1,1))-AVERAGE(OFFSET($H$3,0,0,'Données projet'!$E$13+1,1))</f>
        <v>399.78832690250164</v>
      </c>
      <c r="CZ26" s="62">
        <f t="shared" si="42"/>
        <v>174.32967064896343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>
        <f>EXP(-LN(2)/35)*DF25+(1-EXP(-LN(2)/35))/(LN(2)/35)*DB26*DC26*VLOOKUP('Données projet'!$B$13,Paramètres!$A$1:$I$89,3,0)*0.475*44/12</f>
        <v>0</v>
      </c>
      <c r="DG26" s="23">
        <f>EXP(-LN(2)/25)*DG25+(1-EXP(-LN(2)/25))/(LN(2)/25)*Calculateur!DB26*Calculateur!DD26*VLOOKUP('Données projet'!$B$13,Paramètres!$A$1:$I$89,3,0)*0.475*44/12</f>
        <v>0</v>
      </c>
      <c r="DH26" s="23">
        <f>EXP(-LN(2)/2)*DH25+(1-EXP(-LN(2)/2))/(LN(2)/2)*DB26*DE26*VLOOKUP('Données projet'!$B$13,Paramètres!$A$1:$I$89,3,0)*0.475*44/12</f>
        <v>0</v>
      </c>
      <c r="DI26" s="24">
        <f t="shared" si="15"/>
        <v>0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5.6</v>
      </c>
      <c r="DO26" s="13">
        <f>IF('Données projet'!$A$166&gt;35,DO25+DN26-DW25,IF(A26&lt;'Données projet'!$A$166,$DL$205^A26,IF(A26='Données projet'!$A$166,'Données projet'!$B$166,DO25+DN26-DW25)))</f>
        <v>58.800000000000004</v>
      </c>
      <c r="DP26" s="18">
        <f>DO26*VLOOKUP('Données projet'!$B$14,Paramètres!$A$1:$I$89,3,0)*VLOOKUP('Données projet'!$B$14,Paramètres!$A$1:$I$89,5,0)</f>
        <v>49.533120000000011</v>
      </c>
      <c r="DQ26" s="14">
        <f t="shared" si="43"/>
        <v>14.493120113047395</v>
      </c>
      <c r="DR26" s="22">
        <f t="shared" si="16"/>
        <v>111.5123681968909</v>
      </c>
      <c r="DS26" s="62">
        <f t="shared" si="17"/>
        <v>396.29014597466869</v>
      </c>
      <c r="DT26" s="62">
        <f ca="1">AVERAGE(OFFSET($DS$3,0,0,'Données projet'!$E$14+1,1))-AVERAGE(OFFSET($H$3,0,0,'Données projet'!$E$14+1,1))</f>
        <v>402.15128814037058</v>
      </c>
      <c r="DU26" s="62">
        <f t="shared" si="44"/>
        <v>232.85411068442738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>
        <f>EXP(-LN(2)/35)*EA25+(1-EXP(-LN(2)/35))/(LN(2)/35)*DW26*DX26*VLOOKUP('Données projet'!$B$14,Paramètres!$A$1:$I$89,3,0)*0.475*44/12</f>
        <v>0</v>
      </c>
      <c r="EB26" s="23">
        <f>EXP(-LN(2)/25)*EB25+(1-EXP(-LN(2)/25))/(LN(2)/25)*Calculateur!DW26*Calculateur!DY26*VLOOKUP('Données projet'!$B$14,Paramètres!$A$1:$I$89,3,0)*0.475*44/12</f>
        <v>0</v>
      </c>
      <c r="EC26" s="23">
        <f>EXP(-LN(2)/2)*EC25+(1-EXP(-LN(2)/2))/(LN(2)/2)*DW26*DZ26*VLOOKUP('Données projet'!$B$14,Paramètres!$A$1:$I$89,3,0)*0.475*44/12</f>
        <v>0</v>
      </c>
      <c r="ED26" s="24">
        <f t="shared" si="18"/>
        <v>0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8.2051282051282044</v>
      </c>
      <c r="EJ26" s="13">
        <f>IF('Données projet'!$A$192&gt;35,EJ25+EI26-ER25,IF(A26&lt;'Données projet'!$A$192,$EG$205^A26,IF(A26='Données projet'!$A$192,'Données projet'!$B$192,EJ25+EI26-ER25)))</f>
        <v>91.28205128205127</v>
      </c>
      <c r="EK26" s="18">
        <f>EJ26*VLOOKUP('Données projet'!$B$15,Paramètres!$A$1:$I$89,3,0)*VLOOKUP('Données projet'!$B$15,Paramètres!$A$1:$I$89,5,0)</f>
        <v>95.408000000000001</v>
      </c>
      <c r="EL26" s="14">
        <f t="shared" si="45"/>
        <v>25.865041947791504</v>
      </c>
      <c r="EM26" s="22">
        <f t="shared" si="19"/>
        <v>211.21721472573688</v>
      </c>
      <c r="EN26" s="62">
        <f t="shared" si="20"/>
        <v>495.99499250351465</v>
      </c>
      <c r="EO26" s="62">
        <f ca="1">AVERAGE(OFFSET($EN$3,0,0,'Données projet'!$E$15+1,1))-AVERAGE(OFFSET($H$3,0,0,'Données projet'!$E$15+1,1))</f>
        <v>595.89992279024398</v>
      </c>
      <c r="EP26" s="62">
        <f t="shared" si="46"/>
        <v>378.16197659288338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>
        <f>EXP(-LN(2)/35)*EV25+(1-EXP(-LN(2)/35))/(LN(2)/35)*ER26*ES26*VLOOKUP('Données projet'!$B$15,Paramètres!$A$1:$I$89,3,0)*0.475*44/12</f>
        <v>0</v>
      </c>
      <c r="EW26" s="23">
        <f>EXP(-LN(2)/25)*EW25+(1-EXP(-LN(2)/25))/(LN(2)/25)*Calculateur!ER26*Calculateur!ET26*VLOOKUP('Données projet'!$B$15,Paramètres!$A$1:$I$89,3,0)*0.475*44/12</f>
        <v>0</v>
      </c>
      <c r="EX26" s="23">
        <f>EXP(-LN(2)/2)*EX25+(1-EXP(-LN(2)/2))/(LN(2)/2)*ER26*EU26*VLOOKUP('Données projet'!$B$15,Paramètres!$A$1:$I$89,3,0)*0.475*44/12</f>
        <v>0</v>
      </c>
      <c r="EY26" s="24">
        <f t="shared" si="21"/>
        <v>0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3">
        <f>VLOOKUP(A26,'Données projet'!$A$217:$I$237,2,0)</f>
        <v>173.80769230769229</v>
      </c>
      <c r="FC26" s="13">
        <f>VLOOKUP(A26,'Données projet'!$A$217:$I$237,9,0)</f>
        <v>14.926923076923075</v>
      </c>
      <c r="FD26" s="13">
        <f t="array" ref="FD26">INDEX(FC:FC,MIN(IF(ISNUMBER(FC26:FC222),ROW(FC26:FC222),"")))</f>
        <v>14.926923076923075</v>
      </c>
      <c r="FE26" s="13">
        <f>IF('Données projet'!$A$218&gt;35,FE25+FD26-FM25,IF(A26&lt;'Données projet'!$A$218,$FB$205^A26,IF(A26='Données projet'!$A$218,'Données projet'!$B$218,FE25+FD26-FM25)))</f>
        <v>173.80769230769226</v>
      </c>
      <c r="FF26" s="18">
        <f>FE26*VLOOKUP('Données projet'!$B$16,Paramètres!$A$1:$I$89,3,0)*VLOOKUP('Données projet'!$B$16,Paramètres!$A$1:$I$89,5,0)</f>
        <v>103.93699999999998</v>
      </c>
      <c r="FG26" s="14">
        <f t="shared" si="47"/>
        <v>27.897815230264825</v>
      </c>
      <c r="FH26" s="22">
        <f t="shared" si="22"/>
        <v>229.61230319271121</v>
      </c>
      <c r="FI26" s="62">
        <f t="shared" si="23"/>
        <v>514.39008097048895</v>
      </c>
      <c r="FJ26" s="62">
        <f ca="1">AVERAGE(OFFSET($FI$3,0,0,'Données projet'!$E$16+1,1))-AVERAGE(OFFSET($H$3,0,0,'Données projet'!$E$16+1,1))</f>
        <v>257.56116197646924</v>
      </c>
      <c r="FK26" s="62">
        <f t="shared" si="48"/>
        <v>269.95556918835888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>
        <f>EXP(-LN(2)/35)*FQ25+(1-EXP(-LN(2)/35))/(LN(2)/35)*FM26*FN26*VLOOKUP('Données projet'!$B$16,Paramètres!$A$1:$I$89,3,0)*0.475*44/12</f>
        <v>0</v>
      </c>
      <c r="FR26" s="23">
        <f>EXP(-LN(2)/25)*FR25+(1-EXP(-LN(2)/25))/(LN(2)/25)*Calculateur!FM26*Calculateur!FO26*VLOOKUP('Données projet'!$B$16,Paramètres!$A$1:$I$89,3,0)*0.475*44/12</f>
        <v>6.3354120151359252</v>
      </c>
      <c r="FS26" s="23">
        <f>EXP(-LN(2)/2)*FS25+(1-EXP(-LN(2)/2))/(LN(2)/2)*FM26*FP26*VLOOKUP('Données projet'!$B$16,Paramètres!$A$1:$I$89,3,0)*0.475*44/12</f>
        <v>1.7809023336830976</v>
      </c>
      <c r="FT26" s="24">
        <f t="shared" si="24"/>
        <v>8.1163143488190226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11.242307692307683</v>
      </c>
      <c r="FZ26" s="13">
        <f>IF('Données projet'!$A$244&gt;35,FZ25+FY26-GH25,IF(A26&lt;'Données projet'!$A$244,$FW$205^A26,IF(A26='Données projet'!$A$244,'Données projet'!$B$244,FZ25+FY26-GH25)))</f>
        <v>88.480769230769226</v>
      </c>
      <c r="GA26" s="18">
        <f>FZ26*VLOOKUP('Données projet'!$B$17,Paramètres!$A$1:$I$89,3,0)*VLOOKUP('Données projet'!$B$17,Paramètres!$A$1:$I$89,5,0)</f>
        <v>52.911499999999997</v>
      </c>
      <c r="GB26" s="14">
        <f t="shared" si="49"/>
        <v>15.363172606616901</v>
      </c>
      <c r="GC26" s="22">
        <f t="shared" si="25"/>
        <v>118.91172145652443</v>
      </c>
      <c r="GD26" s="62">
        <f t="shared" si="26"/>
        <v>403.68949923430222</v>
      </c>
      <c r="GE26" s="62">
        <f ca="1">AVERAGE(OFFSET($GD$3,0,0,'Données projet'!$E$17+1,1))-AVERAGE(OFFSET($H$3,0,0,'Données projet'!$E$17+1,1))</f>
        <v>289.12367833861299</v>
      </c>
      <c r="GF26" s="62">
        <f t="shared" si="50"/>
        <v>229.06617320689003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>
        <f>EXP(-LN(2)/35)*GL25+(1-EXP(-LN(2)/35))/(LN(2)/35)*GH26*GI26*VLOOKUP('Données projet'!$B$17,Paramètres!$A$1:$I$89,3,0)*0.475*44/12</f>
        <v>0</v>
      </c>
      <c r="GM26" s="23">
        <f>EXP(-LN(2)/25)*GM25+(1-EXP(-LN(2)/25))/(LN(2)/25)*Calculateur!GH26*Calculateur!GJ26*VLOOKUP('Données projet'!$B$17,Paramètres!$A$1:$I$89,3,0)*0.475*44/12</f>
        <v>0</v>
      </c>
      <c r="GN26" s="23">
        <f>EXP(-LN(2)/2)*GN25+(1-EXP(-LN(2)/2))/(LN(2)/2)*GH26*GK26*VLOOKUP('Données projet'!$B$17,Paramètres!$A$1:$I$89,3,0)*0.475*44/12</f>
        <v>0</v>
      </c>
      <c r="GO26" s="23">
        <f t="shared" si="27"/>
        <v>0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4.9084615384615384</v>
      </c>
      <c r="GU26" s="13">
        <f>IF('Données projet'!$A$270&gt;35,GU25+GT26-HC25,IF(A26&lt;'Données projet'!$A$270,$GR$205^A26,IF(A26='Données projet'!$A$270,'Données projet'!$B$270,GU25+GT26-HC25)))</f>
        <v>45.939305928458197</v>
      </c>
      <c r="GV26" s="18">
        <f>GU26*VLOOKUP('Données projet'!$B$18,Paramètres!$A$1:$I$89,3,0)*VLOOKUP('Données projet'!$B$18,Paramètres!$A$1:$I$89,5,0)</f>
        <v>21.499595174518436</v>
      </c>
      <c r="GW26" s="14">
        <f t="shared" si="51"/>
        <v>6.9324614376170377</v>
      </c>
      <c r="GX26" s="22">
        <f t="shared" si="28"/>
        <v>49.51916526613595</v>
      </c>
      <c r="GY26" s="62">
        <f t="shared" si="29"/>
        <v>334.2969430439137</v>
      </c>
      <c r="GZ26" s="62">
        <f ca="1">AVERAGE(OFFSET($GY$3,0,0,'Données projet'!$E$18+1,1))-AVERAGE(OFFSET($H$3,0,0,'Données projet'!$E$18+1,1))</f>
        <v>284.88646502866419</v>
      </c>
      <c r="HA26" s="62">
        <f t="shared" si="52"/>
        <v>190.4880882944471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>
        <f>EXP(-LN(2)/35)*HG25+(1-EXP(-LN(2)/35))/(LN(2)/35)*HC26*HD26*VLOOKUP('Données projet'!$B$18,Paramètres!$A$1:$I$89,3,0)*0.475*44/12</f>
        <v>0</v>
      </c>
      <c r="HH26" s="23">
        <f>EXP(-LN(2)/25)*HH25+(1-EXP(-LN(2)/25))/(LN(2)/25)*Calculateur!HC26*Calculateur!HE26*VLOOKUP('Données projet'!$B$18,Paramètres!$A$1:$I$89,3,0)*0.475*44/12</f>
        <v>0</v>
      </c>
      <c r="HI26" s="23">
        <f>EXP(-LN(2)/2)*HI25+(1-EXP(-LN(2)/2))/(LN(2)/2)*HC26*HF26*VLOOKUP('Données projet'!$B$18,Paramètres!$A$1:$I$89,3,0)*0.475*44/12</f>
        <v>0</v>
      </c>
      <c r="HJ26" s="24">
        <f t="shared" si="30"/>
        <v>0</v>
      </c>
    </row>
    <row r="27" spans="1:218" s="5" customFormat="1" x14ac:dyDescent="0.25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2">
        <f t="shared" si="32"/>
        <v>0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0</v>
      </c>
      <c r="H27" s="70">
        <f t="shared" si="1"/>
        <v>256.66666666666669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6.5384615384615419</v>
      </c>
      <c r="N27" s="14">
        <f>IF('Données projet'!$A$36&gt;35,N26+M27-V26,IF(A27&lt;'Données projet'!$A$36,$K$205^A27,IF(A27='Données projet'!$A$36,'Données projet'!$B$36,N26+M27-V26)))</f>
        <v>77.435897435897445</v>
      </c>
      <c r="O27" s="14">
        <f>N27*VLOOKUP('Données projet'!$B$9,Paramètres!$A$1:$I$89,3,0)*VLOOKUP('Données projet'!$B$9,Paramètres!$A$1:$I$89,5,0)</f>
        <v>73.688000000000017</v>
      </c>
      <c r="P27" s="14">
        <f t="shared" si="33"/>
        <v>20.586563216136717</v>
      </c>
      <c r="Q27" s="22">
        <f t="shared" si="2"/>
        <v>164.19486426810479</v>
      </c>
      <c r="R27" s="62">
        <f t="shared" si="0"/>
        <v>450.19486426810477</v>
      </c>
      <c r="S27" s="62">
        <f ca="1">AVERAGE(OFFSET($R$3,0,0,'Données projet'!$E$9+1,1))-AVERAGE(OFFSET($H$3,0,0,'Données projet'!$E$9+1,1))</f>
        <v>367.11183928586667</v>
      </c>
      <c r="T27" s="62">
        <f t="shared" si="34"/>
        <v>281.52963027844595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0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0</v>
      </c>
      <c r="AC27" s="24">
        <f t="shared" si="3"/>
        <v>0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5.6</v>
      </c>
      <c r="AI27" s="14">
        <f>IF('Données projet'!$A$62&gt;35,AI26+AH27-AQ26,IF(A27&lt;'Données projet'!$A$62,$AF$205^A27,IF(A27='Données projet'!$A$62,'Données projet'!$B$62,AI26+AH27-AQ26)))</f>
        <v>64.400000000000006</v>
      </c>
      <c r="AJ27" s="14">
        <f>AI27*VLOOKUP('Données projet'!$B$10,Paramètres!$A$1:$I$89,3,0)*VLOOKUP('Données projet'!$B$10,Paramètres!$A$1:$I$89,5,0)</f>
        <v>58.269120000000008</v>
      </c>
      <c r="AK27" s="14">
        <f t="shared" si="35"/>
        <v>16.729905486873804</v>
      </c>
      <c r="AL27" s="22">
        <f t="shared" si="4"/>
        <v>130.62330272297189</v>
      </c>
      <c r="AM27" s="62">
        <f t="shared" si="5"/>
        <v>416.62330272297186</v>
      </c>
      <c r="AN27" s="62">
        <f ca="1">AVERAGE(OFFSET($AM$3,0,0,'Données projet'!$E$10+1,1))-AVERAGE(OFFSET($H$3,0,0,'Données projet'!$E$10+1,1))</f>
        <v>428.8489304403459</v>
      </c>
      <c r="AO27" s="62">
        <f t="shared" si="36"/>
        <v>247.01165577562966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projet'!$B$10,Paramètres!$A$1:$I$89,3,0)*0.475*44/12</f>
        <v>0</v>
      </c>
      <c r="AV27" s="23">
        <f>EXP(-LN(2)/25)*AV26+(1-EXP(-LN(2)/25))/(LN(2)/25)*Calculateur!AQ27*Calculateur!AS27*VLOOKUP('Données projet'!$B$10,Paramètres!$A$1:$I$89,3,0)*0.475*44/12</f>
        <v>0</v>
      </c>
      <c r="AW27" s="23">
        <f>EXP(-LN(2)/2)*AW26+(1-EXP(-LN(2)/2))/(LN(2)/2)*AQ27*AT27*VLOOKUP('Données projet'!$B$10,Paramètres!$A$1:$I$89,3,0)*0.475*44/12</f>
        <v>0</v>
      </c>
      <c r="AX27" s="23">
        <f t="shared" si="6"/>
        <v>0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5.6</v>
      </c>
      <c r="BD27" s="13">
        <f>IF('Données projet'!$A$88&gt;35,BD26+BC27-BL26,IF(A27&lt;'Données projet'!$A$88,$BA$205^A27,IF(A27='Données projet'!$A$88,'Données projet'!$B$88,BD26+BC27-BL26)))</f>
        <v>64.400000000000006</v>
      </c>
      <c r="BE27" s="14">
        <f>BD27*VLOOKUP('Données projet'!$B$11,Paramètres!$A$1:$I$89,3,0)*VLOOKUP('Données projet'!$B$11,Paramètres!$A$1:$I$89,5,0)</f>
        <v>65.301600000000008</v>
      </c>
      <c r="BF27" s="14">
        <f t="shared" si="37"/>
        <v>18.502003309535596</v>
      </c>
      <c r="BG27" s="22">
        <f t="shared" si="7"/>
        <v>145.95794243077449</v>
      </c>
      <c r="BH27" s="62">
        <f t="shared" si="8"/>
        <v>431.95794243077449</v>
      </c>
      <c r="BI27" s="62">
        <f ca="1">AVERAGE(OFFSET($BH$3,0,0,'Données projet'!$E$11+1,1))-AVERAGE(OFFSET($H$3,0,0,'Données projet'!$E$11+1,1))</f>
        <v>475.47920969424894</v>
      </c>
      <c r="BJ27" s="62">
        <f t="shared" si="38"/>
        <v>271.73544012419364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>
        <f>EXP(-LN(2)/35)*BP26+(1-EXP(-LN(2)/35))/(LN(2)/35)*BL27*BM27*VLOOKUP('Données projet'!$B$11,Paramètres!$A$1:$I$89,3,0)*0.475*44/12</f>
        <v>0</v>
      </c>
      <c r="BQ27" s="23">
        <f>EXP(-LN(2)/25)*BQ26+(1-EXP(-LN(2)/25))/(LN(2)/25)*Calculateur!BL27*Calculateur!BN27*VLOOKUP('Données projet'!$B$11,Paramètres!$A$1:$I$89,3,0)*0.475*44/12</f>
        <v>0</v>
      </c>
      <c r="BR27" s="23">
        <f>EXP(-LN(2)/2)*BR26+(1-EXP(-LN(2)/2))/(LN(2)/2)*BL27*BO27*VLOOKUP('Données projet'!$B$11,Paramètres!$A$1:$I$89,3,0)*0.475*44/12</f>
        <v>0</v>
      </c>
      <c r="BS27" s="24">
        <f t="shared" si="9"/>
        <v>0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16.687912087912085</v>
      </c>
      <c r="BY27" s="13">
        <f>IF('Données projet'!$A$114&gt;35,BY26+BX27-CG26,IF(A27&lt;'Données projet'!$A$114,$BV$205^A27,IF(A27='Données projet'!$A$114,'Données projet'!$B$114,BY26+BX27-CG26)))</f>
        <v>168.95604395604397</v>
      </c>
      <c r="BZ27" s="14">
        <f>BY27*VLOOKUP('Données projet'!$B$12,Paramètres!$A$1:$I$89,3,0)*VLOOKUP('Données projet'!$B$12,Paramètres!$A$1:$I$89,5,0)</f>
        <v>94.446428571428584</v>
      </c>
      <c r="CA27" s="14">
        <f t="shared" si="39"/>
        <v>25.634568296511581</v>
      </c>
      <c r="CB27" s="22">
        <f t="shared" si="10"/>
        <v>209.14106954499582</v>
      </c>
      <c r="CC27" s="62">
        <f t="shared" si="11"/>
        <v>495.14106954499584</v>
      </c>
      <c r="CD27" s="62">
        <f ca="1">AVERAGE(OFFSET($CC$3,0,0,'Données projet'!$E$12+1,1))-AVERAGE(OFFSET($H$3,0,0,'Données projet'!$E$12+1,1))</f>
        <v>323.98185264074681</v>
      </c>
      <c r="CE27" s="62">
        <f t="shared" si="40"/>
        <v>301.22207291854005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>
        <f>EXP(-LN(2)/35)*CK26+(1-EXP(-LN(2)/35))/(LN(2)/35)*CG27*CH27*VLOOKUP('Données projet'!$B$12,Paramètres!$A$1:$I$89,3,0)*0.475*44/12</f>
        <v>0</v>
      </c>
      <c r="CL27" s="23">
        <f>EXP(-LN(2)/25)*CL26+(1-EXP(-LN(2)/25))/(LN(2)/25)*Calculateur!CG27*Calculateur!CI27*VLOOKUP('Données projet'!$B$12,Paramètres!$A$1:$I$89,3,0)*0.475*44/12</f>
        <v>4.5732917832661224</v>
      </c>
      <c r="CM27" s="23">
        <f>EXP(-LN(2)/2)*CM26+(1-EXP(-LN(2)/2))/(LN(2)/2)*CG27*CJ27*VLOOKUP('Données projet'!$B$12,Paramètres!$A$1:$I$89,3,0)*0.475*44/12</f>
        <v>5.4751417068488317</v>
      </c>
      <c r="CN27" s="24">
        <f t="shared" si="12"/>
        <v>10.048433490114954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1.2</v>
      </c>
      <c r="CT27" s="13">
        <f>IF('Données projet'!$A$140&gt;35,CT26+CS27-DB26,IF(A27&lt;'Données projet'!$A$140,$CQ$205^A27,IF(A27='Données projet'!$A$140,'Données projet'!$B$140,CT26+CS27-DB26)))</f>
        <v>26.184024853780567</v>
      </c>
      <c r="CU27" s="18">
        <f>CT27*VLOOKUP('Données projet'!$B$13,Paramètres!$A$1:$I$89,3,0)*VLOOKUP('Données projet'!$B$13,Paramètres!$A$1:$I$89,5,0)</f>
        <v>29.818367503485312</v>
      </c>
      <c r="CV27" s="14">
        <f t="shared" si="41"/>
        <v>9.255630450600643</v>
      </c>
      <c r="CW27" s="22">
        <f t="shared" si="13"/>
        <v>68.053879770033035</v>
      </c>
      <c r="CX27" s="62">
        <f t="shared" si="14"/>
        <v>354.05387977003306</v>
      </c>
      <c r="CY27" s="62">
        <f ca="1">AVERAGE(OFFSET($CX$3,0,0,'Données projet'!$E$13+1,1))-AVERAGE(OFFSET($H$3,0,0,'Données projet'!$E$13+1,1))</f>
        <v>399.78832690250164</v>
      </c>
      <c r="CZ27" s="62">
        <f t="shared" si="42"/>
        <v>174.32967064896343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>
        <f>EXP(-LN(2)/35)*DF26+(1-EXP(-LN(2)/35))/(LN(2)/35)*DB27*DC27*VLOOKUP('Données projet'!$B$13,Paramètres!$A$1:$I$89,3,0)*0.475*44/12</f>
        <v>0</v>
      </c>
      <c r="DG27" s="23">
        <f>EXP(-LN(2)/25)*DG26+(1-EXP(-LN(2)/25))/(LN(2)/25)*Calculateur!DB27*Calculateur!DD27*VLOOKUP('Données projet'!$B$13,Paramètres!$A$1:$I$89,3,0)*0.475*44/12</f>
        <v>0</v>
      </c>
      <c r="DH27" s="23">
        <f>EXP(-LN(2)/2)*DH26+(1-EXP(-LN(2)/2))/(LN(2)/2)*DB27*DE27*VLOOKUP('Données projet'!$B$13,Paramètres!$A$1:$I$89,3,0)*0.475*44/12</f>
        <v>0</v>
      </c>
      <c r="DI27" s="24">
        <f t="shared" si="15"/>
        <v>0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5.6</v>
      </c>
      <c r="DO27" s="13">
        <f>IF('Données projet'!$A$166&gt;35,DO26+DN27-DW26,IF(A27&lt;'Données projet'!$A$166,$DL$205^A27,IF(A27='Données projet'!$A$166,'Données projet'!$B$166,DO26+DN27-DW26)))</f>
        <v>64.400000000000006</v>
      </c>
      <c r="DP27" s="18">
        <f>DO27*VLOOKUP('Données projet'!$B$14,Paramètres!$A$1:$I$89,3,0)*VLOOKUP('Données projet'!$B$14,Paramètres!$A$1:$I$89,5,0)</f>
        <v>54.250560000000007</v>
      </c>
      <c r="DQ27" s="14">
        <f t="shared" si="43"/>
        <v>15.706218631166928</v>
      </c>
      <c r="DR27" s="22">
        <f t="shared" si="16"/>
        <v>121.84138944928242</v>
      </c>
      <c r="DS27" s="62">
        <f t="shared" si="17"/>
        <v>407.84138944928242</v>
      </c>
      <c r="DT27" s="62">
        <f ca="1">AVERAGE(OFFSET($DS$3,0,0,'Données projet'!$E$14+1,1))-AVERAGE(OFFSET($H$3,0,0,'Données projet'!$E$14+1,1))</f>
        <v>402.15128814037058</v>
      </c>
      <c r="DU27" s="62">
        <f t="shared" si="44"/>
        <v>232.85411068442738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>
        <f>EXP(-LN(2)/35)*EA26+(1-EXP(-LN(2)/35))/(LN(2)/35)*DW27*DX27*VLOOKUP('Données projet'!$B$14,Paramètres!$A$1:$I$89,3,0)*0.475*44/12</f>
        <v>0</v>
      </c>
      <c r="EB27" s="23">
        <f>EXP(-LN(2)/25)*EB26+(1-EXP(-LN(2)/25))/(LN(2)/25)*Calculateur!DW27*Calculateur!DY27*VLOOKUP('Données projet'!$B$14,Paramètres!$A$1:$I$89,3,0)*0.475*44/12</f>
        <v>0</v>
      </c>
      <c r="EC27" s="23">
        <f>EXP(-LN(2)/2)*EC26+(1-EXP(-LN(2)/2))/(LN(2)/2)*DW27*DZ27*VLOOKUP('Données projet'!$B$14,Paramètres!$A$1:$I$89,3,0)*0.475*44/12</f>
        <v>0</v>
      </c>
      <c r="ED27" s="24">
        <f t="shared" si="18"/>
        <v>0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8.2051282051282044</v>
      </c>
      <c r="EJ27" s="13">
        <f>IF('Données projet'!$A$192&gt;35,EJ26+EI27-ER26,IF(A27&lt;'Données projet'!$A$192,$EG$205^A27,IF(A27='Données projet'!$A$192,'Données projet'!$B$192,EJ26+EI27-ER26)))</f>
        <v>99.487179487179475</v>
      </c>
      <c r="EK27" s="18">
        <f>EJ27*VLOOKUP('Données projet'!$B$15,Paramètres!$A$1:$I$89,3,0)*VLOOKUP('Données projet'!$B$15,Paramètres!$A$1:$I$89,5,0)</f>
        <v>103.98399999999999</v>
      </c>
      <c r="EL27" s="14">
        <f t="shared" si="45"/>
        <v>27.908961823510698</v>
      </c>
      <c r="EM27" s="22">
        <f t="shared" si="19"/>
        <v>229.71357517594777</v>
      </c>
      <c r="EN27" s="62">
        <f t="shared" si="20"/>
        <v>515.71357517594777</v>
      </c>
      <c r="EO27" s="62">
        <f ca="1">AVERAGE(OFFSET($EN$3,0,0,'Données projet'!$E$15+1,1))-AVERAGE(OFFSET($H$3,0,0,'Données projet'!$E$15+1,1))</f>
        <v>595.89992279024398</v>
      </c>
      <c r="EP27" s="62">
        <f t="shared" si="46"/>
        <v>378.16197659288338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>
        <f>EXP(-LN(2)/35)*EV26+(1-EXP(-LN(2)/35))/(LN(2)/35)*ER27*ES27*VLOOKUP('Données projet'!$B$15,Paramètres!$A$1:$I$89,3,0)*0.475*44/12</f>
        <v>0</v>
      </c>
      <c r="EW27" s="23">
        <f>EXP(-LN(2)/25)*EW26+(1-EXP(-LN(2)/25))/(LN(2)/25)*Calculateur!ER27*Calculateur!ET27*VLOOKUP('Données projet'!$B$15,Paramètres!$A$1:$I$89,3,0)*0.475*44/12</f>
        <v>0</v>
      </c>
      <c r="EX27" s="23">
        <f>EXP(-LN(2)/2)*EX26+(1-EXP(-LN(2)/2))/(LN(2)/2)*ER27*EU27*VLOOKUP('Données projet'!$B$15,Paramètres!$A$1:$I$89,3,0)*0.475*44/12</f>
        <v>0</v>
      </c>
      <c r="EY27" s="24">
        <f t="shared" si="21"/>
        <v>0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-11.988461538461536</v>
      </c>
      <c r="FE27" s="13">
        <f>IF('Données projet'!$A$218&gt;35,FE26+FD27-FM26,IF(A27&lt;'Données projet'!$A$218,$FB$205^A27,IF(A27='Données projet'!$A$218,'Données projet'!$B$218,FE26+FD27-FM26)))</f>
        <v>161.81923076923073</v>
      </c>
      <c r="FF27" s="18">
        <f>FE27*VLOOKUP('Données projet'!$B$16,Paramètres!$A$1:$I$89,3,0)*VLOOKUP('Données projet'!$B$16,Paramètres!$A$1:$I$89,5,0)</f>
        <v>96.767899999999983</v>
      </c>
      <c r="FG27" s="14">
        <f t="shared" si="47"/>
        <v>26.190528128013892</v>
      </c>
      <c r="FH27" s="22">
        <f t="shared" si="22"/>
        <v>214.15259565629083</v>
      </c>
      <c r="FI27" s="62">
        <f t="shared" si="23"/>
        <v>500.15259565629083</v>
      </c>
      <c r="FJ27" s="62">
        <f ca="1">AVERAGE(OFFSET($FI$3,0,0,'Données projet'!$E$16+1,1))-AVERAGE(OFFSET($H$3,0,0,'Données projet'!$E$16+1,1))</f>
        <v>257.56116197646924</v>
      </c>
      <c r="FK27" s="62">
        <f t="shared" si="48"/>
        <v>269.95556918835888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>
        <f>EXP(-LN(2)/35)*FQ26+(1-EXP(-LN(2)/35))/(LN(2)/35)*FM27*FN27*VLOOKUP('Données projet'!$B$16,Paramètres!$A$1:$I$89,3,0)*0.475*44/12</f>
        <v>0</v>
      </c>
      <c r="FR27" s="23">
        <f>EXP(-LN(2)/25)*FR26+(1-EXP(-LN(2)/25))/(LN(2)/25)*Calculateur!FM27*Calculateur!FO27*VLOOKUP('Données projet'!$B$16,Paramètres!$A$1:$I$89,3,0)*0.475*44/12</f>
        <v>6.162169840417195</v>
      </c>
      <c r="FS27" s="23">
        <f>EXP(-LN(2)/2)*FS26+(1-EXP(-LN(2)/2))/(LN(2)/2)*FM27*FP27*VLOOKUP('Données projet'!$B$16,Paramètres!$A$1:$I$89,3,0)*0.475*44/12</f>
        <v>1.2592881167782659</v>
      </c>
      <c r="FT27" s="24">
        <f t="shared" si="24"/>
        <v>7.4214579571954609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">
        <f>VLOOKUP(A27,'Données projet'!$A$243:$I$263,2,0)</f>
        <v>99.723076923076903</v>
      </c>
      <c r="FX27" s="13">
        <f>VLOOKUP(A27,'Données projet'!$A$243:$I$263,9,0)</f>
        <v>11.242307692307683</v>
      </c>
      <c r="FY27" s="13">
        <f t="array" ref="FY27">INDEX(FX:FX,MIN(IF(ISNUMBER(FX27:FX223),ROW(FX27:FX223),"")))</f>
        <v>11.242307692307683</v>
      </c>
      <c r="FZ27" s="13">
        <f>IF('Données projet'!$A$244&gt;35,FZ26+FY27-GH26,IF(A27&lt;'Données projet'!$A$244,$FW$205^A27,IF(A27='Données projet'!$A$244,'Données projet'!$B$244,FZ26+FY27-GH26)))</f>
        <v>99.723076923076917</v>
      </c>
      <c r="GA27" s="18">
        <f>FZ27*VLOOKUP('Données projet'!$B$17,Paramètres!$A$1:$I$89,3,0)*VLOOKUP('Données projet'!$B$17,Paramètres!$A$1:$I$89,5,0)</f>
        <v>59.634400000000007</v>
      </c>
      <c r="GB27" s="14">
        <f t="shared" si="49"/>
        <v>17.075801006767037</v>
      </c>
      <c r="GC27" s="22">
        <f t="shared" si="25"/>
        <v>133.60360008678595</v>
      </c>
      <c r="GD27" s="62">
        <f t="shared" si="26"/>
        <v>419.60360008678595</v>
      </c>
      <c r="GE27" s="62">
        <f ca="1">AVERAGE(OFFSET($GD$3,0,0,'Données projet'!$E$17+1,1))-AVERAGE(OFFSET($H$3,0,0,'Données projet'!$E$17+1,1))</f>
        <v>289.12367833861299</v>
      </c>
      <c r="GF27" s="62">
        <f t="shared" si="50"/>
        <v>229.06617320689003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>
        <f>EXP(-LN(2)/35)*GL26+(1-EXP(-LN(2)/35))/(LN(2)/35)*GH27*GI27*VLOOKUP('Données projet'!$B$17,Paramètres!$A$1:$I$89,3,0)*0.475*44/12</f>
        <v>0</v>
      </c>
      <c r="GM27" s="23">
        <f>EXP(-LN(2)/25)*GM26+(1-EXP(-LN(2)/25))/(LN(2)/25)*Calculateur!GH27*Calculateur!GJ27*VLOOKUP('Données projet'!$B$17,Paramètres!$A$1:$I$89,3,0)*0.475*44/12</f>
        <v>0</v>
      </c>
      <c r="GN27" s="23">
        <f>EXP(-LN(2)/2)*GN26+(1-EXP(-LN(2)/2))/(LN(2)/2)*GH27*GK27*VLOOKUP('Données projet'!$B$17,Paramètres!$A$1:$I$89,3,0)*0.475*44/12</f>
        <v>0</v>
      </c>
      <c r="GO27" s="23">
        <f t="shared" si="27"/>
        <v>0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4.9084615384615384</v>
      </c>
      <c r="GU27" s="13">
        <f>IF('Données projet'!$A$270&gt;35,GU26+GT27-HC26,IF(A27&lt;'Données projet'!$A$270,$GR$205^A27,IF(A27='Données projet'!$A$270,'Données projet'!$B$270,GU26+GT27-HC26)))</f>
        <v>54.256692760299323</v>
      </c>
      <c r="GV27" s="18">
        <f>GU27*VLOOKUP('Données projet'!$B$18,Paramètres!$A$1:$I$89,3,0)*VLOOKUP('Données projet'!$B$18,Paramètres!$A$1:$I$89,5,0)</f>
        <v>25.392132211820083</v>
      </c>
      <c r="GW27" s="14">
        <f t="shared" si="51"/>
        <v>8.0305307997692346</v>
      </c>
      <c r="GX27" s="22">
        <f t="shared" si="28"/>
        <v>58.211138078518069</v>
      </c>
      <c r="GY27" s="62">
        <f t="shared" si="29"/>
        <v>344.21113807851805</v>
      </c>
      <c r="GZ27" s="62">
        <f ca="1">AVERAGE(OFFSET($GY$3,0,0,'Données projet'!$E$18+1,1))-AVERAGE(OFFSET($H$3,0,0,'Données projet'!$E$18+1,1))</f>
        <v>284.88646502866419</v>
      </c>
      <c r="HA27" s="62">
        <f t="shared" si="52"/>
        <v>190.4880882944471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>
        <f>EXP(-LN(2)/35)*HG26+(1-EXP(-LN(2)/35))/(LN(2)/35)*HC27*HD27*VLOOKUP('Données projet'!$B$18,Paramètres!$A$1:$I$89,3,0)*0.475*44/12</f>
        <v>0</v>
      </c>
      <c r="HH27" s="23">
        <f>EXP(-LN(2)/25)*HH26+(1-EXP(-LN(2)/25))/(LN(2)/25)*Calculateur!HC27*Calculateur!HE27*VLOOKUP('Données projet'!$B$18,Paramètres!$A$1:$I$89,3,0)*0.475*44/12</f>
        <v>0</v>
      </c>
      <c r="HI27" s="23">
        <f>EXP(-LN(2)/2)*HI26+(1-EXP(-LN(2)/2))/(LN(2)/2)*HC27*HF27*VLOOKUP('Données projet'!$B$18,Paramètres!$A$1:$I$89,3,0)*0.475*44/12</f>
        <v>0</v>
      </c>
      <c r="HJ27" s="24">
        <f t="shared" si="30"/>
        <v>0</v>
      </c>
    </row>
    <row r="28" spans="1:218" s="5" customFormat="1" x14ac:dyDescent="0.25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2">
        <f t="shared" si="32"/>
        <v>0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0</v>
      </c>
      <c r="H28" s="70">
        <f t="shared" si="1"/>
        <v>256.66666666666669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3">
        <f>VLOOKUP(A28,'Données projet'!$A$35:$I$55,2,0)</f>
        <v>83.974358974358978</v>
      </c>
      <c r="L28" s="13">
        <f>VLOOKUP(A28,'Données projet'!$A$35:$I$55,9,0)</f>
        <v>6.5384615384615419</v>
      </c>
      <c r="M28" s="13">
        <f t="array" ref="M28">INDEX(L:L,MIN(IF(ISNUMBER(L28:L224),ROW(L28:L224),"")))</f>
        <v>6.5384615384615419</v>
      </c>
      <c r="N28" s="14">
        <f>IF('Données projet'!$A$36&gt;35,N27+M28-V27,IF(A28&lt;'Données projet'!$A$36,$K$205^A28,IF(A28='Données projet'!$A$36,'Données projet'!$B$36,N27+M28-V27)))</f>
        <v>83.974358974358992</v>
      </c>
      <c r="O28" s="14">
        <f>N28*VLOOKUP('Données projet'!$B$9,Paramètres!$A$1:$I$89,3,0)*VLOOKUP('Données projet'!$B$9,Paramètres!$A$1:$I$89,5,0)</f>
        <v>79.910000000000025</v>
      </c>
      <c r="P28" s="14">
        <f t="shared" si="33"/>
        <v>22.115177219366689</v>
      </c>
      <c r="Q28" s="22">
        <f t="shared" si="2"/>
        <v>177.69385032373035</v>
      </c>
      <c r="R28" s="62">
        <f t="shared" si="0"/>
        <v>464.9160725459526</v>
      </c>
      <c r="S28" s="62">
        <f ca="1">AVERAGE(OFFSET($R$3,0,0,'Données projet'!$E$9+1,1))-AVERAGE(OFFSET($H$3,0,0,'Données projet'!$E$9+1,1))</f>
        <v>367.11183928586667</v>
      </c>
      <c r="T28" s="62">
        <f t="shared" si="34"/>
        <v>281.52963027844595</v>
      </c>
      <c r="U28" s="16">
        <f>IF(ISNA(VLOOKUP(A28,'Données projet'!$A$35:$I$55,3,0)),0,VLOOKUP(A28,'Données projet'!$A$35:$I$55,3,0))</f>
        <v>0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0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0</v>
      </c>
      <c r="AC28" s="24">
        <f t="shared" si="3"/>
        <v>0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3">
        <f>VLOOKUP(A28,'Données projet'!$A$61:$I$81,2,0)</f>
        <v>70</v>
      </c>
      <c r="AG28" s="13">
        <f>VLOOKUP(A28,'Données projet'!$A$61:$I$81,9,0)</f>
        <v>5.6</v>
      </c>
      <c r="AH28" s="13">
        <f t="array" ref="AH28">INDEX(AG:AG,MIN(IF(ISNUMBER(AG28:AG224),ROW(AG28:AG224),"")))</f>
        <v>5.6</v>
      </c>
      <c r="AI28" s="14">
        <f>IF('Données projet'!$A$62&gt;35,AI27+AH28-AQ27,IF(A28&lt;'Données projet'!$A$62,$AF$205^A28,IF(A28='Données projet'!$A$62,'Données projet'!$B$62,AI27+AH28-AQ27)))</f>
        <v>70</v>
      </c>
      <c r="AJ28" s="14">
        <f>AI28*VLOOKUP('Données projet'!$B$10,Paramètres!$A$1:$I$89,3,0)*VLOOKUP('Données projet'!$B$10,Paramètres!$A$1:$I$89,5,0)</f>
        <v>63.335999999999991</v>
      </c>
      <c r="AK28" s="14">
        <f t="shared" si="35"/>
        <v>18.009040022946227</v>
      </c>
      <c r="AL28" s="22">
        <f t="shared" si="4"/>
        <v>141.67594470663133</v>
      </c>
      <c r="AM28" s="62">
        <f t="shared" si="5"/>
        <v>428.89816692885358</v>
      </c>
      <c r="AN28" s="62">
        <f ca="1">AVERAGE(OFFSET($AM$3,0,0,'Données projet'!$E$10+1,1))-AVERAGE(OFFSET($H$3,0,0,'Données projet'!$E$10+1,1))</f>
        <v>428.8489304403459</v>
      </c>
      <c r="AO28" s="62">
        <f t="shared" si="36"/>
        <v>247.01165577562966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>
        <f>EXP(-LN(2)/35)*AU27+(1-EXP(-LN(2)/35))/(LN(2)/35)*AQ28*AR28*VLOOKUP('Données projet'!$B$10,Paramètres!$A$1:$I$89,3,0)*0.475*44/12</f>
        <v>0</v>
      </c>
      <c r="AV28" s="23">
        <f>EXP(-LN(2)/25)*AV27+(1-EXP(-LN(2)/25))/(LN(2)/25)*Calculateur!AQ28*Calculateur!AS28*VLOOKUP('Données projet'!$B$10,Paramètres!$A$1:$I$89,3,0)*0.475*44/12</f>
        <v>0</v>
      </c>
      <c r="AW28" s="23">
        <f>EXP(-LN(2)/2)*AW27+(1-EXP(-LN(2)/2))/(LN(2)/2)*AQ28*AT28*VLOOKUP('Données projet'!$B$10,Paramètres!$A$1:$I$89,3,0)*0.475*44/12</f>
        <v>0</v>
      </c>
      <c r="AX28" s="23">
        <f t="shared" si="6"/>
        <v>0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3">
        <f>VLOOKUP(A28,'Données projet'!$A$87:$I$107,2,0)</f>
        <v>70</v>
      </c>
      <c r="BB28" s="13">
        <f>VLOOKUP(A28,'Données projet'!$A$87:$I$107,9,0)</f>
        <v>5.6</v>
      </c>
      <c r="BC28" s="13">
        <f t="array" ref="BC28">INDEX(BB:BB,MIN(IF(ISNUMBER(BB28:BB224),ROW(BB28:BB224),"")))</f>
        <v>5.6</v>
      </c>
      <c r="BD28" s="13">
        <f>IF('Données projet'!$A$88&gt;35,BD27+BC28-BL27,IF(A28&lt;'Données projet'!$A$88,$BA$205^A28,IF(A28='Données projet'!$A$88,'Données projet'!$B$88,BD27+BC28-BL27)))</f>
        <v>70</v>
      </c>
      <c r="BE28" s="14">
        <f>BD28*VLOOKUP('Données projet'!$B$11,Paramètres!$A$1:$I$89,3,0)*VLOOKUP('Données projet'!$B$11,Paramètres!$A$1:$I$89,5,0)</f>
        <v>70.98</v>
      </c>
      <c r="BF28" s="14">
        <f t="shared" si="37"/>
        <v>19.916628839746853</v>
      </c>
      <c r="BG28" s="22">
        <f t="shared" si="7"/>
        <v>158.31162856255909</v>
      </c>
      <c r="BH28" s="62">
        <f t="shared" si="8"/>
        <v>445.53385078478129</v>
      </c>
      <c r="BI28" s="62">
        <f ca="1">AVERAGE(OFFSET($BH$3,0,0,'Données projet'!$E$11+1,1))-AVERAGE(OFFSET($H$3,0,0,'Données projet'!$E$11+1,1))</f>
        <v>475.47920969424894</v>
      </c>
      <c r="BJ28" s="62">
        <f t="shared" si="38"/>
        <v>271.73544012419364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>
        <f>EXP(-LN(2)/35)*BP27+(1-EXP(-LN(2)/35))/(LN(2)/35)*BL28*BM28*VLOOKUP('Données projet'!$B$11,Paramètres!$A$1:$I$89,3,0)*0.475*44/12</f>
        <v>0</v>
      </c>
      <c r="BQ28" s="23">
        <f>EXP(-LN(2)/25)*BQ27+(1-EXP(-LN(2)/25))/(LN(2)/25)*Calculateur!BL28*Calculateur!BN28*VLOOKUP('Données projet'!$B$11,Paramètres!$A$1:$I$89,3,0)*0.475*44/12</f>
        <v>0</v>
      </c>
      <c r="BR28" s="23">
        <f>EXP(-LN(2)/2)*BR27+(1-EXP(-LN(2)/2))/(LN(2)/2)*BL28*BO28*VLOOKUP('Données projet'!$B$11,Paramètres!$A$1:$I$89,3,0)*0.475*44/12</f>
        <v>0</v>
      </c>
      <c r="BS28" s="24">
        <f t="shared" si="9"/>
        <v>0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16.687912087912085</v>
      </c>
      <c r="BY28" s="13">
        <f>IF('Données projet'!$A$114&gt;35,BY27+BX28-CG27,IF(A28&lt;'Données projet'!$A$114,$BV$205^A28,IF(A28='Données projet'!$A$114,'Données projet'!$B$114,BY27+BX28-CG27)))</f>
        <v>185.64395604395605</v>
      </c>
      <c r="BZ28" s="14">
        <f>BY28*VLOOKUP('Données projet'!$B$12,Paramètres!$A$1:$I$89,3,0)*VLOOKUP('Données projet'!$B$12,Paramètres!$A$1:$I$89,5,0)</f>
        <v>103.77497142857143</v>
      </c>
      <c r="CA28" s="14">
        <f t="shared" si="39"/>
        <v>27.859383782043167</v>
      </c>
      <c r="CB28" s="22">
        <f t="shared" si="10"/>
        <v>229.2631686584871</v>
      </c>
      <c r="CC28" s="62">
        <f t="shared" si="11"/>
        <v>516.48539088070936</v>
      </c>
      <c r="CD28" s="62">
        <f ca="1">AVERAGE(OFFSET($CC$3,0,0,'Données projet'!$E$12+1,1))-AVERAGE(OFFSET($H$3,0,0,'Données projet'!$E$12+1,1))</f>
        <v>323.98185264074681</v>
      </c>
      <c r="CE28" s="62">
        <f t="shared" si="40"/>
        <v>301.22207291854005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>
        <f>EXP(-LN(2)/35)*CK27+(1-EXP(-LN(2)/35))/(LN(2)/35)*CG28*CH28*VLOOKUP('Données projet'!$B$12,Paramètres!$A$1:$I$89,3,0)*0.475*44/12</f>
        <v>0</v>
      </c>
      <c r="CL28" s="23">
        <f>EXP(-LN(2)/25)*CL27+(1-EXP(-LN(2)/25))/(LN(2)/25)*Calculateur!CG28*Calculateur!CI28*VLOOKUP('Données projet'!$B$12,Paramètres!$A$1:$I$89,3,0)*0.475*44/12</f>
        <v>4.4482348789537474</v>
      </c>
      <c r="CM28" s="23">
        <f>EXP(-LN(2)/2)*CM27+(1-EXP(-LN(2)/2))/(LN(2)/2)*CG28*CJ28*VLOOKUP('Données projet'!$B$12,Paramètres!$A$1:$I$89,3,0)*0.475*44/12</f>
        <v>3.8715098288700975</v>
      </c>
      <c r="CN28" s="24">
        <f t="shared" si="12"/>
        <v>8.319744707823844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3">
        <f>VLOOKUP(A28,'Données projet'!$A$139:$I$159,2,0)</f>
        <v>30</v>
      </c>
      <c r="CR28" s="13">
        <f>VLOOKUP(A28,'Données projet'!$A$139:$I$159,9,0)</f>
        <v>1.2</v>
      </c>
      <c r="CS28" s="13">
        <f t="array" ref="CS28">INDEX(CR:CR,MIN(IF(ISNUMBER(CR28:CR224),ROW(CR28:CR224),"")))</f>
        <v>1.2</v>
      </c>
      <c r="CT28" s="13">
        <f>IF('Données projet'!$A$140&gt;35,CT27+CS28-DB27,IF(A28&lt;'Données projet'!$A$140,$CQ$205^A28,IF(A28='Données projet'!$A$140,'Données projet'!$B$140,CT27+CS28-DB27)))</f>
        <v>30</v>
      </c>
      <c r="CU28" s="18">
        <f>CT28*VLOOKUP('Données projet'!$B$13,Paramètres!$A$1:$I$89,3,0)*VLOOKUP('Données projet'!$B$13,Paramètres!$A$1:$I$89,5,0)</f>
        <v>34.164000000000001</v>
      </c>
      <c r="CV28" s="14">
        <f t="shared" si="41"/>
        <v>10.43790596178561</v>
      </c>
      <c r="CW28" s="22">
        <f t="shared" si="13"/>
        <v>77.681652883443277</v>
      </c>
      <c r="CX28" s="62">
        <f t="shared" si="14"/>
        <v>364.90387510566552</v>
      </c>
      <c r="CY28" s="62">
        <f ca="1">AVERAGE(OFFSET($CX$3,0,0,'Données projet'!$E$13+1,1))-AVERAGE(OFFSET($H$3,0,0,'Données projet'!$E$13+1,1))</f>
        <v>399.78832690250164</v>
      </c>
      <c r="CZ28" s="62">
        <f t="shared" si="42"/>
        <v>174.32967064896343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>
        <f>EXP(-LN(2)/35)*DF27+(1-EXP(-LN(2)/35))/(LN(2)/35)*DB28*DC28*VLOOKUP('Données projet'!$B$13,Paramètres!$A$1:$I$89,3,0)*0.475*44/12</f>
        <v>0</v>
      </c>
      <c r="DG28" s="23">
        <f>EXP(-LN(2)/25)*DG27+(1-EXP(-LN(2)/25))/(LN(2)/25)*Calculateur!DB28*Calculateur!DD28*VLOOKUP('Données projet'!$B$13,Paramètres!$A$1:$I$89,3,0)*0.475*44/12</f>
        <v>0</v>
      </c>
      <c r="DH28" s="23">
        <f>EXP(-LN(2)/2)*DH27+(1-EXP(-LN(2)/2))/(LN(2)/2)*DB28*DE28*VLOOKUP('Données projet'!$B$13,Paramètres!$A$1:$I$89,3,0)*0.475*44/12</f>
        <v>0</v>
      </c>
      <c r="DI28" s="24">
        <f t="shared" si="15"/>
        <v>0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3">
        <f>VLOOKUP(A28,'Données projet'!$A$165:$I$185,2,0)</f>
        <v>70</v>
      </c>
      <c r="DM28" s="13">
        <f>VLOOKUP(A28,'Données projet'!$A$165:$I$185,9,0)</f>
        <v>5.6</v>
      </c>
      <c r="DN28" s="13">
        <f t="array" ref="DN28">INDEX(DM:DM,MIN(IF(ISNUMBER(DM28:DM224),ROW(DM28:DM224),"")))</f>
        <v>5.6</v>
      </c>
      <c r="DO28" s="13">
        <f>IF('Données projet'!$A$166&gt;35,DO27+DN28-DW27,IF(A28&lt;'Données projet'!$A$166,$DL$205^A28,IF(A28='Données projet'!$A$166,'Données projet'!$B$166,DO27+DN28-DW27)))</f>
        <v>70</v>
      </c>
      <c r="DP28" s="18">
        <f>DO28*VLOOKUP('Données projet'!$B$14,Paramètres!$A$1:$I$89,3,0)*VLOOKUP('Données projet'!$B$14,Paramètres!$A$1:$I$89,5,0)</f>
        <v>58.968000000000011</v>
      </c>
      <c r="DQ28" s="14">
        <f t="shared" si="43"/>
        <v>16.907084152971134</v>
      </c>
      <c r="DR28" s="22">
        <f t="shared" si="16"/>
        <v>132.14910489975807</v>
      </c>
      <c r="DS28" s="62">
        <f t="shared" si="17"/>
        <v>419.3713271219803</v>
      </c>
      <c r="DT28" s="62">
        <f ca="1">AVERAGE(OFFSET($DS$3,0,0,'Données projet'!$E$14+1,1))-AVERAGE(OFFSET($H$3,0,0,'Données projet'!$E$14+1,1))</f>
        <v>402.15128814037058</v>
      </c>
      <c r="DU28" s="62">
        <f t="shared" si="44"/>
        <v>232.85411068442738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>
        <f>EXP(-LN(2)/35)*EA27+(1-EXP(-LN(2)/35))/(LN(2)/35)*DW28*DX28*VLOOKUP('Données projet'!$B$14,Paramètres!$A$1:$I$89,3,0)*0.475*44/12</f>
        <v>0</v>
      </c>
      <c r="EB28" s="23">
        <f>EXP(-LN(2)/25)*EB27+(1-EXP(-LN(2)/25))/(LN(2)/25)*Calculateur!DW28*Calculateur!DY28*VLOOKUP('Données projet'!$B$14,Paramètres!$A$1:$I$89,3,0)*0.475*44/12</f>
        <v>0</v>
      </c>
      <c r="EC28" s="23">
        <f>EXP(-LN(2)/2)*EC27+(1-EXP(-LN(2)/2))/(LN(2)/2)*DW28*DZ28*VLOOKUP('Données projet'!$B$14,Paramètres!$A$1:$I$89,3,0)*0.475*44/12</f>
        <v>0</v>
      </c>
      <c r="ED28" s="24">
        <f t="shared" si="18"/>
        <v>0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3">
        <f>VLOOKUP(A28,'Données projet'!$A$191:$I$211,2,0)</f>
        <v>107.69230769230769</v>
      </c>
      <c r="EH28" s="13">
        <f>VLOOKUP(A28,'Données projet'!$A$191:$I$211,9,0)</f>
        <v>8.2051282051282044</v>
      </c>
      <c r="EI28" s="13">
        <f t="array" ref="EI28">INDEX(EH:EH,MIN(IF(ISNUMBER(EH28:EH224),ROW(EH28:EH224),"")))</f>
        <v>8.2051282051282044</v>
      </c>
      <c r="EJ28" s="13">
        <f>IF('Données projet'!$A$192&gt;35,EJ27+EI28-ER27,IF(A28&lt;'Données projet'!$A$192,$EG$205^A28,IF(A28='Données projet'!$A$192,'Données projet'!$B$192,EJ27+EI28-ER27)))</f>
        <v>107.69230769230768</v>
      </c>
      <c r="EK28" s="18">
        <f>EJ28*VLOOKUP('Données projet'!$B$15,Paramètres!$A$1:$I$89,3,0)*VLOOKUP('Données projet'!$B$15,Paramètres!$A$1:$I$89,5,0)</f>
        <v>112.55999999999999</v>
      </c>
      <c r="EL28" s="14">
        <f t="shared" si="45"/>
        <v>29.933330570949426</v>
      </c>
      <c r="EM28" s="22">
        <f t="shared" si="19"/>
        <v>248.1758840777369</v>
      </c>
      <c r="EN28" s="62">
        <f t="shared" si="20"/>
        <v>535.39810629995918</v>
      </c>
      <c r="EO28" s="62">
        <f ca="1">AVERAGE(OFFSET($EN$3,0,0,'Données projet'!$E$15+1,1))-AVERAGE(OFFSET($H$3,0,0,'Données projet'!$E$15+1,1))</f>
        <v>595.89992279024398</v>
      </c>
      <c r="EP28" s="62">
        <f t="shared" si="46"/>
        <v>378.16197659288338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>
        <f>EXP(-LN(2)/35)*EV27+(1-EXP(-LN(2)/35))/(LN(2)/35)*ER28*ES28*VLOOKUP('Données projet'!$B$15,Paramètres!$A$1:$I$89,3,0)*0.475*44/12</f>
        <v>0</v>
      </c>
      <c r="EW28" s="23">
        <f>EXP(-LN(2)/25)*EW27+(1-EXP(-LN(2)/25))/(LN(2)/25)*Calculateur!ER28*Calculateur!ET28*VLOOKUP('Données projet'!$B$15,Paramètres!$A$1:$I$89,3,0)*0.475*44/12</f>
        <v>0</v>
      </c>
      <c r="EX28" s="23">
        <f>EXP(-LN(2)/2)*EX27+(1-EXP(-LN(2)/2))/(LN(2)/2)*ER28*EU28*VLOOKUP('Données projet'!$B$15,Paramètres!$A$1:$I$89,3,0)*0.475*44/12</f>
        <v>0</v>
      </c>
      <c r="EY28" s="24">
        <f t="shared" si="21"/>
        <v>0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3">
        <f>VLOOKUP(A28,'Données projet'!$A$217:$I$237,2,0)</f>
        <v>149.83076923076922</v>
      </c>
      <c r="FC28" s="13">
        <f>VLOOKUP(A28,'Données projet'!$A$217:$I$237,9,0)</f>
        <v>-11.988461538461536</v>
      </c>
      <c r="FD28" s="13">
        <f t="array" ref="FD28">INDEX(FC:FC,MIN(IF(ISNUMBER(FC28:FC224),ROW(FC28:FC224),"")))</f>
        <v>-11.988461538461536</v>
      </c>
      <c r="FE28" s="13">
        <f>IF('Données projet'!$A$218&gt;35,FE27+FD28-FM27,IF(A28&lt;'Données projet'!$A$218,$FB$205^A28,IF(A28='Données projet'!$A$218,'Données projet'!$B$218,FE27+FD28-FM27)))</f>
        <v>149.83076923076919</v>
      </c>
      <c r="FF28" s="18">
        <f>FE28*VLOOKUP('Données projet'!$B$16,Paramètres!$A$1:$I$89,3,0)*VLOOKUP('Données projet'!$B$16,Paramètres!$A$1:$I$89,5,0)</f>
        <v>89.598799999999983</v>
      </c>
      <c r="FG28" s="14">
        <f t="shared" si="47"/>
        <v>24.468440069427142</v>
      </c>
      <c r="FH28" s="22">
        <f t="shared" si="22"/>
        <v>198.66710978758559</v>
      </c>
      <c r="FI28" s="62">
        <f t="shared" si="23"/>
        <v>485.88933200980784</v>
      </c>
      <c r="FJ28" s="62">
        <f ca="1">AVERAGE(OFFSET($FI$3,0,0,'Données projet'!$E$16+1,1))-AVERAGE(OFFSET($H$3,0,0,'Données projet'!$E$16+1,1))</f>
        <v>257.56116197646924</v>
      </c>
      <c r="FK28" s="62">
        <f t="shared" si="48"/>
        <v>269.95556918835888</v>
      </c>
      <c r="FL28" s="16">
        <f>IF(ISNA(VLOOKUP(A28,'Données projet'!$A$217:$I$237,3,0)),0,VLOOKUP(A28,'Données projet'!$A$217:$I$237,3,0))</f>
        <v>2</v>
      </c>
      <c r="FM28" s="16">
        <f>IF(ISNA(VLOOKUP(A28,'Données projet'!$A$217:$I$237,4,0)),0,VLOOKUP(A28,'Données projet'!$A$217:$I$237,4,0))</f>
        <v>54.099999999999994</v>
      </c>
      <c r="FN28" s="17">
        <f>IF(ISNA(VLOOKUP(A28,'Données projet'!$A$217:$I$237,5,0)),0%,VLOOKUP(A28,'Données projet'!$A$217:$I$237,5,0)*VLOOKUP('Données projet'!$B$16,Paramètres!$A$1:$I$89,7,0))</f>
        <v>0.1125</v>
      </c>
      <c r="FO28" s="17">
        <f>IF(ISNA(VLOOKUP(A28,'Données projet'!$A$217:$I$237,6,0)),0%,VLOOKUP(A28,'Données projet'!$A$217:$I$237,6,0)*VLOOKUP('Données projet'!$B$16,Paramètres!$A$1:$I$89,7,0))</f>
        <v>0.20250000000000001</v>
      </c>
      <c r="FP28" s="17">
        <f>IF(ISNA(VLOOKUP(A28,'Données projet'!$A$217:$I$237,7,0)),0%,VLOOKUP(A28,'Données projet'!$A$217:$I$237,7,0))</f>
        <v>0.3</v>
      </c>
      <c r="FQ28" s="23">
        <f>EXP(-LN(2)/35)*FQ27+(1-EXP(-LN(2)/35))/(LN(2)/35)*FM28*FN28*VLOOKUP('Données projet'!$B$16,Paramètres!$A$1:$I$89,3,0)*0.475*44/12</f>
        <v>4.8281341443175032</v>
      </c>
      <c r="FR28" s="23">
        <f>EXP(-LN(2)/25)*FR27+(1-EXP(-LN(2)/25))/(LN(2)/25)*Calculateur!FM28*Calculateur!FO28*VLOOKUP('Données projet'!$B$16,Paramètres!$A$1:$I$89,3,0)*0.475*44/12</f>
        <v>14.65008807502694</v>
      </c>
      <c r="FS28" s="23">
        <f>EXP(-LN(2)/2)*FS27+(1-EXP(-LN(2)/2))/(LN(2)/2)*FM28*FP28*VLOOKUP('Données projet'!$B$16,Paramètres!$A$1:$I$89,3,0)*0.475*44/12</f>
        <v>11.879377019776566</v>
      </c>
      <c r="FT28" s="24">
        <f t="shared" si="24"/>
        <v>31.357599239121008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13.664102564102569</v>
      </c>
      <c r="FZ28" s="13">
        <f>IF('Données projet'!$A$244&gt;35,FZ27+FY28-GH27,IF(A28&lt;'Données projet'!$A$244,$FW$205^A28,IF(A28='Données projet'!$A$244,'Données projet'!$B$244,FZ27+FY28-GH27)))</f>
        <v>113.38717948717948</v>
      </c>
      <c r="GA28" s="18">
        <f>FZ28*VLOOKUP('Données projet'!$B$17,Paramètres!$A$1:$I$89,3,0)*VLOOKUP('Données projet'!$B$17,Paramètres!$A$1:$I$89,5,0)</f>
        <v>67.805533333333329</v>
      </c>
      <c r="GB28" s="14">
        <f t="shared" si="49"/>
        <v>19.12748805046628</v>
      </c>
      <c r="GC28" s="22">
        <f t="shared" si="25"/>
        <v>151.40834557678431</v>
      </c>
      <c r="GD28" s="62">
        <f t="shared" si="26"/>
        <v>438.63056779900654</v>
      </c>
      <c r="GE28" s="62">
        <f ca="1">AVERAGE(OFFSET($GD$3,0,0,'Données projet'!$E$17+1,1))-AVERAGE(OFFSET($H$3,0,0,'Données projet'!$E$17+1,1))</f>
        <v>289.12367833861299</v>
      </c>
      <c r="GF28" s="62">
        <f t="shared" si="50"/>
        <v>229.06617320689003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>
        <f>EXP(-LN(2)/35)*GL27+(1-EXP(-LN(2)/35))/(LN(2)/35)*GH28*GI28*VLOOKUP('Données projet'!$B$17,Paramètres!$A$1:$I$89,3,0)*0.475*44/12</f>
        <v>0</v>
      </c>
      <c r="GM28" s="23">
        <f>EXP(-LN(2)/25)*GM27+(1-EXP(-LN(2)/25))/(LN(2)/25)*Calculateur!GH28*Calculateur!GJ28*VLOOKUP('Données projet'!$B$17,Paramètres!$A$1:$I$89,3,0)*0.475*44/12</f>
        <v>0</v>
      </c>
      <c r="GN28" s="23">
        <f>EXP(-LN(2)/2)*GN27+(1-EXP(-LN(2)/2))/(LN(2)/2)*GH28*GK28*VLOOKUP('Données projet'!$B$17,Paramètres!$A$1:$I$89,3,0)*0.475*44/12</f>
        <v>0</v>
      </c>
      <c r="GO28" s="23">
        <f t="shared" si="27"/>
        <v>0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4.9084615384615384</v>
      </c>
      <c r="GU28" s="13">
        <f>IF('Données projet'!$A$270&gt;35,GU27+GT28-HC27,IF(A28&lt;'Données projet'!$A$270,$GR$205^A28,IF(A28='Données projet'!$A$270,'Données projet'!$B$270,GU27+GT28-HC27)))</f>
        <v>64.079956146266369</v>
      </c>
      <c r="GV28" s="18">
        <f>GU28*VLOOKUP('Données projet'!$B$18,Paramètres!$A$1:$I$89,3,0)*VLOOKUP('Données projet'!$B$18,Paramètres!$A$1:$I$89,5,0)</f>
        <v>29.98941947645266</v>
      </c>
      <c r="GW28" s="14">
        <f t="shared" si="51"/>
        <v>9.3025291963556676</v>
      </c>
      <c r="GX28" s="22">
        <f t="shared" si="28"/>
        <v>68.433477271807831</v>
      </c>
      <c r="GY28" s="62">
        <f t="shared" si="29"/>
        <v>355.65569949403005</v>
      </c>
      <c r="GZ28" s="62">
        <f ca="1">AVERAGE(OFFSET($GY$3,0,0,'Données projet'!$E$18+1,1))-AVERAGE(OFFSET($H$3,0,0,'Données projet'!$E$18+1,1))</f>
        <v>284.88646502866419</v>
      </c>
      <c r="HA28" s="62">
        <f t="shared" si="52"/>
        <v>190.4880882944471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>
        <f>EXP(-LN(2)/35)*HG27+(1-EXP(-LN(2)/35))/(LN(2)/35)*HC28*HD28*VLOOKUP('Données projet'!$B$18,Paramètres!$A$1:$I$89,3,0)*0.475*44/12</f>
        <v>0</v>
      </c>
      <c r="HH28" s="23">
        <f>EXP(-LN(2)/25)*HH27+(1-EXP(-LN(2)/25))/(LN(2)/25)*Calculateur!HC28*Calculateur!HE28*VLOOKUP('Données projet'!$B$18,Paramètres!$A$1:$I$89,3,0)*0.475*44/12</f>
        <v>0</v>
      </c>
      <c r="HI28" s="23">
        <f>EXP(-LN(2)/2)*HI27+(1-EXP(-LN(2)/2))/(LN(2)/2)*HC28*HF28*VLOOKUP('Données projet'!$B$18,Paramètres!$A$1:$I$89,3,0)*0.475*44/12</f>
        <v>0</v>
      </c>
      <c r="HJ28" s="24">
        <f t="shared" si="30"/>
        <v>0</v>
      </c>
    </row>
    <row r="29" spans="1:218" s="5" customFormat="1" x14ac:dyDescent="0.25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2">
        <f t="shared" si="32"/>
        <v>0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0</v>
      </c>
      <c r="H29" s="70">
        <f t="shared" si="1"/>
        <v>256.66666666666669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6.5384615384615357</v>
      </c>
      <c r="N29" s="14">
        <f>IF('Données projet'!$A$36&gt;35,N28+M29-V28,IF(A29&lt;'Données projet'!$A$36,$K$205^A29,IF(A29='Données projet'!$A$36,'Données projet'!$B$36,N28+M29-V28)))</f>
        <v>90.512820512820525</v>
      </c>
      <c r="O29" s="14">
        <f>N29*VLOOKUP('Données projet'!$B$9,Paramètres!$A$1:$I$89,3,0)*VLOOKUP('Données projet'!$B$9,Paramètres!$A$1:$I$89,5,0)</f>
        <v>86.132000000000019</v>
      </c>
      <c r="P29" s="14">
        <f t="shared" si="33"/>
        <v>23.629984954025307</v>
      </c>
      <c r="Q29" s="22">
        <f t="shared" si="2"/>
        <v>191.16879046159409</v>
      </c>
      <c r="R29" s="62">
        <f t="shared" si="0"/>
        <v>479.61323490603854</v>
      </c>
      <c r="S29" s="62">
        <f ca="1">AVERAGE(OFFSET($R$3,0,0,'Données projet'!$E$9+1,1))-AVERAGE(OFFSET($H$3,0,0,'Données projet'!$E$9+1,1))</f>
        <v>367.11183928586667</v>
      </c>
      <c r="T29" s="62">
        <f t="shared" si="34"/>
        <v>281.52963027844595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0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0</v>
      </c>
      <c r="AC29" s="24">
        <f t="shared" si="3"/>
        <v>0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7</v>
      </c>
      <c r="AI29" s="14">
        <f>IF('Données projet'!$A$62&gt;35,AI28+AH29-AQ28,IF(A29&lt;'Données projet'!$A$62,$AF$205^A29,IF(A29='Données projet'!$A$62,'Données projet'!$B$62,AI28+AH29-AQ28)))</f>
        <v>77</v>
      </c>
      <c r="AJ29" s="14">
        <f>AI29*VLOOKUP('Données projet'!$B$10,Paramètres!$A$1:$I$89,3,0)*VLOOKUP('Données projet'!$B$10,Paramètres!$A$1:$I$89,5,0)</f>
        <v>69.669600000000003</v>
      </c>
      <c r="AK29" s="14">
        <f t="shared" si="35"/>
        <v>19.591385027476957</v>
      </c>
      <c r="AL29" s="22">
        <f t="shared" si="4"/>
        <v>155.46288225618903</v>
      </c>
      <c r="AM29" s="62">
        <f t="shared" si="5"/>
        <v>443.90732670063346</v>
      </c>
      <c r="AN29" s="62">
        <f ca="1">AVERAGE(OFFSET($AM$3,0,0,'Données projet'!$E$10+1,1))-AVERAGE(OFFSET($H$3,0,0,'Données projet'!$E$10+1,1))</f>
        <v>428.8489304403459</v>
      </c>
      <c r="AO29" s="62">
        <f t="shared" si="36"/>
        <v>247.01165577562966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0</v>
      </c>
      <c r="AV29" s="23">
        <f>EXP(-LN(2)/25)*AV28+(1-EXP(-LN(2)/25))/(LN(2)/25)*Calculateur!AQ29*Calculateur!AS29*VLOOKUP('Données projet'!$B$10,Paramètres!$A$1:$I$89,3,0)*0.475*44/12</f>
        <v>0</v>
      </c>
      <c r="AW29" s="23">
        <f>EXP(-LN(2)/2)*AW28+(1-EXP(-LN(2)/2))/(LN(2)/2)*AQ29*AT29*VLOOKUP('Données projet'!$B$10,Paramètres!$A$1:$I$89,3,0)*0.475*44/12</f>
        <v>0</v>
      </c>
      <c r="AX29" s="23">
        <f t="shared" si="6"/>
        <v>0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7</v>
      </c>
      <c r="BD29" s="13">
        <f>IF('Données projet'!$A$88&gt;35,BD28+BC29-BL28,IF(A29&lt;'Données projet'!$A$88,$BA$205^A29,IF(A29='Données projet'!$A$88,'Données projet'!$B$88,BD28+BC29-BL28)))</f>
        <v>77</v>
      </c>
      <c r="BE29" s="14">
        <f>BD29*VLOOKUP('Données projet'!$B$11,Paramètres!$A$1:$I$89,3,0)*VLOOKUP('Données projet'!$B$11,Paramètres!$A$1:$I$89,5,0)</f>
        <v>78.078000000000003</v>
      </c>
      <c r="BF29" s="14">
        <f t="shared" si="37"/>
        <v>21.666582091642084</v>
      </c>
      <c r="BG29" s="22">
        <f t="shared" si="7"/>
        <v>173.72181380960993</v>
      </c>
      <c r="BH29" s="62">
        <f t="shared" si="8"/>
        <v>462.16625825405436</v>
      </c>
      <c r="BI29" s="62">
        <f ca="1">AVERAGE(OFFSET($BH$3,0,0,'Données projet'!$E$11+1,1))-AVERAGE(OFFSET($H$3,0,0,'Données projet'!$E$11+1,1))</f>
        <v>475.47920969424894</v>
      </c>
      <c r="BJ29" s="62">
        <f t="shared" si="38"/>
        <v>271.73544012419364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>
        <f>EXP(-LN(2)/35)*BP28+(1-EXP(-LN(2)/35))/(LN(2)/35)*BL29*BM29*VLOOKUP('Données projet'!$B$11,Paramètres!$A$1:$I$89,3,0)*0.475*44/12</f>
        <v>0</v>
      </c>
      <c r="BQ29" s="23">
        <f>EXP(-LN(2)/25)*BQ28+(1-EXP(-LN(2)/25))/(LN(2)/25)*Calculateur!BL29*Calculateur!BN29*VLOOKUP('Données projet'!$B$11,Paramètres!$A$1:$I$89,3,0)*0.475*44/12</f>
        <v>0</v>
      </c>
      <c r="BR29" s="23">
        <f>EXP(-LN(2)/2)*BR28+(1-EXP(-LN(2)/2))/(LN(2)/2)*BL29*BO29*VLOOKUP('Données projet'!$B$11,Paramètres!$A$1:$I$89,3,0)*0.475*44/12</f>
        <v>0</v>
      </c>
      <c r="BS29" s="24">
        <f t="shared" si="9"/>
        <v>0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16.687912087912085</v>
      </c>
      <c r="BY29" s="13">
        <f>IF('Données projet'!$A$114&gt;35,BY28+BX29-CG28,IF(A29&lt;'Données projet'!$A$114,$BV$205^A29,IF(A29='Données projet'!$A$114,'Données projet'!$B$114,BY28+BX29-CG28)))</f>
        <v>202.33186813186813</v>
      </c>
      <c r="BZ29" s="14">
        <f>BY29*VLOOKUP('Données projet'!$B$12,Paramètres!$A$1:$I$89,3,0)*VLOOKUP('Données projet'!$B$12,Paramètres!$A$1:$I$89,5,0)</f>
        <v>113.1035142857143</v>
      </c>
      <c r="CA29" s="14">
        <f t="shared" si="39"/>
        <v>30.061008485627202</v>
      </c>
      <c r="CB29" s="22">
        <f t="shared" si="10"/>
        <v>249.34487716008644</v>
      </c>
      <c r="CC29" s="62">
        <f t="shared" si="11"/>
        <v>537.78932160453087</v>
      </c>
      <c r="CD29" s="62">
        <f ca="1">AVERAGE(OFFSET($CC$3,0,0,'Données projet'!$E$12+1,1))-AVERAGE(OFFSET($H$3,0,0,'Données projet'!$E$12+1,1))</f>
        <v>323.98185264074681</v>
      </c>
      <c r="CE29" s="62">
        <f t="shared" si="40"/>
        <v>301.22207291854005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>
        <f>EXP(-LN(2)/35)*CK28+(1-EXP(-LN(2)/35))/(LN(2)/35)*CG29*CH29*VLOOKUP('Données projet'!$B$12,Paramètres!$A$1:$I$89,3,0)*0.475*44/12</f>
        <v>0</v>
      </c>
      <c r="CL29" s="23">
        <f>EXP(-LN(2)/25)*CL28+(1-EXP(-LN(2)/25))/(LN(2)/25)*Calculateur!CG29*Calculateur!CI29*VLOOKUP('Données projet'!$B$12,Paramètres!$A$1:$I$89,3,0)*0.475*44/12</f>
        <v>4.3265976622662512</v>
      </c>
      <c r="CM29" s="23">
        <f>EXP(-LN(2)/2)*CM28+(1-EXP(-LN(2)/2))/(LN(2)/2)*CG29*CJ29*VLOOKUP('Données projet'!$B$12,Paramètres!$A$1:$I$89,3,0)*0.475*44/12</f>
        <v>2.7375708534244163</v>
      </c>
      <c r="CN29" s="24">
        <f t="shared" si="12"/>
        <v>7.0641685156906675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4.8</v>
      </c>
      <c r="CT29" s="13">
        <f>IF('Données projet'!$A$140&gt;35,CT28+CS29-DB28,IF(A29&lt;'Données projet'!$A$140,$CQ$205^A29,IF(A29='Données projet'!$A$140,'Données projet'!$B$140,CT28+CS29-DB28)))</f>
        <v>34.799999999999997</v>
      </c>
      <c r="CU29" s="18">
        <f>CT29*VLOOKUP('Données projet'!$B$13,Paramètres!$A$1:$I$89,3,0)*VLOOKUP('Données projet'!$B$13,Paramètres!$A$1:$I$89,5,0)</f>
        <v>39.630239999999993</v>
      </c>
      <c r="CV29" s="14">
        <f t="shared" si="41"/>
        <v>11.900589068958134</v>
      </c>
      <c r="CW29" s="22">
        <f t="shared" si="13"/>
        <v>89.749527295102055</v>
      </c>
      <c r="CX29" s="62">
        <f t="shared" si="14"/>
        <v>378.1939717395465</v>
      </c>
      <c r="CY29" s="62">
        <f ca="1">AVERAGE(OFFSET($CX$3,0,0,'Données projet'!$E$13+1,1))-AVERAGE(OFFSET($H$3,0,0,'Données projet'!$E$13+1,1))</f>
        <v>399.78832690250164</v>
      </c>
      <c r="CZ29" s="62">
        <f t="shared" si="42"/>
        <v>174.32967064896343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>
        <f>EXP(-LN(2)/35)*DF28+(1-EXP(-LN(2)/35))/(LN(2)/35)*DB29*DC29*VLOOKUP('Données projet'!$B$13,Paramètres!$A$1:$I$89,3,0)*0.475*44/12</f>
        <v>0</v>
      </c>
      <c r="DG29" s="23">
        <f>EXP(-LN(2)/25)*DG28+(1-EXP(-LN(2)/25))/(LN(2)/25)*Calculateur!DB29*Calculateur!DD29*VLOOKUP('Données projet'!$B$13,Paramètres!$A$1:$I$89,3,0)*0.475*44/12</f>
        <v>0</v>
      </c>
      <c r="DH29" s="23">
        <f>EXP(-LN(2)/2)*DH28+(1-EXP(-LN(2)/2))/(LN(2)/2)*DB29*DE29*VLOOKUP('Données projet'!$B$13,Paramètres!$A$1:$I$89,3,0)*0.475*44/12</f>
        <v>0</v>
      </c>
      <c r="DI29" s="24">
        <f t="shared" si="15"/>
        <v>0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7</v>
      </c>
      <c r="DO29" s="13">
        <f>IF('Données projet'!$A$166&gt;35,DO28+DN29-DW28,IF(A29&lt;'Données projet'!$A$166,$DL$205^A29,IF(A29='Données projet'!$A$166,'Données projet'!$B$166,DO28+DN29-DW28)))</f>
        <v>77</v>
      </c>
      <c r="DP29" s="18">
        <f>DO29*VLOOKUP('Données projet'!$B$14,Paramètres!$A$1:$I$89,3,0)*VLOOKUP('Données projet'!$B$14,Paramètres!$A$1:$I$89,5,0)</f>
        <v>64.864800000000017</v>
      </c>
      <c r="DQ29" s="14">
        <f t="shared" si="43"/>
        <v>18.392606985756636</v>
      </c>
      <c r="DR29" s="22">
        <f t="shared" si="16"/>
        <v>145.00665050019282</v>
      </c>
      <c r="DS29" s="62">
        <f t="shared" si="17"/>
        <v>433.45109494463725</v>
      </c>
      <c r="DT29" s="62">
        <f ca="1">AVERAGE(OFFSET($DS$3,0,0,'Données projet'!$E$14+1,1))-AVERAGE(OFFSET($H$3,0,0,'Données projet'!$E$14+1,1))</f>
        <v>402.15128814037058</v>
      </c>
      <c r="DU29" s="62">
        <f t="shared" si="44"/>
        <v>232.85411068442738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>
        <f>EXP(-LN(2)/35)*EA28+(1-EXP(-LN(2)/35))/(LN(2)/35)*DW29*DX29*VLOOKUP('Données projet'!$B$14,Paramètres!$A$1:$I$89,3,0)*0.475*44/12</f>
        <v>0</v>
      </c>
      <c r="EB29" s="23">
        <f>EXP(-LN(2)/25)*EB28+(1-EXP(-LN(2)/25))/(LN(2)/25)*Calculateur!DW29*Calculateur!DY29*VLOOKUP('Données projet'!$B$14,Paramètres!$A$1:$I$89,3,0)*0.475*44/12</f>
        <v>0</v>
      </c>
      <c r="EC29" s="23">
        <f>EXP(-LN(2)/2)*EC28+(1-EXP(-LN(2)/2))/(LN(2)/2)*DW29*DZ29*VLOOKUP('Données projet'!$B$14,Paramètres!$A$1:$I$89,3,0)*0.475*44/12</f>
        <v>0</v>
      </c>
      <c r="ED29" s="24">
        <f t="shared" si="18"/>
        <v>0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8.3333333333333339</v>
      </c>
      <c r="EJ29" s="13">
        <f>IF('Données projet'!$A$192&gt;35,EJ28+EI29-ER28,IF(A29&lt;'Données projet'!$A$192,$EG$205^A29,IF(A29='Données projet'!$A$192,'Données projet'!$B$192,EJ28+EI29-ER28)))</f>
        <v>116.02564102564101</v>
      </c>
      <c r="EK29" s="18">
        <f>EJ29*VLOOKUP('Données projet'!$B$15,Paramètres!$A$1:$I$89,3,0)*VLOOKUP('Données projet'!$B$15,Paramètres!$A$1:$I$89,5,0)</f>
        <v>121.26999999999998</v>
      </c>
      <c r="EL29" s="14">
        <f t="shared" si="45"/>
        <v>31.971024204432702</v>
      </c>
      <c r="EM29" s="22">
        <f t="shared" si="19"/>
        <v>266.89478382272023</v>
      </c>
      <c r="EN29" s="62">
        <f t="shared" si="20"/>
        <v>555.33922826716469</v>
      </c>
      <c r="EO29" s="62">
        <f ca="1">AVERAGE(OFFSET($EN$3,0,0,'Données projet'!$E$15+1,1))-AVERAGE(OFFSET($H$3,0,0,'Données projet'!$E$15+1,1))</f>
        <v>595.89992279024398</v>
      </c>
      <c r="EP29" s="62">
        <f t="shared" si="46"/>
        <v>378.16197659288338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>
        <f>EXP(-LN(2)/35)*EV28+(1-EXP(-LN(2)/35))/(LN(2)/35)*ER29*ES29*VLOOKUP('Données projet'!$B$15,Paramètres!$A$1:$I$89,3,0)*0.475*44/12</f>
        <v>0</v>
      </c>
      <c r="EW29" s="23">
        <f>EXP(-LN(2)/25)*EW28+(1-EXP(-LN(2)/25))/(LN(2)/25)*Calculateur!ER29*Calculateur!ET29*VLOOKUP('Données projet'!$B$15,Paramètres!$A$1:$I$89,3,0)*0.475*44/12</f>
        <v>0</v>
      </c>
      <c r="EX29" s="23">
        <f>EXP(-LN(2)/2)*EX28+(1-EXP(-LN(2)/2))/(LN(2)/2)*ER29*EU29*VLOOKUP('Données projet'!$B$15,Paramètres!$A$1:$I$89,3,0)*0.475*44/12</f>
        <v>0</v>
      </c>
      <c r="EY29" s="24">
        <f t="shared" si="21"/>
        <v>0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28.603846153846156</v>
      </c>
      <c r="FE29" s="13">
        <f>IF('Données projet'!$A$218&gt;35,FE28+FD29-FM28,IF(A29&lt;'Données projet'!$A$218,$FB$205^A29,IF(A29='Données projet'!$A$218,'Données projet'!$B$218,FE28+FD29-FM28)))</f>
        <v>124.33461538461535</v>
      </c>
      <c r="FF29" s="18">
        <f>FE29*VLOOKUP('Données projet'!$B$16,Paramètres!$A$1:$I$89,3,0)*VLOOKUP('Données projet'!$B$16,Paramètres!$A$1:$I$89,5,0)</f>
        <v>74.352099999999979</v>
      </c>
      <c r="FG29" s="14">
        <f t="shared" si="47"/>
        <v>20.750414245630111</v>
      </c>
      <c r="FH29" s="22">
        <f t="shared" si="22"/>
        <v>165.63687897780574</v>
      </c>
      <c r="FI29" s="62">
        <f t="shared" si="23"/>
        <v>454.08132342225019</v>
      </c>
      <c r="FJ29" s="62">
        <f ca="1">AVERAGE(OFFSET($FI$3,0,0,'Données projet'!$E$16+1,1))-AVERAGE(OFFSET($H$3,0,0,'Données projet'!$E$16+1,1))</f>
        <v>257.56116197646924</v>
      </c>
      <c r="FK29" s="62">
        <f t="shared" si="48"/>
        <v>269.95556918835888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>
        <f>EXP(-LN(2)/35)*FQ28+(1-EXP(-LN(2)/35))/(LN(2)/35)*FM29*FN29*VLOOKUP('Données projet'!$B$16,Paramètres!$A$1:$I$89,3,0)*0.475*44/12</f>
        <v>4.7334573786184828</v>
      </c>
      <c r="FR29" s="23">
        <f>EXP(-LN(2)/25)*FR28+(1-EXP(-LN(2)/25))/(LN(2)/25)*Calculateur!FM29*Calculateur!FO29*VLOOKUP('Données projet'!$B$16,Paramètres!$A$1:$I$89,3,0)*0.475*44/12</f>
        <v>14.249480646200679</v>
      </c>
      <c r="FS29" s="23">
        <f>EXP(-LN(2)/2)*FS28+(1-EXP(-LN(2)/2))/(LN(2)/2)*FM29*FP29*VLOOKUP('Données projet'!$B$16,Paramètres!$A$1:$I$89,3,0)*0.475*44/12</f>
        <v>8.3999880469556505</v>
      </c>
      <c r="FT29" s="24">
        <f t="shared" si="24"/>
        <v>27.382926071774811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13.664102564102569</v>
      </c>
      <c r="FZ29" s="13">
        <f>IF('Données projet'!$A$244&gt;35,FZ28+FY29-GH28,IF(A29&lt;'Données projet'!$A$244,$FW$205^A29,IF(A29='Données projet'!$A$244,'Données projet'!$B$244,FZ28+FY29-GH28)))</f>
        <v>127.05128205128204</v>
      </c>
      <c r="GA29" s="18">
        <f>FZ29*VLOOKUP('Données projet'!$B$17,Paramètres!$A$1:$I$89,3,0)*VLOOKUP('Données projet'!$B$17,Paramètres!$A$1:$I$89,5,0)</f>
        <v>75.976666666666659</v>
      </c>
      <c r="GB29" s="14">
        <f t="shared" si="49"/>
        <v>21.150523503463145</v>
      </c>
      <c r="GC29" s="22">
        <f t="shared" si="25"/>
        <v>169.16318954630938</v>
      </c>
      <c r="GD29" s="62">
        <f t="shared" si="26"/>
        <v>457.60763399075381</v>
      </c>
      <c r="GE29" s="62">
        <f ca="1">AVERAGE(OFFSET($GD$3,0,0,'Données projet'!$E$17+1,1))-AVERAGE(OFFSET($H$3,0,0,'Données projet'!$E$17+1,1))</f>
        <v>289.12367833861299</v>
      </c>
      <c r="GF29" s="62">
        <f t="shared" si="50"/>
        <v>229.06617320689003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>
        <f>EXP(-LN(2)/35)*GL28+(1-EXP(-LN(2)/35))/(LN(2)/35)*GH29*GI29*VLOOKUP('Données projet'!$B$17,Paramètres!$A$1:$I$89,3,0)*0.475*44/12</f>
        <v>0</v>
      </c>
      <c r="GM29" s="23">
        <f>EXP(-LN(2)/25)*GM28+(1-EXP(-LN(2)/25))/(LN(2)/25)*Calculateur!GH29*Calculateur!GJ29*VLOOKUP('Données projet'!$B$17,Paramètres!$A$1:$I$89,3,0)*0.475*44/12</f>
        <v>0</v>
      </c>
      <c r="GN29" s="23">
        <f>EXP(-LN(2)/2)*GN28+(1-EXP(-LN(2)/2))/(LN(2)/2)*GH29*GK29*VLOOKUP('Données projet'!$B$17,Paramètres!$A$1:$I$89,3,0)*0.475*44/12</f>
        <v>0</v>
      </c>
      <c r="GO29" s="23">
        <f t="shared" si="27"/>
        <v>0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4.9084615384615384</v>
      </c>
      <c r="GU29" s="13">
        <f>IF('Données projet'!$A$270&gt;35,GU28+GT29-HC28,IF(A29&lt;'Données projet'!$A$270,$GR$205^A29,IF(A29='Données projet'!$A$270,'Données projet'!$B$270,GU28+GT29-HC28)))</f>
        <v>75.681737511137769</v>
      </c>
      <c r="GV29" s="18">
        <f>GU29*VLOOKUP('Données projet'!$B$18,Paramètres!$A$1:$I$89,3,0)*VLOOKUP('Données projet'!$B$18,Paramètres!$A$1:$I$89,5,0)</f>
        <v>35.419053155212474</v>
      </c>
      <c r="GW29" s="14">
        <f t="shared" si="51"/>
        <v>10.776006170294048</v>
      </c>
      <c r="GX29" s="22">
        <f t="shared" si="28"/>
        <v>80.456394991923858</v>
      </c>
      <c r="GY29" s="62">
        <f t="shared" si="29"/>
        <v>368.9008394363683</v>
      </c>
      <c r="GZ29" s="62">
        <f ca="1">AVERAGE(OFFSET($GY$3,0,0,'Données projet'!$E$18+1,1))-AVERAGE(OFFSET($H$3,0,0,'Données projet'!$E$18+1,1))</f>
        <v>284.88646502866419</v>
      </c>
      <c r="HA29" s="62">
        <f t="shared" si="52"/>
        <v>190.4880882944471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>
        <f>EXP(-LN(2)/35)*HG28+(1-EXP(-LN(2)/35))/(LN(2)/35)*HC29*HD29*VLOOKUP('Données projet'!$B$18,Paramètres!$A$1:$I$89,3,0)*0.475*44/12</f>
        <v>0</v>
      </c>
      <c r="HH29" s="23">
        <f>EXP(-LN(2)/25)*HH28+(1-EXP(-LN(2)/25))/(LN(2)/25)*Calculateur!HC29*Calculateur!HE29*VLOOKUP('Données projet'!$B$18,Paramètres!$A$1:$I$89,3,0)*0.475*44/12</f>
        <v>0</v>
      </c>
      <c r="HI29" s="23">
        <f>EXP(-LN(2)/2)*HI28+(1-EXP(-LN(2)/2))/(LN(2)/2)*HC29*HF29*VLOOKUP('Données projet'!$B$18,Paramètres!$A$1:$I$89,3,0)*0.475*44/12</f>
        <v>0</v>
      </c>
      <c r="HJ29" s="24">
        <f t="shared" si="30"/>
        <v>0</v>
      </c>
    </row>
    <row r="30" spans="1:218" s="5" customFormat="1" x14ac:dyDescent="0.25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2">
        <f t="shared" si="32"/>
        <v>0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0</v>
      </c>
      <c r="H30" s="70">
        <f t="shared" si="1"/>
        <v>256.66666666666669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6.5384615384615357</v>
      </c>
      <c r="N30" s="14">
        <f>IF('Données projet'!$A$36&gt;35,N29+M30-V29,IF(A30&lt;'Données projet'!$A$36,$K$205^A30,IF(A30='Données projet'!$A$36,'Données projet'!$B$36,N29+M30-V29)))</f>
        <v>97.051282051282058</v>
      </c>
      <c r="O30" s="14">
        <f>N30*VLOOKUP('Données projet'!$B$9,Paramètres!$A$1:$I$89,3,0)*VLOOKUP('Données projet'!$B$9,Paramètres!$A$1:$I$89,5,0)</f>
        <v>92.354000000000013</v>
      </c>
      <c r="P30" s="14">
        <f t="shared" si="33"/>
        <v>25.132097180965346</v>
      </c>
      <c r="Q30" s="22">
        <f t="shared" si="2"/>
        <v>204.62161925684799</v>
      </c>
      <c r="R30" s="62">
        <f t="shared" si="0"/>
        <v>494.28828592351465</v>
      </c>
      <c r="S30" s="62">
        <f ca="1">AVERAGE(OFFSET($R$3,0,0,'Données projet'!$E$9+1,1))-AVERAGE(OFFSET($H$3,0,0,'Données projet'!$E$9+1,1))</f>
        <v>367.11183928586667</v>
      </c>
      <c r="T30" s="62">
        <f t="shared" si="34"/>
        <v>281.52963027844595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0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0</v>
      </c>
      <c r="AC30" s="24">
        <f t="shared" si="3"/>
        <v>0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7</v>
      </c>
      <c r="AI30" s="14">
        <f>IF('Données projet'!$A$62&gt;35,AI29+AH30-AQ29,IF(A30&lt;'Données projet'!$A$62,$AF$205^A30,IF(A30='Données projet'!$A$62,'Données projet'!$B$62,AI29+AH30-AQ29)))</f>
        <v>84</v>
      </c>
      <c r="AJ30" s="14">
        <f>AI30*VLOOKUP('Données projet'!$B$10,Paramètres!$A$1:$I$89,3,0)*VLOOKUP('Données projet'!$B$10,Paramètres!$A$1:$I$89,5,0)</f>
        <v>76.003200000000007</v>
      </c>
      <c r="AK30" s="14">
        <f t="shared" si="35"/>
        <v>21.157049992000456</v>
      </c>
      <c r="AL30" s="22">
        <f t="shared" si="4"/>
        <v>169.22076873606747</v>
      </c>
      <c r="AM30" s="62">
        <f t="shared" si="5"/>
        <v>458.88743540273413</v>
      </c>
      <c r="AN30" s="62">
        <f ca="1">AVERAGE(OFFSET($AM$3,0,0,'Données projet'!$E$10+1,1))-AVERAGE(OFFSET($H$3,0,0,'Données projet'!$E$10+1,1))</f>
        <v>428.8489304403459</v>
      </c>
      <c r="AO30" s="62">
        <f t="shared" si="36"/>
        <v>247.01165577562966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projet'!$B$10,Paramètres!$A$1:$I$89,3,0)*0.475*44/12</f>
        <v>0</v>
      </c>
      <c r="AV30" s="23">
        <f>EXP(-LN(2)/25)*AV29+(1-EXP(-LN(2)/25))/(LN(2)/25)*Calculateur!AQ30*Calculateur!AS30*VLOOKUP('Données projet'!$B$10,Paramètres!$A$1:$I$89,3,0)*0.475*44/12</f>
        <v>0</v>
      </c>
      <c r="AW30" s="23">
        <f>EXP(-LN(2)/2)*AW29+(1-EXP(-LN(2)/2))/(LN(2)/2)*AQ30*AT30*VLOOKUP('Données projet'!$B$10,Paramètres!$A$1:$I$89,3,0)*0.475*44/12</f>
        <v>0</v>
      </c>
      <c r="AX30" s="23">
        <f t="shared" si="6"/>
        <v>0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7</v>
      </c>
      <c r="BD30" s="13">
        <f>IF('Données projet'!$A$88&gt;35,BD29+BC30-BL29,IF(A30&lt;'Données projet'!$A$88,$BA$205^A30,IF(A30='Données projet'!$A$88,'Données projet'!$B$88,BD29+BC30-BL29)))</f>
        <v>84</v>
      </c>
      <c r="BE30" s="14">
        <f>BD30*VLOOKUP('Données projet'!$B$11,Paramètres!$A$1:$I$89,3,0)*VLOOKUP('Données projet'!$B$11,Paramètres!$A$1:$I$89,5,0)</f>
        <v>85.176000000000002</v>
      </c>
      <c r="BF30" s="14">
        <f t="shared" si="37"/>
        <v>23.398088487656441</v>
      </c>
      <c r="BG30" s="22">
        <f t="shared" si="7"/>
        <v>189.09987078266829</v>
      </c>
      <c r="BH30" s="62">
        <f t="shared" si="8"/>
        <v>478.76653744933498</v>
      </c>
      <c r="BI30" s="62">
        <f ca="1">AVERAGE(OFFSET($BH$3,0,0,'Données projet'!$E$11+1,1))-AVERAGE(OFFSET($H$3,0,0,'Données projet'!$E$11+1,1))</f>
        <v>475.47920969424894</v>
      </c>
      <c r="BJ30" s="62">
        <f t="shared" si="38"/>
        <v>271.73544012419364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>
        <f>EXP(-LN(2)/35)*BP29+(1-EXP(-LN(2)/35))/(LN(2)/35)*BL30*BM30*VLOOKUP('Données projet'!$B$11,Paramètres!$A$1:$I$89,3,0)*0.475*44/12</f>
        <v>0</v>
      </c>
      <c r="BQ30" s="23">
        <f>EXP(-LN(2)/25)*BQ29+(1-EXP(-LN(2)/25))/(LN(2)/25)*Calculateur!BL30*Calculateur!BN30*VLOOKUP('Données projet'!$B$11,Paramètres!$A$1:$I$89,3,0)*0.475*44/12</f>
        <v>0</v>
      </c>
      <c r="BR30" s="23">
        <f>EXP(-LN(2)/2)*BR29+(1-EXP(-LN(2)/2))/(LN(2)/2)*BL30*BO30*VLOOKUP('Données projet'!$B$11,Paramètres!$A$1:$I$89,3,0)*0.475*44/12</f>
        <v>0</v>
      </c>
      <c r="BS30" s="24">
        <f t="shared" si="9"/>
        <v>0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16.687912087912085</v>
      </c>
      <c r="BY30" s="13">
        <f>IF('Données projet'!$A$114&gt;35,BY29+BX30-CG29,IF(A30&lt;'Données projet'!$A$114,$BV$205^A30,IF(A30='Données projet'!$A$114,'Données projet'!$B$114,BY29+BX30-CG29)))</f>
        <v>219.01978021978022</v>
      </c>
      <c r="BZ30" s="14">
        <f>BY30*VLOOKUP('Données projet'!$B$12,Paramètres!$A$1:$I$89,3,0)*VLOOKUP('Données projet'!$B$12,Paramètres!$A$1:$I$89,5,0)</f>
        <v>122.43205714285713</v>
      </c>
      <c r="CA30" s="14">
        <f t="shared" si="39"/>
        <v>32.241572593058322</v>
      </c>
      <c r="CB30" s="22">
        <f t="shared" si="10"/>
        <v>269.38990512338609</v>
      </c>
      <c r="CC30" s="62">
        <f t="shared" si="11"/>
        <v>559.05657179005277</v>
      </c>
      <c r="CD30" s="62">
        <f ca="1">AVERAGE(OFFSET($CC$3,0,0,'Données projet'!$E$12+1,1))-AVERAGE(OFFSET($H$3,0,0,'Données projet'!$E$12+1,1))</f>
        <v>323.98185264074681</v>
      </c>
      <c r="CE30" s="62">
        <f t="shared" si="40"/>
        <v>301.22207291854005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>
        <f>EXP(-LN(2)/35)*CK29+(1-EXP(-LN(2)/35))/(LN(2)/35)*CG30*CH30*VLOOKUP('Données projet'!$B$12,Paramètres!$A$1:$I$89,3,0)*0.475*44/12</f>
        <v>0</v>
      </c>
      <c r="CL30" s="23">
        <f>EXP(-LN(2)/25)*CL29+(1-EXP(-LN(2)/25))/(LN(2)/25)*Calculateur!CG30*Calculateur!CI30*VLOOKUP('Données projet'!$B$12,Paramètres!$A$1:$I$89,3,0)*0.475*44/12</f>
        <v>4.2082866216656978</v>
      </c>
      <c r="CM30" s="23">
        <f>EXP(-LN(2)/2)*CM29+(1-EXP(-LN(2)/2))/(LN(2)/2)*CG30*CJ30*VLOOKUP('Données projet'!$B$12,Paramètres!$A$1:$I$89,3,0)*0.475*44/12</f>
        <v>1.935754914435049</v>
      </c>
      <c r="CN30" s="24">
        <f t="shared" si="12"/>
        <v>6.1440415361007465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4.8</v>
      </c>
      <c r="CT30" s="13">
        <f>IF('Données projet'!$A$140&gt;35,CT29+CS30-DB29,IF(A30&lt;'Données projet'!$A$140,$CQ$205^A30,IF(A30='Données projet'!$A$140,'Données projet'!$B$140,CT29+CS30-DB29)))</f>
        <v>39.599999999999994</v>
      </c>
      <c r="CU30" s="18">
        <f>CT30*VLOOKUP('Données projet'!$B$13,Paramètres!$A$1:$I$89,3,0)*VLOOKUP('Données projet'!$B$13,Paramètres!$A$1:$I$89,5,0)</f>
        <v>45.096479999999993</v>
      </c>
      <c r="CV30" s="14">
        <f t="shared" si="41"/>
        <v>13.339897895146274</v>
      </c>
      <c r="CW30" s="22">
        <f t="shared" si="13"/>
        <v>101.77669150071307</v>
      </c>
      <c r="CX30" s="62">
        <f t="shared" si="14"/>
        <v>391.44335816737976</v>
      </c>
      <c r="CY30" s="62">
        <f ca="1">AVERAGE(OFFSET($CX$3,0,0,'Données projet'!$E$13+1,1))-AVERAGE(OFFSET($H$3,0,0,'Données projet'!$E$13+1,1))</f>
        <v>399.78832690250164</v>
      </c>
      <c r="CZ30" s="62">
        <f t="shared" si="42"/>
        <v>174.32967064896343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>
        <f>EXP(-LN(2)/35)*DF29+(1-EXP(-LN(2)/35))/(LN(2)/35)*DB30*DC30*VLOOKUP('Données projet'!$B$13,Paramètres!$A$1:$I$89,3,0)*0.475*44/12</f>
        <v>0</v>
      </c>
      <c r="DG30" s="23">
        <f>EXP(-LN(2)/25)*DG29+(1-EXP(-LN(2)/25))/(LN(2)/25)*Calculateur!DB30*Calculateur!DD30*VLOOKUP('Données projet'!$B$13,Paramètres!$A$1:$I$89,3,0)*0.475*44/12</f>
        <v>0</v>
      </c>
      <c r="DH30" s="23">
        <f>EXP(-LN(2)/2)*DH29+(1-EXP(-LN(2)/2))/(LN(2)/2)*DB30*DE30*VLOOKUP('Données projet'!$B$13,Paramètres!$A$1:$I$89,3,0)*0.475*44/12</f>
        <v>0</v>
      </c>
      <c r="DI30" s="24">
        <f t="shared" si="15"/>
        <v>0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7</v>
      </c>
      <c r="DO30" s="13">
        <f>IF('Données projet'!$A$166&gt;35,DO29+DN30-DW29,IF(A30&lt;'Données projet'!$A$166,$DL$205^A30,IF(A30='Données projet'!$A$166,'Données projet'!$B$166,DO29+DN30-DW29)))</f>
        <v>84</v>
      </c>
      <c r="DP30" s="18">
        <f>DO30*VLOOKUP('Données projet'!$B$14,Paramètres!$A$1:$I$89,3,0)*VLOOKUP('Données projet'!$B$14,Paramètres!$A$1:$I$89,5,0)</f>
        <v>70.761600000000001</v>
      </c>
      <c r="DQ30" s="14">
        <f t="shared" si="43"/>
        <v>19.862470414169767</v>
      </c>
      <c r="DR30" s="22">
        <f t="shared" si="16"/>
        <v>157.83692263801234</v>
      </c>
      <c r="DS30" s="62">
        <f t="shared" si="17"/>
        <v>447.50358930467905</v>
      </c>
      <c r="DT30" s="62">
        <f ca="1">AVERAGE(OFFSET($DS$3,0,0,'Données projet'!$E$14+1,1))-AVERAGE(OFFSET($H$3,0,0,'Données projet'!$E$14+1,1))</f>
        <v>402.15128814037058</v>
      </c>
      <c r="DU30" s="62">
        <f t="shared" si="44"/>
        <v>232.85411068442738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>
        <f>EXP(-LN(2)/35)*EA29+(1-EXP(-LN(2)/35))/(LN(2)/35)*DW30*DX30*VLOOKUP('Données projet'!$B$14,Paramètres!$A$1:$I$89,3,0)*0.475*44/12</f>
        <v>0</v>
      </c>
      <c r="EB30" s="23">
        <f>EXP(-LN(2)/25)*EB29+(1-EXP(-LN(2)/25))/(LN(2)/25)*Calculateur!DW30*Calculateur!DY30*VLOOKUP('Données projet'!$B$14,Paramètres!$A$1:$I$89,3,0)*0.475*44/12</f>
        <v>0</v>
      </c>
      <c r="EC30" s="23">
        <f>EXP(-LN(2)/2)*EC29+(1-EXP(-LN(2)/2))/(LN(2)/2)*DW30*DZ30*VLOOKUP('Données projet'!$B$14,Paramètres!$A$1:$I$89,3,0)*0.475*44/12</f>
        <v>0</v>
      </c>
      <c r="ED30" s="24">
        <f t="shared" si="18"/>
        <v>0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8.3333333333333339</v>
      </c>
      <c r="EJ30" s="13">
        <f>IF('Données projet'!$A$192&gt;35,EJ29+EI30-ER29,IF(A30&lt;'Données projet'!$A$192,$EG$205^A30,IF(A30='Données projet'!$A$192,'Données projet'!$B$192,EJ29+EI30-ER29)))</f>
        <v>124.35897435897434</v>
      </c>
      <c r="EK30" s="18">
        <f>EJ30*VLOOKUP('Données projet'!$B$15,Paramètres!$A$1:$I$89,3,0)*VLOOKUP('Données projet'!$B$15,Paramètres!$A$1:$I$89,5,0)</f>
        <v>129.97999999999999</v>
      </c>
      <c r="EL30" s="14">
        <f t="shared" si="45"/>
        <v>33.991737878182434</v>
      </c>
      <c r="EM30" s="22">
        <f t="shared" si="19"/>
        <v>285.58411013783433</v>
      </c>
      <c r="EN30" s="62">
        <f t="shared" si="20"/>
        <v>575.25077680450102</v>
      </c>
      <c r="EO30" s="62">
        <f ca="1">AVERAGE(OFFSET($EN$3,0,0,'Données projet'!$E$15+1,1))-AVERAGE(OFFSET($H$3,0,0,'Données projet'!$E$15+1,1))</f>
        <v>595.89992279024398</v>
      </c>
      <c r="EP30" s="62">
        <f t="shared" si="46"/>
        <v>378.16197659288338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>
        <f>EXP(-LN(2)/35)*EV29+(1-EXP(-LN(2)/35))/(LN(2)/35)*ER30*ES30*VLOOKUP('Données projet'!$B$15,Paramètres!$A$1:$I$89,3,0)*0.475*44/12</f>
        <v>0</v>
      </c>
      <c r="EW30" s="23">
        <f>EXP(-LN(2)/25)*EW29+(1-EXP(-LN(2)/25))/(LN(2)/25)*Calculateur!ER30*Calculateur!ET30*VLOOKUP('Données projet'!$B$15,Paramètres!$A$1:$I$89,3,0)*0.475*44/12</f>
        <v>0</v>
      </c>
      <c r="EX30" s="23">
        <f>EXP(-LN(2)/2)*EX29+(1-EXP(-LN(2)/2))/(LN(2)/2)*ER30*EU30*VLOOKUP('Données projet'!$B$15,Paramètres!$A$1:$I$89,3,0)*0.475*44/12</f>
        <v>0</v>
      </c>
      <c r="EY30" s="24">
        <f t="shared" si="21"/>
        <v>0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28.603846153846156</v>
      </c>
      <c r="FE30" s="13">
        <f>IF('Données projet'!$A$218&gt;35,FE29+FD30-FM29,IF(A30&lt;'Données projet'!$A$218,$FB$205^A30,IF(A30='Données projet'!$A$218,'Données projet'!$B$218,FE29+FD30-FM29)))</f>
        <v>152.9384615384615</v>
      </c>
      <c r="FF30" s="18">
        <f>FE30*VLOOKUP('Données projet'!$B$16,Paramètres!$A$1:$I$89,3,0)*VLOOKUP('Données projet'!$B$16,Paramètres!$A$1:$I$89,5,0)</f>
        <v>91.457199999999986</v>
      </c>
      <c r="FG30" s="14">
        <f t="shared" si="47"/>
        <v>24.916337351736463</v>
      </c>
      <c r="FH30" s="22">
        <f t="shared" si="22"/>
        <v>202.68391088760765</v>
      </c>
      <c r="FI30" s="62">
        <f t="shared" si="23"/>
        <v>492.35057755427431</v>
      </c>
      <c r="FJ30" s="62">
        <f ca="1">AVERAGE(OFFSET($FI$3,0,0,'Données projet'!$E$16+1,1))-AVERAGE(OFFSET($H$3,0,0,'Données projet'!$E$16+1,1))</f>
        <v>257.56116197646924</v>
      </c>
      <c r="FK30" s="62">
        <f t="shared" si="48"/>
        <v>269.95556918835888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>
        <f>EXP(-LN(2)/35)*FQ29+(1-EXP(-LN(2)/35))/(LN(2)/35)*FM30*FN30*VLOOKUP('Données projet'!$B$16,Paramètres!$A$1:$I$89,3,0)*0.475*44/12</f>
        <v>4.6406371665476955</v>
      </c>
      <c r="FR30" s="23">
        <f>EXP(-LN(2)/25)*FR29+(1-EXP(-LN(2)/25))/(LN(2)/25)*Calculateur!FM30*Calculateur!FO30*VLOOKUP('Données projet'!$B$16,Paramètres!$A$1:$I$89,3,0)*0.475*44/12</f>
        <v>13.859827848582702</v>
      </c>
      <c r="FS30" s="23">
        <f>EXP(-LN(2)/2)*FS29+(1-EXP(-LN(2)/2))/(LN(2)/2)*FM30*FP30*VLOOKUP('Données projet'!$B$16,Paramètres!$A$1:$I$89,3,0)*0.475*44/12</f>
        <v>5.9396885098882839</v>
      </c>
      <c r="FT30" s="24">
        <f t="shared" si="24"/>
        <v>24.440153525018683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">
        <f>VLOOKUP(A30,'Données projet'!$A$243:$I$263,2,0)</f>
        <v>140.71538461538461</v>
      </c>
      <c r="FX30" s="13">
        <f>VLOOKUP(A30,'Données projet'!$A$243:$I$263,9,0)</f>
        <v>13.664102564102569</v>
      </c>
      <c r="FY30" s="13">
        <f t="array" ref="FY30">INDEX(FX:FX,MIN(IF(ISNUMBER(FX30:FX226),ROW(FX30:FX226),"")))</f>
        <v>13.664102564102569</v>
      </c>
      <c r="FZ30" s="13">
        <f>IF('Données projet'!$A$244&gt;35,FZ29+FY30-GH29,IF(A30&lt;'Données projet'!$A$244,$FW$205^A30,IF(A30='Données projet'!$A$244,'Données projet'!$B$244,FZ29+FY30-GH29)))</f>
        <v>140.71538461538461</v>
      </c>
      <c r="GA30" s="18">
        <f>FZ30*VLOOKUP('Données projet'!$B$17,Paramètres!$A$1:$I$89,3,0)*VLOOKUP('Données projet'!$B$17,Paramètres!$A$1:$I$89,5,0)</f>
        <v>84.147799999999989</v>
      </c>
      <c r="GB30" s="14">
        <f t="shared" si="49"/>
        <v>23.148340019013887</v>
      </c>
      <c r="GC30" s="22">
        <f t="shared" si="25"/>
        <v>186.87411053311584</v>
      </c>
      <c r="GD30" s="62">
        <f t="shared" si="26"/>
        <v>476.5407771997825</v>
      </c>
      <c r="GE30" s="62">
        <f ca="1">AVERAGE(OFFSET($GD$3,0,0,'Données projet'!$E$17+1,1))-AVERAGE(OFFSET($H$3,0,0,'Données projet'!$E$17+1,1))</f>
        <v>289.12367833861299</v>
      </c>
      <c r="GF30" s="62">
        <f t="shared" si="50"/>
        <v>229.06617320689003</v>
      </c>
      <c r="GG30" s="16">
        <f>IF(ISNA(VLOOKUP(A30,'Données projet'!$A$243:$I$263,3,0)),0,VLOOKUP(A30,'Données projet'!$A$243:$I$263,3,0))</f>
        <v>2</v>
      </c>
      <c r="GH30" s="16">
        <f>IF(ISNA(VLOOKUP(A30,'Données projet'!$A$243:$I$263,4,0)),0,VLOOKUP(A30,'Données projet'!$A$243:$I$263,4,0))</f>
        <v>34.646153846153844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0.5</v>
      </c>
      <c r="GL30" s="23">
        <f>EXP(-LN(2)/35)*GL29+(1-EXP(-LN(2)/35))/(LN(2)/35)*GH30*GI30*VLOOKUP('Données projet'!$B$17,Paramètres!$A$1:$I$89,3,0)*0.475*44/12</f>
        <v>0</v>
      </c>
      <c r="GM30" s="23">
        <f>EXP(-LN(2)/25)*GM29+(1-EXP(-LN(2)/25))/(LN(2)/25)*Calculateur!GH30*Calculateur!GJ30*VLOOKUP('Données projet'!$B$17,Paramètres!$A$1:$I$89,3,0)*0.475*44/12</f>
        <v>0</v>
      </c>
      <c r="GN30" s="23">
        <f>EXP(-LN(2)/2)*GN29+(1-EXP(-LN(2)/2))/(LN(2)/2)*GH30*GK30*VLOOKUP('Données projet'!$B$17,Paramètres!$A$1:$I$89,3,0)*0.475*44/12</f>
        <v>11.729020816536163</v>
      </c>
      <c r="GO30" s="23">
        <f t="shared" si="27"/>
        <v>11.729020816536163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4.9084615384615384</v>
      </c>
      <c r="GU30" s="13">
        <f>IF('Données projet'!$A$270&gt;35,GU29+GT30-HC29,IF(A30&lt;'Données projet'!$A$270,$GR$205^A30,IF(A30='Données projet'!$A$270,'Données projet'!$B$270,GU29+GT30-HC29)))</f>
        <v>89.384040457688172</v>
      </c>
      <c r="GV30" s="18">
        <f>GU30*VLOOKUP('Données projet'!$B$18,Paramètres!$A$1:$I$89,3,0)*VLOOKUP('Données projet'!$B$18,Paramètres!$A$1:$I$89,5,0)</f>
        <v>41.831730934198063</v>
      </c>
      <c r="GW30" s="14">
        <f t="shared" si="51"/>
        <v>12.482874982828019</v>
      </c>
      <c r="GX30" s="22">
        <f t="shared" si="28"/>
        <v>94.597938638820423</v>
      </c>
      <c r="GY30" s="62">
        <f t="shared" si="29"/>
        <v>384.26460530548712</v>
      </c>
      <c r="GZ30" s="62">
        <f ca="1">AVERAGE(OFFSET($GY$3,0,0,'Données projet'!$E$18+1,1))-AVERAGE(OFFSET($H$3,0,0,'Données projet'!$E$18+1,1))</f>
        <v>284.88646502866419</v>
      </c>
      <c r="HA30" s="62">
        <f t="shared" si="52"/>
        <v>190.4880882944471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>
        <f>EXP(-LN(2)/35)*HG29+(1-EXP(-LN(2)/35))/(LN(2)/35)*HC30*HD30*VLOOKUP('Données projet'!$B$18,Paramètres!$A$1:$I$89,3,0)*0.475*44/12</f>
        <v>0</v>
      </c>
      <c r="HH30" s="23">
        <f>EXP(-LN(2)/25)*HH29+(1-EXP(-LN(2)/25))/(LN(2)/25)*Calculateur!HC30*Calculateur!HE30*VLOOKUP('Données projet'!$B$18,Paramètres!$A$1:$I$89,3,0)*0.475*44/12</f>
        <v>0</v>
      </c>
      <c r="HI30" s="23">
        <f>EXP(-LN(2)/2)*HI29+(1-EXP(-LN(2)/2))/(LN(2)/2)*HC30*HF30*VLOOKUP('Données projet'!$B$18,Paramètres!$A$1:$I$89,3,0)*0.475*44/12</f>
        <v>0</v>
      </c>
      <c r="HJ30" s="24">
        <f t="shared" si="30"/>
        <v>0</v>
      </c>
    </row>
    <row r="31" spans="1:218" s="5" customFormat="1" x14ac:dyDescent="0.25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2">
        <f t="shared" si="32"/>
        <v>0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0</v>
      </c>
      <c r="H31" s="70">
        <f t="shared" si="1"/>
        <v>256.66666666666669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6.5384615384615357</v>
      </c>
      <c r="N31" s="14">
        <f>IF('Données projet'!$A$36&gt;35,N30+M31-V30,IF(A31&lt;'Données projet'!$A$36,$K$205^A31,IF(A31='Données projet'!$A$36,'Données projet'!$B$36,N30+M31-V30)))</f>
        <v>103.58974358974359</v>
      </c>
      <c r="O31" s="14">
        <f>N31*VLOOKUP('Données projet'!$B$9,Paramètres!$A$1:$I$89,3,0)*VLOOKUP('Données projet'!$B$9,Paramètres!$A$1:$I$89,5,0)</f>
        <v>98.576000000000008</v>
      </c>
      <c r="P31" s="14">
        <f t="shared" si="33"/>
        <v>26.622466525409418</v>
      </c>
      <c r="Q31" s="22">
        <f t="shared" si="2"/>
        <v>218.05399586508807</v>
      </c>
      <c r="R31" s="62">
        <f t="shared" si="0"/>
        <v>508.94288475397695</v>
      </c>
      <c r="S31" s="62">
        <f ca="1">AVERAGE(OFFSET($R$3,0,0,'Données projet'!$E$9+1,1))-AVERAGE(OFFSET($H$3,0,0,'Données projet'!$E$9+1,1))</f>
        <v>367.11183928586667</v>
      </c>
      <c r="T31" s="62">
        <f t="shared" si="34"/>
        <v>281.52963027844595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0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0</v>
      </c>
      <c r="AC31" s="24">
        <f t="shared" si="3"/>
        <v>0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7</v>
      </c>
      <c r="AI31" s="14">
        <f>IF('Données projet'!$A$62&gt;35,AI30+AH31-AQ30,IF(A31&lt;'Données projet'!$A$62,$AF$205^A31,IF(A31='Données projet'!$A$62,'Données projet'!$B$62,AI30+AH31-AQ30)))</f>
        <v>91</v>
      </c>
      <c r="AJ31" s="14">
        <f>AI31*VLOOKUP('Données projet'!$B$10,Paramètres!$A$1:$I$89,3,0)*VLOOKUP('Données projet'!$B$10,Paramètres!$A$1:$I$89,5,0)</f>
        <v>82.336799999999997</v>
      </c>
      <c r="AK31" s="14">
        <f t="shared" si="35"/>
        <v>22.707582950885364</v>
      </c>
      <c r="AL31" s="22">
        <f t="shared" si="4"/>
        <v>182.95230030612535</v>
      </c>
      <c r="AM31" s="62">
        <f t="shared" si="5"/>
        <v>473.84118919501418</v>
      </c>
      <c r="AN31" s="62">
        <f ca="1">AVERAGE(OFFSET($AM$3,0,0,'Données projet'!$E$10+1,1))-AVERAGE(OFFSET($H$3,0,0,'Données projet'!$E$10+1,1))</f>
        <v>428.8489304403459</v>
      </c>
      <c r="AO31" s="62">
        <f t="shared" si="36"/>
        <v>247.01165577562966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0</v>
      </c>
      <c r="AV31" s="23">
        <f>EXP(-LN(2)/25)*AV30+(1-EXP(-LN(2)/25))/(LN(2)/25)*Calculateur!AQ31*Calculateur!AS31*VLOOKUP('Données projet'!$B$10,Paramètres!$A$1:$I$89,3,0)*0.475*44/12</f>
        <v>0</v>
      </c>
      <c r="AW31" s="23">
        <f>EXP(-LN(2)/2)*AW30+(1-EXP(-LN(2)/2))/(LN(2)/2)*AQ31*AT31*VLOOKUP('Données projet'!$B$10,Paramètres!$A$1:$I$89,3,0)*0.475*44/12</f>
        <v>0</v>
      </c>
      <c r="AX31" s="23">
        <f t="shared" si="6"/>
        <v>0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7</v>
      </c>
      <c r="BD31" s="13">
        <f>IF('Données projet'!$A$88&gt;35,BD30+BC31-BL30,IF(A31&lt;'Données projet'!$A$88,$BA$205^A31,IF(A31='Données projet'!$A$88,'Données projet'!$B$88,BD30+BC31-BL30)))</f>
        <v>91</v>
      </c>
      <c r="BE31" s="14">
        <f>BD31*VLOOKUP('Données projet'!$B$11,Paramètres!$A$1:$I$89,3,0)*VLOOKUP('Données projet'!$B$11,Paramètres!$A$1:$I$89,5,0)</f>
        <v>92.274000000000001</v>
      </c>
      <c r="BF31" s="14">
        <f t="shared" si="37"/>
        <v>25.112860036087575</v>
      </c>
      <c r="BG31" s="22">
        <f t="shared" si="7"/>
        <v>204.4487812295192</v>
      </c>
      <c r="BH31" s="62">
        <f t="shared" si="8"/>
        <v>495.33767011840803</v>
      </c>
      <c r="BI31" s="62">
        <f ca="1">AVERAGE(OFFSET($BH$3,0,0,'Données projet'!$E$11+1,1))-AVERAGE(OFFSET($H$3,0,0,'Données projet'!$E$11+1,1))</f>
        <v>475.47920969424894</v>
      </c>
      <c r="BJ31" s="62">
        <f t="shared" si="38"/>
        <v>271.73544012419364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>
        <f>EXP(-LN(2)/35)*BP30+(1-EXP(-LN(2)/35))/(LN(2)/35)*BL31*BM31*VLOOKUP('Données projet'!$B$11,Paramètres!$A$1:$I$89,3,0)*0.475*44/12</f>
        <v>0</v>
      </c>
      <c r="BQ31" s="23">
        <f>EXP(-LN(2)/25)*BQ30+(1-EXP(-LN(2)/25))/(LN(2)/25)*Calculateur!BL31*Calculateur!BN31*VLOOKUP('Données projet'!$B$11,Paramètres!$A$1:$I$89,3,0)*0.475*44/12</f>
        <v>0</v>
      </c>
      <c r="BR31" s="23">
        <f>EXP(-LN(2)/2)*BR30+(1-EXP(-LN(2)/2))/(LN(2)/2)*BL31*BO31*VLOOKUP('Données projet'!$B$11,Paramètres!$A$1:$I$89,3,0)*0.475*44/12</f>
        <v>0</v>
      </c>
      <c r="BS31" s="24">
        <f t="shared" si="9"/>
        <v>0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3">
        <f>VLOOKUP(A31,'Données projet'!$A$113:$I$133,2,0)</f>
        <v>235.7076923076923</v>
      </c>
      <c r="BW31" s="13">
        <f>VLOOKUP(A31,'Données projet'!$A$113:$I$133,9,0)</f>
        <v>16.687912087912085</v>
      </c>
      <c r="BX31" s="13">
        <f t="array" ref="BX31">INDEX(BW:BW,MIN(IF(ISNUMBER(BW31:BW227),ROW(BW31:BW227),"")))</f>
        <v>16.687912087912085</v>
      </c>
      <c r="BY31" s="13">
        <f>IF('Données projet'!$A$114&gt;35,BY30+BX31-CG30,IF(A31&lt;'Données projet'!$A$114,$BV$205^A31,IF(A31='Données projet'!$A$114,'Données projet'!$B$114,BY30+BX31-CG30)))</f>
        <v>235.7076923076923</v>
      </c>
      <c r="BZ31" s="14">
        <f>BY31*VLOOKUP('Données projet'!$B$12,Paramètres!$A$1:$I$89,3,0)*VLOOKUP('Données projet'!$B$12,Paramètres!$A$1:$I$89,5,0)</f>
        <v>131.76059999999998</v>
      </c>
      <c r="CA31" s="14">
        <f t="shared" si="39"/>
        <v>34.402863243711892</v>
      </c>
      <c r="CB31" s="22">
        <f t="shared" si="10"/>
        <v>289.40136514946488</v>
      </c>
      <c r="CC31" s="62">
        <f t="shared" si="11"/>
        <v>580.29025403835374</v>
      </c>
      <c r="CD31" s="62">
        <f ca="1">AVERAGE(OFFSET($CC$3,0,0,'Données projet'!$E$12+1,1))-AVERAGE(OFFSET($H$3,0,0,'Données projet'!$E$12+1,1))</f>
        <v>323.98185264074681</v>
      </c>
      <c r="CE31" s="62">
        <f t="shared" si="40"/>
        <v>301.22207291854005</v>
      </c>
      <c r="CF31" s="16">
        <f>IF(ISNA(VLOOKUP(A31,'Données projet'!$A$113:$I$133,3,0)),0,VLOOKUP(A31,'Données projet'!$A$113:$I$133,3,0))</f>
        <v>2</v>
      </c>
      <c r="CG31" s="16">
        <f>IF(ISNA(VLOOKUP(A31,'Données projet'!$A$113:$I$133,4,0)),0,VLOOKUP(A31,'Données projet'!$A$113:$I$133,4,0))</f>
        <v>56.91538461538461</v>
      </c>
      <c r="CH31" s="17">
        <f>IF(ISNA(VLOOKUP(A31,'Données projet'!$A$113:$I$133,5,0)),0%,VLOOKUP(A31,'Données projet'!$A$113:$I$133,5,0)*VLOOKUP('Données projet'!$B$12,Paramètres!$A$1:$I$89,7,0))</f>
        <v>0.11000000000000001</v>
      </c>
      <c r="CI31" s="17">
        <f>IF(ISNA(VLOOKUP(A31,'Données projet'!$A$113:$I$133,6,0)),0%,VLOOKUP(A31,'Données projet'!$A$113:$I$133,6,0)*VLOOKUP('Données projet'!$B$12,Paramètres!$A$1:$I$89,7,0))</f>
        <v>0.11000000000000001</v>
      </c>
      <c r="CJ31" s="17">
        <f>IF(ISNA(VLOOKUP(A31,'Données projet'!$A$113:$I$133,7,0)),0%,VLOOKUP(A31,'Données projet'!$A$113:$I$133,7,0))</f>
        <v>0.3</v>
      </c>
      <c r="CK31" s="23">
        <f>EXP(-LN(2)/35)*CK30+(1-EXP(-LN(2)/35))/(LN(2)/35)*CG31*CH31*VLOOKUP('Données projet'!$B$12,Paramètres!$A$1:$I$89,3,0)*0.475*44/12</f>
        <v>4.6426134419420562</v>
      </c>
      <c r="CL31" s="23">
        <f>EXP(-LN(2)/25)*CL30+(1-EXP(-LN(2)/25))/(LN(2)/25)*Calculateur!CG31*Calculateur!CI31*VLOOKUP('Données projet'!$B$12,Paramètres!$A$1:$I$89,3,0)*0.475*44/12</f>
        <v>8.7175445065387969</v>
      </c>
      <c r="CM31" s="23">
        <f>EXP(-LN(2)/2)*CM30+(1-EXP(-LN(2)/2))/(LN(2)/2)*CG31*CJ31*VLOOKUP('Données projet'!$B$12,Paramètres!$A$1:$I$89,3,0)*0.475*44/12</f>
        <v>12.175614359236038</v>
      </c>
      <c r="CN31" s="24">
        <f t="shared" si="12"/>
        <v>25.53577230771689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4.8</v>
      </c>
      <c r="CT31" s="13">
        <f>IF('Données projet'!$A$140&gt;35,CT30+CS31-DB30,IF(A31&lt;'Données projet'!$A$140,$CQ$205^A31,IF(A31='Données projet'!$A$140,'Données projet'!$B$140,CT30+CS31-DB30)))</f>
        <v>44.399999999999991</v>
      </c>
      <c r="CU31" s="18">
        <f>CT31*VLOOKUP('Données projet'!$B$13,Paramètres!$A$1:$I$89,3,0)*VLOOKUP('Données projet'!$B$13,Paramètres!$A$1:$I$89,5,0)</f>
        <v>50.562719999999992</v>
      </c>
      <c r="CV31" s="14">
        <f t="shared" si="41"/>
        <v>14.758989764964552</v>
      </c>
      <c r="CW31" s="22">
        <f t="shared" si="13"/>
        <v>113.76864450731324</v>
      </c>
      <c r="CX31" s="62">
        <f t="shared" si="14"/>
        <v>404.6575333962021</v>
      </c>
      <c r="CY31" s="62">
        <f ca="1">AVERAGE(OFFSET($CX$3,0,0,'Données projet'!$E$13+1,1))-AVERAGE(OFFSET($H$3,0,0,'Données projet'!$E$13+1,1))</f>
        <v>399.78832690250164</v>
      </c>
      <c r="CZ31" s="62">
        <f t="shared" si="42"/>
        <v>174.32967064896343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>
        <f>EXP(-LN(2)/35)*DF30+(1-EXP(-LN(2)/35))/(LN(2)/35)*DB31*DC31*VLOOKUP('Données projet'!$B$13,Paramètres!$A$1:$I$89,3,0)*0.475*44/12</f>
        <v>0</v>
      </c>
      <c r="DG31" s="23">
        <f>EXP(-LN(2)/25)*DG30+(1-EXP(-LN(2)/25))/(LN(2)/25)*Calculateur!DB31*Calculateur!DD31*VLOOKUP('Données projet'!$B$13,Paramètres!$A$1:$I$89,3,0)*0.475*44/12</f>
        <v>0</v>
      </c>
      <c r="DH31" s="23">
        <f>EXP(-LN(2)/2)*DH30+(1-EXP(-LN(2)/2))/(LN(2)/2)*DB31*DE31*VLOOKUP('Données projet'!$B$13,Paramètres!$A$1:$I$89,3,0)*0.475*44/12</f>
        <v>0</v>
      </c>
      <c r="DI31" s="24">
        <f t="shared" si="15"/>
        <v>0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7</v>
      </c>
      <c r="DO31" s="13">
        <f>IF('Données projet'!$A$166&gt;35,DO30+DN31-DW30,IF(A31&lt;'Données projet'!$A$166,$DL$205^A31,IF(A31='Données projet'!$A$166,'Données projet'!$B$166,DO30+DN31-DW30)))</f>
        <v>91</v>
      </c>
      <c r="DP31" s="18">
        <f>DO31*VLOOKUP('Données projet'!$B$14,Paramètres!$A$1:$I$89,3,0)*VLOOKUP('Données projet'!$B$14,Paramètres!$A$1:$I$89,5,0)</f>
        <v>76.6584</v>
      </c>
      <c r="DQ31" s="14">
        <f t="shared" si="43"/>
        <v>21.318127749842347</v>
      </c>
      <c r="DR31" s="22">
        <f t="shared" si="16"/>
        <v>170.6424524976421</v>
      </c>
      <c r="DS31" s="62">
        <f t="shared" si="17"/>
        <v>461.53134138653093</v>
      </c>
      <c r="DT31" s="62">
        <f ca="1">AVERAGE(OFFSET($DS$3,0,0,'Données projet'!$E$14+1,1))-AVERAGE(OFFSET($H$3,0,0,'Données projet'!$E$14+1,1))</f>
        <v>402.15128814037058</v>
      </c>
      <c r="DU31" s="62">
        <f t="shared" si="44"/>
        <v>232.85411068442738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>
        <f>EXP(-LN(2)/35)*EA30+(1-EXP(-LN(2)/35))/(LN(2)/35)*DW31*DX31*VLOOKUP('Données projet'!$B$14,Paramètres!$A$1:$I$89,3,0)*0.475*44/12</f>
        <v>0</v>
      </c>
      <c r="EB31" s="23">
        <f>EXP(-LN(2)/25)*EB30+(1-EXP(-LN(2)/25))/(LN(2)/25)*Calculateur!DW31*Calculateur!DY31*VLOOKUP('Données projet'!$B$14,Paramètres!$A$1:$I$89,3,0)*0.475*44/12</f>
        <v>0</v>
      </c>
      <c r="EC31" s="23">
        <f>EXP(-LN(2)/2)*EC30+(1-EXP(-LN(2)/2))/(LN(2)/2)*DW31*DZ31*VLOOKUP('Données projet'!$B$14,Paramètres!$A$1:$I$89,3,0)*0.475*44/12</f>
        <v>0</v>
      </c>
      <c r="ED31" s="24">
        <f t="shared" si="18"/>
        <v>0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8.3333333333333339</v>
      </c>
      <c r="EJ31" s="13">
        <f>IF('Données projet'!$A$192&gt;35,EJ30+EI31-ER30,IF(A31&lt;'Données projet'!$A$192,$EG$205^A31,IF(A31='Données projet'!$A$192,'Données projet'!$B$192,EJ30+EI31-ER30)))</f>
        <v>132.69230769230768</v>
      </c>
      <c r="EK31" s="18">
        <f>EJ31*VLOOKUP('Données projet'!$B$15,Paramètres!$A$1:$I$89,3,0)*VLOOKUP('Données projet'!$B$15,Paramètres!$A$1:$I$89,5,0)</f>
        <v>138.69</v>
      </c>
      <c r="EL31" s="14">
        <f t="shared" si="45"/>
        <v>35.996738887121467</v>
      </c>
      <c r="EM31" s="22">
        <f t="shared" si="19"/>
        <v>304.2460702284032</v>
      </c>
      <c r="EN31" s="62">
        <f t="shared" si="20"/>
        <v>595.13495911729206</v>
      </c>
      <c r="EO31" s="62">
        <f ca="1">AVERAGE(OFFSET($EN$3,0,0,'Données projet'!$E$15+1,1))-AVERAGE(OFFSET($H$3,0,0,'Données projet'!$E$15+1,1))</f>
        <v>595.89992279024398</v>
      </c>
      <c r="EP31" s="62">
        <f t="shared" si="46"/>
        <v>378.16197659288338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>
        <f>EXP(-LN(2)/35)*EV30+(1-EXP(-LN(2)/35))/(LN(2)/35)*ER31*ES31*VLOOKUP('Données projet'!$B$15,Paramètres!$A$1:$I$89,3,0)*0.475*44/12</f>
        <v>0</v>
      </c>
      <c r="EW31" s="23">
        <f>EXP(-LN(2)/25)*EW30+(1-EXP(-LN(2)/25))/(LN(2)/25)*Calculateur!ER31*Calculateur!ET31*VLOOKUP('Données projet'!$B$15,Paramètres!$A$1:$I$89,3,0)*0.475*44/12</f>
        <v>0</v>
      </c>
      <c r="EX31" s="23">
        <f>EXP(-LN(2)/2)*EX30+(1-EXP(-LN(2)/2))/(LN(2)/2)*ER31*EU31*VLOOKUP('Données projet'!$B$15,Paramètres!$A$1:$I$89,3,0)*0.475*44/12</f>
        <v>0</v>
      </c>
      <c r="EY31" s="24">
        <f t="shared" si="21"/>
        <v>0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28.603846153846156</v>
      </c>
      <c r="FE31" s="13">
        <f>IF('Données projet'!$A$218&gt;35,FE30+FD31-FM30,IF(A31&lt;'Données projet'!$A$218,$FB$205^A31,IF(A31='Données projet'!$A$218,'Données projet'!$B$218,FE30+FD31-FM30)))</f>
        <v>181.54230769230765</v>
      </c>
      <c r="FF31" s="18">
        <f>FE31*VLOOKUP('Données projet'!$B$16,Paramètres!$A$1:$I$89,3,0)*VLOOKUP('Données projet'!$B$16,Paramètres!$A$1:$I$89,5,0)</f>
        <v>108.56229999999998</v>
      </c>
      <c r="FG31" s="14">
        <f t="shared" si="47"/>
        <v>28.991992311305921</v>
      </c>
      <c r="FH31" s="22">
        <f t="shared" si="22"/>
        <v>239.57372577552442</v>
      </c>
      <c r="FI31" s="62">
        <f t="shared" si="23"/>
        <v>530.46261466441331</v>
      </c>
      <c r="FJ31" s="62">
        <f ca="1">AVERAGE(OFFSET($FI$3,0,0,'Données projet'!$E$16+1,1))-AVERAGE(OFFSET($H$3,0,0,'Données projet'!$E$16+1,1))</f>
        <v>257.56116197646924</v>
      </c>
      <c r="FK31" s="62">
        <f t="shared" si="48"/>
        <v>269.95556918835888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>
        <f>EXP(-LN(2)/35)*FQ30+(1-EXP(-LN(2)/35))/(LN(2)/35)*FM31*FN31*VLOOKUP('Données projet'!$B$16,Paramètres!$A$1:$I$89,3,0)*0.475*44/12</f>
        <v>4.5496371022208777</v>
      </c>
      <c r="FR31" s="23">
        <f>EXP(-LN(2)/25)*FR30+(1-EXP(-LN(2)/25))/(LN(2)/25)*Calculateur!FM31*Calculateur!FO31*VLOOKUP('Données projet'!$B$16,Paramètres!$A$1:$I$89,3,0)*0.475*44/12</f>
        <v>13.480830127206538</v>
      </c>
      <c r="FS31" s="23">
        <f>EXP(-LN(2)/2)*FS30+(1-EXP(-LN(2)/2))/(LN(2)/2)*FM31*FP31*VLOOKUP('Données projet'!$B$16,Paramètres!$A$1:$I$89,3,0)*0.475*44/12</f>
        <v>4.1999940234778252</v>
      </c>
      <c r="FT31" s="24">
        <f t="shared" si="24"/>
        <v>22.23046125290524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12.971794871794875</v>
      </c>
      <c r="FZ31" s="13">
        <f>IF('Données projet'!$A$244&gt;35,FZ30+FY31-GH30,IF(A31&lt;'Données projet'!$A$244,$FW$205^A31,IF(A31='Données projet'!$A$244,'Données projet'!$B$244,FZ30+FY31-GH30)))</f>
        <v>119.04102564102564</v>
      </c>
      <c r="GA31" s="18">
        <f>FZ31*VLOOKUP('Données projet'!$B$17,Paramètres!$A$1:$I$89,3,0)*VLOOKUP('Données projet'!$B$17,Paramètres!$A$1:$I$89,5,0)</f>
        <v>71.18653333333333</v>
      </c>
      <c r="GB31" s="14">
        <f t="shared" si="49"/>
        <v>19.967826748678</v>
      </c>
      <c r="GC31" s="22">
        <f t="shared" si="25"/>
        <v>158.76051047616974</v>
      </c>
      <c r="GD31" s="62">
        <f t="shared" si="26"/>
        <v>449.64939936505857</v>
      </c>
      <c r="GE31" s="62">
        <f ca="1">AVERAGE(OFFSET($GD$3,0,0,'Données projet'!$E$17+1,1))-AVERAGE(OFFSET($H$3,0,0,'Données projet'!$E$17+1,1))</f>
        <v>289.12367833861299</v>
      </c>
      <c r="GF31" s="62">
        <f t="shared" si="50"/>
        <v>229.06617320689003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>
        <f>EXP(-LN(2)/35)*GL30+(1-EXP(-LN(2)/35))/(LN(2)/35)*GH31*GI31*VLOOKUP('Données projet'!$B$17,Paramètres!$A$1:$I$89,3,0)*0.475*44/12</f>
        <v>0</v>
      </c>
      <c r="GM31" s="23">
        <f>EXP(-LN(2)/25)*GM30+(1-EXP(-LN(2)/25))/(LN(2)/25)*Calculateur!GH31*Calculateur!GJ31*VLOOKUP('Données projet'!$B$17,Paramètres!$A$1:$I$89,3,0)*0.475*44/12</f>
        <v>0</v>
      </c>
      <c r="GN31" s="23">
        <f>EXP(-LN(2)/2)*GN30+(1-EXP(-LN(2)/2))/(LN(2)/2)*GH31*GK31*VLOOKUP('Données projet'!$B$17,Paramètres!$A$1:$I$89,3,0)*0.475*44/12</f>
        <v>8.293670156050899</v>
      </c>
      <c r="GO31" s="23">
        <f t="shared" si="27"/>
        <v>8.293670156050899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4.9084615384615384</v>
      </c>
      <c r="GU31" s="13">
        <f>IF('Données projet'!$A$270&gt;35,GU30+GT31-HC30,IF(A31&lt;'Données projet'!$A$270,$GR$205^A31,IF(A31='Données projet'!$A$270,'Données projet'!$B$270,GU30+GT31-HC30)))</f>
        <v>105.56716787013318</v>
      </c>
      <c r="GV31" s="18">
        <f>GU31*VLOOKUP('Données projet'!$B$18,Paramètres!$A$1:$I$89,3,0)*VLOOKUP('Données projet'!$B$18,Paramètres!$A$1:$I$89,5,0)</f>
        <v>49.405434563222322</v>
      </c>
      <c r="GW31" s="14">
        <f t="shared" si="51"/>
        <v>14.46010380603388</v>
      </c>
      <c r="GX31" s="22">
        <f t="shared" si="28"/>
        <v>111.23247932645454</v>
      </c>
      <c r="GY31" s="62">
        <f t="shared" si="29"/>
        <v>402.12136821534341</v>
      </c>
      <c r="GZ31" s="62">
        <f ca="1">AVERAGE(OFFSET($GY$3,0,0,'Données projet'!$E$18+1,1))-AVERAGE(OFFSET($H$3,0,0,'Données projet'!$E$18+1,1))</f>
        <v>284.88646502866419</v>
      </c>
      <c r="HA31" s="62">
        <f t="shared" si="52"/>
        <v>190.4880882944471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>
        <f>EXP(-LN(2)/35)*HG30+(1-EXP(-LN(2)/35))/(LN(2)/35)*HC31*HD31*VLOOKUP('Données projet'!$B$18,Paramètres!$A$1:$I$89,3,0)*0.475*44/12</f>
        <v>0</v>
      </c>
      <c r="HH31" s="23">
        <f>EXP(-LN(2)/25)*HH30+(1-EXP(-LN(2)/25))/(LN(2)/25)*Calculateur!HC31*Calculateur!HE31*VLOOKUP('Données projet'!$B$18,Paramètres!$A$1:$I$89,3,0)*0.475*44/12</f>
        <v>0</v>
      </c>
      <c r="HI31" s="23">
        <f>EXP(-LN(2)/2)*HI30+(1-EXP(-LN(2)/2))/(LN(2)/2)*HC31*HF31*VLOOKUP('Données projet'!$B$18,Paramètres!$A$1:$I$89,3,0)*0.475*44/12</f>
        <v>0</v>
      </c>
      <c r="HJ31" s="24">
        <f t="shared" si="30"/>
        <v>0</v>
      </c>
    </row>
    <row r="32" spans="1:218" s="5" customFormat="1" x14ac:dyDescent="0.25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2">
        <f t="shared" si="32"/>
        <v>0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0</v>
      </c>
      <c r="H32" s="70">
        <f t="shared" si="1"/>
        <v>256.66666666666669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6.5384615384615357</v>
      </c>
      <c r="N32" s="14">
        <f>IF('Données projet'!$A$36&gt;35,N31+M32-V31,IF(A32&lt;'Données projet'!$A$36,$K$205^A32,IF(A32='Données projet'!$A$36,'Données projet'!$B$36,N31+M32-V31)))</f>
        <v>110.12820512820512</v>
      </c>
      <c r="O32" s="14">
        <f>N32*VLOOKUP('Données projet'!$B$9,Paramètres!$A$1:$I$89,3,0)*VLOOKUP('Données projet'!$B$9,Paramètres!$A$1:$I$89,5,0)</f>
        <v>104.79799999999999</v>
      </c>
      <c r="P32" s="14">
        <f t="shared" si="33"/>
        <v>28.101918557678896</v>
      </c>
      <c r="Q32" s="22">
        <f t="shared" si="2"/>
        <v>231.46735815462407</v>
      </c>
      <c r="R32" s="62">
        <f t="shared" si="0"/>
        <v>523.57846926573518</v>
      </c>
      <c r="S32" s="62">
        <f ca="1">AVERAGE(OFFSET($R$3,0,0,'Données projet'!$E$9+1,1))-AVERAGE(OFFSET($H$3,0,0,'Données projet'!$E$9+1,1))</f>
        <v>367.11183928586667</v>
      </c>
      <c r="T32" s="62">
        <f t="shared" si="34"/>
        <v>281.52963027844595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0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0</v>
      </c>
      <c r="AC32" s="24">
        <f t="shared" si="3"/>
        <v>0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7</v>
      </c>
      <c r="AI32" s="14">
        <f>IF('Données projet'!$A$62&gt;35,AI31+AH32-AQ31,IF(A32&lt;'Données projet'!$A$62,$AF$205^A32,IF(A32='Données projet'!$A$62,'Données projet'!$B$62,AI31+AH32-AQ31)))</f>
        <v>98</v>
      </c>
      <c r="AJ32" s="14">
        <f>AI32*VLOOKUP('Données projet'!$B$10,Paramètres!$A$1:$I$89,3,0)*VLOOKUP('Données projet'!$B$10,Paramètres!$A$1:$I$89,5,0)</f>
        <v>88.670400000000001</v>
      </c>
      <c r="AK32" s="14">
        <f t="shared" si="35"/>
        <v>24.244280250395512</v>
      </c>
      <c r="AL32" s="22">
        <f t="shared" si="4"/>
        <v>196.65973476943884</v>
      </c>
      <c r="AM32" s="62">
        <f t="shared" si="5"/>
        <v>488.77084588054998</v>
      </c>
      <c r="AN32" s="62">
        <f ca="1">AVERAGE(OFFSET($AM$3,0,0,'Données projet'!$E$10+1,1))-AVERAGE(OFFSET($H$3,0,0,'Données projet'!$E$10+1,1))</f>
        <v>428.8489304403459</v>
      </c>
      <c r="AO32" s="62">
        <f t="shared" si="36"/>
        <v>247.01165577562966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0</v>
      </c>
      <c r="AV32" s="23">
        <f>EXP(-LN(2)/25)*AV31+(1-EXP(-LN(2)/25))/(LN(2)/25)*Calculateur!AQ32*Calculateur!AS32*VLOOKUP('Données projet'!$B$10,Paramètres!$A$1:$I$89,3,0)*0.475*44/12</f>
        <v>0</v>
      </c>
      <c r="AW32" s="23">
        <f>EXP(-LN(2)/2)*AW31+(1-EXP(-LN(2)/2))/(LN(2)/2)*AQ32*AT32*VLOOKUP('Données projet'!$B$10,Paramètres!$A$1:$I$89,3,0)*0.475*44/12</f>
        <v>0</v>
      </c>
      <c r="AX32" s="23">
        <f t="shared" si="6"/>
        <v>0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7</v>
      </c>
      <c r="BD32" s="13">
        <f>IF('Données projet'!$A$88&gt;35,BD31+BC32-BL31,IF(A32&lt;'Données projet'!$A$88,$BA$205^A32,IF(A32='Données projet'!$A$88,'Données projet'!$B$88,BD31+BC32-BL31)))</f>
        <v>98</v>
      </c>
      <c r="BE32" s="14">
        <f>BD32*VLOOKUP('Données projet'!$B$11,Paramètres!$A$1:$I$89,3,0)*VLOOKUP('Données projet'!$B$11,Paramètres!$A$1:$I$89,5,0)</f>
        <v>99.372000000000014</v>
      </c>
      <c r="BF32" s="14">
        <f t="shared" si="37"/>
        <v>26.812330397327713</v>
      </c>
      <c r="BG32" s="22">
        <f t="shared" si="7"/>
        <v>219.7710421086791</v>
      </c>
      <c r="BH32" s="62">
        <f t="shared" si="8"/>
        <v>511.88215321979021</v>
      </c>
      <c r="BI32" s="62">
        <f ca="1">AVERAGE(OFFSET($BH$3,0,0,'Données projet'!$E$11+1,1))-AVERAGE(OFFSET($H$3,0,0,'Données projet'!$E$11+1,1))</f>
        <v>475.47920969424894</v>
      </c>
      <c r="BJ32" s="62">
        <f t="shared" si="38"/>
        <v>271.73544012419364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>
        <f>EXP(-LN(2)/35)*BP31+(1-EXP(-LN(2)/35))/(LN(2)/35)*BL32*BM32*VLOOKUP('Données projet'!$B$11,Paramètres!$A$1:$I$89,3,0)*0.475*44/12</f>
        <v>0</v>
      </c>
      <c r="BQ32" s="23">
        <f>EXP(-LN(2)/25)*BQ31+(1-EXP(-LN(2)/25))/(LN(2)/25)*Calculateur!BL32*Calculateur!BN32*VLOOKUP('Données projet'!$B$11,Paramètres!$A$1:$I$89,3,0)*0.475*44/12</f>
        <v>0</v>
      </c>
      <c r="BR32" s="23">
        <f>EXP(-LN(2)/2)*BR31+(1-EXP(-LN(2)/2))/(LN(2)/2)*BL32*BO32*VLOOKUP('Données projet'!$B$11,Paramètres!$A$1:$I$89,3,0)*0.475*44/12</f>
        <v>0</v>
      </c>
      <c r="BS32" s="24">
        <f t="shared" si="9"/>
        <v>0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18.099999999999994</v>
      </c>
      <c r="BY32" s="13">
        <f>IF('Données projet'!$A$114&gt;35,BY31+BX32-CG31,IF(A32&lt;'Données projet'!$A$114,$BV$205^A32,IF(A32='Données projet'!$A$114,'Données projet'!$B$114,BY31+BX32-CG31)))</f>
        <v>196.89230769230767</v>
      </c>
      <c r="BZ32" s="14">
        <f>BY32*VLOOKUP('Données projet'!$B$12,Paramètres!$A$1:$I$89,3,0)*VLOOKUP('Données projet'!$B$12,Paramètres!$A$1:$I$89,5,0)</f>
        <v>110.0628</v>
      </c>
      <c r="CA32" s="14">
        <f t="shared" si="39"/>
        <v>29.345780250854382</v>
      </c>
      <c r="CB32" s="22">
        <f t="shared" si="10"/>
        <v>242.80327727023806</v>
      </c>
      <c r="CC32" s="62">
        <f t="shared" si="11"/>
        <v>534.91438838134923</v>
      </c>
      <c r="CD32" s="62">
        <f ca="1">AVERAGE(OFFSET($CC$3,0,0,'Données projet'!$E$12+1,1))-AVERAGE(OFFSET($H$3,0,0,'Données projet'!$E$12+1,1))</f>
        <v>323.98185264074681</v>
      </c>
      <c r="CE32" s="62">
        <f t="shared" si="40"/>
        <v>301.22207291854005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>
        <f>EXP(-LN(2)/35)*CK31+(1-EXP(-LN(2)/35))/(LN(2)/35)*CG32*CH32*VLOOKUP('Données projet'!$B$12,Paramètres!$A$1:$I$89,3,0)*0.475*44/12</f>
        <v>4.5515746240601631</v>
      </c>
      <c r="CL32" s="23">
        <f>EXP(-LN(2)/25)*CL31+(1-EXP(-LN(2)/25))/(LN(2)/25)*Calculateur!CG32*Calculateur!CI32*VLOOKUP('Données projet'!$B$12,Paramètres!$A$1:$I$89,3,0)*0.475*44/12</f>
        <v>8.4791627935717528</v>
      </c>
      <c r="CM32" s="23">
        <f>EXP(-LN(2)/2)*CM31+(1-EXP(-LN(2)/2))/(LN(2)/2)*CG32*CJ32*VLOOKUP('Données projet'!$B$12,Paramètres!$A$1:$I$89,3,0)*0.475*44/12</f>
        <v>8.6094594785281036</v>
      </c>
      <c r="CN32" s="24">
        <f t="shared" si="12"/>
        <v>21.64019689616002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4.8</v>
      </c>
      <c r="CT32" s="13">
        <f>IF('Données projet'!$A$140&gt;35,CT31+CS32-DB31,IF(A32&lt;'Données projet'!$A$140,$CQ$205^A32,IF(A32='Données projet'!$A$140,'Données projet'!$B$140,CT31+CS32-DB31)))</f>
        <v>49.199999999999989</v>
      </c>
      <c r="CU32" s="18">
        <f>CT32*VLOOKUP('Données projet'!$B$13,Paramètres!$A$1:$I$89,3,0)*VLOOKUP('Données projet'!$B$13,Paramètres!$A$1:$I$89,5,0)</f>
        <v>56.028959999999984</v>
      </c>
      <c r="CV32" s="14">
        <f t="shared" si="41"/>
        <v>16.160299450101345</v>
      </c>
      <c r="CW32" s="22">
        <f t="shared" si="13"/>
        <v>125.72962687559315</v>
      </c>
      <c r="CX32" s="62">
        <f t="shared" si="14"/>
        <v>417.84073798670431</v>
      </c>
      <c r="CY32" s="62">
        <f ca="1">AVERAGE(OFFSET($CX$3,0,0,'Données projet'!$E$13+1,1))-AVERAGE(OFFSET($H$3,0,0,'Données projet'!$E$13+1,1))</f>
        <v>399.78832690250164</v>
      </c>
      <c r="CZ32" s="62">
        <f t="shared" si="42"/>
        <v>174.32967064896343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>
        <f>EXP(-LN(2)/35)*DF31+(1-EXP(-LN(2)/35))/(LN(2)/35)*DB32*DC32*VLOOKUP('Données projet'!$B$13,Paramètres!$A$1:$I$89,3,0)*0.475*44/12</f>
        <v>0</v>
      </c>
      <c r="DG32" s="23">
        <f>EXP(-LN(2)/25)*DG31+(1-EXP(-LN(2)/25))/(LN(2)/25)*Calculateur!DB32*Calculateur!DD32*VLOOKUP('Données projet'!$B$13,Paramètres!$A$1:$I$89,3,0)*0.475*44/12</f>
        <v>0</v>
      </c>
      <c r="DH32" s="23">
        <f>EXP(-LN(2)/2)*DH31+(1-EXP(-LN(2)/2))/(LN(2)/2)*DB32*DE32*VLOOKUP('Données projet'!$B$13,Paramètres!$A$1:$I$89,3,0)*0.475*44/12</f>
        <v>0</v>
      </c>
      <c r="DI32" s="24">
        <f t="shared" si="15"/>
        <v>0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7</v>
      </c>
      <c r="DO32" s="13">
        <f>IF('Données projet'!$A$166&gt;35,DO31+DN32-DW31,IF(A32&lt;'Données projet'!$A$166,$DL$205^A32,IF(A32='Données projet'!$A$166,'Données projet'!$B$166,DO31+DN32-DW31)))</f>
        <v>98</v>
      </c>
      <c r="DP32" s="18">
        <f>DO32*VLOOKUP('Données projet'!$B$14,Paramètres!$A$1:$I$89,3,0)*VLOOKUP('Données projet'!$B$14,Paramètres!$A$1:$I$89,5,0)</f>
        <v>82.555199999999999</v>
      </c>
      <c r="DQ32" s="14">
        <f t="shared" si="43"/>
        <v>22.760796016854769</v>
      </c>
      <c r="DR32" s="22">
        <f t="shared" si="16"/>
        <v>183.42535972935536</v>
      </c>
      <c r="DS32" s="62">
        <f t="shared" si="17"/>
        <v>475.53647084046651</v>
      </c>
      <c r="DT32" s="62">
        <f ca="1">AVERAGE(OFFSET($DS$3,0,0,'Données projet'!$E$14+1,1))-AVERAGE(OFFSET($H$3,0,0,'Données projet'!$E$14+1,1))</f>
        <v>402.15128814037058</v>
      </c>
      <c r="DU32" s="62">
        <f t="shared" si="44"/>
        <v>232.85411068442738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>
        <f>EXP(-LN(2)/35)*EA31+(1-EXP(-LN(2)/35))/(LN(2)/35)*DW32*DX32*VLOOKUP('Données projet'!$B$14,Paramètres!$A$1:$I$89,3,0)*0.475*44/12</f>
        <v>0</v>
      </c>
      <c r="EB32" s="23">
        <f>EXP(-LN(2)/25)*EB31+(1-EXP(-LN(2)/25))/(LN(2)/25)*Calculateur!DW32*Calculateur!DY32*VLOOKUP('Données projet'!$B$14,Paramètres!$A$1:$I$89,3,0)*0.475*44/12</f>
        <v>0</v>
      </c>
      <c r="EC32" s="23">
        <f>EXP(-LN(2)/2)*EC31+(1-EXP(-LN(2)/2))/(LN(2)/2)*DW32*DZ32*VLOOKUP('Données projet'!$B$14,Paramètres!$A$1:$I$89,3,0)*0.475*44/12</f>
        <v>0</v>
      </c>
      <c r="ED32" s="24">
        <f t="shared" si="18"/>
        <v>0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8.3333333333333339</v>
      </c>
      <c r="EJ32" s="13">
        <f>IF('Données projet'!$A$192&gt;35,EJ31+EI32-ER31,IF(A32&lt;'Données projet'!$A$192,$EG$205^A32,IF(A32='Données projet'!$A$192,'Données projet'!$B$192,EJ31+EI32-ER31)))</f>
        <v>141.02564102564102</v>
      </c>
      <c r="EK32" s="18">
        <f>EJ32*VLOOKUP('Données projet'!$B$15,Paramètres!$A$1:$I$89,3,0)*VLOOKUP('Données projet'!$B$15,Paramètres!$A$1:$I$89,5,0)</f>
        <v>147.4</v>
      </c>
      <c r="EL32" s="14">
        <f t="shared" si="45"/>
        <v>37.987126351804257</v>
      </c>
      <c r="EM32" s="22">
        <f t="shared" si="19"/>
        <v>322.88257839605905</v>
      </c>
      <c r="EN32" s="62">
        <f t="shared" si="20"/>
        <v>614.99368950717019</v>
      </c>
      <c r="EO32" s="62">
        <f ca="1">AVERAGE(OFFSET($EN$3,0,0,'Données projet'!$E$15+1,1))-AVERAGE(OFFSET($H$3,0,0,'Données projet'!$E$15+1,1))</f>
        <v>595.89992279024398</v>
      </c>
      <c r="EP32" s="62">
        <f t="shared" si="46"/>
        <v>378.16197659288338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>
        <f>EXP(-LN(2)/35)*EV31+(1-EXP(-LN(2)/35))/(LN(2)/35)*ER32*ES32*VLOOKUP('Données projet'!$B$15,Paramètres!$A$1:$I$89,3,0)*0.475*44/12</f>
        <v>0</v>
      </c>
      <c r="EW32" s="23">
        <f>EXP(-LN(2)/25)*EW31+(1-EXP(-LN(2)/25))/(LN(2)/25)*Calculateur!ER32*Calculateur!ET32*VLOOKUP('Données projet'!$B$15,Paramètres!$A$1:$I$89,3,0)*0.475*44/12</f>
        <v>0</v>
      </c>
      <c r="EX32" s="23">
        <f>EXP(-LN(2)/2)*EX31+(1-EXP(-LN(2)/2))/(LN(2)/2)*ER32*EU32*VLOOKUP('Données projet'!$B$15,Paramètres!$A$1:$I$89,3,0)*0.475*44/12</f>
        <v>0</v>
      </c>
      <c r="EY32" s="24">
        <f t="shared" si="21"/>
        <v>0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3">
        <f>VLOOKUP(A32,'Données projet'!$A$217:$I$237,2,0)</f>
        <v>210.14615384615385</v>
      </c>
      <c r="FC32" s="13">
        <f>VLOOKUP(A32,'Données projet'!$A$217:$I$237,9,0)</f>
        <v>28.603846153846156</v>
      </c>
      <c r="FD32" s="13">
        <f t="array" ref="FD32">INDEX(FC:FC,MIN(IF(ISNUMBER(FC32:FC228),ROW(FC32:FC228),"")))</f>
        <v>28.603846153846156</v>
      </c>
      <c r="FE32" s="13">
        <f>IF('Données projet'!$A$218&gt;35,FE31+FD32-FM31,IF(A32&lt;'Données projet'!$A$218,$FB$205^A32,IF(A32='Données projet'!$A$218,'Données projet'!$B$218,FE31+FD32-FM31)))</f>
        <v>210.14615384615379</v>
      </c>
      <c r="FF32" s="18">
        <f>FE32*VLOOKUP('Données projet'!$B$16,Paramètres!$A$1:$I$89,3,0)*VLOOKUP('Données projet'!$B$16,Paramètres!$A$1:$I$89,5,0)</f>
        <v>125.66739999999999</v>
      </c>
      <c r="FG32" s="14">
        <f t="shared" si="47"/>
        <v>32.993256286656127</v>
      </c>
      <c r="FH32" s="22">
        <f t="shared" si="22"/>
        <v>276.33397636592605</v>
      </c>
      <c r="FI32" s="62">
        <f t="shared" si="23"/>
        <v>568.44508747703719</v>
      </c>
      <c r="FJ32" s="62">
        <f ca="1">AVERAGE(OFFSET($FI$3,0,0,'Données projet'!$E$16+1,1))-AVERAGE(OFFSET($H$3,0,0,'Données projet'!$E$16+1,1))</f>
        <v>257.56116197646924</v>
      </c>
      <c r="FK32" s="62">
        <f t="shared" si="48"/>
        <v>269.95556918835888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>
        <f>EXP(-LN(2)/35)*FQ31+(1-EXP(-LN(2)/35))/(LN(2)/35)*FM32*FN32*VLOOKUP('Données projet'!$B$16,Paramètres!$A$1:$I$89,3,0)*0.475*44/12</f>
        <v>4.4604214936509496</v>
      </c>
      <c r="FR32" s="23">
        <f>EXP(-LN(2)/25)*FR31+(1-EXP(-LN(2)/25))/(LN(2)/25)*Calculateur!FM32*Calculateur!FO32*VLOOKUP('Données projet'!$B$16,Paramètres!$A$1:$I$89,3,0)*0.475*44/12</f>
        <v>13.112196118452029</v>
      </c>
      <c r="FS32" s="23">
        <f>EXP(-LN(2)/2)*FS31+(1-EXP(-LN(2)/2))/(LN(2)/2)*FM32*FP32*VLOOKUP('Données projet'!$B$16,Paramètres!$A$1:$I$89,3,0)*0.475*44/12</f>
        <v>2.9698442549441419</v>
      </c>
      <c r="FT32" s="24">
        <f t="shared" si="24"/>
        <v>20.542461867047123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12.971794871794875</v>
      </c>
      <c r="FZ32" s="13">
        <f>IF('Données projet'!$A$244&gt;35,FZ31+FY32-GH31,IF(A32&lt;'Données projet'!$A$244,$FW$205^A32,IF(A32='Données projet'!$A$244,'Données projet'!$B$244,FZ31+FY32-GH31)))</f>
        <v>132.01282051282053</v>
      </c>
      <c r="GA32" s="18">
        <f>FZ32*VLOOKUP('Données projet'!$B$17,Paramètres!$A$1:$I$89,3,0)*VLOOKUP('Données projet'!$B$17,Paramètres!$A$1:$I$89,5,0)</f>
        <v>78.943666666666687</v>
      </c>
      <c r="GB32" s="14">
        <f t="shared" si="49"/>
        <v>21.878705672057283</v>
      </c>
      <c r="GC32" s="22">
        <f t="shared" si="25"/>
        <v>175.59896515661092</v>
      </c>
      <c r="GD32" s="62">
        <f t="shared" si="26"/>
        <v>467.71007626772206</v>
      </c>
      <c r="GE32" s="62">
        <f ca="1">AVERAGE(OFFSET($GD$3,0,0,'Données projet'!$E$17+1,1))-AVERAGE(OFFSET($H$3,0,0,'Données projet'!$E$17+1,1))</f>
        <v>289.12367833861299</v>
      </c>
      <c r="GF32" s="62">
        <f t="shared" si="50"/>
        <v>229.06617320689003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>
        <f>EXP(-LN(2)/35)*GL31+(1-EXP(-LN(2)/35))/(LN(2)/35)*GH32*GI32*VLOOKUP('Données projet'!$B$17,Paramètres!$A$1:$I$89,3,0)*0.475*44/12</f>
        <v>0</v>
      </c>
      <c r="GM32" s="23">
        <f>EXP(-LN(2)/25)*GM31+(1-EXP(-LN(2)/25))/(LN(2)/25)*Calculateur!GH32*Calculateur!GJ32*VLOOKUP('Données projet'!$B$17,Paramètres!$A$1:$I$89,3,0)*0.475*44/12</f>
        <v>0</v>
      </c>
      <c r="GN32" s="23">
        <f>EXP(-LN(2)/2)*GN31+(1-EXP(-LN(2)/2))/(LN(2)/2)*GH32*GK32*VLOOKUP('Données projet'!$B$17,Paramètres!$A$1:$I$89,3,0)*0.475*44/12</f>
        <v>5.8645104082680826</v>
      </c>
      <c r="GO32" s="23">
        <f t="shared" si="27"/>
        <v>5.8645104082680826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4.9084615384615384</v>
      </c>
      <c r="GU32" s="13">
        <f>IF('Données projet'!$A$270&gt;35,GU31+GT32-HC31,IF(A32&lt;'Données projet'!$A$270,$GR$205^A32,IF(A32='Données projet'!$A$270,'Données projet'!$B$270,GU31+GT32-HC31)))</f>
        <v>124.68027709483918</v>
      </c>
      <c r="GV32" s="18">
        <f>GU32*VLOOKUP('Données projet'!$B$18,Paramètres!$A$1:$I$89,3,0)*VLOOKUP('Données projet'!$B$18,Paramètres!$A$1:$I$89,5,0)</f>
        <v>58.350369680384738</v>
      </c>
      <c r="GW32" s="14">
        <f t="shared" si="51"/>
        <v>16.750516396977062</v>
      </c>
      <c r="GX32" s="22">
        <f t="shared" si="28"/>
        <v>130.80070991807179</v>
      </c>
      <c r="GY32" s="62">
        <f t="shared" si="29"/>
        <v>422.91182102918293</v>
      </c>
      <c r="GZ32" s="62">
        <f ca="1">AVERAGE(OFFSET($GY$3,0,0,'Données projet'!$E$18+1,1))-AVERAGE(OFFSET($H$3,0,0,'Données projet'!$E$18+1,1))</f>
        <v>284.88646502866419</v>
      </c>
      <c r="HA32" s="62">
        <f t="shared" si="52"/>
        <v>190.4880882944471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>
        <f>EXP(-LN(2)/35)*HG31+(1-EXP(-LN(2)/35))/(LN(2)/35)*HC32*HD32*VLOOKUP('Données projet'!$B$18,Paramètres!$A$1:$I$89,3,0)*0.475*44/12</f>
        <v>0</v>
      </c>
      <c r="HH32" s="23">
        <f>EXP(-LN(2)/25)*HH31+(1-EXP(-LN(2)/25))/(LN(2)/25)*Calculateur!HC32*Calculateur!HE32*VLOOKUP('Données projet'!$B$18,Paramètres!$A$1:$I$89,3,0)*0.475*44/12</f>
        <v>0</v>
      </c>
      <c r="HI32" s="23">
        <f>EXP(-LN(2)/2)*HI31+(1-EXP(-LN(2)/2))/(LN(2)/2)*HC32*HF32*VLOOKUP('Données projet'!$B$18,Paramètres!$A$1:$I$89,3,0)*0.475*44/12</f>
        <v>0</v>
      </c>
      <c r="HJ32" s="24">
        <f t="shared" si="30"/>
        <v>0</v>
      </c>
    </row>
    <row r="33" spans="1:218" s="5" customFormat="1" x14ac:dyDescent="0.25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2">
        <f t="shared" si="32"/>
        <v>0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0</v>
      </c>
      <c r="H33" s="70">
        <f t="shared" si="1"/>
        <v>256.66666666666669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116.66666666666666</v>
      </c>
      <c r="L33" s="13">
        <f>VLOOKUP(A33,'Données projet'!$A$35:$I$55,9,0)</f>
        <v>6.5384615384615357</v>
      </c>
      <c r="M33" s="13">
        <f t="array" ref="M33">INDEX(L:L,MIN(IF(ISNUMBER(L33:L229),ROW(L33:L229),"")))</f>
        <v>6.5384615384615357</v>
      </c>
      <c r="N33" s="14">
        <f>IF('Données projet'!$A$36&gt;35,N32+M33-V32,IF(A33&lt;'Données projet'!$A$36,$K$205^A33,IF(A33='Données projet'!$A$36,'Données projet'!$B$36,N32+M33-V32)))</f>
        <v>116.66666666666666</v>
      </c>
      <c r="O33" s="14">
        <f>N33*VLOOKUP('Données projet'!$B$9,Paramètres!$A$1:$I$89,3,0)*VLOOKUP('Données projet'!$B$9,Paramètres!$A$1:$I$89,5,0)</f>
        <v>111.02</v>
      </c>
      <c r="P33" s="14">
        <f t="shared" si="33"/>
        <v>29.571175279490561</v>
      </c>
      <c r="Q33" s="22">
        <f t="shared" si="2"/>
        <v>244.86296361177938</v>
      </c>
      <c r="R33" s="62">
        <f t="shared" si="0"/>
        <v>538.19629694511264</v>
      </c>
      <c r="S33" s="62">
        <f ca="1">AVERAGE(OFFSET($R$3,0,0,'Données projet'!$E$9+1,1))-AVERAGE(OFFSET($H$3,0,0,'Données projet'!$E$9+1,1))</f>
        <v>367.11183928586667</v>
      </c>
      <c r="T33" s="62">
        <f t="shared" si="34"/>
        <v>281.52963027844595</v>
      </c>
      <c r="U33" s="16">
        <f>IF(ISNA(VLOOKUP(A33,'Données projet'!$A$35:$I$55,3,0)),0,VLOOKUP(A33,'Données projet'!$A$35:$I$55,3,0))</f>
        <v>2</v>
      </c>
      <c r="V33" s="16">
        <f>IF(ISNA(VLOOKUP(A33,'Données projet'!$A$35:$I$55,4,0)),0,VLOOKUP(A33,'Données projet'!$A$35:$I$55,4,0))</f>
        <v>25.641025641025639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projet'!$B$9,Paramètres!$A$1:$I$89,3,0)*0.475*44/12</f>
        <v>0</v>
      </c>
      <c r="AA33" s="23">
        <f>EXP(-LN(2)/25)*AA32+(1-EXP(-LN(2)/25))/(LN(2)/25)*Calculateur!V33*Calculateur!X33*VLOOKUP('Données projet'!$B$9,Paramètres!$A$1:$I$89,3,0)*0.475*44/12</f>
        <v>0</v>
      </c>
      <c r="AB33" s="23">
        <f>EXP(-LN(2)/2)*AB32+(1-EXP(-LN(2)/2))/(LN(2)/2)*V33*Y33*VLOOKUP('Données projet'!$B$9,Paramètres!$A$1:$I$89,3,0)*0.475*44/12</f>
        <v>0</v>
      </c>
      <c r="AC33" s="24">
        <f t="shared" si="3"/>
        <v>0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>
        <f>VLOOKUP(A33,'Données projet'!$A$61:$I$81,2,0)</f>
        <v>105</v>
      </c>
      <c r="AG33" s="13">
        <f>VLOOKUP(A33,'Données projet'!$A$61:$I$81,9,0)</f>
        <v>7</v>
      </c>
      <c r="AH33" s="13">
        <f t="array" ref="AH33">INDEX(AG:AG,MIN(IF(ISNUMBER(AG33:AG229),ROW(AG33:AG229),"")))</f>
        <v>7</v>
      </c>
      <c r="AI33" s="14">
        <f>IF('Données projet'!$A$62&gt;35,AI32+AH33-AQ32,IF(A33&lt;'Données projet'!$A$62,$AF$205^A33,IF(A33='Données projet'!$A$62,'Données projet'!$B$62,AI32+AH33-AQ32)))</f>
        <v>105</v>
      </c>
      <c r="AJ33" s="14">
        <f>AI33*VLOOKUP('Données projet'!$B$10,Paramètres!$A$1:$I$89,3,0)*VLOOKUP('Données projet'!$B$10,Paramètres!$A$1:$I$89,5,0)</f>
        <v>95.004000000000005</v>
      </c>
      <c r="AK33" s="14">
        <f t="shared" si="35"/>
        <v>25.768242550600785</v>
      </c>
      <c r="AL33" s="22">
        <f t="shared" si="4"/>
        <v>210.34498910896306</v>
      </c>
      <c r="AM33" s="62">
        <f t="shared" si="5"/>
        <v>503.67832244229635</v>
      </c>
      <c r="AN33" s="62">
        <f ca="1">AVERAGE(OFFSET($AM$3,0,0,'Données projet'!$E$10+1,1))-AVERAGE(OFFSET($H$3,0,0,'Données projet'!$E$10+1,1))</f>
        <v>428.8489304403459</v>
      </c>
      <c r="AO33" s="62">
        <f t="shared" si="36"/>
        <v>247.01165577562966</v>
      </c>
      <c r="AP33" s="16">
        <f>IF(ISNA(VLOOKUP(A33,'Données projet'!$A$61:$I$81,3,0)),0,VLOOKUP(A33,'Données projet'!$A$61:$I$81,3,0))</f>
        <v>1</v>
      </c>
      <c r="AQ33" s="16">
        <f>IF(ISNA(VLOOKUP(A33,'Données projet'!$A$61:$I$81,4,0)),0,VLOOKUP(A33,'Données projet'!$A$61:$I$81,4,0))</f>
        <v>29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>
        <f>EXP(-LN(2)/35)*AU32+(1-EXP(-LN(2)/35))/(LN(2)/35)*AQ33*AR33*VLOOKUP('Données projet'!$B$10,Paramètres!$A$1:$I$89,3,0)*0.475*44/12</f>
        <v>0</v>
      </c>
      <c r="AV33" s="23">
        <f>EXP(-LN(2)/25)*AV32+(1-EXP(-LN(2)/25))/(LN(2)/25)*Calculateur!AQ33*Calculateur!AS33*VLOOKUP('Données projet'!$B$10,Paramètres!$A$1:$I$89,3,0)*0.475*44/12</f>
        <v>0</v>
      </c>
      <c r="AW33" s="23">
        <f>EXP(-LN(2)/2)*AW32+(1-EXP(-LN(2)/2))/(LN(2)/2)*AQ33*AT33*VLOOKUP('Données projet'!$B$10,Paramètres!$A$1:$I$89,3,0)*0.475*44/12</f>
        <v>0</v>
      </c>
      <c r="AX33" s="23">
        <f t="shared" si="6"/>
        <v>0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>
        <f>VLOOKUP(A33,'Données projet'!$A$87:$I$107,2,0)</f>
        <v>105</v>
      </c>
      <c r="BB33" s="13">
        <f>VLOOKUP(A33,'Données projet'!$A$87:$I$107,9,0)</f>
        <v>7</v>
      </c>
      <c r="BC33" s="13">
        <f t="array" ref="BC33">INDEX(BB:BB,MIN(IF(ISNUMBER(BB33:BB229),ROW(BB33:BB229),"")))</f>
        <v>7</v>
      </c>
      <c r="BD33" s="13">
        <f>IF('Données projet'!$A$88&gt;35,BD32+BC33-BL32,IF(A33&lt;'Données projet'!$A$88,$BA$205^A33,IF(A33='Données projet'!$A$88,'Données projet'!$B$88,BD32+BC33-BL32)))</f>
        <v>105</v>
      </c>
      <c r="BE33" s="14">
        <f>BD33*VLOOKUP('Données projet'!$B$11,Paramètres!$A$1:$I$89,3,0)*VLOOKUP('Données projet'!$B$11,Paramètres!$A$1:$I$89,5,0)</f>
        <v>106.47</v>
      </c>
      <c r="BF33" s="14">
        <f t="shared" si="37"/>
        <v>28.49771681771891</v>
      </c>
      <c r="BG33" s="22">
        <f t="shared" si="7"/>
        <v>235.06877345752704</v>
      </c>
      <c r="BH33" s="62">
        <f t="shared" si="8"/>
        <v>528.40210679086033</v>
      </c>
      <c r="BI33" s="62">
        <f ca="1">AVERAGE(OFFSET($BH$3,0,0,'Données projet'!$E$11+1,1))-AVERAGE(OFFSET($H$3,0,0,'Données projet'!$E$11+1,1))</f>
        <v>475.47920969424894</v>
      </c>
      <c r="BJ33" s="62">
        <f t="shared" si="38"/>
        <v>271.73544012419364</v>
      </c>
      <c r="BK33" s="16">
        <f>IF(ISNA(VLOOKUP(A33,'Données projet'!$A$87:$I$107,3,0)),0,VLOOKUP(A33,'Données projet'!$A$87:$I$107,3,0))</f>
        <v>1</v>
      </c>
      <c r="BL33" s="16">
        <f>IF(ISNA(VLOOKUP(A33,'Données projet'!$A$87:$I$107,4,0)),0,VLOOKUP(A33,'Données projet'!$A$87:$I$107,4,0))</f>
        <v>29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>
        <f>EXP(-LN(2)/35)*BP32+(1-EXP(-LN(2)/35))/(LN(2)/35)*BL33*BM33*VLOOKUP('Données projet'!$B$11,Paramètres!$A$1:$I$89,3,0)*0.475*44/12</f>
        <v>0</v>
      </c>
      <c r="BQ33" s="23">
        <f>EXP(-LN(2)/25)*BQ32+(1-EXP(-LN(2)/25))/(LN(2)/25)*Calculateur!BL33*Calculateur!BN33*VLOOKUP('Données projet'!$B$11,Paramètres!$A$1:$I$89,3,0)*0.475*44/12</f>
        <v>0</v>
      </c>
      <c r="BR33" s="23">
        <f>EXP(-LN(2)/2)*BR32+(1-EXP(-LN(2)/2))/(LN(2)/2)*BL33*BO33*VLOOKUP('Données projet'!$B$11,Paramètres!$A$1:$I$89,3,0)*0.475*44/12</f>
        <v>0</v>
      </c>
      <c r="BS33" s="24">
        <f t="shared" si="9"/>
        <v>0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>
        <f>VLOOKUP(A33,'Données projet'!$A$113:$I$133,2,0)</f>
        <v>214.99230769230769</v>
      </c>
      <c r="BW33" s="13">
        <f>VLOOKUP(A33,'Données projet'!$A$113:$I$133,9,0)</f>
        <v>18.099999999999994</v>
      </c>
      <c r="BX33" s="13">
        <f t="array" ref="BX33">INDEX(BW:BW,MIN(IF(ISNUMBER(BW33:BW229),ROW(BW33:BW229),"")))</f>
        <v>18.099999999999994</v>
      </c>
      <c r="BY33" s="13">
        <f>IF('Données projet'!$A$114&gt;35,BY32+BX33-CG32,IF(A33&lt;'Données projet'!$A$114,$BV$205^A33,IF(A33='Données projet'!$A$114,'Données projet'!$B$114,BY32+BX33-CG32)))</f>
        <v>214.99230769230766</v>
      </c>
      <c r="BZ33" s="14">
        <f>BY33*VLOOKUP('Données projet'!$B$12,Paramètres!$A$1:$I$89,3,0)*VLOOKUP('Données projet'!$B$12,Paramètres!$A$1:$I$89,5,0)</f>
        <v>120.18069999999997</v>
      </c>
      <c r="CA33" s="14">
        <f t="shared" si="39"/>
        <v>31.717140910166616</v>
      </c>
      <c r="CB33" s="22">
        <f t="shared" si="10"/>
        <v>264.55540625187342</v>
      </c>
      <c r="CC33" s="62">
        <f t="shared" si="11"/>
        <v>557.88873958520674</v>
      </c>
      <c r="CD33" s="62">
        <f ca="1">AVERAGE(OFFSET($CC$3,0,0,'Données projet'!$E$12+1,1))-AVERAGE(OFFSET($H$3,0,0,'Données projet'!$E$12+1,1))</f>
        <v>323.98185264074681</v>
      </c>
      <c r="CE33" s="62">
        <f t="shared" si="40"/>
        <v>301.22207291854005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>
        <f>EXP(-LN(2)/35)*CK32+(1-EXP(-LN(2)/35))/(LN(2)/35)*CG33*CH33*VLOOKUP('Données projet'!$B$12,Paramètres!$A$1:$I$89,3,0)*0.475*44/12</f>
        <v>4.4623210218687381</v>
      </c>
      <c r="CL33" s="23">
        <f>EXP(-LN(2)/25)*CL32+(1-EXP(-LN(2)/25))/(LN(2)/25)*Calculateur!CG33*Calculateur!CI33*VLOOKUP('Données projet'!$B$12,Paramètres!$A$1:$I$89,3,0)*0.475*44/12</f>
        <v>8.2472996410817405</v>
      </c>
      <c r="CM33" s="23">
        <f>EXP(-LN(2)/2)*CM32+(1-EXP(-LN(2)/2))/(LN(2)/2)*CG33*CJ33*VLOOKUP('Données projet'!$B$12,Paramètres!$A$1:$I$89,3,0)*0.475*44/12</f>
        <v>6.0878071796180198</v>
      </c>
      <c r="CN33" s="24">
        <f t="shared" si="12"/>
        <v>18.797427842568496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>
        <f>VLOOKUP(A33,'Données projet'!$A$139:$I$159,2,0)</f>
        <v>54</v>
      </c>
      <c r="CR33" s="13">
        <f>VLOOKUP(A33,'Données projet'!$A$139:$I$159,9,0)</f>
        <v>4.8</v>
      </c>
      <c r="CS33" s="13">
        <f t="array" ref="CS33">INDEX(CR:CR,MIN(IF(ISNUMBER(CR33:CR229),ROW(CR33:CR229),"")))</f>
        <v>4.8</v>
      </c>
      <c r="CT33" s="13">
        <f>IF('Données projet'!$A$140&gt;35,CT32+CS33-DB32,IF(A33&lt;'Données projet'!$A$140,$CQ$205^A33,IF(A33='Données projet'!$A$140,'Données projet'!$B$140,CT32+CS33-DB32)))</f>
        <v>53.999999999999986</v>
      </c>
      <c r="CU33" s="18">
        <f>CT33*VLOOKUP('Données projet'!$B$13,Paramètres!$A$1:$I$89,3,0)*VLOOKUP('Données projet'!$B$13,Paramètres!$A$1:$I$89,5,0)</f>
        <v>61.495199999999983</v>
      </c>
      <c r="CV33" s="14">
        <f t="shared" si="41"/>
        <v>17.545759224285259</v>
      </c>
      <c r="CW33" s="22">
        <f t="shared" si="13"/>
        <v>137.6630039822968</v>
      </c>
      <c r="CX33" s="62">
        <f t="shared" si="14"/>
        <v>430.99633731563011</v>
      </c>
      <c r="CY33" s="62">
        <f ca="1">AVERAGE(OFFSET($CX$3,0,0,'Données projet'!$E$13+1,1))-AVERAGE(OFFSET($H$3,0,0,'Données projet'!$E$13+1,1))</f>
        <v>399.78832690250164</v>
      </c>
      <c r="CZ33" s="62">
        <f t="shared" si="42"/>
        <v>174.32967064896343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>
        <f>EXP(-LN(2)/35)*DF32+(1-EXP(-LN(2)/35))/(LN(2)/35)*DB33*DC33*VLOOKUP('Données projet'!$B$13,Paramètres!$A$1:$I$89,3,0)*0.475*44/12</f>
        <v>0</v>
      </c>
      <c r="DG33" s="23">
        <f>EXP(-LN(2)/25)*DG32+(1-EXP(-LN(2)/25))/(LN(2)/25)*Calculateur!DB33*Calculateur!DD33*VLOOKUP('Données projet'!$B$13,Paramètres!$A$1:$I$89,3,0)*0.475*44/12</f>
        <v>0</v>
      </c>
      <c r="DH33" s="23">
        <f>EXP(-LN(2)/2)*DH32+(1-EXP(-LN(2)/2))/(LN(2)/2)*DB33*DE33*VLOOKUP('Données projet'!$B$13,Paramètres!$A$1:$I$89,3,0)*0.475*44/12</f>
        <v>0</v>
      </c>
      <c r="DI33" s="24">
        <f t="shared" si="15"/>
        <v>0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>
        <f>VLOOKUP(A33,'Données projet'!$A$165:$I$185,2,0)</f>
        <v>105</v>
      </c>
      <c r="DM33" s="13">
        <f>VLOOKUP(A33,'Données projet'!$A$165:$I$185,9,0)</f>
        <v>7</v>
      </c>
      <c r="DN33" s="13">
        <f t="array" ref="DN33">INDEX(DM:DM,MIN(IF(ISNUMBER(DM33:DM229),ROW(DM33:DM229),"")))</f>
        <v>7</v>
      </c>
      <c r="DO33" s="13">
        <f>IF('Données projet'!$A$166&gt;35,DO32+DN33-DW32,IF(A33&lt;'Données projet'!$A$166,$DL$205^A33,IF(A33='Données projet'!$A$166,'Données projet'!$B$166,DO32+DN33-DW32)))</f>
        <v>105</v>
      </c>
      <c r="DP33" s="18">
        <f>DO33*VLOOKUP('Données projet'!$B$14,Paramètres!$A$1:$I$89,3,0)*VLOOKUP('Données projet'!$B$14,Paramètres!$A$1:$I$89,5,0)</f>
        <v>88.452000000000012</v>
      </c>
      <c r="DQ33" s="14">
        <f t="shared" si="43"/>
        <v>24.191508526943956</v>
      </c>
      <c r="DR33" s="22">
        <f t="shared" si="16"/>
        <v>196.18744401776075</v>
      </c>
      <c r="DS33" s="62">
        <f t="shared" si="17"/>
        <v>489.52077735109407</v>
      </c>
      <c r="DT33" s="62">
        <f ca="1">AVERAGE(OFFSET($DS$3,0,0,'Données projet'!$E$14+1,1))-AVERAGE(OFFSET($H$3,0,0,'Données projet'!$E$14+1,1))</f>
        <v>402.15128814037058</v>
      </c>
      <c r="DU33" s="62">
        <f t="shared" si="44"/>
        <v>232.85411068442738</v>
      </c>
      <c r="DV33" s="16">
        <f>IF(ISNA(VLOOKUP(A33,'Données projet'!$A$165:$I$185,3,0)),0,VLOOKUP(A33,'Données projet'!$A$165:$I$185,3,0))</f>
        <v>1</v>
      </c>
      <c r="DW33" s="16">
        <f>IF(ISNA(VLOOKUP(A33,'Données projet'!$A$165:$I$185,4,0)),0,VLOOKUP(A33,'Données projet'!$A$165:$I$185,4,0))</f>
        <v>29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>
        <f>EXP(-LN(2)/35)*EA32+(1-EXP(-LN(2)/35))/(LN(2)/35)*DW33*DX33*VLOOKUP('Données projet'!$B$14,Paramètres!$A$1:$I$89,3,0)*0.475*44/12</f>
        <v>0</v>
      </c>
      <c r="EB33" s="23">
        <f>EXP(-LN(2)/25)*EB32+(1-EXP(-LN(2)/25))/(LN(2)/25)*Calculateur!DW33*Calculateur!DY33*VLOOKUP('Données projet'!$B$14,Paramètres!$A$1:$I$89,3,0)*0.475*44/12</f>
        <v>0</v>
      </c>
      <c r="EC33" s="23">
        <f>EXP(-LN(2)/2)*EC32+(1-EXP(-LN(2)/2))/(LN(2)/2)*DW33*DZ33*VLOOKUP('Données projet'!$B$14,Paramètres!$A$1:$I$89,3,0)*0.475*44/12</f>
        <v>0</v>
      </c>
      <c r="ED33" s="24">
        <f t="shared" si="18"/>
        <v>0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>
        <f>VLOOKUP(A33,'Données projet'!$A$191:$I$211,2,0)</f>
        <v>149.35897435897436</v>
      </c>
      <c r="EH33" s="13">
        <f>VLOOKUP(A33,'Données projet'!$A$191:$I$211,9,0)</f>
        <v>8.3333333333333339</v>
      </c>
      <c r="EI33" s="13">
        <f t="array" ref="EI33">INDEX(EH:EH,MIN(IF(ISNUMBER(EH33:EH229),ROW(EH33:EH229),"")))</f>
        <v>8.3333333333333339</v>
      </c>
      <c r="EJ33" s="13">
        <f>IF('Données projet'!$A$192&gt;35,EJ32+EI33-ER32,IF(A33&lt;'Données projet'!$A$192,$EG$205^A33,IF(A33='Données projet'!$A$192,'Données projet'!$B$192,EJ32+EI33-ER32)))</f>
        <v>149.35897435897436</v>
      </c>
      <c r="EK33" s="18">
        <f>EJ33*VLOOKUP('Données projet'!$B$15,Paramètres!$A$1:$I$89,3,0)*VLOOKUP('Données projet'!$B$15,Paramètres!$A$1:$I$89,5,0)</f>
        <v>156.11000000000001</v>
      </c>
      <c r="EL33" s="14">
        <f t="shared" si="45"/>
        <v>39.963862158593372</v>
      </c>
      <c r="EM33" s="22">
        <f t="shared" si="19"/>
        <v>341.49530992621681</v>
      </c>
      <c r="EN33" s="62">
        <f t="shared" si="20"/>
        <v>634.82864325955006</v>
      </c>
      <c r="EO33" s="62">
        <f ca="1">AVERAGE(OFFSET($EN$3,0,0,'Données projet'!$E$15+1,1))-AVERAGE(OFFSET($H$3,0,0,'Données projet'!$E$15+1,1))</f>
        <v>595.89992279024398</v>
      </c>
      <c r="EP33" s="62">
        <f t="shared" si="46"/>
        <v>378.16197659288338</v>
      </c>
      <c r="EQ33" s="16">
        <f>IF(ISNA(VLOOKUP(A33,'Données projet'!$A$191:$I$211,3,0)),0,VLOOKUP(A33,'Données projet'!$A$191:$I$211,3,0))</f>
        <v>2</v>
      </c>
      <c r="ER33" s="16">
        <f>IF(ISNA(VLOOKUP(A33,'Données projet'!$A$191:$I$211,4,0)),0,VLOOKUP(A33,'Données projet'!$A$191:$I$211,4,0))</f>
        <v>22.435897435897434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>
        <f>EXP(-LN(2)/35)*EV32+(1-EXP(-LN(2)/35))/(LN(2)/35)*ER33*ES33*VLOOKUP('Données projet'!$B$15,Paramètres!$A$1:$I$89,3,0)*0.475*44/12</f>
        <v>0</v>
      </c>
      <c r="EW33" s="23">
        <f>EXP(-LN(2)/25)*EW32+(1-EXP(-LN(2)/25))/(LN(2)/25)*Calculateur!ER33*Calculateur!ET33*VLOOKUP('Données projet'!$B$15,Paramètres!$A$1:$I$89,3,0)*0.475*44/12</f>
        <v>0</v>
      </c>
      <c r="EX33" s="23">
        <f>EXP(-LN(2)/2)*EX32+(1-EXP(-LN(2)/2))/(LN(2)/2)*ER33*EU33*VLOOKUP('Données projet'!$B$15,Paramètres!$A$1:$I$89,3,0)*0.475*44/12</f>
        <v>0</v>
      </c>
      <c r="EY33" s="24">
        <f t="shared" si="21"/>
        <v>0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>
        <f>VLOOKUP(A33,'Données projet'!$A$217:$I$237,2,0)</f>
        <v>176.66153846153844</v>
      </c>
      <c r="FC33" s="13">
        <f>VLOOKUP(A33,'Données projet'!$A$217:$I$237,9,0)</f>
        <v>-33.48461538461541</v>
      </c>
      <c r="FD33" s="13">
        <f t="array" ref="FD33">INDEX(FC:FC,MIN(IF(ISNUMBER(FC33:FC229),ROW(FC33:FC229),"")))</f>
        <v>-33.48461538461541</v>
      </c>
      <c r="FE33" s="13">
        <f>IF('Données projet'!$A$218&gt;35,FE32+FD33-FM32,IF(A33&lt;'Données projet'!$A$218,$FB$205^A33,IF(A33='Données projet'!$A$218,'Données projet'!$B$218,FE32+FD33-FM32)))</f>
        <v>176.66153846153838</v>
      </c>
      <c r="FF33" s="18">
        <f>FE33*VLOOKUP('Données projet'!$B$16,Paramètres!$A$1:$I$89,3,0)*VLOOKUP('Données projet'!$B$16,Paramètres!$A$1:$I$89,5,0)</f>
        <v>105.64359999999995</v>
      </c>
      <c r="FG33" s="14">
        <f t="shared" si="47"/>
        <v>28.302181352167882</v>
      </c>
      <c r="FH33" s="22">
        <f t="shared" si="22"/>
        <v>233.28890252169231</v>
      </c>
      <c r="FI33" s="62">
        <f t="shared" si="23"/>
        <v>526.62223585502556</v>
      </c>
      <c r="FJ33" s="62">
        <f ca="1">AVERAGE(OFFSET($FI$3,0,0,'Données projet'!$E$16+1,1))-AVERAGE(OFFSET($H$3,0,0,'Données projet'!$E$16+1,1))</f>
        <v>257.56116197646924</v>
      </c>
      <c r="FK33" s="62">
        <f t="shared" si="48"/>
        <v>269.95556918835888</v>
      </c>
      <c r="FL33" s="16">
        <f>IF(ISNA(VLOOKUP(A33,'Données projet'!$A$217:$I$237,3,0)),0,VLOOKUP(A33,'Données projet'!$A$217:$I$237,3,0))</f>
        <v>3</v>
      </c>
      <c r="FM33" s="16">
        <f>IF(ISNA(VLOOKUP(A33,'Données projet'!$A$217:$I$237,4,0)),0,VLOOKUP(A33,'Données projet'!$A$217:$I$237,4,0))</f>
        <v>47.661538461538463</v>
      </c>
      <c r="FN33" s="17">
        <f>IF(ISNA(VLOOKUP(A33,'Données projet'!$A$217:$I$237,5,0)),0%,VLOOKUP(A33,'Données projet'!$A$217:$I$237,5,0)*VLOOKUP('Données projet'!$B$16,Paramètres!$A$1:$I$89,7,0))</f>
        <v>0.27</v>
      </c>
      <c r="FO33" s="17">
        <f>IF(ISNA(VLOOKUP(A33,'Données projet'!$A$217:$I$237,6,0)),0%,VLOOKUP(A33,'Données projet'!$A$217:$I$237,6,0)*VLOOKUP('Données projet'!$B$16,Paramètres!$A$1:$I$89,7,0))</f>
        <v>9.0000000000000011E-2</v>
      </c>
      <c r="FP33" s="17">
        <f>IF(ISNA(VLOOKUP(A33,'Données projet'!$A$217:$I$237,7,0)),0%,VLOOKUP(A33,'Données projet'!$A$217:$I$237,7,0))</f>
        <v>0.2</v>
      </c>
      <c r="FQ33" s="23">
        <f>EXP(-LN(2)/35)*FQ32+(1-EXP(-LN(2)/35))/(LN(2)/35)*FM33*FN33*VLOOKUP('Données projet'!$B$16,Paramètres!$A$1:$I$89,3,0)*0.475*44/12</f>
        <v>14.58144190920094</v>
      </c>
      <c r="FR33" s="23">
        <f>EXP(-LN(2)/25)*FR32+(1-EXP(-LN(2)/25))/(LN(2)/25)*Calculateur!FM33*Calculateur!FO33*VLOOKUP('Données projet'!$B$16,Paramètres!$A$1:$I$89,3,0)*0.475*44/12</f>
        <v>16.143073045760929</v>
      </c>
      <c r="FS33" s="23">
        <f>EXP(-LN(2)/2)*FS32+(1-EXP(-LN(2)/2))/(LN(2)/2)*FM33*FP33*VLOOKUP('Données projet'!$B$16,Paramètres!$A$1:$I$89,3,0)*0.475*44/12</f>
        <v>8.554083421974978</v>
      </c>
      <c r="FT33" s="24">
        <f t="shared" si="24"/>
        <v>39.278598376936849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>
        <f>VLOOKUP(A33,'Données projet'!$A$243:$I$263,2,0)</f>
        <v>144.98461538461538</v>
      </c>
      <c r="FX33" s="13">
        <f>VLOOKUP(A33,'Données projet'!$A$243:$I$263,9,0)</f>
        <v>12.971794871794875</v>
      </c>
      <c r="FY33" s="13">
        <f t="array" ref="FY33">INDEX(FX:FX,MIN(IF(ISNUMBER(FX33:FX229),ROW(FX33:FX229),"")))</f>
        <v>12.971794871794875</v>
      </c>
      <c r="FZ33" s="13">
        <f>IF('Données projet'!$A$244&gt;35,FZ32+FY33-GH32,IF(A33&lt;'Données projet'!$A$244,$FW$205^A33,IF(A33='Données projet'!$A$244,'Données projet'!$B$244,FZ32+FY33-GH32)))</f>
        <v>144.98461538461541</v>
      </c>
      <c r="GA33" s="18">
        <f>FZ33*VLOOKUP('Données projet'!$B$17,Paramètres!$A$1:$I$89,3,0)*VLOOKUP('Données projet'!$B$17,Paramètres!$A$1:$I$89,5,0)</f>
        <v>86.700800000000029</v>
      </c>
      <c r="GB33" s="14">
        <f t="shared" si="49"/>
        <v>23.767816195343574</v>
      </c>
      <c r="GC33" s="22">
        <f t="shared" si="25"/>
        <v>192.39950654022343</v>
      </c>
      <c r="GD33" s="62">
        <f t="shared" si="26"/>
        <v>485.73283987355671</v>
      </c>
      <c r="GE33" s="62">
        <f ca="1">AVERAGE(OFFSET($GD$3,0,0,'Données projet'!$E$17+1,1))-AVERAGE(OFFSET($H$3,0,0,'Données projet'!$E$17+1,1))</f>
        <v>289.12367833861299</v>
      </c>
      <c r="GF33" s="62">
        <f t="shared" si="50"/>
        <v>229.06617320689003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>
        <f>EXP(-LN(2)/35)*GL32+(1-EXP(-LN(2)/35))/(LN(2)/35)*GH33*GI33*VLOOKUP('Données projet'!$B$17,Paramètres!$A$1:$I$89,3,0)*0.475*44/12</f>
        <v>0</v>
      </c>
      <c r="GM33" s="23">
        <f>EXP(-LN(2)/25)*GM32+(1-EXP(-LN(2)/25))/(LN(2)/25)*Calculateur!GH33*Calculateur!GJ33*VLOOKUP('Données projet'!$B$17,Paramètres!$A$1:$I$89,3,0)*0.475*44/12</f>
        <v>0</v>
      </c>
      <c r="GN33" s="23">
        <f>EXP(-LN(2)/2)*GN32+(1-EXP(-LN(2)/2))/(LN(2)/2)*GH33*GK33*VLOOKUP('Données projet'!$B$17,Paramètres!$A$1:$I$89,3,0)*0.475*44/12</f>
        <v>4.1468350780254495</v>
      </c>
      <c r="GO33" s="23">
        <f t="shared" si="27"/>
        <v>4.1468350780254495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>
        <f>VLOOKUP(A33,'Données projet'!$A$269:$I$289,2,0)</f>
        <v>147.25384615384615</v>
      </c>
      <c r="GS33" s="13">
        <f>VLOOKUP(A33,'Données projet'!$A$269:$I$289,9,0)</f>
        <v>4.9084615384615384</v>
      </c>
      <c r="GT33" s="13">
        <f t="array" ref="GT33">INDEX(GS:GS,MIN(IF(ISNUMBER(GS33:GS229),ROW(GS33:GS229),"")))</f>
        <v>4.9084615384615384</v>
      </c>
      <c r="GU33" s="13">
        <f>IF('Données projet'!$A$270&gt;35,GU32+GT33-HC32,IF(A33&lt;'Données projet'!$A$270,$GR$205^A33,IF(A33='Données projet'!$A$270,'Données projet'!$B$270,GU32+GT33-HC32)))</f>
        <v>147.25384615384615</v>
      </c>
      <c r="GV33" s="18">
        <f>GU33*VLOOKUP('Données projet'!$B$18,Paramètres!$A$1:$I$89,3,0)*VLOOKUP('Données projet'!$B$18,Paramètres!$A$1:$I$89,5,0)</f>
        <v>68.9148</v>
      </c>
      <c r="GW33" s="14">
        <f t="shared" si="51"/>
        <v>19.403719594897876</v>
      </c>
      <c r="GX33" s="22">
        <f t="shared" si="28"/>
        <v>153.82142162778047</v>
      </c>
      <c r="GY33" s="62">
        <f t="shared" si="29"/>
        <v>447.15475496111378</v>
      </c>
      <c r="GZ33" s="62">
        <f ca="1">AVERAGE(OFFSET($GY$3,0,0,'Données projet'!$E$18+1,1))-AVERAGE(OFFSET($H$3,0,0,'Données projet'!$E$18+1,1))</f>
        <v>284.88646502866419</v>
      </c>
      <c r="HA33" s="62">
        <f t="shared" si="52"/>
        <v>190.4880882944471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>
        <f>EXP(-LN(2)/35)*HG32+(1-EXP(-LN(2)/35))/(LN(2)/35)*HC33*HD33*VLOOKUP('Données projet'!$B$18,Paramètres!$A$1:$I$89,3,0)*0.475*44/12</f>
        <v>0</v>
      </c>
      <c r="HH33" s="23">
        <f>EXP(-LN(2)/25)*HH32+(1-EXP(-LN(2)/25))/(LN(2)/25)*Calculateur!HC33*Calculateur!HE33*VLOOKUP('Données projet'!$B$18,Paramètres!$A$1:$I$89,3,0)*0.475*44/12</f>
        <v>0</v>
      </c>
      <c r="HI33" s="23">
        <f>EXP(-LN(2)/2)*HI32+(1-EXP(-LN(2)/2))/(LN(2)/2)*HC33*HF33*VLOOKUP('Données projet'!$B$18,Paramètres!$A$1:$I$89,3,0)*0.475*44/12</f>
        <v>0</v>
      </c>
      <c r="HJ33" s="24">
        <f t="shared" si="30"/>
        <v>0</v>
      </c>
    </row>
    <row r="34" spans="1:218" s="5" customFormat="1" x14ac:dyDescent="0.25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2">
        <f t="shared" si="32"/>
        <v>0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0</v>
      </c>
      <c r="H34" s="70">
        <f t="shared" si="1"/>
        <v>256.66666666666669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6.4102564102564088</v>
      </c>
      <c r="N34" s="14">
        <f>IF('Données projet'!$A$36&gt;35,N33+M34-V33,IF(A34&lt;'Données projet'!$A$36,$K$205^A34,IF(A34='Données projet'!$A$36,'Données projet'!$B$36,N33+M34-V33)))</f>
        <v>97.435897435897431</v>
      </c>
      <c r="O34" s="14">
        <f>N34*VLOOKUP('Données projet'!$B$9,Paramètres!$A$1:$I$89,3,0)*VLOOKUP('Données projet'!$B$9,Paramètres!$A$1:$I$89,5,0)</f>
        <v>92.72</v>
      </c>
      <c r="P34" s="14">
        <f t="shared" si="33"/>
        <v>25.22008241222111</v>
      </c>
      <c r="Q34" s="22">
        <f t="shared" si="2"/>
        <v>205.41231020128509</v>
      </c>
      <c r="R34" s="62">
        <f t="shared" si="0"/>
        <v>498.74564353461841</v>
      </c>
      <c r="S34" s="62">
        <f ca="1">AVERAGE(OFFSET($R$3,0,0,'Données projet'!$E$9+1,1))-AVERAGE(OFFSET($H$3,0,0,'Données projet'!$E$9+1,1))</f>
        <v>367.11183928586667</v>
      </c>
      <c r="T34" s="62">
        <f t="shared" si="34"/>
        <v>281.52963027844595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0</v>
      </c>
      <c r="AA34" s="23">
        <f>EXP(-LN(2)/25)*AA33+(1-EXP(-LN(2)/25))/(LN(2)/25)*Calculateur!V34*Calculateur!X34*VLOOKUP('Données projet'!$B$9,Paramètres!$A$1:$I$89,3,0)*0.475*44/12</f>
        <v>0</v>
      </c>
      <c r="AB34" s="23">
        <f>EXP(-LN(2)/2)*AB33+(1-EXP(-LN(2)/2))/(LN(2)/2)*V34*Y34*VLOOKUP('Données projet'!$B$9,Paramètres!$A$1:$I$89,3,0)*0.475*44/12</f>
        <v>0</v>
      </c>
      <c r="AC34" s="24">
        <f t="shared" si="3"/>
        <v>0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8</v>
      </c>
      <c r="AI34" s="14">
        <f>IF('Données projet'!$A$62&gt;35,AI33+AH34-AQ33,IF(A34&lt;'Données projet'!$A$62,$AF$205^A34,IF(A34='Données projet'!$A$62,'Données projet'!$B$62,AI33+AH34-AQ33)))</f>
        <v>84</v>
      </c>
      <c r="AJ34" s="14">
        <f>AI34*VLOOKUP('Données projet'!$B$10,Paramètres!$A$1:$I$89,3,0)*VLOOKUP('Données projet'!$B$10,Paramètres!$A$1:$I$89,5,0)</f>
        <v>76.003200000000007</v>
      </c>
      <c r="AK34" s="14">
        <f t="shared" si="35"/>
        <v>21.157049992000456</v>
      </c>
      <c r="AL34" s="22">
        <f t="shared" si="4"/>
        <v>169.22076873606747</v>
      </c>
      <c r="AM34" s="62">
        <f t="shared" si="5"/>
        <v>462.55410206940076</v>
      </c>
      <c r="AN34" s="62">
        <f ca="1">AVERAGE(OFFSET($AM$3,0,0,'Données projet'!$E$10+1,1))-AVERAGE(OFFSET($H$3,0,0,'Données projet'!$E$10+1,1))</f>
        <v>428.8489304403459</v>
      </c>
      <c r="AO34" s="62">
        <f t="shared" si="36"/>
        <v>247.01165577562966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0</v>
      </c>
      <c r="AV34" s="23">
        <f>EXP(-LN(2)/25)*AV33+(1-EXP(-LN(2)/25))/(LN(2)/25)*Calculateur!AQ34*Calculateur!AS34*VLOOKUP('Données projet'!$B$10,Paramètres!$A$1:$I$89,3,0)*0.475*44/12</f>
        <v>0</v>
      </c>
      <c r="AW34" s="23">
        <f>EXP(-LN(2)/2)*AW33+(1-EXP(-LN(2)/2))/(LN(2)/2)*AQ34*AT34*VLOOKUP('Données projet'!$B$10,Paramètres!$A$1:$I$89,3,0)*0.475*44/12</f>
        <v>0</v>
      </c>
      <c r="AX34" s="23">
        <f t="shared" si="6"/>
        <v>0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8</v>
      </c>
      <c r="BD34" s="13">
        <f>IF('Données projet'!$A$88&gt;35,BD33+BC34-BL33,IF(A34&lt;'Données projet'!$A$88,$BA$205^A34,IF(A34='Données projet'!$A$88,'Données projet'!$B$88,BD33+BC34-BL33)))</f>
        <v>84</v>
      </c>
      <c r="BE34" s="14">
        <f>BD34*VLOOKUP('Données projet'!$B$11,Paramètres!$A$1:$I$89,3,0)*VLOOKUP('Données projet'!$B$11,Paramètres!$A$1:$I$89,5,0)</f>
        <v>85.176000000000002</v>
      </c>
      <c r="BF34" s="14">
        <f t="shared" si="37"/>
        <v>23.398088487656441</v>
      </c>
      <c r="BG34" s="22">
        <f t="shared" si="7"/>
        <v>189.09987078266829</v>
      </c>
      <c r="BH34" s="62">
        <f t="shared" si="8"/>
        <v>482.4332041160016</v>
      </c>
      <c r="BI34" s="62">
        <f ca="1">AVERAGE(OFFSET($BH$3,0,0,'Données projet'!$E$11+1,1))-AVERAGE(OFFSET($H$3,0,0,'Données projet'!$E$11+1,1))</f>
        <v>475.47920969424894</v>
      </c>
      <c r="BJ34" s="62">
        <f t="shared" si="38"/>
        <v>271.73544012419364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>
        <f>EXP(-LN(2)/35)*BP33+(1-EXP(-LN(2)/35))/(LN(2)/35)*BL34*BM34*VLOOKUP('Données projet'!$B$11,Paramètres!$A$1:$I$89,3,0)*0.475*44/12</f>
        <v>0</v>
      </c>
      <c r="BQ34" s="23">
        <f>EXP(-LN(2)/25)*BQ33+(1-EXP(-LN(2)/25))/(LN(2)/25)*Calculateur!BL34*Calculateur!BN34*VLOOKUP('Données projet'!$B$11,Paramètres!$A$1:$I$89,3,0)*0.475*44/12</f>
        <v>0</v>
      </c>
      <c r="BR34" s="23">
        <f>EXP(-LN(2)/2)*BR33+(1-EXP(-LN(2)/2))/(LN(2)/2)*BL34*BO34*VLOOKUP('Données projet'!$B$11,Paramètres!$A$1:$I$89,3,0)*0.475*44/12</f>
        <v>0</v>
      </c>
      <c r="BS34" s="24">
        <f t="shared" si="9"/>
        <v>0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18.100000000000001</v>
      </c>
      <c r="BY34" s="13">
        <f>IF('Données projet'!$A$114&gt;35,BY33+BX34-CG33,IF(A34&lt;'Données projet'!$A$114,$BV$205^A34,IF(A34='Données projet'!$A$114,'Données projet'!$B$114,BY33+BX34-CG33)))</f>
        <v>233.09230769230766</v>
      </c>
      <c r="BZ34" s="14">
        <f>BY34*VLOOKUP('Données projet'!$B$12,Paramètres!$A$1:$I$89,3,0)*VLOOKUP('Données projet'!$B$12,Paramètres!$A$1:$I$89,5,0)</f>
        <v>130.29859999999999</v>
      </c>
      <c r="CA34" s="14">
        <f t="shared" si="39"/>
        <v>34.065347809437199</v>
      </c>
      <c r="CB34" s="22">
        <f t="shared" si="10"/>
        <v>286.26720910143649</v>
      </c>
      <c r="CC34" s="62">
        <f t="shared" si="11"/>
        <v>579.60054243476975</v>
      </c>
      <c r="CD34" s="62">
        <f ca="1">AVERAGE(OFFSET($CC$3,0,0,'Données projet'!$E$12+1,1))-AVERAGE(OFFSET($H$3,0,0,'Données projet'!$E$12+1,1))</f>
        <v>323.98185264074681</v>
      </c>
      <c r="CE34" s="62">
        <f t="shared" si="40"/>
        <v>301.22207291854005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>
        <f>EXP(-LN(2)/35)*CK33+(1-EXP(-LN(2)/35))/(LN(2)/35)*CG34*CH34*VLOOKUP('Données projet'!$B$12,Paramètres!$A$1:$I$89,3,0)*0.475*44/12</f>
        <v>4.3748176283769658</v>
      </c>
      <c r="CL34" s="23">
        <f>EXP(-LN(2)/25)*CL33+(1-EXP(-LN(2)/25))/(LN(2)/25)*Calculateur!CG34*Calculateur!CI34*VLOOKUP('Données projet'!$B$12,Paramètres!$A$1:$I$89,3,0)*0.475*44/12</f>
        <v>8.0217767986897215</v>
      </c>
      <c r="CM34" s="23">
        <f>EXP(-LN(2)/2)*CM33+(1-EXP(-LN(2)/2))/(LN(2)/2)*CG34*CJ34*VLOOKUP('Données projet'!$B$12,Paramètres!$A$1:$I$89,3,0)*0.475*44/12</f>
        <v>4.3047297392640527</v>
      </c>
      <c r="CN34" s="24">
        <f t="shared" si="12"/>
        <v>16.701324166330743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5</v>
      </c>
      <c r="CT34" s="13">
        <f>IF('Données projet'!$A$140&gt;35,CT33+CS34-DB33,IF(A34&lt;'Données projet'!$A$140,$CQ$205^A34,IF(A34='Données projet'!$A$140,'Données projet'!$B$140,CT33+CS34-DB33)))</f>
        <v>58.999999999999986</v>
      </c>
      <c r="CU34" s="18">
        <f>CT34*VLOOKUP('Données projet'!$B$13,Paramètres!$A$1:$I$89,3,0)*VLOOKUP('Données projet'!$B$13,Paramètres!$A$1:$I$89,5,0)</f>
        <v>67.189199999999985</v>
      </c>
      <c r="CV34" s="14">
        <f t="shared" si="41"/>
        <v>18.973780699598183</v>
      </c>
      <c r="CW34" s="22">
        <f t="shared" si="13"/>
        <v>150.06719138513347</v>
      </c>
      <c r="CX34" s="62">
        <f t="shared" si="14"/>
        <v>443.40052471846678</v>
      </c>
      <c r="CY34" s="62">
        <f ca="1">AVERAGE(OFFSET($CX$3,0,0,'Données projet'!$E$13+1,1))-AVERAGE(OFFSET($H$3,0,0,'Données projet'!$E$13+1,1))</f>
        <v>399.78832690250164</v>
      </c>
      <c r="CZ34" s="62">
        <f t="shared" si="42"/>
        <v>174.32967064896343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>
        <f>EXP(-LN(2)/35)*DF33+(1-EXP(-LN(2)/35))/(LN(2)/35)*DB34*DC34*VLOOKUP('Données projet'!$B$13,Paramètres!$A$1:$I$89,3,0)*0.475*44/12</f>
        <v>0</v>
      </c>
      <c r="DG34" s="23">
        <f>EXP(-LN(2)/25)*DG33+(1-EXP(-LN(2)/25))/(LN(2)/25)*Calculateur!DB34*Calculateur!DD34*VLOOKUP('Données projet'!$B$13,Paramètres!$A$1:$I$89,3,0)*0.475*44/12</f>
        <v>0</v>
      </c>
      <c r="DH34" s="23">
        <f>EXP(-LN(2)/2)*DH33+(1-EXP(-LN(2)/2))/(LN(2)/2)*DB34*DE34*VLOOKUP('Données projet'!$B$13,Paramètres!$A$1:$I$89,3,0)*0.475*44/12</f>
        <v>0</v>
      </c>
      <c r="DI34" s="24">
        <f t="shared" si="15"/>
        <v>0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8</v>
      </c>
      <c r="DO34" s="13">
        <f>IF('Données projet'!$A$166&gt;35,DO33+DN34-DW33,IF(A34&lt;'Données projet'!$A$166,$DL$205^A34,IF(A34='Données projet'!$A$166,'Données projet'!$B$166,DO33+DN34-DW33)))</f>
        <v>84</v>
      </c>
      <c r="DP34" s="18">
        <f>DO34*VLOOKUP('Données projet'!$B$14,Paramètres!$A$1:$I$89,3,0)*VLOOKUP('Données projet'!$B$14,Paramètres!$A$1:$I$89,5,0)</f>
        <v>70.761600000000001</v>
      </c>
      <c r="DQ34" s="14">
        <f t="shared" si="43"/>
        <v>19.862470414169767</v>
      </c>
      <c r="DR34" s="22">
        <f t="shared" si="16"/>
        <v>157.83692263801234</v>
      </c>
      <c r="DS34" s="62">
        <f t="shared" si="17"/>
        <v>451.17025597134568</v>
      </c>
      <c r="DT34" s="62">
        <f ca="1">AVERAGE(OFFSET($DS$3,0,0,'Données projet'!$E$14+1,1))-AVERAGE(OFFSET($H$3,0,0,'Données projet'!$E$14+1,1))</f>
        <v>402.15128814037058</v>
      </c>
      <c r="DU34" s="62">
        <f t="shared" si="44"/>
        <v>232.85411068442738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>
        <f>EXP(-LN(2)/35)*EA33+(1-EXP(-LN(2)/35))/(LN(2)/35)*DW34*DX34*VLOOKUP('Données projet'!$B$14,Paramètres!$A$1:$I$89,3,0)*0.475*44/12</f>
        <v>0</v>
      </c>
      <c r="EB34" s="23">
        <f>EXP(-LN(2)/25)*EB33+(1-EXP(-LN(2)/25))/(LN(2)/25)*Calculateur!DW34*Calculateur!DY34*VLOOKUP('Données projet'!$B$14,Paramètres!$A$1:$I$89,3,0)*0.475*44/12</f>
        <v>0</v>
      </c>
      <c r="EC34" s="23">
        <f>EXP(-LN(2)/2)*EC33+(1-EXP(-LN(2)/2))/(LN(2)/2)*DW34*DZ34*VLOOKUP('Données projet'!$B$14,Paramètres!$A$1:$I$89,3,0)*0.475*44/12</f>
        <v>0</v>
      </c>
      <c r="ED34" s="24">
        <f t="shared" si="18"/>
        <v>0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8.3333333333333321</v>
      </c>
      <c r="EJ34" s="13">
        <f>IF('Données projet'!$A$192&gt;35,EJ33+EI34-ER33,IF(A34&lt;'Données projet'!$A$192,$EG$205^A34,IF(A34='Données projet'!$A$192,'Données projet'!$B$192,EJ33+EI34-ER33)))</f>
        <v>135.25641025641028</v>
      </c>
      <c r="EK34" s="18">
        <f>EJ34*VLOOKUP('Données projet'!$B$15,Paramètres!$A$1:$I$89,3,0)*VLOOKUP('Données projet'!$B$15,Paramètres!$A$1:$I$89,5,0)</f>
        <v>141.37000000000003</v>
      </c>
      <c r="EL34" s="14">
        <f t="shared" si="45"/>
        <v>36.610675159135589</v>
      </c>
      <c r="EM34" s="22">
        <f t="shared" si="19"/>
        <v>309.98300923549448</v>
      </c>
      <c r="EN34" s="62">
        <f t="shared" si="20"/>
        <v>603.31634256882785</v>
      </c>
      <c r="EO34" s="62">
        <f ca="1">AVERAGE(OFFSET($EN$3,0,0,'Données projet'!$E$15+1,1))-AVERAGE(OFFSET($H$3,0,0,'Données projet'!$E$15+1,1))</f>
        <v>595.89992279024398</v>
      </c>
      <c r="EP34" s="62">
        <f t="shared" si="46"/>
        <v>378.16197659288338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>
        <f>EXP(-LN(2)/35)*EV33+(1-EXP(-LN(2)/35))/(LN(2)/35)*ER34*ES34*VLOOKUP('Données projet'!$B$15,Paramètres!$A$1:$I$89,3,0)*0.475*44/12</f>
        <v>0</v>
      </c>
      <c r="EW34" s="23">
        <f>EXP(-LN(2)/25)*EW33+(1-EXP(-LN(2)/25))/(LN(2)/25)*Calculateur!ER34*Calculateur!ET34*VLOOKUP('Données projet'!$B$15,Paramètres!$A$1:$I$89,3,0)*0.475*44/12</f>
        <v>0</v>
      </c>
      <c r="EX34" s="23">
        <f>EXP(-LN(2)/2)*EX33+(1-EXP(-LN(2)/2))/(LN(2)/2)*ER34*EU34*VLOOKUP('Données projet'!$B$15,Paramètres!$A$1:$I$89,3,0)*0.475*44/12</f>
        <v>0</v>
      </c>
      <c r="EY34" s="24">
        <f t="shared" si="21"/>
        <v>0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26.090384615384622</v>
      </c>
      <c r="FE34" s="13">
        <f>IF('Données projet'!$A$218&gt;35,FE33+FD34-FM33,IF(A34&lt;'Données projet'!$A$218,$FB$205^A34,IF(A34='Données projet'!$A$218,'Données projet'!$B$218,FE33+FD34-FM33)))</f>
        <v>155.09038461538452</v>
      </c>
      <c r="FF34" s="18">
        <f>FE34*VLOOKUP('Données projet'!$B$16,Paramètres!$A$1:$I$89,3,0)*VLOOKUP('Données projet'!$B$16,Paramètres!$A$1:$I$89,5,0)</f>
        <v>92.744049999999959</v>
      </c>
      <c r="FG34" s="14">
        <f t="shared" si="47"/>
        <v>25.225862538289547</v>
      </c>
      <c r="FH34" s="22">
        <f t="shared" si="22"/>
        <v>205.46426433752086</v>
      </c>
      <c r="FI34" s="62">
        <f t="shared" si="23"/>
        <v>498.7975976708542</v>
      </c>
      <c r="FJ34" s="62">
        <f ca="1">AVERAGE(OFFSET($FI$3,0,0,'Données projet'!$E$16+1,1))-AVERAGE(OFFSET($H$3,0,0,'Données projet'!$E$16+1,1))</f>
        <v>257.56116197646924</v>
      </c>
      <c r="FK34" s="62">
        <f t="shared" si="48"/>
        <v>269.95556918835888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>
        <f>EXP(-LN(2)/35)*FQ33+(1-EXP(-LN(2)/35))/(LN(2)/35)*FM34*FN34*VLOOKUP('Données projet'!$B$16,Paramètres!$A$1:$I$89,3,0)*0.475*44/12</f>
        <v>14.295508727162884</v>
      </c>
      <c r="FR34" s="23">
        <f>EXP(-LN(2)/25)*FR33+(1-EXP(-LN(2)/25))/(LN(2)/25)*Calculateur!FM34*Calculateur!FO34*VLOOKUP('Données projet'!$B$16,Paramètres!$A$1:$I$89,3,0)*0.475*44/12</f>
        <v>15.701639864397279</v>
      </c>
      <c r="FS34" s="23">
        <f>EXP(-LN(2)/2)*FS33+(1-EXP(-LN(2)/2))/(LN(2)/2)*FM34*FP34*VLOOKUP('Données projet'!$B$16,Paramètres!$A$1:$I$89,3,0)*0.475*44/12</f>
        <v>6.0486503945139347</v>
      </c>
      <c r="FT34" s="24">
        <f t="shared" si="24"/>
        <v>36.045798986074097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12.971794871794865</v>
      </c>
      <c r="FZ34" s="13">
        <f>IF('Données projet'!$A$244&gt;35,FZ33+FY34-GH33,IF(A34&lt;'Données projet'!$A$244,$FW$205^A34,IF(A34='Données projet'!$A$244,'Données projet'!$B$244,FZ33+FY34-GH33)))</f>
        <v>157.95641025641027</v>
      </c>
      <c r="GA34" s="18">
        <f>FZ34*VLOOKUP('Données projet'!$B$17,Paramètres!$A$1:$I$89,3,0)*VLOOKUP('Données projet'!$B$17,Paramètres!$A$1:$I$89,5,0)</f>
        <v>94.457933333333344</v>
      </c>
      <c r="GB34" s="14">
        <f t="shared" si="49"/>
        <v>25.637327417415943</v>
      </c>
      <c r="GC34" s="22">
        <f t="shared" si="25"/>
        <v>209.16591247422164</v>
      </c>
      <c r="GD34" s="62">
        <f t="shared" si="26"/>
        <v>502.49924580755498</v>
      </c>
      <c r="GE34" s="62">
        <f ca="1">AVERAGE(OFFSET($GD$3,0,0,'Données projet'!$E$17+1,1))-AVERAGE(OFFSET($H$3,0,0,'Données projet'!$E$17+1,1))</f>
        <v>289.12367833861299</v>
      </c>
      <c r="GF34" s="62">
        <f t="shared" si="50"/>
        <v>229.06617320689003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>
        <f>EXP(-LN(2)/35)*GL33+(1-EXP(-LN(2)/35))/(LN(2)/35)*GH34*GI34*VLOOKUP('Données projet'!$B$17,Paramètres!$A$1:$I$89,3,0)*0.475*44/12</f>
        <v>0</v>
      </c>
      <c r="GM34" s="23">
        <f>EXP(-LN(2)/25)*GM33+(1-EXP(-LN(2)/25))/(LN(2)/25)*Calculateur!GH34*Calculateur!GJ34*VLOOKUP('Données projet'!$B$17,Paramètres!$A$1:$I$89,3,0)*0.475*44/12</f>
        <v>0</v>
      </c>
      <c r="GN34" s="23">
        <f>EXP(-LN(2)/2)*GN33+(1-EXP(-LN(2)/2))/(LN(2)/2)*GH34*GK34*VLOOKUP('Données projet'!$B$17,Paramètres!$A$1:$I$89,3,0)*0.475*44/12</f>
        <v>2.9322552041340413</v>
      </c>
      <c r="GO34" s="23">
        <f t="shared" si="27"/>
        <v>2.9322552041340413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10.576153846153847</v>
      </c>
      <c r="GU34" s="13">
        <f>IF('Données projet'!$A$270&gt;35,GU33+GT34-HC33,IF(A34&lt;'Données projet'!$A$270,$GR$205^A34,IF(A34='Données projet'!$A$270,'Données projet'!$B$270,GU33+GT34-HC33)))</f>
        <v>157.83000000000001</v>
      </c>
      <c r="GV34" s="18">
        <f>GU34*VLOOKUP('Données projet'!$B$18,Paramètres!$A$1:$I$89,3,0)*VLOOKUP('Données projet'!$B$18,Paramètres!$A$1:$I$89,5,0)</f>
        <v>73.864440000000002</v>
      </c>
      <c r="GW34" s="14">
        <f t="shared" si="51"/>
        <v>20.630112334337497</v>
      </c>
      <c r="GX34" s="22">
        <f t="shared" si="28"/>
        <v>164.57801198230447</v>
      </c>
      <c r="GY34" s="62">
        <f t="shared" si="29"/>
        <v>457.91134531563779</v>
      </c>
      <c r="GZ34" s="62">
        <f ca="1">AVERAGE(OFFSET($GY$3,0,0,'Données projet'!$E$18+1,1))-AVERAGE(OFFSET($H$3,0,0,'Données projet'!$E$18+1,1))</f>
        <v>284.88646502866419</v>
      </c>
      <c r="HA34" s="62">
        <f t="shared" si="52"/>
        <v>190.4880882944471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>
        <f>EXP(-LN(2)/35)*HG33+(1-EXP(-LN(2)/35))/(LN(2)/35)*HC34*HD34*VLOOKUP('Données projet'!$B$18,Paramètres!$A$1:$I$89,3,0)*0.475*44/12</f>
        <v>0</v>
      </c>
      <c r="HH34" s="23">
        <f>EXP(-LN(2)/25)*HH33+(1-EXP(-LN(2)/25))/(LN(2)/25)*Calculateur!HC34*Calculateur!HE34*VLOOKUP('Données projet'!$B$18,Paramètres!$A$1:$I$89,3,0)*0.475*44/12</f>
        <v>0</v>
      </c>
      <c r="HI34" s="23">
        <f>EXP(-LN(2)/2)*HI33+(1-EXP(-LN(2)/2))/(LN(2)/2)*HC34*HF34*VLOOKUP('Données projet'!$B$18,Paramètres!$A$1:$I$89,3,0)*0.475*44/12</f>
        <v>0</v>
      </c>
      <c r="HJ34" s="24">
        <f t="shared" si="30"/>
        <v>0</v>
      </c>
    </row>
    <row r="35" spans="1:218" s="5" customFormat="1" x14ac:dyDescent="0.25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2">
        <f t="shared" si="32"/>
        <v>0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0</v>
      </c>
      <c r="H35" s="70">
        <f t="shared" si="1"/>
        <v>256.66666666666669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6.4102564102564088</v>
      </c>
      <c r="N35" s="14">
        <f>IF('Données projet'!$A$36&gt;35,N34+M35-V34,IF(A35&lt;'Données projet'!$A$36,$K$205^A35,IF(A35='Données projet'!$A$36,'Données projet'!$B$36,N34+M35-V34)))</f>
        <v>103.84615384615384</v>
      </c>
      <c r="O35" s="14">
        <f>N35*VLOOKUP('Données projet'!$B$9,Paramètres!$A$1:$I$89,3,0)*VLOOKUP('Données projet'!$B$9,Paramètres!$A$1:$I$89,5,0)</f>
        <v>98.82</v>
      </c>
      <c r="P35" s="14">
        <f t="shared" si="33"/>
        <v>26.680684905958366</v>
      </c>
      <c r="Q35" s="22">
        <f t="shared" ref="Q35:Q66" si="53">(O35+P35)*0.475*44/12</f>
        <v>218.58035954454417</v>
      </c>
      <c r="R35" s="62">
        <f t="shared" si="0"/>
        <v>511.91369287787745</v>
      </c>
      <c r="S35" s="62">
        <f ca="1">AVERAGE(OFFSET($R$3,0,0,'Données projet'!$E$9+1,1))-AVERAGE(OFFSET($H$3,0,0,'Données projet'!$E$9+1,1))</f>
        <v>367.11183928586667</v>
      </c>
      <c r="T35" s="62">
        <f t="shared" si="34"/>
        <v>281.52963027844595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0</v>
      </c>
      <c r="AA35" s="23">
        <f>EXP(-LN(2)/25)*AA34+(1-EXP(-LN(2)/25))/(LN(2)/25)*Calculateur!V35*Calculateur!X35*VLOOKUP('Données projet'!$B$9,Paramètres!$A$1:$I$89,3,0)*0.475*44/12</f>
        <v>0</v>
      </c>
      <c r="AB35" s="23">
        <f>EXP(-LN(2)/2)*AB34+(1-EXP(-LN(2)/2))/(LN(2)/2)*V35*Y35*VLOOKUP('Données projet'!$B$9,Paramètres!$A$1:$I$89,3,0)*0.475*44/12</f>
        <v>0</v>
      </c>
      <c r="AC35" s="24">
        <f t="shared" si="3"/>
        <v>0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8</v>
      </c>
      <c r="AI35" s="14">
        <f>IF('Données projet'!$A$62&gt;35,AI34+AH35-AQ34,IF(A35&lt;'Données projet'!$A$62,$AF$205^A35,IF(A35='Données projet'!$A$62,'Données projet'!$B$62,AI34+AH35-AQ34)))</f>
        <v>92</v>
      </c>
      <c r="AJ35" s="14">
        <f>AI35*VLOOKUP('Données projet'!$B$10,Paramètres!$A$1:$I$89,3,0)*VLOOKUP('Données projet'!$B$10,Paramètres!$A$1:$I$89,5,0)</f>
        <v>83.241600000000005</v>
      </c>
      <c r="AK35" s="14">
        <f t="shared" si="35"/>
        <v>22.927930643846508</v>
      </c>
      <c r="AL35" s="22">
        <f t="shared" si="4"/>
        <v>184.91193253803269</v>
      </c>
      <c r="AM35" s="62">
        <f t="shared" si="5"/>
        <v>478.24526587136597</v>
      </c>
      <c r="AN35" s="62">
        <f ca="1">AVERAGE(OFFSET($AM$3,0,0,'Données projet'!$E$10+1,1))-AVERAGE(OFFSET($H$3,0,0,'Données projet'!$E$10+1,1))</f>
        <v>428.8489304403459</v>
      </c>
      <c r="AO35" s="62">
        <f t="shared" si="36"/>
        <v>247.01165577562966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0</v>
      </c>
      <c r="AV35" s="23">
        <f>EXP(-LN(2)/25)*AV34+(1-EXP(-LN(2)/25))/(LN(2)/25)*Calculateur!AQ35*Calculateur!AS35*VLOOKUP('Données projet'!$B$10,Paramètres!$A$1:$I$89,3,0)*0.475*44/12</f>
        <v>0</v>
      </c>
      <c r="AW35" s="23">
        <f>EXP(-LN(2)/2)*AW34+(1-EXP(-LN(2)/2))/(LN(2)/2)*AQ35*AT35*VLOOKUP('Données projet'!$B$10,Paramètres!$A$1:$I$89,3,0)*0.475*44/12</f>
        <v>0</v>
      </c>
      <c r="AX35" s="23">
        <f t="shared" si="6"/>
        <v>0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8</v>
      </c>
      <c r="BD35" s="13">
        <f>IF('Données projet'!$A$88&gt;35,BD34+BC35-BL34,IF(A35&lt;'Données projet'!$A$88,$BA$205^A35,IF(A35='Données projet'!$A$88,'Données projet'!$B$88,BD34+BC35-BL34)))</f>
        <v>92</v>
      </c>
      <c r="BE35" s="14">
        <f>BD35*VLOOKUP('Données projet'!$B$11,Paramètres!$A$1:$I$89,3,0)*VLOOKUP('Données projet'!$B$11,Paramètres!$A$1:$I$89,5,0)</f>
        <v>93.288000000000011</v>
      </c>
      <c r="BF35" s="14">
        <f t="shared" si="37"/>
        <v>25.356547829040977</v>
      </c>
      <c r="BG35" s="22">
        <f t="shared" si="7"/>
        <v>206.63925413557971</v>
      </c>
      <c r="BH35" s="62">
        <f t="shared" si="8"/>
        <v>499.97258746891305</v>
      </c>
      <c r="BI35" s="62">
        <f ca="1">AVERAGE(OFFSET($BH$3,0,0,'Données projet'!$E$11+1,1))-AVERAGE(OFFSET($H$3,0,0,'Données projet'!$E$11+1,1))</f>
        <v>475.47920969424894</v>
      </c>
      <c r="BJ35" s="62">
        <f t="shared" si="38"/>
        <v>271.73544012419364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>
        <f>EXP(-LN(2)/35)*BP34+(1-EXP(-LN(2)/35))/(LN(2)/35)*BL35*BM35*VLOOKUP('Données projet'!$B$11,Paramètres!$A$1:$I$89,3,0)*0.475*44/12</f>
        <v>0</v>
      </c>
      <c r="BQ35" s="23">
        <f>EXP(-LN(2)/25)*BQ34+(1-EXP(-LN(2)/25))/(LN(2)/25)*Calculateur!BL35*Calculateur!BN35*VLOOKUP('Données projet'!$B$11,Paramètres!$A$1:$I$89,3,0)*0.475*44/12</f>
        <v>0</v>
      </c>
      <c r="BR35" s="23">
        <f>EXP(-LN(2)/2)*BR34+(1-EXP(-LN(2)/2))/(LN(2)/2)*BL35*BO35*VLOOKUP('Données projet'!$B$11,Paramètres!$A$1:$I$89,3,0)*0.475*44/12</f>
        <v>0</v>
      </c>
      <c r="BS35" s="24">
        <f t="shared" si="9"/>
        <v>0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18.100000000000001</v>
      </c>
      <c r="BY35" s="13">
        <f>IF('Données projet'!$A$114&gt;35,BY34+BX35-CG34,IF(A35&lt;'Données projet'!$A$114,$BV$205^A35,IF(A35='Données projet'!$A$114,'Données projet'!$B$114,BY34+BX35-CG34)))</f>
        <v>251.19230769230765</v>
      </c>
      <c r="BZ35" s="14">
        <f>BY35*VLOOKUP('Données projet'!$B$12,Paramètres!$A$1:$I$89,3,0)*VLOOKUP('Données projet'!$B$12,Paramètres!$A$1:$I$89,5,0)</f>
        <v>140.41649999999998</v>
      </c>
      <c r="CA35" s="14">
        <f t="shared" si="39"/>
        <v>36.392403294074647</v>
      </c>
      <c r="CB35" s="22">
        <f t="shared" si="10"/>
        <v>307.94217323717999</v>
      </c>
      <c r="CC35" s="62">
        <f t="shared" si="11"/>
        <v>601.27550657051324</v>
      </c>
      <c r="CD35" s="62">
        <f ca="1">AVERAGE(OFFSET($CC$3,0,0,'Données projet'!$E$12+1,1))-AVERAGE(OFFSET($H$3,0,0,'Données projet'!$E$12+1,1))</f>
        <v>323.98185264074681</v>
      </c>
      <c r="CE35" s="62">
        <f t="shared" si="40"/>
        <v>301.22207291854005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>
        <f>EXP(-LN(2)/35)*CK34+(1-EXP(-LN(2)/35))/(LN(2)/35)*CG35*CH35*VLOOKUP('Données projet'!$B$12,Paramètres!$A$1:$I$89,3,0)*0.475*44/12</f>
        <v>4.2890301230597663</v>
      </c>
      <c r="CL35" s="23">
        <f>EXP(-LN(2)/25)*CL34+(1-EXP(-LN(2)/25))/(LN(2)/25)*Calculateur!CG35*Calculateur!CI35*VLOOKUP('Données projet'!$B$12,Paramètres!$A$1:$I$89,3,0)*0.475*44/12</f>
        <v>7.8024208902826429</v>
      </c>
      <c r="CM35" s="23">
        <f>EXP(-LN(2)/2)*CM34+(1-EXP(-LN(2)/2))/(LN(2)/2)*CG35*CJ35*VLOOKUP('Données projet'!$B$12,Paramètres!$A$1:$I$89,3,0)*0.475*44/12</f>
        <v>3.0439035898090103</v>
      </c>
      <c r="CN35" s="24">
        <f t="shared" si="12"/>
        <v>15.13535460315142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5</v>
      </c>
      <c r="CT35" s="13">
        <f>IF('Données projet'!$A$140&gt;35,CT34+CS35-DB34,IF(A35&lt;'Données projet'!$A$140,$CQ$205^A35,IF(A35='Données projet'!$A$140,'Données projet'!$B$140,CT34+CS35-DB34)))</f>
        <v>63.999999999999986</v>
      </c>
      <c r="CU35" s="18">
        <f>CT35*VLOOKUP('Données projet'!$B$13,Paramètres!$A$1:$I$89,3,0)*VLOOKUP('Données projet'!$B$13,Paramètres!$A$1:$I$89,5,0)</f>
        <v>72.883199999999988</v>
      </c>
      <c r="CV35" s="14">
        <f t="shared" si="41"/>
        <v>20.387767119503298</v>
      </c>
      <c r="CW35" s="22">
        <f t="shared" si="13"/>
        <v>162.44693439980156</v>
      </c>
      <c r="CX35" s="62">
        <f t="shared" si="14"/>
        <v>455.78026773313491</v>
      </c>
      <c r="CY35" s="62">
        <f ca="1">AVERAGE(OFFSET($CX$3,0,0,'Données projet'!$E$13+1,1))-AVERAGE(OFFSET($H$3,0,0,'Données projet'!$E$13+1,1))</f>
        <v>399.78832690250164</v>
      </c>
      <c r="CZ35" s="62">
        <f t="shared" si="42"/>
        <v>174.32967064896343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>
        <f>EXP(-LN(2)/35)*DF34+(1-EXP(-LN(2)/35))/(LN(2)/35)*DB35*DC35*VLOOKUP('Données projet'!$B$13,Paramètres!$A$1:$I$89,3,0)*0.475*44/12</f>
        <v>0</v>
      </c>
      <c r="DG35" s="23">
        <f>EXP(-LN(2)/25)*DG34+(1-EXP(-LN(2)/25))/(LN(2)/25)*Calculateur!DB35*Calculateur!DD35*VLOOKUP('Données projet'!$B$13,Paramètres!$A$1:$I$89,3,0)*0.475*44/12</f>
        <v>0</v>
      </c>
      <c r="DH35" s="23">
        <f>EXP(-LN(2)/2)*DH34+(1-EXP(-LN(2)/2))/(LN(2)/2)*DB35*DE35*VLOOKUP('Données projet'!$B$13,Paramètres!$A$1:$I$89,3,0)*0.475*44/12</f>
        <v>0</v>
      </c>
      <c r="DI35" s="24">
        <f t="shared" si="15"/>
        <v>0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8</v>
      </c>
      <c r="DO35" s="13">
        <f>IF('Données projet'!$A$166&gt;35,DO34+DN35-DW34,IF(A35&lt;'Données projet'!$A$166,$DL$205^A35,IF(A35='Données projet'!$A$166,'Données projet'!$B$166,DO34+DN35-DW34)))</f>
        <v>92</v>
      </c>
      <c r="DP35" s="18">
        <f>DO35*VLOOKUP('Données projet'!$B$14,Paramètres!$A$1:$I$89,3,0)*VLOOKUP('Données projet'!$B$14,Paramètres!$A$1:$I$89,5,0)</f>
        <v>77.500800000000012</v>
      </c>
      <c r="DQ35" s="14">
        <f t="shared" si="43"/>
        <v>21.524992579009275</v>
      </c>
      <c r="DR35" s="22">
        <f t="shared" si="16"/>
        <v>172.46992207510786</v>
      </c>
      <c r="DS35" s="62">
        <f t="shared" si="17"/>
        <v>465.80325540844115</v>
      </c>
      <c r="DT35" s="62">
        <f ca="1">AVERAGE(OFFSET($DS$3,0,0,'Données projet'!$E$14+1,1))-AVERAGE(OFFSET($H$3,0,0,'Données projet'!$E$14+1,1))</f>
        <v>402.15128814037058</v>
      </c>
      <c r="DU35" s="62">
        <f t="shared" si="44"/>
        <v>232.85411068442738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>
        <f>EXP(-LN(2)/35)*EA34+(1-EXP(-LN(2)/35))/(LN(2)/35)*DW35*DX35*VLOOKUP('Données projet'!$B$14,Paramètres!$A$1:$I$89,3,0)*0.475*44/12</f>
        <v>0</v>
      </c>
      <c r="EB35" s="23">
        <f>EXP(-LN(2)/25)*EB34+(1-EXP(-LN(2)/25))/(LN(2)/25)*Calculateur!DW35*Calculateur!DY35*VLOOKUP('Données projet'!$B$14,Paramètres!$A$1:$I$89,3,0)*0.475*44/12</f>
        <v>0</v>
      </c>
      <c r="EC35" s="23">
        <f>EXP(-LN(2)/2)*EC34+(1-EXP(-LN(2)/2))/(LN(2)/2)*DW35*DZ35*VLOOKUP('Données projet'!$B$14,Paramètres!$A$1:$I$89,3,0)*0.475*44/12</f>
        <v>0</v>
      </c>
      <c r="ED35" s="24">
        <f t="shared" si="18"/>
        <v>0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8.3333333333333321</v>
      </c>
      <c r="EJ35" s="13">
        <f>IF('Données projet'!$A$192&gt;35,EJ34+EI35-ER34,IF(A35&lt;'Données projet'!$A$192,$EG$205^A35,IF(A35='Données projet'!$A$192,'Données projet'!$B$192,EJ34+EI35-ER34)))</f>
        <v>143.58974358974362</v>
      </c>
      <c r="EK35" s="18">
        <f>EJ35*VLOOKUP('Données projet'!$B$15,Paramètres!$A$1:$I$89,3,0)*VLOOKUP('Données projet'!$B$15,Paramètres!$A$1:$I$89,5,0)</f>
        <v>150.08000000000004</v>
      </c>
      <c r="EL35" s="14">
        <f t="shared" si="45"/>
        <v>38.596765343718673</v>
      </c>
      <c r="EM35" s="22">
        <f t="shared" si="19"/>
        <v>328.61203297364347</v>
      </c>
      <c r="EN35" s="62">
        <f t="shared" si="20"/>
        <v>621.94536630697678</v>
      </c>
      <c r="EO35" s="62">
        <f ca="1">AVERAGE(OFFSET($EN$3,0,0,'Données projet'!$E$15+1,1))-AVERAGE(OFFSET($H$3,0,0,'Données projet'!$E$15+1,1))</f>
        <v>595.89992279024398</v>
      </c>
      <c r="EP35" s="62">
        <f t="shared" si="46"/>
        <v>378.16197659288338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>
        <f>EXP(-LN(2)/35)*EV34+(1-EXP(-LN(2)/35))/(LN(2)/35)*ER35*ES35*VLOOKUP('Données projet'!$B$15,Paramètres!$A$1:$I$89,3,0)*0.475*44/12</f>
        <v>0</v>
      </c>
      <c r="EW35" s="23">
        <f>EXP(-LN(2)/25)*EW34+(1-EXP(-LN(2)/25))/(LN(2)/25)*Calculateur!ER35*Calculateur!ET35*VLOOKUP('Données projet'!$B$15,Paramètres!$A$1:$I$89,3,0)*0.475*44/12</f>
        <v>0</v>
      </c>
      <c r="EX35" s="23">
        <f>EXP(-LN(2)/2)*EX34+(1-EXP(-LN(2)/2))/(LN(2)/2)*ER35*EU35*VLOOKUP('Données projet'!$B$15,Paramètres!$A$1:$I$89,3,0)*0.475*44/12</f>
        <v>0</v>
      </c>
      <c r="EY35" s="24">
        <f t="shared" si="21"/>
        <v>0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26.090384615384622</v>
      </c>
      <c r="FE35" s="13">
        <f>IF('Données projet'!$A$218&gt;35,FE34+FD35-FM34,IF(A35&lt;'Données projet'!$A$218,$FB$205^A35,IF(A35='Données projet'!$A$218,'Données projet'!$B$218,FE34+FD35-FM34)))</f>
        <v>181.18076923076916</v>
      </c>
      <c r="FF35" s="18">
        <f>FE35*VLOOKUP('Données projet'!$B$16,Paramètres!$A$1:$I$89,3,0)*VLOOKUP('Données projet'!$B$16,Paramètres!$A$1:$I$89,5,0)</f>
        <v>108.34609999999996</v>
      </c>
      <c r="FG35" s="14">
        <f t="shared" si="47"/>
        <v>28.940969921903918</v>
      </c>
      <c r="FH35" s="22">
        <f t="shared" si="22"/>
        <v>239.10831344731594</v>
      </c>
      <c r="FI35" s="62">
        <f t="shared" si="23"/>
        <v>532.44164678064931</v>
      </c>
      <c r="FJ35" s="62">
        <f ca="1">AVERAGE(OFFSET($FI$3,0,0,'Données projet'!$E$16+1,1))-AVERAGE(OFFSET($H$3,0,0,'Données projet'!$E$16+1,1))</f>
        <v>257.56116197646924</v>
      </c>
      <c r="FK35" s="62">
        <f t="shared" si="48"/>
        <v>269.95556918835888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>
        <f>EXP(-LN(2)/35)*FQ34+(1-EXP(-LN(2)/35))/(LN(2)/35)*FM35*FN35*VLOOKUP('Données projet'!$B$16,Paramètres!$A$1:$I$89,3,0)*0.475*44/12</f>
        <v>14.015182520422576</v>
      </c>
      <c r="FR35" s="23">
        <f>EXP(-LN(2)/25)*FR34+(1-EXP(-LN(2)/25))/(LN(2)/25)*Calculateur!FM35*Calculateur!FO35*VLOOKUP('Données projet'!$B$16,Paramètres!$A$1:$I$89,3,0)*0.475*44/12</f>
        <v>15.272277696591981</v>
      </c>
      <c r="FS35" s="23">
        <f>EXP(-LN(2)/2)*FS34+(1-EXP(-LN(2)/2))/(LN(2)/2)*FM35*FP35*VLOOKUP('Données projet'!$B$16,Paramètres!$A$1:$I$89,3,0)*0.475*44/12</f>
        <v>4.2770417109874899</v>
      </c>
      <c r="FT35" s="24">
        <f t="shared" si="24"/>
        <v>33.564501928002045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12.971794871794865</v>
      </c>
      <c r="FZ35" s="13">
        <f>IF('Données projet'!$A$244&gt;35,FZ34+FY35-GH34,IF(A35&lt;'Données projet'!$A$244,$FW$205^A35,IF(A35='Données projet'!$A$244,'Données projet'!$B$244,FZ34+FY35-GH34)))</f>
        <v>170.92820512820512</v>
      </c>
      <c r="GA35" s="18">
        <f>FZ35*VLOOKUP('Données projet'!$B$17,Paramètres!$A$1:$I$89,3,0)*VLOOKUP('Données projet'!$B$17,Paramètres!$A$1:$I$89,5,0)</f>
        <v>102.21506666666667</v>
      </c>
      <c r="GB35" s="14">
        <f t="shared" si="49"/>
        <v>27.489031873505194</v>
      </c>
      <c r="GC35" s="22">
        <f t="shared" si="25"/>
        <v>225.90130495746598</v>
      </c>
      <c r="GD35" s="62">
        <f t="shared" si="26"/>
        <v>519.23463829079924</v>
      </c>
      <c r="GE35" s="62">
        <f ca="1">AVERAGE(OFFSET($GD$3,0,0,'Données projet'!$E$17+1,1))-AVERAGE(OFFSET($H$3,0,0,'Données projet'!$E$17+1,1))</f>
        <v>289.12367833861299</v>
      </c>
      <c r="GF35" s="62">
        <f t="shared" si="50"/>
        <v>229.06617320689003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>
        <f>EXP(-LN(2)/35)*GL34+(1-EXP(-LN(2)/35))/(LN(2)/35)*GH35*GI35*VLOOKUP('Données projet'!$B$17,Paramètres!$A$1:$I$89,3,0)*0.475*44/12</f>
        <v>0</v>
      </c>
      <c r="GM35" s="23">
        <f>EXP(-LN(2)/25)*GM34+(1-EXP(-LN(2)/25))/(LN(2)/25)*Calculateur!GH35*Calculateur!GJ35*VLOOKUP('Données projet'!$B$17,Paramètres!$A$1:$I$89,3,0)*0.475*44/12</f>
        <v>0</v>
      </c>
      <c r="GN35" s="23">
        <f>EXP(-LN(2)/2)*GN34+(1-EXP(-LN(2)/2))/(LN(2)/2)*GH35*GK35*VLOOKUP('Données projet'!$B$17,Paramètres!$A$1:$I$89,3,0)*0.475*44/12</f>
        <v>2.0734175390127247</v>
      </c>
      <c r="GO35" s="23">
        <f t="shared" si="27"/>
        <v>2.0734175390127247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10.576153846153847</v>
      </c>
      <c r="GU35" s="13">
        <f>IF('Données projet'!$A$270&gt;35,GU34+GT35-HC34,IF(A35&lt;'Données projet'!$A$270,$GR$205^A35,IF(A35='Données projet'!$A$270,'Données projet'!$B$270,GU34+GT35-HC34)))</f>
        <v>168.40615384615387</v>
      </c>
      <c r="GV35" s="18">
        <f>GU35*VLOOKUP('Données projet'!$B$18,Paramètres!$A$1:$I$89,3,0)*VLOOKUP('Données projet'!$B$18,Paramètres!$A$1:$I$89,5,0)</f>
        <v>78.814080000000018</v>
      </c>
      <c r="GW35" s="14">
        <f t="shared" si="51"/>
        <v>21.846968964366972</v>
      </c>
      <c r="GX35" s="22">
        <f t="shared" si="28"/>
        <v>175.31799361293915</v>
      </c>
      <c r="GY35" s="62">
        <f t="shared" si="29"/>
        <v>468.65132694627243</v>
      </c>
      <c r="GZ35" s="62">
        <f ca="1">AVERAGE(OFFSET($GY$3,0,0,'Données projet'!$E$18+1,1))-AVERAGE(OFFSET($H$3,0,0,'Données projet'!$E$18+1,1))</f>
        <v>284.88646502866419</v>
      </c>
      <c r="HA35" s="62">
        <f t="shared" si="52"/>
        <v>190.4880882944471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>
        <f>EXP(-LN(2)/35)*HG34+(1-EXP(-LN(2)/35))/(LN(2)/35)*HC35*HD35*VLOOKUP('Données projet'!$B$18,Paramètres!$A$1:$I$89,3,0)*0.475*44/12</f>
        <v>0</v>
      </c>
      <c r="HH35" s="23">
        <f>EXP(-LN(2)/25)*HH34+(1-EXP(-LN(2)/25))/(LN(2)/25)*Calculateur!HC35*Calculateur!HE35*VLOOKUP('Données projet'!$B$18,Paramètres!$A$1:$I$89,3,0)*0.475*44/12</f>
        <v>0</v>
      </c>
      <c r="HI35" s="23">
        <f>EXP(-LN(2)/2)*HI34+(1-EXP(-LN(2)/2))/(LN(2)/2)*HC35*HF35*VLOOKUP('Données projet'!$B$18,Paramètres!$A$1:$I$89,3,0)*0.475*44/12</f>
        <v>0</v>
      </c>
      <c r="HJ35" s="24">
        <f t="shared" si="30"/>
        <v>0</v>
      </c>
    </row>
    <row r="36" spans="1:218" s="5" customFormat="1" x14ac:dyDescent="0.25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2">
        <f t="shared" si="32"/>
        <v>0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0</v>
      </c>
      <c r="H36" s="70">
        <f t="shared" si="1"/>
        <v>256.66666666666669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6.4102564102564088</v>
      </c>
      <c r="N36" s="14">
        <f>IF('Données projet'!$A$36&gt;35,N35+M36-V35,IF(A36&lt;'Données projet'!$A$36,$K$205^A36,IF(A36='Données projet'!$A$36,'Données projet'!$B$36,N35+M36-V35)))</f>
        <v>110.25641025641025</v>
      </c>
      <c r="O36" s="14">
        <f>N36*VLOOKUP('Données projet'!$B$9,Paramètres!$A$1:$I$89,3,0)*VLOOKUP('Données projet'!$B$9,Paramètres!$A$1:$I$89,5,0)</f>
        <v>104.91999999999999</v>
      </c>
      <c r="P36" s="14">
        <f t="shared" si="33"/>
        <v>28.130823299932707</v>
      </c>
      <c r="Q36" s="22">
        <f t="shared" si="53"/>
        <v>231.73018391404943</v>
      </c>
      <c r="R36" s="62">
        <f t="shared" si="0"/>
        <v>525.06351724738272</v>
      </c>
      <c r="S36" s="62">
        <f ca="1">AVERAGE(OFFSET($R$3,0,0,'Données projet'!$E$9+1,1))-AVERAGE(OFFSET($H$3,0,0,'Données projet'!$E$9+1,1))</f>
        <v>367.11183928586667</v>
      </c>
      <c r="T36" s="62">
        <f t="shared" si="34"/>
        <v>281.52963027844595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0</v>
      </c>
      <c r="AA36" s="23">
        <f>EXP(-LN(2)/25)*AA35+(1-EXP(-LN(2)/25))/(LN(2)/25)*Calculateur!V36*Calculateur!X36*VLOOKUP('Données projet'!$B$9,Paramètres!$A$1:$I$89,3,0)*0.475*44/12</f>
        <v>0</v>
      </c>
      <c r="AB36" s="23">
        <f>EXP(-LN(2)/2)*AB35+(1-EXP(-LN(2)/2))/(LN(2)/2)*V36*Y36*VLOOKUP('Données projet'!$B$9,Paramètres!$A$1:$I$89,3,0)*0.475*44/12</f>
        <v>0</v>
      </c>
      <c r="AC36" s="24">
        <f t="shared" si="3"/>
        <v>0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8</v>
      </c>
      <c r="AI36" s="14">
        <f>IF('Données projet'!$A$62&gt;35,AI35+AH36-AQ35,IF(A36&lt;'Données projet'!$A$62,$AF$205^A36,IF(A36='Données projet'!$A$62,'Données projet'!$B$62,AI35+AH36-AQ35)))</f>
        <v>100</v>
      </c>
      <c r="AJ36" s="14">
        <f>AI36*VLOOKUP('Données projet'!$B$10,Paramètres!$A$1:$I$89,3,0)*VLOOKUP('Données projet'!$B$10,Paramètres!$A$1:$I$89,5,0)</f>
        <v>90.47999999999999</v>
      </c>
      <c r="AK36" s="14">
        <f t="shared" si="35"/>
        <v>24.680953573367994</v>
      </c>
      <c r="AL36" s="22">
        <f t="shared" si="4"/>
        <v>200.57199414028256</v>
      </c>
      <c r="AM36" s="62">
        <f t="shared" si="5"/>
        <v>493.9053274736159</v>
      </c>
      <c r="AN36" s="62">
        <f ca="1">AVERAGE(OFFSET($AM$3,0,0,'Données projet'!$E$10+1,1))-AVERAGE(OFFSET($H$3,0,0,'Données projet'!$E$10+1,1))</f>
        <v>428.8489304403459</v>
      </c>
      <c r="AO36" s="62">
        <f t="shared" si="36"/>
        <v>247.01165577562966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0</v>
      </c>
      <c r="AV36" s="23">
        <f>EXP(-LN(2)/25)*AV35+(1-EXP(-LN(2)/25))/(LN(2)/25)*Calculateur!AQ36*Calculateur!AS36*VLOOKUP('Données projet'!$B$10,Paramètres!$A$1:$I$89,3,0)*0.475*44/12</f>
        <v>0</v>
      </c>
      <c r="AW36" s="23">
        <f>EXP(-LN(2)/2)*AW35+(1-EXP(-LN(2)/2))/(LN(2)/2)*AQ36*AT36*VLOOKUP('Données projet'!$B$10,Paramètres!$A$1:$I$89,3,0)*0.475*44/12</f>
        <v>0</v>
      </c>
      <c r="AX36" s="23">
        <f t="shared" si="6"/>
        <v>0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8</v>
      </c>
      <c r="BD36" s="13">
        <f>IF('Données projet'!$A$88&gt;35,BD35+BC36-BL35,IF(A36&lt;'Données projet'!$A$88,$BA$205^A36,IF(A36='Données projet'!$A$88,'Données projet'!$B$88,BD35+BC36-BL35)))</f>
        <v>100</v>
      </c>
      <c r="BE36" s="14">
        <f>BD36*VLOOKUP('Données projet'!$B$11,Paramètres!$A$1:$I$89,3,0)*VLOOKUP('Données projet'!$B$11,Paramètres!$A$1:$I$89,5,0)</f>
        <v>101.4</v>
      </c>
      <c r="BF36" s="14">
        <f t="shared" si="37"/>
        <v>27.295257887453797</v>
      </c>
      <c r="BG36" s="22">
        <f t="shared" si="7"/>
        <v>224.14424082064872</v>
      </c>
      <c r="BH36" s="62">
        <f t="shared" si="8"/>
        <v>517.477574153982</v>
      </c>
      <c r="BI36" s="62">
        <f ca="1">AVERAGE(OFFSET($BH$3,0,0,'Données projet'!$E$11+1,1))-AVERAGE(OFFSET($H$3,0,0,'Données projet'!$E$11+1,1))</f>
        <v>475.47920969424894</v>
      </c>
      <c r="BJ36" s="62">
        <f t="shared" si="38"/>
        <v>271.73544012419364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>
        <f>EXP(-LN(2)/35)*BP35+(1-EXP(-LN(2)/35))/(LN(2)/35)*BL36*BM36*VLOOKUP('Données projet'!$B$11,Paramètres!$A$1:$I$89,3,0)*0.475*44/12</f>
        <v>0</v>
      </c>
      <c r="BQ36" s="23">
        <f>EXP(-LN(2)/25)*BQ35+(1-EXP(-LN(2)/25))/(LN(2)/25)*Calculateur!BL36*Calculateur!BN36*VLOOKUP('Données projet'!$B$11,Paramètres!$A$1:$I$89,3,0)*0.475*44/12</f>
        <v>0</v>
      </c>
      <c r="BR36" s="23">
        <f>EXP(-LN(2)/2)*BR35+(1-EXP(-LN(2)/2))/(LN(2)/2)*BL36*BO36*VLOOKUP('Données projet'!$B$11,Paramètres!$A$1:$I$89,3,0)*0.475*44/12</f>
        <v>0</v>
      </c>
      <c r="BS36" s="24">
        <f t="shared" si="9"/>
        <v>0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18.100000000000001</v>
      </c>
      <c r="BY36" s="13">
        <f>IF('Données projet'!$A$114&gt;35,BY35+BX36-CG35,IF(A36&lt;'Données projet'!$A$114,$BV$205^A36,IF(A36='Données projet'!$A$114,'Données projet'!$B$114,BY35+BX36-CG35)))</f>
        <v>269.29230769230765</v>
      </c>
      <c r="BZ36" s="14">
        <f>BY36*VLOOKUP('Données projet'!$B$12,Paramètres!$A$1:$I$89,3,0)*VLOOKUP('Données projet'!$B$12,Paramètres!$A$1:$I$89,5,0)</f>
        <v>150.53439999999998</v>
      </c>
      <c r="CA36" s="14">
        <f t="shared" si="39"/>
        <v>38.700004790658191</v>
      </c>
      <c r="CB36" s="22">
        <f t="shared" si="10"/>
        <v>329.58325501039627</v>
      </c>
      <c r="CC36" s="62">
        <f t="shared" si="11"/>
        <v>622.91658834372959</v>
      </c>
      <c r="CD36" s="62">
        <f ca="1">AVERAGE(OFFSET($CC$3,0,0,'Données projet'!$E$12+1,1))-AVERAGE(OFFSET($H$3,0,0,'Données projet'!$E$12+1,1))</f>
        <v>323.98185264074681</v>
      </c>
      <c r="CE36" s="62">
        <f t="shared" si="40"/>
        <v>301.22207291854005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>
        <f>EXP(-LN(2)/35)*CK35+(1-EXP(-LN(2)/35))/(LN(2)/35)*CG36*CH36*VLOOKUP('Données projet'!$B$12,Paramètres!$A$1:$I$89,3,0)*0.475*44/12</f>
        <v>4.2049248583966259</v>
      </c>
      <c r="CL36" s="23">
        <f>EXP(-LN(2)/25)*CL35+(1-EXP(-LN(2)/25))/(LN(2)/25)*Calculateur!CG36*Calculateur!CI36*VLOOKUP('Données projet'!$B$12,Paramètres!$A$1:$I$89,3,0)*0.475*44/12</f>
        <v>7.589063280726382</v>
      </c>
      <c r="CM36" s="23">
        <f>EXP(-LN(2)/2)*CM35+(1-EXP(-LN(2)/2))/(LN(2)/2)*CG36*CJ36*VLOOKUP('Données projet'!$B$12,Paramètres!$A$1:$I$89,3,0)*0.475*44/12</f>
        <v>2.1523648696320263</v>
      </c>
      <c r="CN36" s="24">
        <f t="shared" si="12"/>
        <v>13.946353008755036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5</v>
      </c>
      <c r="CT36" s="13">
        <f>IF('Données projet'!$A$140&gt;35,CT35+CS36-DB35,IF(A36&lt;'Données projet'!$A$140,$CQ$205^A36,IF(A36='Données projet'!$A$140,'Données projet'!$B$140,CT35+CS36-DB35)))</f>
        <v>68.999999999999986</v>
      </c>
      <c r="CU36" s="18">
        <f>CT36*VLOOKUP('Données projet'!$B$13,Paramètres!$A$1:$I$89,3,0)*VLOOKUP('Données projet'!$B$13,Paramètres!$A$1:$I$89,5,0)</f>
        <v>78.577199999999991</v>
      </c>
      <c r="CV36" s="14">
        <f t="shared" si="41"/>
        <v>21.788939637935243</v>
      </c>
      <c r="CW36" s="22">
        <f t="shared" si="13"/>
        <v>174.80435986940384</v>
      </c>
      <c r="CX36" s="62">
        <f t="shared" si="14"/>
        <v>468.13769320273718</v>
      </c>
      <c r="CY36" s="62">
        <f ca="1">AVERAGE(OFFSET($CX$3,0,0,'Données projet'!$E$13+1,1))-AVERAGE(OFFSET($H$3,0,0,'Données projet'!$E$13+1,1))</f>
        <v>399.78832690250164</v>
      </c>
      <c r="CZ36" s="62">
        <f t="shared" si="42"/>
        <v>174.32967064896343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>
        <f>EXP(-LN(2)/35)*DF35+(1-EXP(-LN(2)/35))/(LN(2)/35)*DB36*DC36*VLOOKUP('Données projet'!$B$13,Paramètres!$A$1:$I$89,3,0)*0.475*44/12</f>
        <v>0</v>
      </c>
      <c r="DG36" s="23">
        <f>EXP(-LN(2)/25)*DG35+(1-EXP(-LN(2)/25))/(LN(2)/25)*Calculateur!DB36*Calculateur!DD36*VLOOKUP('Données projet'!$B$13,Paramètres!$A$1:$I$89,3,0)*0.475*44/12</f>
        <v>0</v>
      </c>
      <c r="DH36" s="23">
        <f>EXP(-LN(2)/2)*DH35+(1-EXP(-LN(2)/2))/(LN(2)/2)*DB36*DE36*VLOOKUP('Données projet'!$B$13,Paramètres!$A$1:$I$89,3,0)*0.475*44/12</f>
        <v>0</v>
      </c>
      <c r="DI36" s="24">
        <f t="shared" si="15"/>
        <v>0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8</v>
      </c>
      <c r="DO36" s="13">
        <f>IF('Données projet'!$A$166&gt;35,DO35+DN36-DW35,IF(A36&lt;'Données projet'!$A$166,$DL$205^A36,IF(A36='Données projet'!$A$166,'Données projet'!$B$166,DO35+DN36-DW35)))</f>
        <v>100</v>
      </c>
      <c r="DP36" s="18">
        <f>DO36*VLOOKUP('Données projet'!$B$14,Paramètres!$A$1:$I$89,3,0)*VLOOKUP('Données projet'!$B$14,Paramètres!$A$1:$I$89,5,0)</f>
        <v>84.240000000000009</v>
      </c>
      <c r="DQ36" s="14">
        <f t="shared" si="43"/>
        <v>23.170749718409468</v>
      </c>
      <c r="DR36" s="22">
        <f t="shared" si="16"/>
        <v>187.07372242622981</v>
      </c>
      <c r="DS36" s="62">
        <f t="shared" si="17"/>
        <v>480.40705575956315</v>
      </c>
      <c r="DT36" s="62">
        <f ca="1">AVERAGE(OFFSET($DS$3,0,0,'Données projet'!$E$14+1,1))-AVERAGE(OFFSET($H$3,0,0,'Données projet'!$E$14+1,1))</f>
        <v>402.15128814037058</v>
      </c>
      <c r="DU36" s="62">
        <f t="shared" si="44"/>
        <v>232.85411068442738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>
        <f>EXP(-LN(2)/35)*EA35+(1-EXP(-LN(2)/35))/(LN(2)/35)*DW36*DX36*VLOOKUP('Données projet'!$B$14,Paramètres!$A$1:$I$89,3,0)*0.475*44/12</f>
        <v>0</v>
      </c>
      <c r="EB36" s="23">
        <f>EXP(-LN(2)/25)*EB35+(1-EXP(-LN(2)/25))/(LN(2)/25)*Calculateur!DW36*Calculateur!DY36*VLOOKUP('Données projet'!$B$14,Paramètres!$A$1:$I$89,3,0)*0.475*44/12</f>
        <v>0</v>
      </c>
      <c r="EC36" s="23">
        <f>EXP(-LN(2)/2)*EC35+(1-EXP(-LN(2)/2))/(LN(2)/2)*DW36*DZ36*VLOOKUP('Données projet'!$B$14,Paramètres!$A$1:$I$89,3,0)*0.475*44/12</f>
        <v>0</v>
      </c>
      <c r="ED36" s="24">
        <f t="shared" si="18"/>
        <v>0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8.3333333333333321</v>
      </c>
      <c r="EJ36" s="13">
        <f>IF('Données projet'!$A$192&gt;35,EJ35+EI36-ER35,IF(A36&lt;'Données projet'!$A$192,$EG$205^A36,IF(A36='Données projet'!$A$192,'Données projet'!$B$192,EJ35+EI36-ER35)))</f>
        <v>151.92307692307696</v>
      </c>
      <c r="EK36" s="18">
        <f>EJ36*VLOOKUP('Données projet'!$B$15,Paramètres!$A$1:$I$89,3,0)*VLOOKUP('Données projet'!$B$15,Paramètres!$A$1:$I$89,5,0)</f>
        <v>158.79000000000008</v>
      </c>
      <c r="EL36" s="14">
        <f t="shared" si="45"/>
        <v>40.569476067936968</v>
      </c>
      <c r="EM36" s="22">
        <f t="shared" si="19"/>
        <v>347.21775415165695</v>
      </c>
      <c r="EN36" s="62">
        <f t="shared" si="20"/>
        <v>640.55108748499026</v>
      </c>
      <c r="EO36" s="62">
        <f ca="1">AVERAGE(OFFSET($EN$3,0,0,'Données projet'!$E$15+1,1))-AVERAGE(OFFSET($H$3,0,0,'Données projet'!$E$15+1,1))</f>
        <v>595.89992279024398</v>
      </c>
      <c r="EP36" s="62">
        <f t="shared" si="46"/>
        <v>378.16197659288338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>
        <f>EXP(-LN(2)/35)*EV35+(1-EXP(-LN(2)/35))/(LN(2)/35)*ER36*ES36*VLOOKUP('Données projet'!$B$15,Paramètres!$A$1:$I$89,3,0)*0.475*44/12</f>
        <v>0</v>
      </c>
      <c r="EW36" s="23">
        <f>EXP(-LN(2)/25)*EW35+(1-EXP(-LN(2)/25))/(LN(2)/25)*Calculateur!ER36*Calculateur!ET36*VLOOKUP('Données projet'!$B$15,Paramètres!$A$1:$I$89,3,0)*0.475*44/12</f>
        <v>0</v>
      </c>
      <c r="EX36" s="23">
        <f>EXP(-LN(2)/2)*EX35+(1-EXP(-LN(2)/2))/(LN(2)/2)*ER36*EU36*VLOOKUP('Données projet'!$B$15,Paramètres!$A$1:$I$89,3,0)*0.475*44/12</f>
        <v>0</v>
      </c>
      <c r="EY36" s="24">
        <f t="shared" si="21"/>
        <v>0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26.090384615384622</v>
      </c>
      <c r="FE36" s="13">
        <f>IF('Données projet'!$A$218&gt;35,FE35+FD36-FM35,IF(A36&lt;'Données projet'!$A$218,$FB$205^A36,IF(A36='Données projet'!$A$218,'Données projet'!$B$218,FE35+FD36-FM35)))</f>
        <v>207.27115384615377</v>
      </c>
      <c r="FF36" s="18">
        <f>FE36*VLOOKUP('Données projet'!$B$16,Paramètres!$A$1:$I$89,3,0)*VLOOKUP('Données projet'!$B$16,Paramètres!$A$1:$I$89,5,0)</f>
        <v>123.94814999999996</v>
      </c>
      <c r="FG36" s="14">
        <f t="shared" si="47"/>
        <v>32.594098391071903</v>
      </c>
      <c r="FH36" s="22">
        <f t="shared" si="22"/>
        <v>272.6444159477835</v>
      </c>
      <c r="FI36" s="62">
        <f t="shared" si="23"/>
        <v>565.97774928111676</v>
      </c>
      <c r="FJ36" s="62">
        <f ca="1">AVERAGE(OFFSET($FI$3,0,0,'Données projet'!$E$16+1,1))-AVERAGE(OFFSET($H$3,0,0,'Données projet'!$E$16+1,1))</f>
        <v>257.56116197646924</v>
      </c>
      <c r="FK36" s="62">
        <f t="shared" si="48"/>
        <v>269.95556918835888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>
        <f>EXP(-LN(2)/35)*FQ35+(1-EXP(-LN(2)/35))/(LN(2)/35)*FM36*FN36*VLOOKUP('Données projet'!$B$16,Paramètres!$A$1:$I$89,3,0)*0.475*44/12</f>
        <v>13.740353339614341</v>
      </c>
      <c r="FR36" s="23">
        <f>EXP(-LN(2)/25)*FR35+(1-EXP(-LN(2)/25))/(LN(2)/25)*Calculateur!FM36*Calculateur!FO36*VLOOKUP('Données projet'!$B$16,Paramètres!$A$1:$I$89,3,0)*0.475*44/12</f>
        <v>14.854656459844495</v>
      </c>
      <c r="FS36" s="23">
        <f>EXP(-LN(2)/2)*FS35+(1-EXP(-LN(2)/2))/(LN(2)/2)*FM36*FP36*VLOOKUP('Données projet'!$B$16,Paramètres!$A$1:$I$89,3,0)*0.475*44/12</f>
        <v>3.0243251972569682</v>
      </c>
      <c r="FT36" s="24">
        <f t="shared" si="24"/>
        <v>31.619334996715803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>
        <f>VLOOKUP(A36,'Données projet'!$A$243:$I$263,2,0)</f>
        <v>183.89999999999998</v>
      </c>
      <c r="FX36" s="13">
        <f>VLOOKUP(A36,'Données projet'!$A$243:$I$263,9,0)</f>
        <v>12.971794871794865</v>
      </c>
      <c r="FY36" s="13">
        <f t="array" ref="FY36">INDEX(FX:FX,MIN(IF(ISNUMBER(FX36:FX232),ROW(FX36:FX232),"")))</f>
        <v>12.971794871794865</v>
      </c>
      <c r="FZ36" s="13">
        <f>IF('Données projet'!$A$244&gt;35,FZ35+FY36-GH35,IF(A36&lt;'Données projet'!$A$244,$FW$205^A36,IF(A36='Données projet'!$A$244,'Données projet'!$B$244,FZ35+FY36-GH35)))</f>
        <v>183.89999999999998</v>
      </c>
      <c r="GA36" s="18">
        <f>FZ36*VLOOKUP('Données projet'!$B$17,Paramètres!$A$1:$I$89,3,0)*VLOOKUP('Données projet'!$B$17,Paramètres!$A$1:$I$89,5,0)</f>
        <v>109.9722</v>
      </c>
      <c r="GB36" s="14">
        <f t="shared" si="49"/>
        <v>29.324434579377328</v>
      </c>
      <c r="GC36" s="22">
        <f t="shared" si="25"/>
        <v>242.60830522574884</v>
      </c>
      <c r="GD36" s="62">
        <f t="shared" si="26"/>
        <v>535.94163855908209</v>
      </c>
      <c r="GE36" s="62">
        <f ca="1">AVERAGE(OFFSET($GD$3,0,0,'Données projet'!$E$17+1,1))-AVERAGE(OFFSET($H$3,0,0,'Données projet'!$E$17+1,1))</f>
        <v>289.12367833861299</v>
      </c>
      <c r="GF36" s="62">
        <f t="shared" si="50"/>
        <v>229.06617320689003</v>
      </c>
      <c r="GG36" s="16">
        <f>IF(ISNA(VLOOKUP(A36,'Données projet'!$A$243:$I$263,3,0)),0,VLOOKUP(A36,'Données projet'!$A$243:$I$263,3,0))</f>
        <v>3</v>
      </c>
      <c r="GH36" s="16">
        <f>IF(ISNA(VLOOKUP(A36,'Données projet'!$A$243:$I$263,4,0)),0,VLOOKUP(A36,'Données projet'!$A$243:$I$263,4,0))</f>
        <v>43.007692307692302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>
        <f>EXP(-LN(2)/35)*GL35+(1-EXP(-LN(2)/35))/(LN(2)/35)*GH36*GI36*VLOOKUP('Données projet'!$B$17,Paramètres!$A$1:$I$89,3,0)*0.475*44/12</f>
        <v>0</v>
      </c>
      <c r="GM36" s="23">
        <f>EXP(-LN(2)/25)*GM35+(1-EXP(-LN(2)/25))/(LN(2)/25)*Calculateur!GH36*Calculateur!GJ36*VLOOKUP('Données projet'!$B$17,Paramètres!$A$1:$I$89,3,0)*0.475*44/12</f>
        <v>0</v>
      </c>
      <c r="GN36" s="23">
        <f>EXP(-LN(2)/2)*GN35+(1-EXP(-LN(2)/2))/(LN(2)/2)*GH36*GK36*VLOOKUP('Données projet'!$B$17,Paramètres!$A$1:$I$89,3,0)*0.475*44/12</f>
        <v>1.4661276020670206</v>
      </c>
      <c r="GO36" s="23">
        <f t="shared" si="27"/>
        <v>1.4661276020670206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10.576153846153847</v>
      </c>
      <c r="GU36" s="13">
        <f>IF('Données projet'!$A$270&gt;35,GU35+GT36-HC35,IF(A36&lt;'Données projet'!$A$270,$GR$205^A36,IF(A36='Données projet'!$A$270,'Données projet'!$B$270,GU35+GT36-HC35)))</f>
        <v>178.98230769230773</v>
      </c>
      <c r="GV36" s="18">
        <f>GU36*VLOOKUP('Données projet'!$B$18,Paramètres!$A$1:$I$89,3,0)*VLOOKUP('Données projet'!$B$18,Paramètres!$A$1:$I$89,5,0)</f>
        <v>83.763720000000006</v>
      </c>
      <c r="GW36" s="14">
        <f t="shared" si="51"/>
        <v>23.05495654284816</v>
      </c>
      <c r="GX36" s="22">
        <f t="shared" si="28"/>
        <v>186.04252831212725</v>
      </c>
      <c r="GY36" s="62">
        <f t="shared" si="29"/>
        <v>479.37586164546053</v>
      </c>
      <c r="GZ36" s="62">
        <f ca="1">AVERAGE(OFFSET($GY$3,0,0,'Données projet'!$E$18+1,1))-AVERAGE(OFFSET($H$3,0,0,'Données projet'!$E$18+1,1))</f>
        <v>284.88646502866419</v>
      </c>
      <c r="HA36" s="62">
        <f t="shared" si="52"/>
        <v>190.4880882944471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>
        <f>EXP(-LN(2)/35)*HG35+(1-EXP(-LN(2)/35))/(LN(2)/35)*HC36*HD36*VLOOKUP('Données projet'!$B$18,Paramètres!$A$1:$I$89,3,0)*0.475*44/12</f>
        <v>0</v>
      </c>
      <c r="HH36" s="23">
        <f>EXP(-LN(2)/25)*HH35+(1-EXP(-LN(2)/25))/(LN(2)/25)*Calculateur!HC36*Calculateur!HE36*VLOOKUP('Données projet'!$B$18,Paramètres!$A$1:$I$89,3,0)*0.475*44/12</f>
        <v>0</v>
      </c>
      <c r="HI36" s="23">
        <f>EXP(-LN(2)/2)*HI35+(1-EXP(-LN(2)/2))/(LN(2)/2)*HC36*HF36*VLOOKUP('Données projet'!$B$18,Paramètres!$A$1:$I$89,3,0)*0.475*44/12</f>
        <v>0</v>
      </c>
      <c r="HJ36" s="24">
        <f t="shared" si="30"/>
        <v>0</v>
      </c>
    </row>
    <row r="37" spans="1:218" s="5" customFormat="1" x14ac:dyDescent="0.25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2">
        <f t="shared" si="32"/>
        <v>0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0</v>
      </c>
      <c r="H37" s="70">
        <f t="shared" si="1"/>
        <v>256.66666666666669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6.4102564102564088</v>
      </c>
      <c r="N37" s="14">
        <f>IF('Données projet'!$A$36&gt;35,N36+M37-V36,IF(A37&lt;'Données projet'!$A$36,$K$205^A37,IF(A37='Données projet'!$A$36,'Données projet'!$B$36,N36+M37-V36)))</f>
        <v>116.66666666666666</v>
      </c>
      <c r="O37" s="14">
        <f>N37*VLOOKUP('Données projet'!$B$9,Paramètres!$A$1:$I$89,3,0)*VLOOKUP('Données projet'!$B$9,Paramètres!$A$1:$I$89,5,0)</f>
        <v>111.02</v>
      </c>
      <c r="P37" s="14">
        <f t="shared" si="33"/>
        <v>29.571175279490561</v>
      </c>
      <c r="Q37" s="22">
        <f t="shared" si="53"/>
        <v>244.86296361177938</v>
      </c>
      <c r="R37" s="62">
        <f t="shared" si="0"/>
        <v>538.19629694511264</v>
      </c>
      <c r="S37" s="62">
        <f ca="1">AVERAGE(OFFSET($R$3,0,0,'Données projet'!$E$9+1,1))-AVERAGE(OFFSET($H$3,0,0,'Données projet'!$E$9+1,1))</f>
        <v>367.11183928586667</v>
      </c>
      <c r="T37" s="62">
        <f t="shared" si="34"/>
        <v>281.52963027844595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0</v>
      </c>
      <c r="AA37" s="23">
        <f>EXP(-LN(2)/25)*AA36+(1-EXP(-LN(2)/25))/(LN(2)/25)*Calculateur!V37*Calculateur!X37*VLOOKUP('Données projet'!$B$9,Paramètres!$A$1:$I$89,3,0)*0.475*44/12</f>
        <v>0</v>
      </c>
      <c r="AB37" s="23">
        <f>EXP(-LN(2)/2)*AB36+(1-EXP(-LN(2)/2))/(LN(2)/2)*V37*Y37*VLOOKUP('Données projet'!$B$9,Paramètres!$A$1:$I$89,3,0)*0.475*44/12</f>
        <v>0</v>
      </c>
      <c r="AC37" s="24">
        <f t="shared" si="3"/>
        <v>0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8</v>
      </c>
      <c r="AI37" s="14">
        <f>IF('Données projet'!$A$62&gt;35,AI36+AH37-AQ36,IF(A37&lt;'Données projet'!$A$62,$AF$205^A37,IF(A37='Données projet'!$A$62,'Données projet'!$B$62,AI36+AH37-AQ36)))</f>
        <v>108</v>
      </c>
      <c r="AJ37" s="14">
        <f>AI37*VLOOKUP('Données projet'!$B$10,Paramètres!$A$1:$I$89,3,0)*VLOOKUP('Données projet'!$B$10,Paramètres!$A$1:$I$89,5,0)</f>
        <v>97.718399999999988</v>
      </c>
      <c r="AK37" s="14">
        <f t="shared" si="35"/>
        <v>26.417709819192194</v>
      </c>
      <c r="AL37" s="22">
        <f t="shared" si="4"/>
        <v>216.20372460175972</v>
      </c>
      <c r="AM37" s="62">
        <f t="shared" si="5"/>
        <v>509.537057935093</v>
      </c>
      <c r="AN37" s="62">
        <f ca="1">AVERAGE(OFFSET($AM$3,0,0,'Données projet'!$E$10+1,1))-AVERAGE(OFFSET($H$3,0,0,'Données projet'!$E$10+1,1))</f>
        <v>428.8489304403459</v>
      </c>
      <c r="AO37" s="62">
        <f t="shared" si="36"/>
        <v>247.01165577562966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projet'!$B$10,Paramètres!$A$1:$I$89,3,0)*0.475*44/12</f>
        <v>0</v>
      </c>
      <c r="AV37" s="23">
        <f>EXP(-LN(2)/25)*AV36+(1-EXP(-LN(2)/25))/(LN(2)/25)*Calculateur!AQ37*Calculateur!AS37*VLOOKUP('Données projet'!$B$10,Paramètres!$A$1:$I$89,3,0)*0.475*44/12</f>
        <v>0</v>
      </c>
      <c r="AW37" s="23">
        <f>EXP(-LN(2)/2)*AW36+(1-EXP(-LN(2)/2))/(LN(2)/2)*AQ37*AT37*VLOOKUP('Données projet'!$B$10,Paramètres!$A$1:$I$89,3,0)*0.475*44/12</f>
        <v>0</v>
      </c>
      <c r="AX37" s="23">
        <f t="shared" si="6"/>
        <v>0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8</v>
      </c>
      <c r="BD37" s="13">
        <f>IF('Données projet'!$A$88&gt;35,BD36+BC37-BL36,IF(A37&lt;'Données projet'!$A$88,$BA$205^A37,IF(A37='Données projet'!$A$88,'Données projet'!$B$88,BD36+BC37-BL36)))</f>
        <v>108</v>
      </c>
      <c r="BE37" s="14">
        <f>BD37*VLOOKUP('Données projet'!$B$11,Paramètres!$A$1:$I$89,3,0)*VLOOKUP('Données projet'!$B$11,Paramètres!$A$1:$I$89,5,0)</f>
        <v>109.51200000000001</v>
      </c>
      <c r="BF37" s="14">
        <f t="shared" si="37"/>
        <v>29.215978230632555</v>
      </c>
      <c r="BG37" s="22">
        <f t="shared" si="7"/>
        <v>241.61789541835174</v>
      </c>
      <c r="BH37" s="62">
        <f t="shared" si="8"/>
        <v>534.95122875168499</v>
      </c>
      <c r="BI37" s="62">
        <f ca="1">AVERAGE(OFFSET($BH$3,0,0,'Données projet'!$E$11+1,1))-AVERAGE(OFFSET($H$3,0,0,'Données projet'!$E$11+1,1))</f>
        <v>475.47920969424894</v>
      </c>
      <c r="BJ37" s="62">
        <f t="shared" si="38"/>
        <v>271.73544012419364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>
        <f>EXP(-LN(2)/35)*BP36+(1-EXP(-LN(2)/35))/(LN(2)/35)*BL37*BM37*VLOOKUP('Données projet'!$B$11,Paramètres!$A$1:$I$89,3,0)*0.475*44/12</f>
        <v>0</v>
      </c>
      <c r="BQ37" s="23">
        <f>EXP(-LN(2)/25)*BQ36+(1-EXP(-LN(2)/25))/(LN(2)/25)*Calculateur!BL37*Calculateur!BN37*VLOOKUP('Données projet'!$B$11,Paramètres!$A$1:$I$89,3,0)*0.475*44/12</f>
        <v>0</v>
      </c>
      <c r="BR37" s="23">
        <f>EXP(-LN(2)/2)*BR36+(1-EXP(-LN(2)/2))/(LN(2)/2)*BL37*BO37*VLOOKUP('Données projet'!$B$11,Paramètres!$A$1:$I$89,3,0)*0.475*44/12</f>
        <v>0</v>
      </c>
      <c r="BS37" s="24">
        <f t="shared" si="9"/>
        <v>0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18.100000000000001</v>
      </c>
      <c r="BY37" s="13">
        <f>IF('Données projet'!$A$114&gt;35,BY36+BX37-CG36,IF(A37&lt;'Données projet'!$A$114,$BV$205^A37,IF(A37='Données projet'!$A$114,'Données projet'!$B$114,BY36+BX37-CG36)))</f>
        <v>287.39230769230767</v>
      </c>
      <c r="BZ37" s="14">
        <f>BY37*VLOOKUP('Données projet'!$B$12,Paramètres!$A$1:$I$89,3,0)*VLOOKUP('Données projet'!$B$12,Paramètres!$A$1:$I$89,5,0)</f>
        <v>160.6523</v>
      </c>
      <c r="CA37" s="14">
        <f t="shared" si="39"/>
        <v>40.989608635643826</v>
      </c>
      <c r="CB37" s="22">
        <f t="shared" si="10"/>
        <v>351.19299087374634</v>
      </c>
      <c r="CC37" s="62">
        <f t="shared" si="11"/>
        <v>644.5263242070796</v>
      </c>
      <c r="CD37" s="62">
        <f ca="1">AVERAGE(OFFSET($CC$3,0,0,'Données projet'!$E$12+1,1))-AVERAGE(OFFSET($H$3,0,0,'Données projet'!$E$12+1,1))</f>
        <v>323.98185264074681</v>
      </c>
      <c r="CE37" s="62">
        <f t="shared" si="40"/>
        <v>301.22207291854005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>
        <f>EXP(-LN(2)/35)*CK36+(1-EXP(-LN(2)/35))/(LN(2)/35)*CG37*CH37*VLOOKUP('Données projet'!$B$12,Paramètres!$A$1:$I$89,3,0)*0.475*44/12</f>
        <v>4.1224688466743835</v>
      </c>
      <c r="CL37" s="23">
        <f>EXP(-LN(2)/25)*CL36+(1-EXP(-LN(2)/25))/(LN(2)/25)*Calculateur!CG37*Calculateur!CI37*VLOOKUP('Données projet'!$B$12,Paramètres!$A$1:$I$89,3,0)*0.475*44/12</f>
        <v>7.3815399462234259</v>
      </c>
      <c r="CM37" s="23">
        <f>EXP(-LN(2)/2)*CM36+(1-EXP(-LN(2)/2))/(LN(2)/2)*CG37*CJ37*VLOOKUP('Données projet'!$B$12,Paramètres!$A$1:$I$89,3,0)*0.475*44/12</f>
        <v>1.5219517949045052</v>
      </c>
      <c r="CN37" s="24">
        <f t="shared" si="12"/>
        <v>13.025960587802315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5</v>
      </c>
      <c r="CT37" s="13">
        <f>IF('Données projet'!$A$140&gt;35,CT36+CS37-DB36,IF(A37&lt;'Données projet'!$A$140,$CQ$205^A37,IF(A37='Données projet'!$A$140,'Données projet'!$B$140,CT36+CS37-DB36)))</f>
        <v>73.999999999999986</v>
      </c>
      <c r="CU37" s="18">
        <f>CT37*VLOOKUP('Données projet'!$B$13,Paramètres!$A$1:$I$89,3,0)*VLOOKUP('Données projet'!$B$13,Paramètres!$A$1:$I$89,5,0)</f>
        <v>84.271199999999979</v>
      </c>
      <c r="CV37" s="14">
        <f t="shared" si="41"/>
        <v>23.178332397368926</v>
      </c>
      <c r="CW37" s="22">
        <f t="shared" si="13"/>
        <v>187.14126892541751</v>
      </c>
      <c r="CX37" s="62">
        <f t="shared" si="14"/>
        <v>480.47460225875079</v>
      </c>
      <c r="CY37" s="62">
        <f ca="1">AVERAGE(OFFSET($CX$3,0,0,'Données projet'!$E$13+1,1))-AVERAGE(OFFSET($H$3,0,0,'Données projet'!$E$13+1,1))</f>
        <v>399.78832690250164</v>
      </c>
      <c r="CZ37" s="62">
        <f t="shared" si="42"/>
        <v>174.32967064896343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>
        <f>EXP(-LN(2)/35)*DF36+(1-EXP(-LN(2)/35))/(LN(2)/35)*DB37*DC37*VLOOKUP('Données projet'!$B$13,Paramètres!$A$1:$I$89,3,0)*0.475*44/12</f>
        <v>0</v>
      </c>
      <c r="DG37" s="23">
        <f>EXP(-LN(2)/25)*DG36+(1-EXP(-LN(2)/25))/(LN(2)/25)*Calculateur!DB37*Calculateur!DD37*VLOOKUP('Données projet'!$B$13,Paramètres!$A$1:$I$89,3,0)*0.475*44/12</f>
        <v>0</v>
      </c>
      <c r="DH37" s="23">
        <f>EXP(-LN(2)/2)*DH36+(1-EXP(-LN(2)/2))/(LN(2)/2)*DB37*DE37*VLOOKUP('Données projet'!$B$13,Paramètres!$A$1:$I$89,3,0)*0.475*44/12</f>
        <v>0</v>
      </c>
      <c r="DI37" s="24">
        <f t="shared" si="15"/>
        <v>0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8</v>
      </c>
      <c r="DO37" s="13">
        <f>IF('Données projet'!$A$166&gt;35,DO36+DN37-DW36,IF(A37&lt;'Données projet'!$A$166,$DL$205^A37,IF(A37='Données projet'!$A$166,'Données projet'!$B$166,DO36+DN37-DW36)))</f>
        <v>108</v>
      </c>
      <c r="DP37" s="18">
        <f>DO37*VLOOKUP('Données projet'!$B$14,Paramètres!$A$1:$I$89,3,0)*VLOOKUP('Données projet'!$B$14,Paramètres!$A$1:$I$89,5,0)</f>
        <v>90.97920000000002</v>
      </c>
      <c r="DQ37" s="14">
        <f t="shared" si="43"/>
        <v>24.801235516871511</v>
      </c>
      <c r="DR37" s="22">
        <f t="shared" si="16"/>
        <v>201.65092519188457</v>
      </c>
      <c r="DS37" s="62">
        <f t="shared" si="17"/>
        <v>494.98425852521791</v>
      </c>
      <c r="DT37" s="62">
        <f ca="1">AVERAGE(OFFSET($DS$3,0,0,'Données projet'!$E$14+1,1))-AVERAGE(OFFSET($H$3,0,0,'Données projet'!$E$14+1,1))</f>
        <v>402.15128814037058</v>
      </c>
      <c r="DU37" s="62">
        <f t="shared" si="44"/>
        <v>232.85411068442738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>
        <f>EXP(-LN(2)/35)*EA36+(1-EXP(-LN(2)/35))/(LN(2)/35)*DW37*DX37*VLOOKUP('Données projet'!$B$14,Paramètres!$A$1:$I$89,3,0)*0.475*44/12</f>
        <v>0</v>
      </c>
      <c r="EB37" s="23">
        <f>EXP(-LN(2)/25)*EB36+(1-EXP(-LN(2)/25))/(LN(2)/25)*Calculateur!DW37*Calculateur!DY37*VLOOKUP('Données projet'!$B$14,Paramètres!$A$1:$I$89,3,0)*0.475*44/12</f>
        <v>0</v>
      </c>
      <c r="EC37" s="23">
        <f>EXP(-LN(2)/2)*EC36+(1-EXP(-LN(2)/2))/(LN(2)/2)*DW37*DZ37*VLOOKUP('Données projet'!$B$14,Paramètres!$A$1:$I$89,3,0)*0.475*44/12</f>
        <v>0</v>
      </c>
      <c r="ED37" s="24">
        <f t="shared" si="18"/>
        <v>0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8.3333333333333321</v>
      </c>
      <c r="EJ37" s="13">
        <f>IF('Données projet'!$A$192&gt;35,EJ36+EI37-ER36,IF(A37&lt;'Données projet'!$A$192,$EG$205^A37,IF(A37='Données projet'!$A$192,'Données projet'!$B$192,EJ36+EI37-ER36)))</f>
        <v>160.25641025641031</v>
      </c>
      <c r="EK37" s="18">
        <f>EJ37*VLOOKUP('Données projet'!$B$15,Paramètres!$A$1:$I$89,3,0)*VLOOKUP('Données projet'!$B$15,Paramètres!$A$1:$I$89,5,0)</f>
        <v>167.50000000000006</v>
      </c>
      <c r="EL37" s="14">
        <f t="shared" si="45"/>
        <v>42.529624883325226</v>
      </c>
      <c r="EM37" s="22">
        <f t="shared" si="19"/>
        <v>365.80159667179151</v>
      </c>
      <c r="EN37" s="62">
        <f t="shared" si="20"/>
        <v>659.13493000512483</v>
      </c>
      <c r="EO37" s="62">
        <f ca="1">AVERAGE(OFFSET($EN$3,0,0,'Données projet'!$E$15+1,1))-AVERAGE(OFFSET($H$3,0,0,'Données projet'!$E$15+1,1))</f>
        <v>595.89992279024398</v>
      </c>
      <c r="EP37" s="62">
        <f t="shared" si="46"/>
        <v>378.16197659288338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>
        <f>EXP(-LN(2)/35)*EV36+(1-EXP(-LN(2)/35))/(LN(2)/35)*ER37*ES37*VLOOKUP('Données projet'!$B$15,Paramètres!$A$1:$I$89,3,0)*0.475*44/12</f>
        <v>0</v>
      </c>
      <c r="EW37" s="23">
        <f>EXP(-LN(2)/25)*EW36+(1-EXP(-LN(2)/25))/(LN(2)/25)*Calculateur!ER37*Calculateur!ET37*VLOOKUP('Données projet'!$B$15,Paramètres!$A$1:$I$89,3,0)*0.475*44/12</f>
        <v>0</v>
      </c>
      <c r="EX37" s="23">
        <f>EXP(-LN(2)/2)*EX36+(1-EXP(-LN(2)/2))/(LN(2)/2)*ER37*EU37*VLOOKUP('Données projet'!$B$15,Paramètres!$A$1:$I$89,3,0)*0.475*44/12</f>
        <v>0</v>
      </c>
      <c r="EY37" s="24">
        <f t="shared" si="21"/>
        <v>0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>
        <f>VLOOKUP(A37,'Données projet'!$A$217:$I$237,2,0)</f>
        <v>233.36153846153846</v>
      </c>
      <c r="FC37" s="13">
        <f>VLOOKUP(A37,'Données projet'!$A$217:$I$237,9,0)</f>
        <v>26.090384615384622</v>
      </c>
      <c r="FD37" s="13">
        <f t="array" ref="FD37">INDEX(FC:FC,MIN(IF(ISNUMBER(FC37:FC233),ROW(FC37:FC233),"")))</f>
        <v>26.090384615384622</v>
      </c>
      <c r="FE37" s="13">
        <f>IF('Données projet'!$A$218&gt;35,FE36+FD37-FM36,IF(A37&lt;'Données projet'!$A$218,$FB$205^A37,IF(A37='Données projet'!$A$218,'Données projet'!$B$218,FE36+FD37-FM36)))</f>
        <v>233.36153846153837</v>
      </c>
      <c r="FF37" s="18">
        <f>FE37*VLOOKUP('Données projet'!$B$16,Paramètres!$A$1:$I$89,3,0)*VLOOKUP('Données projet'!$B$16,Paramètres!$A$1:$I$89,5,0)</f>
        <v>139.55019999999996</v>
      </c>
      <c r="FG37" s="14">
        <f t="shared" si="47"/>
        <v>36.193943340422692</v>
      </c>
      <c r="FH37" s="22">
        <f t="shared" si="22"/>
        <v>306.08771631790279</v>
      </c>
      <c r="FI37" s="62">
        <f t="shared" si="23"/>
        <v>599.4210496512361</v>
      </c>
      <c r="FJ37" s="62">
        <f ca="1">AVERAGE(OFFSET($FI$3,0,0,'Données projet'!$E$16+1,1))-AVERAGE(OFFSET($H$3,0,0,'Données projet'!$E$16+1,1))</f>
        <v>257.56116197646924</v>
      </c>
      <c r="FK37" s="62">
        <f t="shared" si="48"/>
        <v>269.95556918835888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>
        <f>EXP(-LN(2)/35)*FQ36+(1-EXP(-LN(2)/35))/(LN(2)/35)*FM37*FN37*VLOOKUP('Données projet'!$B$16,Paramètres!$A$1:$I$89,3,0)*0.475*44/12</f>
        <v>13.470913391412507</v>
      </c>
      <c r="FR37" s="23">
        <f>EXP(-LN(2)/25)*FR36+(1-EXP(-LN(2)/25))/(LN(2)/25)*Calculateur!FM37*Calculateur!FO37*VLOOKUP('Données projet'!$B$16,Paramètres!$A$1:$I$89,3,0)*0.475*44/12</f>
        <v>14.448455097777614</v>
      </c>
      <c r="FS37" s="23">
        <f>EXP(-LN(2)/2)*FS36+(1-EXP(-LN(2)/2))/(LN(2)/2)*FM37*FP37*VLOOKUP('Données projet'!$B$16,Paramètres!$A$1:$I$89,3,0)*0.475*44/12</f>
        <v>2.1385208554937454</v>
      </c>
      <c r="FT37" s="24">
        <f t="shared" si="24"/>
        <v>30.057889344683865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12.74038461538462</v>
      </c>
      <c r="FZ37" s="13">
        <f>IF('Données projet'!$A$244&gt;35,FZ36+FY37-GH36,IF(A37&lt;'Données projet'!$A$244,$FW$205^A37,IF(A37='Données projet'!$A$244,'Données projet'!$B$244,FZ36+FY37-GH36)))</f>
        <v>153.63269230769228</v>
      </c>
      <c r="GA37" s="18">
        <f>FZ37*VLOOKUP('Données projet'!$B$17,Paramètres!$A$1:$I$89,3,0)*VLOOKUP('Données projet'!$B$17,Paramètres!$A$1:$I$89,5,0)</f>
        <v>91.872349999999997</v>
      </c>
      <c r="GB37" s="14">
        <f t="shared" si="49"/>
        <v>25.016248165039102</v>
      </c>
      <c r="GC37" s="22">
        <f t="shared" si="25"/>
        <v>203.58097513744312</v>
      </c>
      <c r="GD37" s="62">
        <f t="shared" si="26"/>
        <v>496.9143084707764</v>
      </c>
      <c r="GE37" s="62">
        <f ca="1">AVERAGE(OFFSET($GD$3,0,0,'Données projet'!$E$17+1,1))-AVERAGE(OFFSET($H$3,0,0,'Données projet'!$E$17+1,1))</f>
        <v>289.12367833861299</v>
      </c>
      <c r="GF37" s="62">
        <f t="shared" si="50"/>
        <v>229.06617320689003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>
        <f>EXP(-LN(2)/35)*GL36+(1-EXP(-LN(2)/35))/(LN(2)/35)*GH37*GI37*VLOOKUP('Données projet'!$B$17,Paramètres!$A$1:$I$89,3,0)*0.475*44/12</f>
        <v>0</v>
      </c>
      <c r="GM37" s="23">
        <f>EXP(-LN(2)/25)*GM36+(1-EXP(-LN(2)/25))/(LN(2)/25)*Calculateur!GH37*Calculateur!GJ37*VLOOKUP('Données projet'!$B$17,Paramètres!$A$1:$I$89,3,0)*0.475*44/12</f>
        <v>0</v>
      </c>
      <c r="GN37" s="23">
        <f>EXP(-LN(2)/2)*GN36+(1-EXP(-LN(2)/2))/(LN(2)/2)*GH37*GK37*VLOOKUP('Données projet'!$B$17,Paramètres!$A$1:$I$89,3,0)*0.475*44/12</f>
        <v>1.0367087695063624</v>
      </c>
      <c r="GO37" s="23">
        <f t="shared" si="27"/>
        <v>1.0367087695063624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10.576153846153847</v>
      </c>
      <c r="GU37" s="13">
        <f>IF('Données projet'!$A$270&gt;35,GU36+GT37-HC36,IF(A37&lt;'Données projet'!$A$270,$GR$205^A37,IF(A37='Données projet'!$A$270,'Données projet'!$B$270,GU36+GT37-HC36)))</f>
        <v>189.55846153846159</v>
      </c>
      <c r="GV37" s="18">
        <f>GU37*VLOOKUP('Données projet'!$B$18,Paramètres!$A$1:$I$89,3,0)*VLOOKUP('Données projet'!$B$18,Paramètres!$A$1:$I$89,5,0)</f>
        <v>88.713360000000023</v>
      </c>
      <c r="GW37" s="14">
        <f t="shared" si="51"/>
        <v>24.254658840590928</v>
      </c>
      <c r="GX37" s="22">
        <f t="shared" si="28"/>
        <v>196.75263281402923</v>
      </c>
      <c r="GY37" s="62">
        <f t="shared" si="29"/>
        <v>490.08596614736257</v>
      </c>
      <c r="GZ37" s="62">
        <f ca="1">AVERAGE(OFFSET($GY$3,0,0,'Données projet'!$E$18+1,1))-AVERAGE(OFFSET($H$3,0,0,'Données projet'!$E$18+1,1))</f>
        <v>284.88646502866419</v>
      </c>
      <c r="HA37" s="62">
        <f t="shared" si="52"/>
        <v>190.4880882944471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>
        <f>EXP(-LN(2)/35)*HG36+(1-EXP(-LN(2)/35))/(LN(2)/35)*HC37*HD37*VLOOKUP('Données projet'!$B$18,Paramètres!$A$1:$I$89,3,0)*0.475*44/12</f>
        <v>0</v>
      </c>
      <c r="HH37" s="23">
        <f>EXP(-LN(2)/25)*HH36+(1-EXP(-LN(2)/25))/(LN(2)/25)*Calculateur!HC37*Calculateur!HE37*VLOOKUP('Données projet'!$B$18,Paramètres!$A$1:$I$89,3,0)*0.475*44/12</f>
        <v>0</v>
      </c>
      <c r="HI37" s="23">
        <f>EXP(-LN(2)/2)*HI36+(1-EXP(-LN(2)/2))/(LN(2)/2)*HC37*HF37*VLOOKUP('Données projet'!$B$18,Paramètres!$A$1:$I$89,3,0)*0.475*44/12</f>
        <v>0</v>
      </c>
      <c r="HJ37" s="24">
        <f t="shared" si="30"/>
        <v>0</v>
      </c>
    </row>
    <row r="38" spans="1:218" s="5" customFormat="1" x14ac:dyDescent="0.25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2">
        <f t="shared" si="32"/>
        <v>0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0</v>
      </c>
      <c r="H38" s="70">
        <f t="shared" si="1"/>
        <v>256.66666666666669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>
        <f>VLOOKUP(A38,'Données projet'!$A$35:$I$55,2,0)</f>
        <v>123.07692307692307</v>
      </c>
      <c r="L38" s="13">
        <f>VLOOKUP(A38,'Données projet'!$A$35:$I$55,9,0)</f>
        <v>6.4102564102564088</v>
      </c>
      <c r="M38" s="13">
        <f t="array" ref="M38">INDEX(L:L,MIN(IF(ISNUMBER(L38:L234),ROW(L38:L234),"")))</f>
        <v>6.4102564102564088</v>
      </c>
      <c r="N38" s="14">
        <f>IF('Données projet'!$A$36&gt;35,N37+M38-V37,IF(A38&lt;'Données projet'!$A$36,$K$205^A38,IF(A38='Données projet'!$A$36,'Données projet'!$B$36,N37+M38-V37)))</f>
        <v>123.07692307692307</v>
      </c>
      <c r="O38" s="14">
        <f>N38*VLOOKUP('Données projet'!$B$9,Paramètres!$A$1:$I$89,3,0)*VLOOKUP('Données projet'!$B$9,Paramètres!$A$1:$I$89,5,0)</f>
        <v>117.11999999999999</v>
      </c>
      <c r="P38" s="14">
        <f t="shared" si="33"/>
        <v>31.002339853075508</v>
      </c>
      <c r="Q38" s="22">
        <f t="shared" si="53"/>
        <v>257.97974191077316</v>
      </c>
      <c r="R38" s="62">
        <f t="shared" si="0"/>
        <v>551.31307524410647</v>
      </c>
      <c r="S38" s="62">
        <f ca="1">AVERAGE(OFFSET($R$3,0,0,'Données projet'!$E$9+1,1))-AVERAGE(OFFSET($H$3,0,0,'Données projet'!$E$9+1,1))</f>
        <v>367.11183928586667</v>
      </c>
      <c r="T38" s="62">
        <f t="shared" si="34"/>
        <v>281.52963027844595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0</v>
      </c>
      <c r="AA38" s="23">
        <f>EXP(-LN(2)/25)*AA37+(1-EXP(-LN(2)/25))/(LN(2)/25)*Calculateur!V38*Calculateur!X38*VLOOKUP('Données projet'!$B$9,Paramètres!$A$1:$I$89,3,0)*0.475*44/12</f>
        <v>0</v>
      </c>
      <c r="AB38" s="23">
        <f>EXP(-LN(2)/2)*AB37+(1-EXP(-LN(2)/2))/(LN(2)/2)*V38*Y38*VLOOKUP('Données projet'!$B$9,Paramètres!$A$1:$I$89,3,0)*0.475*44/12</f>
        <v>0</v>
      </c>
      <c r="AC38" s="24">
        <f t="shared" si="3"/>
        <v>0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>
        <f>VLOOKUP(A38,'Données projet'!$A$61:$I$81,2,0)</f>
        <v>116</v>
      </c>
      <c r="AG38" s="13">
        <f>VLOOKUP(A38,'Données projet'!$A$61:$I$81,9,0)</f>
        <v>8</v>
      </c>
      <c r="AH38" s="13">
        <f t="array" ref="AH38">INDEX(AG:AG,MIN(IF(ISNUMBER(AG38:AG234),ROW(AG38:AG234),"")))</f>
        <v>8</v>
      </c>
      <c r="AI38" s="14">
        <f>IF('Données projet'!$A$62&gt;35,AI37+AH38-AQ37,IF(A38&lt;'Données projet'!$A$62,$AF$205^A38,IF(A38='Données projet'!$A$62,'Données projet'!$B$62,AI37+AH38-AQ37)))</f>
        <v>116</v>
      </c>
      <c r="AJ38" s="14">
        <f>AI38*VLOOKUP('Données projet'!$B$10,Paramètres!$A$1:$I$89,3,0)*VLOOKUP('Données projet'!$B$10,Paramètres!$A$1:$I$89,5,0)</f>
        <v>104.9568</v>
      </c>
      <c r="AK38" s="14">
        <f t="shared" si="35"/>
        <v>28.139541339232373</v>
      </c>
      <c r="AL38" s="22">
        <f t="shared" si="4"/>
        <v>231.8094611658297</v>
      </c>
      <c r="AM38" s="62">
        <f t="shared" si="5"/>
        <v>525.14279449916307</v>
      </c>
      <c r="AN38" s="62">
        <f ca="1">AVERAGE(OFFSET($AM$3,0,0,'Données projet'!$E$10+1,1))-AVERAGE(OFFSET($H$3,0,0,'Données projet'!$E$10+1,1))</f>
        <v>428.8489304403459</v>
      </c>
      <c r="AO38" s="62">
        <f t="shared" si="36"/>
        <v>247.01165577562966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projet'!$B$10,Paramètres!$A$1:$I$89,3,0)*0.475*44/12</f>
        <v>0</v>
      </c>
      <c r="AV38" s="23">
        <f>EXP(-LN(2)/25)*AV37+(1-EXP(-LN(2)/25))/(LN(2)/25)*Calculateur!AQ38*Calculateur!AS38*VLOOKUP('Données projet'!$B$10,Paramètres!$A$1:$I$89,3,0)*0.475*44/12</f>
        <v>0</v>
      </c>
      <c r="AW38" s="23">
        <f>EXP(-LN(2)/2)*AW37+(1-EXP(-LN(2)/2))/(LN(2)/2)*AQ38*AT38*VLOOKUP('Données projet'!$B$10,Paramètres!$A$1:$I$89,3,0)*0.475*44/12</f>
        <v>0</v>
      </c>
      <c r="AX38" s="23">
        <f t="shared" si="6"/>
        <v>0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>
        <f>VLOOKUP(A38,'Données projet'!$A$87:$I$107,2,0)</f>
        <v>116</v>
      </c>
      <c r="BB38" s="13">
        <f>VLOOKUP(A38,'Données projet'!$A$87:$I$107,9,0)</f>
        <v>8</v>
      </c>
      <c r="BC38" s="13">
        <f t="array" ref="BC38">INDEX(BB:BB,MIN(IF(ISNUMBER(BB38:BB234),ROW(BB38:BB234),"")))</f>
        <v>8</v>
      </c>
      <c r="BD38" s="13">
        <f>IF('Données projet'!$A$88&gt;35,BD37+BC38-BL37,IF(A38&lt;'Données projet'!$A$88,$BA$205^A38,IF(A38='Données projet'!$A$88,'Données projet'!$B$88,BD37+BC38-BL37)))</f>
        <v>116</v>
      </c>
      <c r="BE38" s="14">
        <f>BD38*VLOOKUP('Données projet'!$B$11,Paramètres!$A$1:$I$89,3,0)*VLOOKUP('Données projet'!$B$11,Paramètres!$A$1:$I$89,5,0)</f>
        <v>117.62400000000001</v>
      </c>
      <c r="BF38" s="14">
        <f t="shared" si="37"/>
        <v>31.120192961985413</v>
      </c>
      <c r="BG38" s="22">
        <f t="shared" si="7"/>
        <v>259.06280274212457</v>
      </c>
      <c r="BH38" s="62">
        <f t="shared" si="8"/>
        <v>552.39613607545789</v>
      </c>
      <c r="BI38" s="62">
        <f ca="1">AVERAGE(OFFSET($BH$3,0,0,'Données projet'!$E$11+1,1))-AVERAGE(OFFSET($H$3,0,0,'Données projet'!$E$11+1,1))</f>
        <v>475.47920969424894</v>
      </c>
      <c r="BJ38" s="62">
        <f t="shared" si="38"/>
        <v>271.73544012419364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>
        <f>EXP(-LN(2)/35)*BP37+(1-EXP(-LN(2)/35))/(LN(2)/35)*BL38*BM38*VLOOKUP('Données projet'!$B$11,Paramètres!$A$1:$I$89,3,0)*0.475*44/12</f>
        <v>0</v>
      </c>
      <c r="BQ38" s="23">
        <f>EXP(-LN(2)/25)*BQ37+(1-EXP(-LN(2)/25))/(LN(2)/25)*Calculateur!BL38*Calculateur!BN38*VLOOKUP('Données projet'!$B$11,Paramètres!$A$1:$I$89,3,0)*0.475*44/12</f>
        <v>0</v>
      </c>
      <c r="BR38" s="23">
        <f>EXP(-LN(2)/2)*BR37+(1-EXP(-LN(2)/2))/(LN(2)/2)*BL38*BO38*VLOOKUP('Données projet'!$B$11,Paramètres!$A$1:$I$89,3,0)*0.475*44/12</f>
        <v>0</v>
      </c>
      <c r="BS38" s="24">
        <f t="shared" si="9"/>
        <v>0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>
        <f>VLOOKUP(A38,'Données projet'!$A$113:$I$133,2,0)</f>
        <v>305.49230769230769</v>
      </c>
      <c r="BW38" s="13">
        <f>VLOOKUP(A38,'Données projet'!$A$113:$I$133,9,0)</f>
        <v>18.100000000000001</v>
      </c>
      <c r="BX38" s="13">
        <f t="array" ref="BX38">INDEX(BW:BW,MIN(IF(ISNUMBER(BW38:BW234),ROW(BW38:BW234),"")))</f>
        <v>18.100000000000001</v>
      </c>
      <c r="BY38" s="13">
        <f>IF('Données projet'!$A$114&gt;35,BY37+BX38-CG37,IF(A38&lt;'Données projet'!$A$114,$BV$205^A38,IF(A38='Données projet'!$A$114,'Données projet'!$B$114,BY37+BX38-CG37)))</f>
        <v>305.49230769230769</v>
      </c>
      <c r="BZ38" s="14">
        <f>BY38*VLOOKUP('Données projet'!$B$12,Paramètres!$A$1:$I$89,3,0)*VLOOKUP('Données projet'!$B$12,Paramètres!$A$1:$I$89,5,0)</f>
        <v>170.77019999999999</v>
      </c>
      <c r="CA38" s="14">
        <f t="shared" si="39"/>
        <v>43.26247735598961</v>
      </c>
      <c r="CB38" s="22">
        <f t="shared" si="10"/>
        <v>372.77357972834852</v>
      </c>
      <c r="CC38" s="62">
        <f t="shared" si="11"/>
        <v>666.10691306168178</v>
      </c>
      <c r="CD38" s="62">
        <f ca="1">AVERAGE(OFFSET($CC$3,0,0,'Données projet'!$E$12+1,1))-AVERAGE(OFFSET($H$3,0,0,'Données projet'!$E$12+1,1))</f>
        <v>323.98185264074681</v>
      </c>
      <c r="CE38" s="62">
        <f t="shared" si="40"/>
        <v>301.22207291854005</v>
      </c>
      <c r="CF38" s="16">
        <f>IF(ISNA(VLOOKUP(A38,'Données projet'!$A$113:$I$133,3,0)),0,VLOOKUP(A38,'Données projet'!$A$113:$I$133,3,0))</f>
        <v>3</v>
      </c>
      <c r="CG38" s="16">
        <f>IF(ISNA(VLOOKUP(A38,'Données projet'!$A$113:$I$133,4,0)),0,VLOOKUP(A38,'Données projet'!$A$113:$I$133,4,0))</f>
        <v>70.5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>
        <f>EXP(-LN(2)/35)*CK37+(1-EXP(-LN(2)/35))/(LN(2)/35)*CG38*CH38*VLOOKUP('Données projet'!$B$12,Paramètres!$A$1:$I$89,3,0)*0.475*44/12</f>
        <v>4.0416297470488134</v>
      </c>
      <c r="CL38" s="23">
        <f>EXP(-LN(2)/25)*CL37+(1-EXP(-LN(2)/25))/(LN(2)/25)*Calculateur!CG38*Calculateur!CI38*VLOOKUP('Données projet'!$B$12,Paramètres!$A$1:$I$89,3,0)*0.475*44/12</f>
        <v>7.1796913482156315</v>
      </c>
      <c r="CM38" s="23">
        <f>EXP(-LN(2)/2)*CM37+(1-EXP(-LN(2)/2))/(LN(2)/2)*CG38*CJ38*VLOOKUP('Données projet'!$B$12,Paramètres!$A$1:$I$89,3,0)*0.475*44/12</f>
        <v>1.0761824348160132</v>
      </c>
      <c r="CN38" s="24">
        <f t="shared" si="12"/>
        <v>12.297503530080458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>
        <f>VLOOKUP(A38,'Données projet'!$A$139:$I$159,2,0)</f>
        <v>79</v>
      </c>
      <c r="CR38" s="13">
        <f>VLOOKUP(A38,'Données projet'!$A$139:$I$159,9,0)</f>
        <v>5</v>
      </c>
      <c r="CS38" s="13">
        <f t="array" ref="CS38">INDEX(CR:CR,MIN(IF(ISNUMBER(CR38:CR234),ROW(CR38:CR234),"")))</f>
        <v>5</v>
      </c>
      <c r="CT38" s="13">
        <f>IF('Données projet'!$A$140&gt;35,CT37+CS38-DB37,IF(A38&lt;'Données projet'!$A$140,$CQ$205^A38,IF(A38='Données projet'!$A$140,'Données projet'!$B$140,CT37+CS38-DB37)))</f>
        <v>78.999999999999986</v>
      </c>
      <c r="CU38" s="18">
        <f>CT38*VLOOKUP('Données projet'!$B$13,Paramètres!$A$1:$I$89,3,0)*VLOOKUP('Données projet'!$B$13,Paramètres!$A$1:$I$89,5,0)</f>
        <v>89.965199999999982</v>
      </c>
      <c r="CV38" s="14">
        <f t="shared" si="41"/>
        <v>24.556831882990153</v>
      </c>
      <c r="CW38" s="22">
        <f t="shared" si="13"/>
        <v>199.45920552954112</v>
      </c>
      <c r="CX38" s="62">
        <f t="shared" si="14"/>
        <v>492.79253886287444</v>
      </c>
      <c r="CY38" s="62">
        <f ca="1">AVERAGE(OFFSET($CX$3,0,0,'Données projet'!$E$13+1,1))-AVERAGE(OFFSET($H$3,0,0,'Données projet'!$E$13+1,1))</f>
        <v>399.78832690250164</v>
      </c>
      <c r="CZ38" s="62">
        <f t="shared" si="42"/>
        <v>174.32967064896343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>
        <f>EXP(-LN(2)/35)*DF37+(1-EXP(-LN(2)/35))/(LN(2)/35)*DB38*DC38*VLOOKUP('Données projet'!$B$13,Paramètres!$A$1:$I$89,3,0)*0.475*44/12</f>
        <v>0</v>
      </c>
      <c r="DG38" s="23">
        <f>EXP(-LN(2)/25)*DG37+(1-EXP(-LN(2)/25))/(LN(2)/25)*Calculateur!DB38*Calculateur!DD38*VLOOKUP('Données projet'!$B$13,Paramètres!$A$1:$I$89,3,0)*0.475*44/12</f>
        <v>0</v>
      </c>
      <c r="DH38" s="23">
        <f>EXP(-LN(2)/2)*DH37+(1-EXP(-LN(2)/2))/(LN(2)/2)*DB38*DE38*VLOOKUP('Données projet'!$B$13,Paramètres!$A$1:$I$89,3,0)*0.475*44/12</f>
        <v>0</v>
      </c>
      <c r="DI38" s="24">
        <f t="shared" si="15"/>
        <v>0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>
        <f>VLOOKUP(A38,'Données projet'!$A$165:$I$185,2,0)</f>
        <v>116</v>
      </c>
      <c r="DM38" s="13">
        <f>VLOOKUP(A38,'Données projet'!$A$165:$I$185,9,0)</f>
        <v>8</v>
      </c>
      <c r="DN38" s="13">
        <f t="array" ref="DN38">INDEX(DM:DM,MIN(IF(ISNUMBER(DM38:DM234),ROW(DM38:DM234),"")))</f>
        <v>8</v>
      </c>
      <c r="DO38" s="13">
        <f>IF('Données projet'!$A$166&gt;35,DO37+DN38-DW37,IF(A38&lt;'Données projet'!$A$166,$DL$205^A38,IF(A38='Données projet'!$A$166,'Données projet'!$B$166,DO37+DN38-DW37)))</f>
        <v>116</v>
      </c>
      <c r="DP38" s="18">
        <f>DO38*VLOOKUP('Données projet'!$B$14,Paramètres!$A$1:$I$89,3,0)*VLOOKUP('Données projet'!$B$14,Paramètres!$A$1:$I$89,5,0)</f>
        <v>97.718400000000003</v>
      </c>
      <c r="DQ38" s="14">
        <f t="shared" si="43"/>
        <v>26.417709819192194</v>
      </c>
      <c r="DR38" s="22">
        <f t="shared" si="16"/>
        <v>216.20372460175975</v>
      </c>
      <c r="DS38" s="62">
        <f t="shared" si="17"/>
        <v>509.53705793509306</v>
      </c>
      <c r="DT38" s="62">
        <f ca="1">AVERAGE(OFFSET($DS$3,0,0,'Données projet'!$E$14+1,1))-AVERAGE(OFFSET($H$3,0,0,'Données projet'!$E$14+1,1))</f>
        <v>402.15128814037058</v>
      </c>
      <c r="DU38" s="62">
        <f t="shared" si="44"/>
        <v>232.85411068442738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>
        <f>EXP(-LN(2)/35)*EA37+(1-EXP(-LN(2)/35))/(LN(2)/35)*DW38*DX38*VLOOKUP('Données projet'!$B$14,Paramètres!$A$1:$I$89,3,0)*0.475*44/12</f>
        <v>0</v>
      </c>
      <c r="EB38" s="23">
        <f>EXP(-LN(2)/25)*EB37+(1-EXP(-LN(2)/25))/(LN(2)/25)*Calculateur!DW38*Calculateur!DY38*VLOOKUP('Données projet'!$B$14,Paramètres!$A$1:$I$89,3,0)*0.475*44/12</f>
        <v>0</v>
      </c>
      <c r="EC38" s="23">
        <f>EXP(-LN(2)/2)*EC37+(1-EXP(-LN(2)/2))/(LN(2)/2)*DW38*DZ38*VLOOKUP('Données projet'!$B$14,Paramètres!$A$1:$I$89,3,0)*0.475*44/12</f>
        <v>0</v>
      </c>
      <c r="ED38" s="24">
        <f t="shared" si="18"/>
        <v>0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>
        <f>VLOOKUP(A38,'Données projet'!$A$191:$I$211,2,0)</f>
        <v>168.58974358974359</v>
      </c>
      <c r="EH38" s="13">
        <f>VLOOKUP(A38,'Données projet'!$A$191:$I$211,9,0)</f>
        <v>8.3333333333333321</v>
      </c>
      <c r="EI38" s="13">
        <f t="array" ref="EI38">INDEX(EH:EH,MIN(IF(ISNUMBER(EH38:EH234),ROW(EH38:EH234),"")))</f>
        <v>8.3333333333333321</v>
      </c>
      <c r="EJ38" s="13">
        <f>IF('Données projet'!$A$192&gt;35,EJ37+EI38-ER37,IF(A38&lt;'Données projet'!$A$192,$EG$205^A38,IF(A38='Données projet'!$A$192,'Données projet'!$B$192,EJ37+EI38-ER37)))</f>
        <v>168.58974358974365</v>
      </c>
      <c r="EK38" s="18">
        <f>EJ38*VLOOKUP('Données projet'!$B$15,Paramètres!$A$1:$I$89,3,0)*VLOOKUP('Données projet'!$B$15,Paramètres!$A$1:$I$89,5,0)</f>
        <v>176.21000000000006</v>
      </c>
      <c r="EL38" s="14">
        <f t="shared" si="45"/>
        <v>44.477939513715754</v>
      </c>
      <c r="EM38" s="22">
        <f t="shared" si="19"/>
        <v>384.36482798638843</v>
      </c>
      <c r="EN38" s="62">
        <f t="shared" si="20"/>
        <v>677.69816131972175</v>
      </c>
      <c r="EO38" s="62">
        <f ca="1">AVERAGE(OFFSET($EN$3,0,0,'Données projet'!$E$15+1,1))-AVERAGE(OFFSET($H$3,0,0,'Données projet'!$E$15+1,1))</f>
        <v>595.89992279024398</v>
      </c>
      <c r="EP38" s="62">
        <f t="shared" si="46"/>
        <v>378.16197659288338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>
        <f>EXP(-LN(2)/35)*EV37+(1-EXP(-LN(2)/35))/(LN(2)/35)*ER38*ES38*VLOOKUP('Données projet'!$B$15,Paramètres!$A$1:$I$89,3,0)*0.475*44/12</f>
        <v>0</v>
      </c>
      <c r="EW38" s="23">
        <f>EXP(-LN(2)/25)*EW37+(1-EXP(-LN(2)/25))/(LN(2)/25)*Calculateur!ER38*Calculateur!ET38*VLOOKUP('Données projet'!$B$15,Paramètres!$A$1:$I$89,3,0)*0.475*44/12</f>
        <v>0</v>
      </c>
      <c r="EX38" s="23">
        <f>EXP(-LN(2)/2)*EX37+(1-EXP(-LN(2)/2))/(LN(2)/2)*ER38*EU38*VLOOKUP('Données projet'!$B$15,Paramètres!$A$1:$I$89,3,0)*0.475*44/12</f>
        <v>0</v>
      </c>
      <c r="EY38" s="24">
        <f t="shared" si="21"/>
        <v>0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14.607692307692318</v>
      </c>
      <c r="FE38" s="13">
        <f>IF('Données projet'!$A$218&gt;35,FE37+FD38-FM37,IF(A38&lt;'Données projet'!$A$218,$FB$205^A38,IF(A38='Données projet'!$A$218,'Données projet'!$B$218,FE37+FD38-FM37)))</f>
        <v>247.96923076923071</v>
      </c>
      <c r="FF38" s="18">
        <f>FE38*VLOOKUP('Données projet'!$B$16,Paramètres!$A$1:$I$89,3,0)*VLOOKUP('Données projet'!$B$16,Paramètres!$A$1:$I$89,5,0)</f>
        <v>148.28559999999996</v>
      </c>
      <c r="FG38" s="14">
        <f t="shared" si="47"/>
        <v>38.188721800687638</v>
      </c>
      <c r="FH38" s="22">
        <f t="shared" si="22"/>
        <v>324.77611046953086</v>
      </c>
      <c r="FI38" s="62">
        <f t="shared" si="23"/>
        <v>618.10944380286423</v>
      </c>
      <c r="FJ38" s="62">
        <f ca="1">AVERAGE(OFFSET($FI$3,0,0,'Données projet'!$E$16+1,1))-AVERAGE(OFFSET($H$3,0,0,'Données projet'!$E$16+1,1))</f>
        <v>257.56116197646924</v>
      </c>
      <c r="FK38" s="62">
        <f t="shared" si="48"/>
        <v>269.95556918835888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>
        <f>EXP(-LN(2)/35)*FQ37+(1-EXP(-LN(2)/35))/(LN(2)/35)*FM38*FN38*VLOOKUP('Données projet'!$B$16,Paramètres!$A$1:$I$89,3,0)*0.475*44/12</f>
        <v>13.20675699625277</v>
      </c>
      <c r="FR38" s="23">
        <f>EXP(-LN(2)/25)*FR37+(1-EXP(-LN(2)/25))/(LN(2)/25)*Calculateur!FM38*Calculateur!FO38*VLOOKUP('Données projet'!$B$16,Paramètres!$A$1:$I$89,3,0)*0.475*44/12</f>
        <v>14.053361333317655</v>
      </c>
      <c r="FS38" s="23">
        <f>EXP(-LN(2)/2)*FS37+(1-EXP(-LN(2)/2))/(LN(2)/2)*FM38*FP38*VLOOKUP('Données projet'!$B$16,Paramètres!$A$1:$I$89,3,0)*0.475*44/12</f>
        <v>1.5121625986284843</v>
      </c>
      <c r="FT38" s="24">
        <f t="shared" si="24"/>
        <v>28.77228092819891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12.74038461538462</v>
      </c>
      <c r="FZ38" s="13">
        <f>IF('Données projet'!$A$244&gt;35,FZ37+FY38-GH37,IF(A38&lt;'Données projet'!$A$244,$FW$205^A38,IF(A38='Données projet'!$A$244,'Données projet'!$B$244,FZ37+FY38-GH37)))</f>
        <v>166.37307692307689</v>
      </c>
      <c r="GA38" s="18">
        <f>FZ38*VLOOKUP('Données projet'!$B$17,Paramètres!$A$1:$I$89,3,0)*VLOOKUP('Données projet'!$B$17,Paramètres!$A$1:$I$89,5,0)</f>
        <v>99.491099999999989</v>
      </c>
      <c r="GB38" s="14">
        <f t="shared" si="49"/>
        <v>26.84072316435665</v>
      </c>
      <c r="GC38" s="22">
        <f t="shared" si="25"/>
        <v>220.02792534458783</v>
      </c>
      <c r="GD38" s="62">
        <f t="shared" si="26"/>
        <v>513.36125867792111</v>
      </c>
      <c r="GE38" s="62">
        <f ca="1">AVERAGE(OFFSET($GD$3,0,0,'Données projet'!$E$17+1,1))-AVERAGE(OFFSET($H$3,0,0,'Données projet'!$E$17+1,1))</f>
        <v>289.12367833861299</v>
      </c>
      <c r="GF38" s="62">
        <f t="shared" si="50"/>
        <v>229.06617320689003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>
        <f>EXP(-LN(2)/35)*GL37+(1-EXP(-LN(2)/35))/(LN(2)/35)*GH38*GI38*VLOOKUP('Données projet'!$B$17,Paramètres!$A$1:$I$89,3,0)*0.475*44/12</f>
        <v>0</v>
      </c>
      <c r="GM38" s="23">
        <f>EXP(-LN(2)/25)*GM37+(1-EXP(-LN(2)/25))/(LN(2)/25)*Calculateur!GH38*Calculateur!GJ38*VLOOKUP('Données projet'!$B$17,Paramètres!$A$1:$I$89,3,0)*0.475*44/12</f>
        <v>0</v>
      </c>
      <c r="GN38" s="23">
        <f>EXP(-LN(2)/2)*GN37+(1-EXP(-LN(2)/2))/(LN(2)/2)*GH38*GK38*VLOOKUP('Données projet'!$B$17,Paramètres!$A$1:$I$89,3,0)*0.475*44/12</f>
        <v>0.73306380103351032</v>
      </c>
      <c r="GO38" s="23">
        <f t="shared" si="27"/>
        <v>0.73306380103351032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10.576153846153847</v>
      </c>
      <c r="GU38" s="13">
        <f>IF('Données projet'!$A$270&gt;35,GU37+GT38-HC37,IF(A38&lt;'Données projet'!$A$270,$GR$205^A38,IF(A38='Données projet'!$A$270,'Données projet'!$B$270,GU37+GT38-HC37)))</f>
        <v>200.13461538461544</v>
      </c>
      <c r="GV38" s="18">
        <f>GU38*VLOOKUP('Données projet'!$B$18,Paramètres!$A$1:$I$89,3,0)*VLOOKUP('Données projet'!$B$18,Paramètres!$A$1:$I$89,5,0)</f>
        <v>93.663000000000025</v>
      </c>
      <c r="GW38" s="14">
        <f t="shared" si="51"/>
        <v>25.446590807882203</v>
      </c>
      <c r="GX38" s="22">
        <f t="shared" si="28"/>
        <v>207.44920399039486</v>
      </c>
      <c r="GY38" s="62">
        <f t="shared" si="29"/>
        <v>500.78253732372821</v>
      </c>
      <c r="GZ38" s="62">
        <f ca="1">AVERAGE(OFFSET($GY$3,0,0,'Données projet'!$E$18+1,1))-AVERAGE(OFFSET($H$3,0,0,'Données projet'!$E$18+1,1))</f>
        <v>284.88646502866419</v>
      </c>
      <c r="HA38" s="62">
        <f t="shared" si="52"/>
        <v>190.4880882944471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>
        <f>EXP(-LN(2)/35)*HG37+(1-EXP(-LN(2)/35))/(LN(2)/35)*HC38*HD38*VLOOKUP('Données projet'!$B$18,Paramètres!$A$1:$I$89,3,0)*0.475*44/12</f>
        <v>0</v>
      </c>
      <c r="HH38" s="23">
        <f>EXP(-LN(2)/25)*HH37+(1-EXP(-LN(2)/25))/(LN(2)/25)*Calculateur!HC38*Calculateur!HE38*VLOOKUP('Données projet'!$B$18,Paramètres!$A$1:$I$89,3,0)*0.475*44/12</f>
        <v>0</v>
      </c>
      <c r="HI38" s="23">
        <f>EXP(-LN(2)/2)*HI37+(1-EXP(-LN(2)/2))/(LN(2)/2)*HC38*HF38*VLOOKUP('Données projet'!$B$18,Paramètres!$A$1:$I$89,3,0)*0.475*44/12</f>
        <v>0</v>
      </c>
      <c r="HJ38" s="24">
        <f t="shared" si="30"/>
        <v>0</v>
      </c>
    </row>
    <row r="39" spans="1:218" s="5" customFormat="1" x14ac:dyDescent="0.25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2">
        <f t="shared" si="32"/>
        <v>0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0</v>
      </c>
      <c r="H39" s="70">
        <f t="shared" si="1"/>
        <v>256.66666666666669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5.8974358974359005</v>
      </c>
      <c r="N39" s="14">
        <f>IF('Données projet'!$A$36&gt;35,N38+M39-V38,IF(A39&lt;'Données projet'!$A$36,$K$205^A39,IF(A39='Données projet'!$A$36,'Données projet'!$B$36,N38+M39-V38)))</f>
        <v>128.97435897435898</v>
      </c>
      <c r="O39" s="14">
        <f>N39*VLOOKUP('Données projet'!$B$9,Paramètres!$A$1:$I$89,3,0)*VLOOKUP('Données projet'!$B$9,Paramètres!$A$1:$I$89,5,0)</f>
        <v>122.73200000000001</v>
      </c>
      <c r="P39" s="14">
        <f t="shared" si="33"/>
        <v>32.311356202721527</v>
      </c>
      <c r="Q39" s="22">
        <f t="shared" si="53"/>
        <v>270.03384538640671</v>
      </c>
      <c r="R39" s="62">
        <f t="shared" si="0"/>
        <v>563.36717871973997</v>
      </c>
      <c r="S39" s="62">
        <f ca="1">AVERAGE(OFFSET($R$3,0,0,'Données projet'!$E$9+1,1))-AVERAGE(OFFSET($H$3,0,0,'Données projet'!$E$9+1,1))</f>
        <v>367.11183928586667</v>
      </c>
      <c r="T39" s="62">
        <f t="shared" si="34"/>
        <v>281.52963027844595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0</v>
      </c>
      <c r="AA39" s="23">
        <f>EXP(-LN(2)/25)*AA38+(1-EXP(-LN(2)/25))/(LN(2)/25)*Calculateur!V39*Calculateur!X39*VLOOKUP('Données projet'!$B$9,Paramètres!$A$1:$I$89,3,0)*0.475*44/12</f>
        <v>0</v>
      </c>
      <c r="AB39" s="23">
        <f>EXP(-LN(2)/2)*AB38+(1-EXP(-LN(2)/2))/(LN(2)/2)*V39*Y39*VLOOKUP('Données projet'!$B$9,Paramètres!$A$1:$I$89,3,0)*0.475*44/12</f>
        <v>0</v>
      </c>
      <c r="AC39" s="24">
        <f t="shared" si="3"/>
        <v>0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8.4</v>
      </c>
      <c r="AI39" s="14">
        <f>IF('Données projet'!$A$62&gt;35,AI38+AH39-AQ38,IF(A39&lt;'Données projet'!$A$62,$AF$205^A39,IF(A39='Données projet'!$A$62,'Données projet'!$B$62,AI38+AH39-AQ38)))</f>
        <v>124.4</v>
      </c>
      <c r="AJ39" s="14">
        <f>AI39*VLOOKUP('Données projet'!$B$10,Paramètres!$A$1:$I$89,3,0)*VLOOKUP('Données projet'!$B$10,Paramètres!$A$1:$I$89,5,0)</f>
        <v>112.55712000000001</v>
      </c>
      <c r="AK39" s="14">
        <f t="shared" si="35"/>
        <v>29.932653834140599</v>
      </c>
      <c r="AL39" s="22">
        <f t="shared" si="4"/>
        <v>248.16968942779488</v>
      </c>
      <c r="AM39" s="62">
        <f t="shared" si="5"/>
        <v>541.50302276112825</v>
      </c>
      <c r="AN39" s="62">
        <f ca="1">AVERAGE(OFFSET($AM$3,0,0,'Données projet'!$E$10+1,1))-AVERAGE(OFFSET($H$3,0,0,'Données projet'!$E$10+1,1))</f>
        <v>428.8489304403459</v>
      </c>
      <c r="AO39" s="62">
        <f t="shared" si="36"/>
        <v>247.01165577562966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0</v>
      </c>
      <c r="AV39" s="23">
        <f>EXP(-LN(2)/25)*AV38+(1-EXP(-LN(2)/25))/(LN(2)/25)*Calculateur!AQ39*Calculateur!AS39*VLOOKUP('Données projet'!$B$10,Paramètres!$A$1:$I$89,3,0)*0.475*44/12</f>
        <v>0</v>
      </c>
      <c r="AW39" s="23">
        <f>EXP(-LN(2)/2)*AW38+(1-EXP(-LN(2)/2))/(LN(2)/2)*AQ39*AT39*VLOOKUP('Données projet'!$B$10,Paramètres!$A$1:$I$89,3,0)*0.475*44/12</f>
        <v>0</v>
      </c>
      <c r="AX39" s="23">
        <f t="shared" si="6"/>
        <v>0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8.4</v>
      </c>
      <c r="BD39" s="13">
        <f>IF('Données projet'!$A$88&gt;35,BD38+BC39-BL38,IF(A39&lt;'Données projet'!$A$88,$BA$205^A39,IF(A39='Données projet'!$A$88,'Données projet'!$B$88,BD38+BC39-BL38)))</f>
        <v>124.4</v>
      </c>
      <c r="BE39" s="14">
        <f>BD39*VLOOKUP('Données projet'!$B$11,Paramètres!$A$1:$I$89,3,0)*VLOOKUP('Données projet'!$B$11,Paramètres!$A$1:$I$89,5,0)</f>
        <v>126.1416</v>
      </c>
      <c r="BF39" s="14">
        <f t="shared" si="37"/>
        <v>33.10323903126482</v>
      </c>
      <c r="BG39" s="22">
        <f t="shared" si="7"/>
        <v>277.35142797945286</v>
      </c>
      <c r="BH39" s="62">
        <f t="shared" si="8"/>
        <v>570.68476131278612</v>
      </c>
      <c r="BI39" s="62">
        <f ca="1">AVERAGE(OFFSET($BH$3,0,0,'Données projet'!$E$11+1,1))-AVERAGE(OFFSET($H$3,0,0,'Données projet'!$E$11+1,1))</f>
        <v>475.47920969424894</v>
      </c>
      <c r="BJ39" s="62">
        <f t="shared" si="38"/>
        <v>271.73544012419364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>
        <f>EXP(-LN(2)/35)*BP38+(1-EXP(-LN(2)/35))/(LN(2)/35)*BL39*BM39*VLOOKUP('Données projet'!$B$11,Paramètres!$A$1:$I$89,3,0)*0.475*44/12</f>
        <v>0</v>
      </c>
      <c r="BQ39" s="23">
        <f>EXP(-LN(2)/25)*BQ38+(1-EXP(-LN(2)/25))/(LN(2)/25)*Calculateur!BL39*Calculateur!BN39*VLOOKUP('Données projet'!$B$11,Paramètres!$A$1:$I$89,3,0)*0.475*44/12</f>
        <v>0</v>
      </c>
      <c r="BR39" s="23">
        <f>EXP(-LN(2)/2)*BR38+(1-EXP(-LN(2)/2))/(LN(2)/2)*BL39*BO39*VLOOKUP('Données projet'!$B$11,Paramètres!$A$1:$I$89,3,0)*0.475*44/12</f>
        <v>0</v>
      </c>
      <c r="BS39" s="24">
        <f t="shared" si="9"/>
        <v>0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18.229670329670324</v>
      </c>
      <c r="BY39" s="13">
        <f>IF('Données projet'!$A$114&gt;35,BY38+BX39-CG38,IF(A39&lt;'Données projet'!$A$114,$BV$205^A39,IF(A39='Données projet'!$A$114,'Données projet'!$B$114,BY38+BX39-CG38)))</f>
        <v>253.22197802197803</v>
      </c>
      <c r="BZ39" s="14">
        <f>BY39*VLOOKUP('Données projet'!$B$12,Paramètres!$A$1:$I$89,3,0)*VLOOKUP('Données projet'!$B$12,Paramètres!$A$1:$I$89,5,0)</f>
        <v>141.55108571428573</v>
      </c>
      <c r="CA39" s="14">
        <f t="shared" si="39"/>
        <v>36.652109269178766</v>
      </c>
      <c r="CB39" s="22">
        <f t="shared" si="10"/>
        <v>310.37056459620067</v>
      </c>
      <c r="CC39" s="62">
        <f t="shared" si="11"/>
        <v>603.70389792953392</v>
      </c>
      <c r="CD39" s="62">
        <f ca="1">AVERAGE(OFFSET($CC$3,0,0,'Données projet'!$E$12+1,1))-AVERAGE(OFFSET($H$3,0,0,'Données projet'!$E$12+1,1))</f>
        <v>323.98185264074681</v>
      </c>
      <c r="CE39" s="62">
        <f t="shared" si="40"/>
        <v>301.22207291854005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>
        <f>EXP(-LN(2)/35)*CK38+(1-EXP(-LN(2)/35))/(LN(2)/35)*CG39*CH39*VLOOKUP('Données projet'!$B$12,Paramètres!$A$1:$I$89,3,0)*0.475*44/12</f>
        <v>3.9623758528599184</v>
      </c>
      <c r="CL39" s="23">
        <f>EXP(-LN(2)/25)*CL38+(1-EXP(-LN(2)/25))/(LN(2)/25)*Calculateur!CG39*Calculateur!CI39*VLOOKUP('Données projet'!$B$12,Paramètres!$A$1:$I$89,3,0)*0.475*44/12</f>
        <v>6.9833623107351164</v>
      </c>
      <c r="CM39" s="23">
        <f>EXP(-LN(2)/2)*CM38+(1-EXP(-LN(2)/2))/(LN(2)/2)*CG39*CJ39*VLOOKUP('Données projet'!$B$12,Paramètres!$A$1:$I$89,3,0)*0.475*44/12</f>
        <v>0.76097589745225258</v>
      </c>
      <c r="CN39" s="24">
        <f t="shared" si="12"/>
        <v>11.706714061047288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5.4</v>
      </c>
      <c r="CT39" s="13">
        <f>IF('Données projet'!$A$140&gt;35,CT38+CS39-DB38,IF(A39&lt;'Données projet'!$A$140,$CQ$205^A39,IF(A39='Données projet'!$A$140,'Données projet'!$B$140,CT38+CS39-DB38)))</f>
        <v>84.399999999999991</v>
      </c>
      <c r="CU39" s="18">
        <f>CT39*VLOOKUP('Données projet'!$B$13,Paramètres!$A$1:$I$89,3,0)*VLOOKUP('Données projet'!$B$13,Paramètres!$A$1:$I$89,5,0)</f>
        <v>96.114719999999991</v>
      </c>
      <c r="CV39" s="14">
        <f t="shared" si="41"/>
        <v>26.03425923582024</v>
      </c>
      <c r="CW39" s="22">
        <f t="shared" si="13"/>
        <v>212.74280550238689</v>
      </c>
      <c r="CX39" s="62">
        <f t="shared" si="14"/>
        <v>506.0761388357202</v>
      </c>
      <c r="CY39" s="62">
        <f ca="1">AVERAGE(OFFSET($CX$3,0,0,'Données projet'!$E$13+1,1))-AVERAGE(OFFSET($H$3,0,0,'Données projet'!$E$13+1,1))</f>
        <v>399.78832690250164</v>
      </c>
      <c r="CZ39" s="62">
        <f t="shared" si="42"/>
        <v>174.32967064896343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>
        <f>EXP(-LN(2)/35)*DF38+(1-EXP(-LN(2)/35))/(LN(2)/35)*DB39*DC39*VLOOKUP('Données projet'!$B$13,Paramètres!$A$1:$I$89,3,0)*0.475*44/12</f>
        <v>0</v>
      </c>
      <c r="DG39" s="23">
        <f>EXP(-LN(2)/25)*DG38+(1-EXP(-LN(2)/25))/(LN(2)/25)*Calculateur!DB39*Calculateur!DD39*VLOOKUP('Données projet'!$B$13,Paramètres!$A$1:$I$89,3,0)*0.475*44/12</f>
        <v>0</v>
      </c>
      <c r="DH39" s="23">
        <f>EXP(-LN(2)/2)*DH38+(1-EXP(-LN(2)/2))/(LN(2)/2)*DB39*DE39*VLOOKUP('Données projet'!$B$13,Paramètres!$A$1:$I$89,3,0)*0.475*44/12</f>
        <v>0</v>
      </c>
      <c r="DI39" s="24">
        <f t="shared" si="15"/>
        <v>0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8.4</v>
      </c>
      <c r="DO39" s="13">
        <f>IF('Données projet'!$A$166&gt;35,DO38+DN39-DW38,IF(A39&lt;'Données projet'!$A$166,$DL$205^A39,IF(A39='Données projet'!$A$166,'Données projet'!$B$166,DO38+DN39-DW38)))</f>
        <v>124.4</v>
      </c>
      <c r="DP39" s="18">
        <f>DO39*VLOOKUP('Données projet'!$B$14,Paramètres!$A$1:$I$89,3,0)*VLOOKUP('Données projet'!$B$14,Paramètres!$A$1:$I$89,5,0)</f>
        <v>104.79456</v>
      </c>
      <c r="DQ39" s="14">
        <f t="shared" si="43"/>
        <v>28.101103481959861</v>
      </c>
      <c r="DR39" s="22">
        <f t="shared" si="16"/>
        <v>231.45994723108012</v>
      </c>
      <c r="DS39" s="62">
        <f t="shared" si="17"/>
        <v>524.79328056441341</v>
      </c>
      <c r="DT39" s="62">
        <f ca="1">AVERAGE(OFFSET($DS$3,0,0,'Données projet'!$E$14+1,1))-AVERAGE(OFFSET($H$3,0,0,'Données projet'!$E$14+1,1))</f>
        <v>402.15128814037058</v>
      </c>
      <c r="DU39" s="62">
        <f t="shared" si="44"/>
        <v>232.85411068442738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>
        <f>EXP(-LN(2)/35)*EA38+(1-EXP(-LN(2)/35))/(LN(2)/35)*DW39*DX39*VLOOKUP('Données projet'!$B$14,Paramètres!$A$1:$I$89,3,0)*0.475*44/12</f>
        <v>0</v>
      </c>
      <c r="EB39" s="23">
        <f>EXP(-LN(2)/25)*EB38+(1-EXP(-LN(2)/25))/(LN(2)/25)*Calculateur!DW39*Calculateur!DY39*VLOOKUP('Données projet'!$B$14,Paramètres!$A$1:$I$89,3,0)*0.475*44/12</f>
        <v>0</v>
      </c>
      <c r="EC39" s="23">
        <f>EXP(-LN(2)/2)*EC38+(1-EXP(-LN(2)/2))/(LN(2)/2)*DW39*DZ39*VLOOKUP('Données projet'!$B$14,Paramètres!$A$1:$I$89,3,0)*0.475*44/12</f>
        <v>0</v>
      </c>
      <c r="ED39" s="24">
        <f t="shared" si="18"/>
        <v>0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7.8205128205128176</v>
      </c>
      <c r="EJ39" s="13">
        <f>IF('Données projet'!$A$192&gt;35,EJ38+EI39-ER38,IF(A39&lt;'Données projet'!$A$192,$EG$205^A39,IF(A39='Données projet'!$A$192,'Données projet'!$B$192,EJ38+EI39-ER38)))</f>
        <v>176.41025641025647</v>
      </c>
      <c r="EK39" s="18">
        <f>EJ39*VLOOKUP('Données projet'!$B$15,Paramètres!$A$1:$I$89,3,0)*VLOOKUP('Données projet'!$B$15,Paramètres!$A$1:$I$89,5,0)</f>
        <v>184.38400000000007</v>
      </c>
      <c r="EL39" s="14">
        <f t="shared" si="45"/>
        <v>46.296175202781576</v>
      </c>
      <c r="EM39" s="22">
        <f t="shared" si="19"/>
        <v>401.76797181151136</v>
      </c>
      <c r="EN39" s="62">
        <f t="shared" si="20"/>
        <v>695.10130514484467</v>
      </c>
      <c r="EO39" s="62">
        <f ca="1">AVERAGE(OFFSET($EN$3,0,0,'Données projet'!$E$15+1,1))-AVERAGE(OFFSET($H$3,0,0,'Données projet'!$E$15+1,1))</f>
        <v>595.89992279024398</v>
      </c>
      <c r="EP39" s="62">
        <f t="shared" si="46"/>
        <v>378.16197659288338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>
        <f>EXP(-LN(2)/35)*EV38+(1-EXP(-LN(2)/35))/(LN(2)/35)*ER39*ES39*VLOOKUP('Données projet'!$B$15,Paramètres!$A$1:$I$89,3,0)*0.475*44/12</f>
        <v>0</v>
      </c>
      <c r="EW39" s="23">
        <f>EXP(-LN(2)/25)*EW38+(1-EXP(-LN(2)/25))/(LN(2)/25)*Calculateur!ER39*Calculateur!ET39*VLOOKUP('Données projet'!$B$15,Paramètres!$A$1:$I$89,3,0)*0.475*44/12</f>
        <v>0</v>
      </c>
      <c r="EX39" s="23">
        <f>EXP(-LN(2)/2)*EX38+(1-EXP(-LN(2)/2))/(LN(2)/2)*ER39*EU39*VLOOKUP('Données projet'!$B$15,Paramètres!$A$1:$I$89,3,0)*0.475*44/12</f>
        <v>0</v>
      </c>
      <c r="EY39" s="24">
        <f t="shared" si="21"/>
        <v>0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>
        <f>VLOOKUP(A39,'Données projet'!$A$217:$I$237,2,0)</f>
        <v>262.57692307692309</v>
      </c>
      <c r="FC39" s="13">
        <f>VLOOKUP(A39,'Données projet'!$A$217:$I$237,9,0)</f>
        <v>14.607692307692318</v>
      </c>
      <c r="FD39" s="13">
        <f t="array" ref="FD39">INDEX(FC:FC,MIN(IF(ISNUMBER(FC39:FC235),ROW(FC39:FC235),"")))</f>
        <v>14.607692307692318</v>
      </c>
      <c r="FE39" s="13">
        <f>IF('Données projet'!$A$218&gt;35,FE38+FD39-FM38,IF(A39&lt;'Données projet'!$A$218,$FB$205^A39,IF(A39='Données projet'!$A$218,'Données projet'!$B$218,FE38+FD39-FM38)))</f>
        <v>262.57692307692304</v>
      </c>
      <c r="FF39" s="18">
        <f>FE39*VLOOKUP('Données projet'!$B$16,Paramètres!$A$1:$I$89,3,0)*VLOOKUP('Données projet'!$B$16,Paramètres!$A$1:$I$89,5,0)</f>
        <v>157.02099999999999</v>
      </c>
      <c r="FG39" s="14">
        <f t="shared" si="47"/>
        <v>40.169860444278903</v>
      </c>
      <c r="FH39" s="22">
        <f t="shared" si="22"/>
        <v>343.44074860711902</v>
      </c>
      <c r="FI39" s="62">
        <f t="shared" si="23"/>
        <v>636.77408194045233</v>
      </c>
      <c r="FJ39" s="62">
        <f ca="1">AVERAGE(OFFSET($FI$3,0,0,'Données projet'!$E$16+1,1))-AVERAGE(OFFSET($H$3,0,0,'Données projet'!$E$16+1,1))</f>
        <v>257.56116197646924</v>
      </c>
      <c r="FK39" s="62">
        <f t="shared" si="48"/>
        <v>269.95556918835888</v>
      </c>
      <c r="FL39" s="16">
        <f>IF(ISNA(VLOOKUP(A39,'Données projet'!$A$217:$I$237,3,0)),0,VLOOKUP(A39,'Données projet'!$A$217:$I$237,3,0))</f>
        <v>4</v>
      </c>
      <c r="FM39" s="16">
        <f>IF(ISNA(VLOOKUP(A39,'Données projet'!$A$217:$I$237,4,0)),0,VLOOKUP(A39,'Données projet'!$A$217:$I$237,4,0))</f>
        <v>64.553846153846152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>
        <f>EXP(-LN(2)/35)*FQ38+(1-EXP(-LN(2)/35))/(LN(2)/35)*FM39*FN39*VLOOKUP('Données projet'!$B$16,Paramètres!$A$1:$I$89,3,0)*0.475*44/12</f>
        <v>12.947780546882623</v>
      </c>
      <c r="FR39" s="23">
        <f>EXP(-LN(2)/25)*FR38+(1-EXP(-LN(2)/25))/(LN(2)/25)*Calculateur!FM39*Calculateur!FO39*VLOOKUP('Données projet'!$B$16,Paramètres!$A$1:$I$89,3,0)*0.475*44/12</f>
        <v>13.66907142862393</v>
      </c>
      <c r="FS39" s="23">
        <f>EXP(-LN(2)/2)*FS38+(1-EXP(-LN(2)/2))/(LN(2)/2)*FM39*FP39*VLOOKUP('Données projet'!$B$16,Paramètres!$A$1:$I$89,3,0)*0.475*44/12</f>
        <v>1.0692604277468729</v>
      </c>
      <c r="FT39" s="24">
        <f t="shared" si="24"/>
        <v>27.686112403253425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12.74038461538462</v>
      </c>
      <c r="FZ39" s="13">
        <f>IF('Données projet'!$A$244&gt;35,FZ38+FY39-GH38,IF(A39&lt;'Données projet'!$A$244,$FW$205^A39,IF(A39='Données projet'!$A$244,'Données projet'!$B$244,FZ38+FY39-GH38)))</f>
        <v>179.11346153846151</v>
      </c>
      <c r="GA39" s="18">
        <f>FZ39*VLOOKUP('Données projet'!$B$17,Paramètres!$A$1:$I$89,3,0)*VLOOKUP('Données projet'!$B$17,Paramètres!$A$1:$I$89,5,0)</f>
        <v>107.10984999999999</v>
      </c>
      <c r="GB39" s="14">
        <f t="shared" si="49"/>
        <v>28.648991101707331</v>
      </c>
      <c r="GC39" s="22">
        <f t="shared" si="25"/>
        <v>236.44664825214025</v>
      </c>
      <c r="GD39" s="62">
        <f t="shared" si="26"/>
        <v>529.77998158547359</v>
      </c>
      <c r="GE39" s="62">
        <f ca="1">AVERAGE(OFFSET($GD$3,0,0,'Données projet'!$E$17+1,1))-AVERAGE(OFFSET($H$3,0,0,'Données projet'!$E$17+1,1))</f>
        <v>289.12367833861299</v>
      </c>
      <c r="GF39" s="62">
        <f t="shared" si="50"/>
        <v>229.06617320689003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>
        <f>EXP(-LN(2)/35)*GL38+(1-EXP(-LN(2)/35))/(LN(2)/35)*GH39*GI39*VLOOKUP('Données projet'!$B$17,Paramètres!$A$1:$I$89,3,0)*0.475*44/12</f>
        <v>0</v>
      </c>
      <c r="GM39" s="23">
        <f>EXP(-LN(2)/25)*GM38+(1-EXP(-LN(2)/25))/(LN(2)/25)*Calculateur!GH39*Calculateur!GJ39*VLOOKUP('Données projet'!$B$17,Paramètres!$A$1:$I$89,3,0)*0.475*44/12</f>
        <v>0</v>
      </c>
      <c r="GN39" s="23">
        <f>EXP(-LN(2)/2)*GN38+(1-EXP(-LN(2)/2))/(LN(2)/2)*GH39*GK39*VLOOKUP('Données projet'!$B$17,Paramètres!$A$1:$I$89,3,0)*0.475*44/12</f>
        <v>0.51835438475318119</v>
      </c>
      <c r="GO39" s="23">
        <f t="shared" si="27"/>
        <v>0.51835438475318119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10.576153846153847</v>
      </c>
      <c r="GU39" s="13">
        <f>IF('Données projet'!$A$270&gt;35,GU38+GT39-HC38,IF(A39&lt;'Données projet'!$A$270,$GR$205^A39,IF(A39='Données projet'!$A$270,'Données projet'!$B$270,GU38+GT39-HC38)))</f>
        <v>210.7107692307693</v>
      </c>
      <c r="GV39" s="18">
        <f>GU39*VLOOKUP('Données projet'!$B$18,Paramètres!$A$1:$I$89,3,0)*VLOOKUP('Données projet'!$B$18,Paramètres!$A$1:$I$89,5,0)</f>
        <v>98.612640000000042</v>
      </c>
      <c r="GW39" s="14">
        <f t="shared" si="51"/>
        <v>26.631209895802694</v>
      </c>
      <c r="GX39" s="22">
        <f t="shared" si="28"/>
        <v>218.13303856852312</v>
      </c>
      <c r="GY39" s="62">
        <f t="shared" si="29"/>
        <v>511.46637190185641</v>
      </c>
      <c r="GZ39" s="62">
        <f ca="1">AVERAGE(OFFSET($GY$3,0,0,'Données projet'!$E$18+1,1))-AVERAGE(OFFSET($H$3,0,0,'Données projet'!$E$18+1,1))</f>
        <v>284.88646502866419</v>
      </c>
      <c r="HA39" s="62">
        <f t="shared" si="52"/>
        <v>190.4880882944471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>
        <f>EXP(-LN(2)/35)*HG38+(1-EXP(-LN(2)/35))/(LN(2)/35)*HC39*HD39*VLOOKUP('Données projet'!$B$18,Paramètres!$A$1:$I$89,3,0)*0.475*44/12</f>
        <v>0</v>
      </c>
      <c r="HH39" s="23">
        <f>EXP(-LN(2)/25)*HH38+(1-EXP(-LN(2)/25))/(LN(2)/25)*Calculateur!HC39*Calculateur!HE39*VLOOKUP('Données projet'!$B$18,Paramètres!$A$1:$I$89,3,0)*0.475*44/12</f>
        <v>0</v>
      </c>
      <c r="HI39" s="23">
        <f>EXP(-LN(2)/2)*HI38+(1-EXP(-LN(2)/2))/(LN(2)/2)*HC39*HF39*VLOOKUP('Données projet'!$B$18,Paramètres!$A$1:$I$89,3,0)*0.475*44/12</f>
        <v>0</v>
      </c>
      <c r="HJ39" s="24">
        <f t="shared" si="30"/>
        <v>0</v>
      </c>
    </row>
    <row r="40" spans="1:218" s="5" customFormat="1" x14ac:dyDescent="0.25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2">
        <f t="shared" si="32"/>
        <v>0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0</v>
      </c>
      <c r="H40" s="70">
        <f t="shared" si="1"/>
        <v>256.66666666666669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5.8974358974359005</v>
      </c>
      <c r="N40" s="14">
        <f>IF('Données projet'!$A$36&gt;35,N39+M40-V39,IF(A40&lt;'Données projet'!$A$36,$K$205^A40,IF(A40='Données projet'!$A$36,'Données projet'!$B$36,N39+M40-V39)))</f>
        <v>134.87179487179489</v>
      </c>
      <c r="O40" s="14">
        <f>N40*VLOOKUP('Données projet'!$B$9,Paramètres!$A$1:$I$89,3,0)*VLOOKUP('Données projet'!$B$9,Paramètres!$A$1:$I$89,5,0)</f>
        <v>128.34400000000002</v>
      </c>
      <c r="P40" s="14">
        <f t="shared" si="33"/>
        <v>33.613421309084202</v>
      </c>
      <c r="Q40" s="22">
        <f t="shared" si="53"/>
        <v>282.07584211332164</v>
      </c>
      <c r="R40" s="62">
        <f t="shared" si="0"/>
        <v>575.4091754466549</v>
      </c>
      <c r="S40" s="62">
        <f ca="1">AVERAGE(OFFSET($R$3,0,0,'Données projet'!$E$9+1,1))-AVERAGE(OFFSET($H$3,0,0,'Données projet'!$E$9+1,1))</f>
        <v>367.11183928586667</v>
      </c>
      <c r="T40" s="62">
        <f t="shared" si="34"/>
        <v>281.52963027844595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0</v>
      </c>
      <c r="AA40" s="23">
        <f>EXP(-LN(2)/25)*AA39+(1-EXP(-LN(2)/25))/(LN(2)/25)*Calculateur!V40*Calculateur!X40*VLOOKUP('Données projet'!$B$9,Paramètres!$A$1:$I$89,3,0)*0.475*44/12</f>
        <v>0</v>
      </c>
      <c r="AB40" s="23">
        <f>EXP(-LN(2)/2)*AB39+(1-EXP(-LN(2)/2))/(LN(2)/2)*V40*Y40*VLOOKUP('Données projet'!$B$9,Paramètres!$A$1:$I$89,3,0)*0.475*44/12</f>
        <v>0</v>
      </c>
      <c r="AC40" s="24">
        <f t="shared" si="3"/>
        <v>0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8.4</v>
      </c>
      <c r="AI40" s="14">
        <f>IF('Données projet'!$A$62&gt;35,AI39+AH40-AQ39,IF(A40&lt;'Données projet'!$A$62,$AF$205^A40,IF(A40='Données projet'!$A$62,'Données projet'!$B$62,AI39+AH40-AQ39)))</f>
        <v>132.80000000000001</v>
      </c>
      <c r="AJ40" s="14">
        <f>AI40*VLOOKUP('Données projet'!$B$10,Paramètres!$A$1:$I$89,3,0)*VLOOKUP('Données projet'!$B$10,Paramètres!$A$1:$I$89,5,0)</f>
        <v>120.15744000000001</v>
      </c>
      <c r="AK40" s="14">
        <f t="shared" si="35"/>
        <v>31.711716786129845</v>
      </c>
      <c r="AL40" s="22">
        <f t="shared" si="4"/>
        <v>264.50544806917611</v>
      </c>
      <c r="AM40" s="62">
        <f t="shared" si="5"/>
        <v>557.83878140250943</v>
      </c>
      <c r="AN40" s="62">
        <f ca="1">AVERAGE(OFFSET($AM$3,0,0,'Données projet'!$E$10+1,1))-AVERAGE(OFFSET($H$3,0,0,'Données projet'!$E$10+1,1))</f>
        <v>428.8489304403459</v>
      </c>
      <c r="AO40" s="62">
        <f t="shared" si="36"/>
        <v>247.01165577562966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0</v>
      </c>
      <c r="AV40" s="23">
        <f>EXP(-LN(2)/25)*AV39+(1-EXP(-LN(2)/25))/(LN(2)/25)*Calculateur!AQ40*Calculateur!AS40*VLOOKUP('Données projet'!$B$10,Paramètres!$A$1:$I$89,3,0)*0.475*44/12</f>
        <v>0</v>
      </c>
      <c r="AW40" s="23">
        <f>EXP(-LN(2)/2)*AW39+(1-EXP(-LN(2)/2))/(LN(2)/2)*AQ40*AT40*VLOOKUP('Données projet'!$B$10,Paramètres!$A$1:$I$89,3,0)*0.475*44/12</f>
        <v>0</v>
      </c>
      <c r="AX40" s="23">
        <f t="shared" si="6"/>
        <v>0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8.4</v>
      </c>
      <c r="BD40" s="13">
        <f>IF('Données projet'!$A$88&gt;35,BD39+BC40-BL39,IF(A40&lt;'Données projet'!$A$88,$BA$205^A40,IF(A40='Données projet'!$A$88,'Données projet'!$B$88,BD39+BC40-BL39)))</f>
        <v>132.80000000000001</v>
      </c>
      <c r="BE40" s="14">
        <f>BD40*VLOOKUP('Données projet'!$B$11,Paramètres!$A$1:$I$89,3,0)*VLOOKUP('Données projet'!$B$11,Paramètres!$A$1:$I$89,5,0)</f>
        <v>134.65920000000003</v>
      </c>
      <c r="BF40" s="14">
        <f t="shared" si="37"/>
        <v>35.07074737441733</v>
      </c>
      <c r="BG40" s="22">
        <f t="shared" si="7"/>
        <v>295.61299167711019</v>
      </c>
      <c r="BH40" s="62">
        <f t="shared" si="8"/>
        <v>588.9463250104435</v>
      </c>
      <c r="BI40" s="62">
        <f ca="1">AVERAGE(OFFSET($BH$3,0,0,'Données projet'!$E$11+1,1))-AVERAGE(OFFSET($H$3,0,0,'Données projet'!$E$11+1,1))</f>
        <v>475.47920969424894</v>
      </c>
      <c r="BJ40" s="62">
        <f t="shared" si="38"/>
        <v>271.73544012419364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>
        <f>EXP(-LN(2)/35)*BP39+(1-EXP(-LN(2)/35))/(LN(2)/35)*BL40*BM40*VLOOKUP('Données projet'!$B$11,Paramètres!$A$1:$I$89,3,0)*0.475*44/12</f>
        <v>0</v>
      </c>
      <c r="BQ40" s="23">
        <f>EXP(-LN(2)/25)*BQ39+(1-EXP(-LN(2)/25))/(LN(2)/25)*Calculateur!BL40*Calculateur!BN40*VLOOKUP('Données projet'!$B$11,Paramètres!$A$1:$I$89,3,0)*0.475*44/12</f>
        <v>0</v>
      </c>
      <c r="BR40" s="23">
        <f>EXP(-LN(2)/2)*BR39+(1-EXP(-LN(2)/2))/(LN(2)/2)*BL40*BO40*VLOOKUP('Données projet'!$B$11,Paramètres!$A$1:$I$89,3,0)*0.475*44/12</f>
        <v>0</v>
      </c>
      <c r="BS40" s="24">
        <f t="shared" si="9"/>
        <v>0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18.229670329670324</v>
      </c>
      <c r="BY40" s="13">
        <f>IF('Données projet'!$A$114&gt;35,BY39+BX40-CG39,IF(A40&lt;'Données projet'!$A$114,$BV$205^A40,IF(A40='Données projet'!$A$114,'Données projet'!$B$114,BY39+BX40-CG39)))</f>
        <v>271.45164835164837</v>
      </c>
      <c r="BZ40" s="14">
        <f>BY40*VLOOKUP('Données projet'!$B$12,Paramètres!$A$1:$I$89,3,0)*VLOOKUP('Données projet'!$B$12,Paramètres!$A$1:$I$89,5,0)</f>
        <v>151.74147142857143</v>
      </c>
      <c r="CA40" s="14">
        <f t="shared" si="39"/>
        <v>38.974074991810518</v>
      </c>
      <c r="CB40" s="22">
        <f t="shared" si="10"/>
        <v>332.16291001549854</v>
      </c>
      <c r="CC40" s="62">
        <f t="shared" si="11"/>
        <v>625.49624334883185</v>
      </c>
      <c r="CD40" s="62">
        <f ca="1">AVERAGE(OFFSET($CC$3,0,0,'Données projet'!$E$12+1,1))-AVERAGE(OFFSET($H$3,0,0,'Données projet'!$E$12+1,1))</f>
        <v>323.98185264074681</v>
      </c>
      <c r="CE40" s="62">
        <f t="shared" si="40"/>
        <v>301.22207291854005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>
        <f>EXP(-LN(2)/35)*CK39+(1-EXP(-LN(2)/35))/(LN(2)/35)*CG40*CH40*VLOOKUP('Données projet'!$B$12,Paramètres!$A$1:$I$89,3,0)*0.475*44/12</f>
        <v>3.8846760791959656</v>
      </c>
      <c r="CL40" s="23">
        <f>EXP(-LN(2)/25)*CL39+(1-EXP(-LN(2)/25))/(LN(2)/25)*Calculateur!CG40*Calculateur!CI40*VLOOKUP('Données projet'!$B$12,Paramètres!$A$1:$I$89,3,0)*0.475*44/12</f>
        <v>6.7924019011090015</v>
      </c>
      <c r="CM40" s="23">
        <f>EXP(-LN(2)/2)*CM39+(1-EXP(-LN(2)/2))/(LN(2)/2)*CG40*CJ40*VLOOKUP('Données projet'!$B$12,Paramètres!$A$1:$I$89,3,0)*0.475*44/12</f>
        <v>0.53809121740800658</v>
      </c>
      <c r="CN40" s="24">
        <f t="shared" si="12"/>
        <v>11.215169197712973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5.4</v>
      </c>
      <c r="CT40" s="13">
        <f>IF('Données projet'!$A$140&gt;35,CT39+CS40-DB39,IF(A40&lt;'Données projet'!$A$140,$CQ$205^A40,IF(A40='Données projet'!$A$140,'Données projet'!$B$140,CT39+CS40-DB39)))</f>
        <v>89.8</v>
      </c>
      <c r="CU40" s="18">
        <f>CT40*VLOOKUP('Données projet'!$B$13,Paramètres!$A$1:$I$89,3,0)*VLOOKUP('Données projet'!$B$13,Paramètres!$A$1:$I$89,5,0)</f>
        <v>102.26424</v>
      </c>
      <c r="CV40" s="14">
        <f t="shared" si="41"/>
        <v>27.500716577826278</v>
      </c>
      <c r="CW40" s="22">
        <f t="shared" si="13"/>
        <v>226.0072993730474</v>
      </c>
      <c r="CX40" s="62">
        <f t="shared" si="14"/>
        <v>519.34063270638069</v>
      </c>
      <c r="CY40" s="62">
        <f ca="1">AVERAGE(OFFSET($CX$3,0,0,'Données projet'!$E$13+1,1))-AVERAGE(OFFSET($H$3,0,0,'Données projet'!$E$13+1,1))</f>
        <v>399.78832690250164</v>
      </c>
      <c r="CZ40" s="62">
        <f t="shared" si="42"/>
        <v>174.32967064896343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>
        <f>EXP(-LN(2)/35)*DF39+(1-EXP(-LN(2)/35))/(LN(2)/35)*DB40*DC40*VLOOKUP('Données projet'!$B$13,Paramètres!$A$1:$I$89,3,0)*0.475*44/12</f>
        <v>0</v>
      </c>
      <c r="DG40" s="23">
        <f>EXP(-LN(2)/25)*DG39+(1-EXP(-LN(2)/25))/(LN(2)/25)*Calculateur!DB40*Calculateur!DD40*VLOOKUP('Données projet'!$B$13,Paramètres!$A$1:$I$89,3,0)*0.475*44/12</f>
        <v>0</v>
      </c>
      <c r="DH40" s="23">
        <f>EXP(-LN(2)/2)*DH39+(1-EXP(-LN(2)/2))/(LN(2)/2)*DB40*DE40*VLOOKUP('Données projet'!$B$13,Paramètres!$A$1:$I$89,3,0)*0.475*44/12</f>
        <v>0</v>
      </c>
      <c r="DI40" s="24">
        <f t="shared" si="15"/>
        <v>0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8.4</v>
      </c>
      <c r="DO40" s="13">
        <f>IF('Données projet'!$A$166&gt;35,DO39+DN40-DW39,IF(A40&lt;'Données projet'!$A$166,$DL$205^A40,IF(A40='Données projet'!$A$166,'Données projet'!$B$166,DO39+DN40-DW39)))</f>
        <v>132.80000000000001</v>
      </c>
      <c r="DP40" s="18">
        <f>DO40*VLOOKUP('Données projet'!$B$14,Paramètres!$A$1:$I$89,3,0)*VLOOKUP('Données projet'!$B$14,Paramètres!$A$1:$I$89,5,0)</f>
        <v>111.87072000000003</v>
      </c>
      <c r="DQ40" s="14">
        <f t="shared" si="43"/>
        <v>29.771307279851975</v>
      </c>
      <c r="DR40" s="22">
        <f t="shared" si="16"/>
        <v>246.69319751240889</v>
      </c>
      <c r="DS40" s="62">
        <f t="shared" si="17"/>
        <v>540.02653084574217</v>
      </c>
      <c r="DT40" s="62">
        <f ca="1">AVERAGE(OFFSET($DS$3,0,0,'Données projet'!$E$14+1,1))-AVERAGE(OFFSET($H$3,0,0,'Données projet'!$E$14+1,1))</f>
        <v>402.15128814037058</v>
      </c>
      <c r="DU40" s="62">
        <f t="shared" si="44"/>
        <v>232.85411068442738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>
        <f>EXP(-LN(2)/35)*EA39+(1-EXP(-LN(2)/35))/(LN(2)/35)*DW40*DX40*VLOOKUP('Données projet'!$B$14,Paramètres!$A$1:$I$89,3,0)*0.475*44/12</f>
        <v>0</v>
      </c>
      <c r="EB40" s="23">
        <f>EXP(-LN(2)/25)*EB39+(1-EXP(-LN(2)/25))/(LN(2)/25)*Calculateur!DW40*Calculateur!DY40*VLOOKUP('Données projet'!$B$14,Paramètres!$A$1:$I$89,3,0)*0.475*44/12</f>
        <v>0</v>
      </c>
      <c r="EC40" s="23">
        <f>EXP(-LN(2)/2)*EC39+(1-EXP(-LN(2)/2))/(LN(2)/2)*DW40*DZ40*VLOOKUP('Données projet'!$B$14,Paramètres!$A$1:$I$89,3,0)*0.475*44/12</f>
        <v>0</v>
      </c>
      <c r="ED40" s="24">
        <f t="shared" si="18"/>
        <v>0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7.8205128205128176</v>
      </c>
      <c r="EJ40" s="13">
        <f>IF('Données projet'!$A$192&gt;35,EJ39+EI40-ER39,IF(A40&lt;'Données projet'!$A$192,$EG$205^A40,IF(A40='Données projet'!$A$192,'Données projet'!$B$192,EJ39+EI40-ER39)))</f>
        <v>184.23076923076928</v>
      </c>
      <c r="EK40" s="18">
        <f>EJ40*VLOOKUP('Données projet'!$B$15,Paramètres!$A$1:$I$89,3,0)*VLOOKUP('Données projet'!$B$15,Paramètres!$A$1:$I$89,5,0)</f>
        <v>192.55800000000008</v>
      </c>
      <c r="EL40" s="14">
        <f t="shared" si="45"/>
        <v>48.105049406468041</v>
      </c>
      <c r="EM40" s="22">
        <f t="shared" si="19"/>
        <v>419.15481104959866</v>
      </c>
      <c r="EN40" s="62">
        <f t="shared" si="20"/>
        <v>712.48814438293198</v>
      </c>
      <c r="EO40" s="62">
        <f ca="1">AVERAGE(OFFSET($EN$3,0,0,'Données projet'!$E$15+1,1))-AVERAGE(OFFSET($H$3,0,0,'Données projet'!$E$15+1,1))</f>
        <v>595.89992279024398</v>
      </c>
      <c r="EP40" s="62">
        <f t="shared" si="46"/>
        <v>378.16197659288338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>
        <f>EXP(-LN(2)/35)*EV39+(1-EXP(-LN(2)/35))/(LN(2)/35)*ER40*ES40*VLOOKUP('Données projet'!$B$15,Paramètres!$A$1:$I$89,3,0)*0.475*44/12</f>
        <v>0</v>
      </c>
      <c r="EW40" s="23">
        <f>EXP(-LN(2)/25)*EW39+(1-EXP(-LN(2)/25))/(LN(2)/25)*Calculateur!ER40*Calculateur!ET40*VLOOKUP('Données projet'!$B$15,Paramètres!$A$1:$I$89,3,0)*0.475*44/12</f>
        <v>0</v>
      </c>
      <c r="EX40" s="23">
        <f>EXP(-LN(2)/2)*EX39+(1-EXP(-LN(2)/2))/(LN(2)/2)*ER40*EU40*VLOOKUP('Données projet'!$B$15,Paramètres!$A$1:$I$89,3,0)*0.475*44/12</f>
        <v>0</v>
      </c>
      <c r="EY40" s="24">
        <f t="shared" si="21"/>
        <v>0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13.132967032967031</v>
      </c>
      <c r="FE40" s="13">
        <f>IF('Données projet'!$A$218&gt;35,FE39+FD40-FM39,IF(A40&lt;'Données projet'!$A$218,$FB$205^A40,IF(A40='Données projet'!$A$218,'Données projet'!$B$218,FE39+FD40-FM39)))</f>
        <v>211.1560439560439</v>
      </c>
      <c r="FF40" s="18">
        <f>FE40*VLOOKUP('Données projet'!$B$16,Paramètres!$A$1:$I$89,3,0)*VLOOKUP('Données projet'!$B$16,Paramètres!$A$1:$I$89,5,0)</f>
        <v>126.27131428571425</v>
      </c>
      <c r="FG40" s="14">
        <f t="shared" si="47"/>
        <v>33.133315696894883</v>
      </c>
      <c r="FH40" s="22">
        <f t="shared" si="22"/>
        <v>277.62973055304423</v>
      </c>
      <c r="FI40" s="62">
        <f t="shared" si="23"/>
        <v>570.96306388637754</v>
      </c>
      <c r="FJ40" s="62">
        <f ca="1">AVERAGE(OFFSET($FI$3,0,0,'Données projet'!$E$16+1,1))-AVERAGE(OFFSET($H$3,0,0,'Données projet'!$E$16+1,1))</f>
        <v>257.56116197646924</v>
      </c>
      <c r="FK40" s="62">
        <f t="shared" si="48"/>
        <v>269.95556918835888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>
        <f>EXP(-LN(2)/35)*FQ39+(1-EXP(-LN(2)/35))/(LN(2)/35)*FM40*FN40*VLOOKUP('Données projet'!$B$16,Paramètres!$A$1:$I$89,3,0)*0.475*44/12</f>
        <v>12.693882467724588</v>
      </c>
      <c r="FR40" s="23">
        <f>EXP(-LN(2)/25)*FR39+(1-EXP(-LN(2)/25))/(LN(2)/25)*Calculateur!FM40*Calculateur!FO40*VLOOKUP('Données projet'!$B$16,Paramètres!$A$1:$I$89,3,0)*0.475*44/12</f>
        <v>13.295289951582983</v>
      </c>
      <c r="FS40" s="23">
        <f>EXP(-LN(2)/2)*FS39+(1-EXP(-LN(2)/2))/(LN(2)/2)*FM40*FP40*VLOOKUP('Données projet'!$B$16,Paramètres!$A$1:$I$89,3,0)*0.475*44/12</f>
        <v>0.75608129931424228</v>
      </c>
      <c r="FT40" s="24">
        <f t="shared" si="24"/>
        <v>26.745253718621814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12.74038461538462</v>
      </c>
      <c r="FZ40" s="13">
        <f>IF('Données projet'!$A$244&gt;35,FZ39+FY40-GH39,IF(A40&lt;'Données projet'!$A$244,$FW$205^A40,IF(A40='Données projet'!$A$244,'Données projet'!$B$244,FZ39+FY40-GH39)))</f>
        <v>191.85384615384612</v>
      </c>
      <c r="GA40" s="18">
        <f>FZ40*VLOOKUP('Données projet'!$B$17,Paramètres!$A$1:$I$89,3,0)*VLOOKUP('Données projet'!$B$17,Paramètres!$A$1:$I$89,5,0)</f>
        <v>114.72859999999999</v>
      </c>
      <c r="GB40" s="14">
        <f t="shared" si="49"/>
        <v>30.442335906087649</v>
      </c>
      <c r="GC40" s="22">
        <f t="shared" si="25"/>
        <v>252.83938003643593</v>
      </c>
      <c r="GD40" s="62">
        <f t="shared" si="26"/>
        <v>546.17271336976921</v>
      </c>
      <c r="GE40" s="62">
        <f ca="1">AVERAGE(OFFSET($GD$3,0,0,'Données projet'!$E$17+1,1))-AVERAGE(OFFSET($H$3,0,0,'Données projet'!$E$17+1,1))</f>
        <v>289.12367833861299</v>
      </c>
      <c r="GF40" s="62">
        <f t="shared" si="50"/>
        <v>229.06617320689003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>
        <f>EXP(-LN(2)/35)*GL39+(1-EXP(-LN(2)/35))/(LN(2)/35)*GH40*GI40*VLOOKUP('Données projet'!$B$17,Paramètres!$A$1:$I$89,3,0)*0.475*44/12</f>
        <v>0</v>
      </c>
      <c r="GM40" s="23">
        <f>EXP(-LN(2)/25)*GM39+(1-EXP(-LN(2)/25))/(LN(2)/25)*Calculateur!GH40*Calculateur!GJ40*VLOOKUP('Données projet'!$B$17,Paramètres!$A$1:$I$89,3,0)*0.475*44/12</f>
        <v>0</v>
      </c>
      <c r="GN40" s="23">
        <f>EXP(-LN(2)/2)*GN39+(1-EXP(-LN(2)/2))/(LN(2)/2)*GH40*GK40*VLOOKUP('Données projet'!$B$17,Paramètres!$A$1:$I$89,3,0)*0.475*44/12</f>
        <v>0.36653190051675516</v>
      </c>
      <c r="GO40" s="23">
        <f t="shared" si="27"/>
        <v>0.36653190051675516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10.576153846153847</v>
      </c>
      <c r="GU40" s="13">
        <f>IF('Données projet'!$A$270&gt;35,GU39+GT40-HC39,IF(A40&lt;'Données projet'!$A$270,$GR$205^A40,IF(A40='Données projet'!$A$270,'Données projet'!$B$270,GU39+GT40-HC39)))</f>
        <v>221.28692307692316</v>
      </c>
      <c r="GV40" s="18">
        <f>GU40*VLOOKUP('Données projet'!$B$18,Paramètres!$A$1:$I$89,3,0)*VLOOKUP('Données projet'!$B$18,Paramètres!$A$1:$I$89,5,0)</f>
        <v>103.56228000000003</v>
      </c>
      <c r="GW40" s="14">
        <f t="shared" si="51"/>
        <v>27.808925039939943</v>
      </c>
      <c r="GX40" s="22">
        <f t="shared" si="28"/>
        <v>228.80484877789547</v>
      </c>
      <c r="GY40" s="62">
        <f t="shared" si="29"/>
        <v>522.13818211122884</v>
      </c>
      <c r="GZ40" s="62">
        <f ca="1">AVERAGE(OFFSET($GY$3,0,0,'Données projet'!$E$18+1,1))-AVERAGE(OFFSET($H$3,0,0,'Données projet'!$E$18+1,1))</f>
        <v>284.88646502866419</v>
      </c>
      <c r="HA40" s="62">
        <f t="shared" si="52"/>
        <v>190.4880882944471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>
        <f>EXP(-LN(2)/35)*HG39+(1-EXP(-LN(2)/35))/(LN(2)/35)*HC40*HD40*VLOOKUP('Données projet'!$B$18,Paramètres!$A$1:$I$89,3,0)*0.475*44/12</f>
        <v>0</v>
      </c>
      <c r="HH40" s="23">
        <f>EXP(-LN(2)/25)*HH39+(1-EXP(-LN(2)/25))/(LN(2)/25)*Calculateur!HC40*Calculateur!HE40*VLOOKUP('Données projet'!$B$18,Paramètres!$A$1:$I$89,3,0)*0.475*44/12</f>
        <v>0</v>
      </c>
      <c r="HI40" s="23">
        <f>EXP(-LN(2)/2)*HI39+(1-EXP(-LN(2)/2))/(LN(2)/2)*HC40*HF40*VLOOKUP('Données projet'!$B$18,Paramètres!$A$1:$I$89,3,0)*0.475*44/12</f>
        <v>0</v>
      </c>
      <c r="HJ40" s="24">
        <f t="shared" si="30"/>
        <v>0</v>
      </c>
    </row>
    <row r="41" spans="1:218" s="5" customFormat="1" x14ac:dyDescent="0.25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2">
        <f t="shared" si="32"/>
        <v>0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0</v>
      </c>
      <c r="H41" s="70">
        <f t="shared" si="1"/>
        <v>256.66666666666669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5.8974358974359005</v>
      </c>
      <c r="N41" s="14">
        <f>IF('Données projet'!$A$36&gt;35,N40+M41-V40,IF(A41&lt;'Données projet'!$A$36,$K$205^A41,IF(A41='Données projet'!$A$36,'Données projet'!$B$36,N40+M41-V40)))</f>
        <v>140.7692307692308</v>
      </c>
      <c r="O41" s="14">
        <f>N41*VLOOKUP('Données projet'!$B$9,Paramètres!$A$1:$I$89,3,0)*VLOOKUP('Données projet'!$B$9,Paramètres!$A$1:$I$89,5,0)</f>
        <v>133.95600000000002</v>
      </c>
      <c r="P41" s="14">
        <f t="shared" si="33"/>
        <v>34.908873862106219</v>
      </c>
      <c r="Q41" s="22">
        <f t="shared" si="53"/>
        <v>294.10632197650165</v>
      </c>
      <c r="R41" s="62">
        <f t="shared" si="0"/>
        <v>587.43965530983496</v>
      </c>
      <c r="S41" s="62">
        <f ca="1">AVERAGE(OFFSET($R$3,0,0,'Données projet'!$E$9+1,1))-AVERAGE(OFFSET($H$3,0,0,'Données projet'!$E$9+1,1))</f>
        <v>367.11183928586667</v>
      </c>
      <c r="T41" s="62">
        <f t="shared" si="34"/>
        <v>281.52963027844595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0</v>
      </c>
      <c r="AA41" s="23">
        <f>EXP(-LN(2)/25)*AA40+(1-EXP(-LN(2)/25))/(LN(2)/25)*Calculateur!V41*Calculateur!X41*VLOOKUP('Données projet'!$B$9,Paramètres!$A$1:$I$89,3,0)*0.475*44/12</f>
        <v>0</v>
      </c>
      <c r="AB41" s="23">
        <f>EXP(-LN(2)/2)*AB40+(1-EXP(-LN(2)/2))/(LN(2)/2)*V41*Y41*VLOOKUP('Données projet'!$B$9,Paramètres!$A$1:$I$89,3,0)*0.475*44/12</f>
        <v>0</v>
      </c>
      <c r="AC41" s="24">
        <f t="shared" si="3"/>
        <v>0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8.4</v>
      </c>
      <c r="AI41" s="14">
        <f>IF('Données projet'!$A$62&gt;35,AI40+AH41-AQ40,IF(A41&lt;'Données projet'!$A$62,$AF$205^A41,IF(A41='Données projet'!$A$62,'Données projet'!$B$62,AI40+AH41-AQ40)))</f>
        <v>141.20000000000002</v>
      </c>
      <c r="AJ41" s="14">
        <f>AI41*VLOOKUP('Données projet'!$B$10,Paramètres!$A$1:$I$89,3,0)*VLOOKUP('Données projet'!$B$10,Paramètres!$A$1:$I$89,5,0)</f>
        <v>127.75776</v>
      </c>
      <c r="AK41" s="14">
        <f t="shared" si="35"/>
        <v>33.477720030956604</v>
      </c>
      <c r="AL41" s="22">
        <f t="shared" si="4"/>
        <v>280.81846105391611</v>
      </c>
      <c r="AM41" s="62">
        <f t="shared" si="5"/>
        <v>574.15179438724942</v>
      </c>
      <c r="AN41" s="62">
        <f ca="1">AVERAGE(OFFSET($AM$3,0,0,'Données projet'!$E$10+1,1))-AVERAGE(OFFSET($H$3,0,0,'Données projet'!$E$10+1,1))</f>
        <v>428.8489304403459</v>
      </c>
      <c r="AO41" s="62">
        <f t="shared" si="36"/>
        <v>247.01165577562966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projet'!$B$10,Paramètres!$A$1:$I$89,3,0)*0.475*44/12</f>
        <v>0</v>
      </c>
      <c r="AV41" s="23">
        <f>EXP(-LN(2)/25)*AV40+(1-EXP(-LN(2)/25))/(LN(2)/25)*Calculateur!AQ41*Calculateur!AS41*VLOOKUP('Données projet'!$B$10,Paramètres!$A$1:$I$89,3,0)*0.475*44/12</f>
        <v>0</v>
      </c>
      <c r="AW41" s="23">
        <f>EXP(-LN(2)/2)*AW40+(1-EXP(-LN(2)/2))/(LN(2)/2)*AQ41*AT41*VLOOKUP('Données projet'!$B$10,Paramètres!$A$1:$I$89,3,0)*0.475*44/12</f>
        <v>0</v>
      </c>
      <c r="AX41" s="23">
        <f t="shared" si="6"/>
        <v>0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8.4</v>
      </c>
      <c r="BD41" s="13">
        <f>IF('Données projet'!$A$88&gt;35,BD40+BC41-BL40,IF(A41&lt;'Données projet'!$A$88,$BA$205^A41,IF(A41='Données projet'!$A$88,'Données projet'!$B$88,BD40+BC41-BL40)))</f>
        <v>141.20000000000002</v>
      </c>
      <c r="BE41" s="14">
        <f>BD41*VLOOKUP('Données projet'!$B$11,Paramètres!$A$1:$I$89,3,0)*VLOOKUP('Données projet'!$B$11,Paramètres!$A$1:$I$89,5,0)</f>
        <v>143.17680000000004</v>
      </c>
      <c r="BF41" s="14">
        <f t="shared" si="37"/>
        <v>37.023812674521515</v>
      </c>
      <c r="BG41" s="22">
        <f t="shared" si="7"/>
        <v>313.84940040812506</v>
      </c>
      <c r="BH41" s="62">
        <f t="shared" si="8"/>
        <v>607.18273374145838</v>
      </c>
      <c r="BI41" s="62">
        <f ca="1">AVERAGE(OFFSET($BH$3,0,0,'Données projet'!$E$11+1,1))-AVERAGE(OFFSET($H$3,0,0,'Données projet'!$E$11+1,1))</f>
        <v>475.47920969424894</v>
      </c>
      <c r="BJ41" s="62">
        <f t="shared" si="38"/>
        <v>271.73544012419364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>
        <f>EXP(-LN(2)/35)*BP40+(1-EXP(-LN(2)/35))/(LN(2)/35)*BL41*BM41*VLOOKUP('Données projet'!$B$11,Paramètres!$A$1:$I$89,3,0)*0.475*44/12</f>
        <v>0</v>
      </c>
      <c r="BQ41" s="23">
        <f>EXP(-LN(2)/25)*BQ40+(1-EXP(-LN(2)/25))/(LN(2)/25)*Calculateur!BL41*Calculateur!BN41*VLOOKUP('Données projet'!$B$11,Paramètres!$A$1:$I$89,3,0)*0.475*44/12</f>
        <v>0</v>
      </c>
      <c r="BR41" s="23">
        <f>EXP(-LN(2)/2)*BR40+(1-EXP(-LN(2)/2))/(LN(2)/2)*BL41*BO41*VLOOKUP('Données projet'!$B$11,Paramètres!$A$1:$I$89,3,0)*0.475*44/12</f>
        <v>0</v>
      </c>
      <c r="BS41" s="24">
        <f t="shared" si="9"/>
        <v>0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18.229670329670324</v>
      </c>
      <c r="BY41" s="13">
        <f>IF('Données projet'!$A$114&gt;35,BY40+BX41-CG40,IF(A41&lt;'Données projet'!$A$114,$BV$205^A41,IF(A41='Données projet'!$A$114,'Données projet'!$B$114,BY40+BX41-CG40)))</f>
        <v>289.68131868131871</v>
      </c>
      <c r="BZ41" s="14">
        <f>BY41*VLOOKUP('Données projet'!$B$12,Paramètres!$A$1:$I$89,3,0)*VLOOKUP('Données projet'!$B$12,Paramètres!$A$1:$I$89,5,0)</f>
        <v>161.93185714285718</v>
      </c>
      <c r="CA41" s="14">
        <f t="shared" si="39"/>
        <v>41.277946347593272</v>
      </c>
      <c r="CB41" s="22">
        <f t="shared" si="10"/>
        <v>353.92374107920119</v>
      </c>
      <c r="CC41" s="62">
        <f t="shared" si="11"/>
        <v>647.25707441253451</v>
      </c>
      <c r="CD41" s="62">
        <f ca="1">AVERAGE(OFFSET($CC$3,0,0,'Données projet'!$E$12+1,1))-AVERAGE(OFFSET($H$3,0,0,'Données projet'!$E$12+1,1))</f>
        <v>323.98185264074681</v>
      </c>
      <c r="CE41" s="62">
        <f t="shared" si="40"/>
        <v>301.22207291854005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>
        <f>EXP(-LN(2)/35)*CK40+(1-EXP(-LN(2)/35))/(LN(2)/35)*CG41*CH41*VLOOKUP('Données projet'!$B$12,Paramètres!$A$1:$I$89,3,0)*0.475*44/12</f>
        <v>3.8084999507013806</v>
      </c>
      <c r="CL41" s="23">
        <f>EXP(-LN(2)/25)*CL40+(1-EXP(-LN(2)/25))/(LN(2)/25)*Calculateur!CG41*Calculateur!CI41*VLOOKUP('Données projet'!$B$12,Paramètres!$A$1:$I$89,3,0)*0.475*44/12</f>
        <v>6.6066633139262843</v>
      </c>
      <c r="CM41" s="23">
        <f>EXP(-LN(2)/2)*CM40+(1-EXP(-LN(2)/2))/(LN(2)/2)*CG41*CJ41*VLOOKUP('Données projet'!$B$12,Paramètres!$A$1:$I$89,3,0)*0.475*44/12</f>
        <v>0.38048794872612629</v>
      </c>
      <c r="CN41" s="24">
        <f t="shared" si="12"/>
        <v>10.795651213353791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5.4</v>
      </c>
      <c r="CT41" s="13">
        <f>IF('Données projet'!$A$140&gt;35,CT40+CS41-DB40,IF(A41&lt;'Données projet'!$A$140,$CQ$205^A41,IF(A41='Données projet'!$A$140,'Données projet'!$B$140,CT40+CS41-DB40)))</f>
        <v>95.2</v>
      </c>
      <c r="CU41" s="18">
        <f>CT41*VLOOKUP('Données projet'!$B$13,Paramètres!$A$1:$I$89,3,0)*VLOOKUP('Données projet'!$B$13,Paramètres!$A$1:$I$89,5,0)</f>
        <v>108.41376</v>
      </c>
      <c r="CV41" s="14">
        <f t="shared" si="41"/>
        <v>28.956938701194456</v>
      </c>
      <c r="CW41" s="22">
        <f t="shared" si="13"/>
        <v>239.25396690458032</v>
      </c>
      <c r="CX41" s="62">
        <f t="shared" si="14"/>
        <v>532.58730023791361</v>
      </c>
      <c r="CY41" s="62">
        <f ca="1">AVERAGE(OFFSET($CX$3,0,0,'Données projet'!$E$13+1,1))-AVERAGE(OFFSET($H$3,0,0,'Données projet'!$E$13+1,1))</f>
        <v>399.78832690250164</v>
      </c>
      <c r="CZ41" s="62">
        <f t="shared" si="42"/>
        <v>174.32967064896343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>
        <f>EXP(-LN(2)/35)*DF40+(1-EXP(-LN(2)/35))/(LN(2)/35)*DB41*DC41*VLOOKUP('Données projet'!$B$13,Paramètres!$A$1:$I$89,3,0)*0.475*44/12</f>
        <v>0</v>
      </c>
      <c r="DG41" s="23">
        <f>EXP(-LN(2)/25)*DG40+(1-EXP(-LN(2)/25))/(LN(2)/25)*Calculateur!DB41*Calculateur!DD41*VLOOKUP('Données projet'!$B$13,Paramètres!$A$1:$I$89,3,0)*0.475*44/12</f>
        <v>0</v>
      </c>
      <c r="DH41" s="23">
        <f>EXP(-LN(2)/2)*DH40+(1-EXP(-LN(2)/2))/(LN(2)/2)*DB41*DE41*VLOOKUP('Données projet'!$B$13,Paramètres!$A$1:$I$89,3,0)*0.475*44/12</f>
        <v>0</v>
      </c>
      <c r="DI41" s="24">
        <f t="shared" si="15"/>
        <v>0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8.4</v>
      </c>
      <c r="DO41" s="13">
        <f>IF('Données projet'!$A$166&gt;35,DO40+DN41-DW40,IF(A41&lt;'Données projet'!$A$166,$DL$205^A41,IF(A41='Données projet'!$A$166,'Données projet'!$B$166,DO40+DN41-DW40)))</f>
        <v>141.20000000000002</v>
      </c>
      <c r="DP41" s="18">
        <f>DO41*VLOOKUP('Données projet'!$B$14,Paramètres!$A$1:$I$89,3,0)*VLOOKUP('Données projet'!$B$14,Paramètres!$A$1:$I$89,5,0)</f>
        <v>118.94688000000004</v>
      </c>
      <c r="DQ41" s="14">
        <f t="shared" si="43"/>
        <v>31.429250481525276</v>
      </c>
      <c r="DR41" s="22">
        <f t="shared" si="16"/>
        <v>261.90509392198993</v>
      </c>
      <c r="DS41" s="62">
        <f t="shared" si="17"/>
        <v>555.23842725532324</v>
      </c>
      <c r="DT41" s="62">
        <f ca="1">AVERAGE(OFFSET($DS$3,0,0,'Données projet'!$E$14+1,1))-AVERAGE(OFFSET($H$3,0,0,'Données projet'!$E$14+1,1))</f>
        <v>402.15128814037058</v>
      </c>
      <c r="DU41" s="62">
        <f t="shared" si="44"/>
        <v>232.85411068442738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>
        <f>EXP(-LN(2)/35)*EA40+(1-EXP(-LN(2)/35))/(LN(2)/35)*DW41*DX41*VLOOKUP('Données projet'!$B$14,Paramètres!$A$1:$I$89,3,0)*0.475*44/12</f>
        <v>0</v>
      </c>
      <c r="EB41" s="23">
        <f>EXP(-LN(2)/25)*EB40+(1-EXP(-LN(2)/25))/(LN(2)/25)*Calculateur!DW41*Calculateur!DY41*VLOOKUP('Données projet'!$B$14,Paramètres!$A$1:$I$89,3,0)*0.475*44/12</f>
        <v>0</v>
      </c>
      <c r="EC41" s="23">
        <f>EXP(-LN(2)/2)*EC40+(1-EXP(-LN(2)/2))/(LN(2)/2)*DW41*DZ41*VLOOKUP('Données projet'!$B$14,Paramètres!$A$1:$I$89,3,0)*0.475*44/12</f>
        <v>0</v>
      </c>
      <c r="ED41" s="24">
        <f t="shared" si="18"/>
        <v>0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7.8205128205128176</v>
      </c>
      <c r="EJ41" s="13">
        <f>IF('Données projet'!$A$192&gt;35,EJ40+EI41-ER40,IF(A41&lt;'Données projet'!$A$192,$EG$205^A41,IF(A41='Données projet'!$A$192,'Données projet'!$B$192,EJ40+EI41-ER40)))</f>
        <v>192.0512820512821</v>
      </c>
      <c r="EK41" s="18">
        <f>EJ41*VLOOKUP('Données projet'!$B$15,Paramètres!$A$1:$I$89,3,0)*VLOOKUP('Données projet'!$B$15,Paramètres!$A$1:$I$89,5,0)</f>
        <v>200.73200000000008</v>
      </c>
      <c r="EL41" s="14">
        <f t="shared" si="45"/>
        <v>49.905004948981436</v>
      </c>
      <c r="EM41" s="22">
        <f t="shared" si="19"/>
        <v>436.52611695280945</v>
      </c>
      <c r="EN41" s="62">
        <f t="shared" si="20"/>
        <v>729.85945028614276</v>
      </c>
      <c r="EO41" s="62">
        <f ca="1">AVERAGE(OFFSET($EN$3,0,0,'Données projet'!$E$15+1,1))-AVERAGE(OFFSET($H$3,0,0,'Données projet'!$E$15+1,1))</f>
        <v>595.89992279024398</v>
      </c>
      <c r="EP41" s="62">
        <f t="shared" si="46"/>
        <v>378.16197659288338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>
        <f>EXP(-LN(2)/35)*EV40+(1-EXP(-LN(2)/35))/(LN(2)/35)*ER41*ES41*VLOOKUP('Données projet'!$B$15,Paramètres!$A$1:$I$89,3,0)*0.475*44/12</f>
        <v>0</v>
      </c>
      <c r="EW41" s="23">
        <f>EXP(-LN(2)/25)*EW40+(1-EXP(-LN(2)/25))/(LN(2)/25)*Calculateur!ER41*Calculateur!ET41*VLOOKUP('Données projet'!$B$15,Paramètres!$A$1:$I$89,3,0)*0.475*44/12</f>
        <v>0</v>
      </c>
      <c r="EX41" s="23">
        <f>EXP(-LN(2)/2)*EX40+(1-EXP(-LN(2)/2))/(LN(2)/2)*ER41*EU41*VLOOKUP('Données projet'!$B$15,Paramètres!$A$1:$I$89,3,0)*0.475*44/12</f>
        <v>0</v>
      </c>
      <c r="EY41" s="24">
        <f t="shared" si="21"/>
        <v>0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13.132967032967031</v>
      </c>
      <c r="FE41" s="13">
        <f>IF('Données projet'!$A$218&gt;35,FE40+FD41-FM40,IF(A41&lt;'Données projet'!$A$218,$FB$205^A41,IF(A41='Données projet'!$A$218,'Données projet'!$B$218,FE40+FD41-FM40)))</f>
        <v>224.28901098901093</v>
      </c>
      <c r="FF41" s="18">
        <f>FE41*VLOOKUP('Données projet'!$B$16,Paramètres!$A$1:$I$89,3,0)*VLOOKUP('Données projet'!$B$16,Paramètres!$A$1:$I$89,5,0)</f>
        <v>134.12482857142854</v>
      </c>
      <c r="FG41" s="14">
        <f t="shared" si="47"/>
        <v>34.947746452200988</v>
      </c>
      <c r="FH41" s="22">
        <f t="shared" si="22"/>
        <v>294.46806816615475</v>
      </c>
      <c r="FI41" s="62">
        <f t="shared" si="23"/>
        <v>587.80140149948807</v>
      </c>
      <c r="FJ41" s="62">
        <f ca="1">AVERAGE(OFFSET($FI$3,0,0,'Données projet'!$E$16+1,1))-AVERAGE(OFFSET($H$3,0,0,'Données projet'!$E$16+1,1))</f>
        <v>257.56116197646924</v>
      </c>
      <c r="FK41" s="62">
        <f t="shared" si="48"/>
        <v>269.95556918835888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>
        <f>EXP(-LN(2)/35)*FQ40+(1-EXP(-LN(2)/35))/(LN(2)/35)*FM41*FN41*VLOOKUP('Données projet'!$B$16,Paramètres!$A$1:$I$89,3,0)*0.475*44/12</f>
        <v>12.444963175036305</v>
      </c>
      <c r="FR41" s="23">
        <f>EXP(-LN(2)/25)*FR40+(1-EXP(-LN(2)/25))/(LN(2)/25)*Calculateur!FM41*Calculateur!FO41*VLOOKUP('Données projet'!$B$16,Paramètres!$A$1:$I$89,3,0)*0.475*44/12</f>
        <v>12.931729548688034</v>
      </c>
      <c r="FS41" s="23">
        <f>EXP(-LN(2)/2)*FS40+(1-EXP(-LN(2)/2))/(LN(2)/2)*FM41*FP41*VLOOKUP('Données projet'!$B$16,Paramètres!$A$1:$I$89,3,0)*0.475*44/12</f>
        <v>0.53463021387343646</v>
      </c>
      <c r="FT41" s="24">
        <f t="shared" si="24"/>
        <v>25.911322937597777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12.74038461538462</v>
      </c>
      <c r="FZ41" s="13">
        <f>IF('Données projet'!$A$244&gt;35,FZ40+FY41-GH40,IF(A41&lt;'Données projet'!$A$244,$FW$205^A41,IF(A41='Données projet'!$A$244,'Données projet'!$B$244,FZ40+FY41-GH40)))</f>
        <v>204.59423076923073</v>
      </c>
      <c r="GA41" s="18">
        <f>FZ41*VLOOKUP('Données projet'!$B$17,Paramètres!$A$1:$I$89,3,0)*VLOOKUP('Données projet'!$B$17,Paramètres!$A$1:$I$89,5,0)</f>
        <v>122.34734999999998</v>
      </c>
      <c r="GB41" s="14">
        <f t="shared" si="49"/>
        <v>32.221861336884515</v>
      </c>
      <c r="GC41" s="22">
        <f t="shared" si="25"/>
        <v>269.20804307840717</v>
      </c>
      <c r="GD41" s="62">
        <f t="shared" si="26"/>
        <v>562.54137641174043</v>
      </c>
      <c r="GE41" s="62">
        <f ca="1">AVERAGE(OFFSET($GD$3,0,0,'Données projet'!$E$17+1,1))-AVERAGE(OFFSET($H$3,0,0,'Données projet'!$E$17+1,1))</f>
        <v>289.12367833861299</v>
      </c>
      <c r="GF41" s="62">
        <f t="shared" si="50"/>
        <v>229.06617320689003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>
        <f>EXP(-LN(2)/35)*GL40+(1-EXP(-LN(2)/35))/(LN(2)/35)*GH41*GI41*VLOOKUP('Données projet'!$B$17,Paramètres!$A$1:$I$89,3,0)*0.475*44/12</f>
        <v>0</v>
      </c>
      <c r="GM41" s="23">
        <f>EXP(-LN(2)/25)*GM40+(1-EXP(-LN(2)/25))/(LN(2)/25)*Calculateur!GH41*Calculateur!GJ41*VLOOKUP('Données projet'!$B$17,Paramètres!$A$1:$I$89,3,0)*0.475*44/12</f>
        <v>0</v>
      </c>
      <c r="GN41" s="23">
        <f>EXP(-LN(2)/2)*GN40+(1-EXP(-LN(2)/2))/(LN(2)/2)*GH41*GK41*VLOOKUP('Données projet'!$B$17,Paramètres!$A$1:$I$89,3,0)*0.475*44/12</f>
        <v>0.25917719237659059</v>
      </c>
      <c r="GO41" s="23">
        <f t="shared" si="27"/>
        <v>0.25917719237659059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10.576153846153847</v>
      </c>
      <c r="GU41" s="13">
        <f>IF('Données projet'!$A$270&gt;35,GU40+GT41-HC40,IF(A41&lt;'Données projet'!$A$270,$GR$205^A41,IF(A41='Données projet'!$A$270,'Données projet'!$B$270,GU40+GT41-HC40)))</f>
        <v>231.86307692307702</v>
      </c>
      <c r="GV41" s="18">
        <f>GU41*VLOOKUP('Données projet'!$B$18,Paramètres!$A$1:$I$89,3,0)*VLOOKUP('Données projet'!$B$18,Paramètres!$A$1:$I$89,5,0)</f>
        <v>108.51192000000005</v>
      </c>
      <c r="GW41" s="14">
        <f t="shared" si="51"/>
        <v>28.980103877964574</v>
      </c>
      <c r="GX41" s="22">
        <f t="shared" si="28"/>
        <v>239.46527492078837</v>
      </c>
      <c r="GY41" s="62">
        <f t="shared" si="29"/>
        <v>532.79860825412175</v>
      </c>
      <c r="GZ41" s="62">
        <f ca="1">AVERAGE(OFFSET($GY$3,0,0,'Données projet'!$E$18+1,1))-AVERAGE(OFFSET($H$3,0,0,'Données projet'!$E$18+1,1))</f>
        <v>284.88646502866419</v>
      </c>
      <c r="HA41" s="62">
        <f t="shared" si="52"/>
        <v>190.4880882944471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>
        <f>EXP(-LN(2)/35)*HG40+(1-EXP(-LN(2)/35))/(LN(2)/35)*HC41*HD41*VLOOKUP('Données projet'!$B$18,Paramètres!$A$1:$I$89,3,0)*0.475*44/12</f>
        <v>0</v>
      </c>
      <c r="HH41" s="23">
        <f>EXP(-LN(2)/25)*HH40+(1-EXP(-LN(2)/25))/(LN(2)/25)*Calculateur!HC41*Calculateur!HE41*VLOOKUP('Données projet'!$B$18,Paramètres!$A$1:$I$89,3,0)*0.475*44/12</f>
        <v>0</v>
      </c>
      <c r="HI41" s="23">
        <f>EXP(-LN(2)/2)*HI40+(1-EXP(-LN(2)/2))/(LN(2)/2)*HC41*HF41*VLOOKUP('Données projet'!$B$18,Paramètres!$A$1:$I$89,3,0)*0.475*44/12</f>
        <v>0</v>
      </c>
      <c r="HJ41" s="24">
        <f t="shared" si="30"/>
        <v>0</v>
      </c>
    </row>
    <row r="42" spans="1:218" s="5" customFormat="1" x14ac:dyDescent="0.25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2">
        <f t="shared" si="32"/>
        <v>0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0</v>
      </c>
      <c r="H42" s="70">
        <f t="shared" si="1"/>
        <v>256.66666666666669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5.8974358974359005</v>
      </c>
      <c r="N42" s="14">
        <f>IF('Données projet'!$A$36&gt;35,N41+M42-V41,IF(A42&lt;'Données projet'!$A$36,$K$205^A42,IF(A42='Données projet'!$A$36,'Données projet'!$B$36,N41+M42-V41)))</f>
        <v>146.66666666666671</v>
      </c>
      <c r="O42" s="14">
        <f>N42*VLOOKUP('Données projet'!$B$9,Paramètres!$A$1:$I$89,3,0)*VLOOKUP('Données projet'!$B$9,Paramètres!$A$1:$I$89,5,0)</f>
        <v>139.56800000000004</v>
      </c>
      <c r="P42" s="14">
        <f t="shared" si="33"/>
        <v>36.198022567902328</v>
      </c>
      <c r="Q42" s="22">
        <f t="shared" si="53"/>
        <v>306.12582263909667</v>
      </c>
      <c r="R42" s="62">
        <f t="shared" si="0"/>
        <v>599.45915597242993</v>
      </c>
      <c r="S42" s="62">
        <f ca="1">AVERAGE(OFFSET($R$3,0,0,'Données projet'!$E$9+1,1))-AVERAGE(OFFSET($H$3,0,0,'Données projet'!$E$9+1,1))</f>
        <v>367.11183928586667</v>
      </c>
      <c r="T42" s="62">
        <f t="shared" si="34"/>
        <v>281.52963027844595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0</v>
      </c>
      <c r="AA42" s="23">
        <f>EXP(-LN(2)/25)*AA41+(1-EXP(-LN(2)/25))/(LN(2)/25)*Calculateur!V42*Calculateur!X42*VLOOKUP('Données projet'!$B$9,Paramètres!$A$1:$I$89,3,0)*0.475*44/12</f>
        <v>0</v>
      </c>
      <c r="AB42" s="23">
        <f>EXP(-LN(2)/2)*AB41+(1-EXP(-LN(2)/2))/(LN(2)/2)*V42*Y42*VLOOKUP('Données projet'!$B$9,Paramètres!$A$1:$I$89,3,0)*0.475*44/12</f>
        <v>0</v>
      </c>
      <c r="AC42" s="24">
        <f t="shared" si="3"/>
        <v>0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8.4</v>
      </c>
      <c r="AI42" s="14">
        <f>IF('Données projet'!$A$62&gt;35,AI41+AH42-AQ41,IF(A42&lt;'Données projet'!$A$62,$AF$205^A42,IF(A42='Données projet'!$A$62,'Données projet'!$B$62,AI41+AH42-AQ41)))</f>
        <v>149.60000000000002</v>
      </c>
      <c r="AJ42" s="14">
        <f>AI42*VLOOKUP('Données projet'!$B$10,Paramètres!$A$1:$I$89,3,0)*VLOOKUP('Données projet'!$B$10,Paramètres!$A$1:$I$89,5,0)</f>
        <v>135.35808</v>
      </c>
      <c r="AK42" s="14">
        <f t="shared" si="35"/>
        <v>35.231528980112834</v>
      </c>
      <c r="AL42" s="22">
        <f t="shared" si="4"/>
        <v>297.11023564036316</v>
      </c>
      <c r="AM42" s="62">
        <f t="shared" si="5"/>
        <v>590.44356897369653</v>
      </c>
      <c r="AN42" s="62">
        <f ca="1">AVERAGE(OFFSET($AM$3,0,0,'Données projet'!$E$10+1,1))-AVERAGE(OFFSET($H$3,0,0,'Données projet'!$E$10+1,1))</f>
        <v>428.8489304403459</v>
      </c>
      <c r="AO42" s="62">
        <f t="shared" si="36"/>
        <v>247.01165577562966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0</v>
      </c>
      <c r="AV42" s="23">
        <f>EXP(-LN(2)/25)*AV41+(1-EXP(-LN(2)/25))/(LN(2)/25)*Calculateur!AQ42*Calculateur!AS42*VLOOKUP('Données projet'!$B$10,Paramètres!$A$1:$I$89,3,0)*0.475*44/12</f>
        <v>0</v>
      </c>
      <c r="AW42" s="23">
        <f>EXP(-LN(2)/2)*AW41+(1-EXP(-LN(2)/2))/(LN(2)/2)*AQ42*AT42*VLOOKUP('Données projet'!$B$10,Paramètres!$A$1:$I$89,3,0)*0.475*44/12</f>
        <v>0</v>
      </c>
      <c r="AX42" s="23">
        <f t="shared" si="6"/>
        <v>0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8.4</v>
      </c>
      <c r="BD42" s="13">
        <f>IF('Données projet'!$A$88&gt;35,BD41+BC42-BL41,IF(A42&lt;'Données projet'!$A$88,$BA$205^A42,IF(A42='Données projet'!$A$88,'Données projet'!$B$88,BD41+BC42-BL41)))</f>
        <v>149.60000000000002</v>
      </c>
      <c r="BE42" s="14">
        <f>BD42*VLOOKUP('Données projet'!$B$11,Paramètres!$A$1:$I$89,3,0)*VLOOKUP('Données projet'!$B$11,Paramètres!$A$1:$I$89,5,0)</f>
        <v>151.69440000000003</v>
      </c>
      <c r="BF42" s="14">
        <f t="shared" si="37"/>
        <v>38.963392010880654</v>
      </c>
      <c r="BG42" s="22">
        <f t="shared" si="7"/>
        <v>332.06232108561716</v>
      </c>
      <c r="BH42" s="62">
        <f t="shared" si="8"/>
        <v>625.39565441895047</v>
      </c>
      <c r="BI42" s="62">
        <f ca="1">AVERAGE(OFFSET($BH$3,0,0,'Données projet'!$E$11+1,1))-AVERAGE(OFFSET($H$3,0,0,'Données projet'!$E$11+1,1))</f>
        <v>475.47920969424894</v>
      </c>
      <c r="BJ42" s="62">
        <f t="shared" si="38"/>
        <v>271.73544012419364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>
        <f>EXP(-LN(2)/35)*BP41+(1-EXP(-LN(2)/35))/(LN(2)/35)*BL42*BM42*VLOOKUP('Données projet'!$B$11,Paramètres!$A$1:$I$89,3,0)*0.475*44/12</f>
        <v>0</v>
      </c>
      <c r="BQ42" s="23">
        <f>EXP(-LN(2)/25)*BQ41+(1-EXP(-LN(2)/25))/(LN(2)/25)*Calculateur!BL42*Calculateur!BN42*VLOOKUP('Données projet'!$B$11,Paramètres!$A$1:$I$89,3,0)*0.475*44/12</f>
        <v>0</v>
      </c>
      <c r="BR42" s="23">
        <f>EXP(-LN(2)/2)*BR41+(1-EXP(-LN(2)/2))/(LN(2)/2)*BL42*BO42*VLOOKUP('Données projet'!$B$11,Paramètres!$A$1:$I$89,3,0)*0.475*44/12</f>
        <v>0</v>
      </c>
      <c r="BS42" s="24">
        <f t="shared" si="9"/>
        <v>0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18.229670329670324</v>
      </c>
      <c r="BY42" s="13">
        <f>IF('Données projet'!$A$114&gt;35,BY41+BX42-CG41,IF(A42&lt;'Données projet'!$A$114,$BV$205^A42,IF(A42='Données projet'!$A$114,'Données projet'!$B$114,BY41+BX42-CG41)))</f>
        <v>307.91098901098906</v>
      </c>
      <c r="BZ42" s="14">
        <f>BY42*VLOOKUP('Données projet'!$B$12,Paramètres!$A$1:$I$89,3,0)*VLOOKUP('Données projet'!$B$12,Paramètres!$A$1:$I$89,5,0)</f>
        <v>172.12224285714288</v>
      </c>
      <c r="CA42" s="14">
        <f t="shared" si="39"/>
        <v>43.564991640658711</v>
      </c>
      <c r="CB42" s="22">
        <f t="shared" si="10"/>
        <v>375.65526675033772</v>
      </c>
      <c r="CC42" s="62">
        <f t="shared" si="11"/>
        <v>668.98860008367103</v>
      </c>
      <c r="CD42" s="62">
        <f ca="1">AVERAGE(OFFSET($CC$3,0,0,'Données projet'!$E$12+1,1))-AVERAGE(OFFSET($H$3,0,0,'Données projet'!$E$12+1,1))</f>
        <v>323.98185264074681</v>
      </c>
      <c r="CE42" s="62">
        <f t="shared" si="40"/>
        <v>301.22207291854005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>
        <f>EXP(-LN(2)/35)*CK41+(1-EXP(-LN(2)/35))/(LN(2)/35)*CG42*CH42*VLOOKUP('Données projet'!$B$12,Paramètres!$A$1:$I$89,3,0)*0.475*44/12</f>
        <v>3.7338175896237238</v>
      </c>
      <c r="CL42" s="23">
        <f>EXP(-LN(2)/25)*CL41+(1-EXP(-LN(2)/25))/(LN(2)/25)*Calculateur!CG42*Calculateur!CI42*VLOOKUP('Données projet'!$B$12,Paramètres!$A$1:$I$89,3,0)*0.475*44/12</f>
        <v>6.4260037581776457</v>
      </c>
      <c r="CM42" s="23">
        <f>EXP(-LN(2)/2)*CM41+(1-EXP(-LN(2)/2))/(LN(2)/2)*CG42*CJ42*VLOOKUP('Données projet'!$B$12,Paramètres!$A$1:$I$89,3,0)*0.475*44/12</f>
        <v>0.26904560870400329</v>
      </c>
      <c r="CN42" s="24">
        <f t="shared" si="12"/>
        <v>10.428866956505372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5.4</v>
      </c>
      <c r="CT42" s="13">
        <f>IF('Données projet'!$A$140&gt;35,CT41+CS42-DB41,IF(A42&lt;'Données projet'!$A$140,$CQ$205^A42,IF(A42='Données projet'!$A$140,'Données projet'!$B$140,CT41+CS42-DB41)))</f>
        <v>100.60000000000001</v>
      </c>
      <c r="CU42" s="18">
        <f>CT42*VLOOKUP('Données projet'!$B$13,Paramètres!$A$1:$I$89,3,0)*VLOOKUP('Données projet'!$B$13,Paramètres!$A$1:$I$89,5,0)</f>
        <v>114.56328000000001</v>
      </c>
      <c r="CV42" s="14">
        <f t="shared" si="41"/>
        <v>30.403572331095546</v>
      </c>
      <c r="CW42" s="22">
        <f t="shared" si="13"/>
        <v>252.48393447665805</v>
      </c>
      <c r="CX42" s="62">
        <f t="shared" si="14"/>
        <v>545.81726780999134</v>
      </c>
      <c r="CY42" s="62">
        <f ca="1">AVERAGE(OFFSET($CX$3,0,0,'Données projet'!$E$13+1,1))-AVERAGE(OFFSET($H$3,0,0,'Données projet'!$E$13+1,1))</f>
        <v>399.78832690250164</v>
      </c>
      <c r="CZ42" s="62">
        <f t="shared" si="42"/>
        <v>174.32967064896343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>
        <f>EXP(-LN(2)/35)*DF41+(1-EXP(-LN(2)/35))/(LN(2)/35)*DB42*DC42*VLOOKUP('Données projet'!$B$13,Paramètres!$A$1:$I$89,3,0)*0.475*44/12</f>
        <v>0</v>
      </c>
      <c r="DG42" s="23">
        <f>EXP(-LN(2)/25)*DG41+(1-EXP(-LN(2)/25))/(LN(2)/25)*Calculateur!DB42*Calculateur!DD42*VLOOKUP('Données projet'!$B$13,Paramètres!$A$1:$I$89,3,0)*0.475*44/12</f>
        <v>0</v>
      </c>
      <c r="DH42" s="23">
        <f>EXP(-LN(2)/2)*DH41+(1-EXP(-LN(2)/2))/(LN(2)/2)*DB42*DE42*VLOOKUP('Données projet'!$B$13,Paramètres!$A$1:$I$89,3,0)*0.475*44/12</f>
        <v>0</v>
      </c>
      <c r="DI42" s="24">
        <f t="shared" si="15"/>
        <v>0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8.4</v>
      </c>
      <c r="DO42" s="13">
        <f>IF('Données projet'!$A$166&gt;35,DO41+DN42-DW41,IF(A42&lt;'Données projet'!$A$166,$DL$205^A42,IF(A42='Données projet'!$A$166,'Données projet'!$B$166,DO41+DN42-DW41)))</f>
        <v>149.60000000000002</v>
      </c>
      <c r="DP42" s="18">
        <f>DO42*VLOOKUP('Données projet'!$B$14,Paramètres!$A$1:$I$89,3,0)*VLOOKUP('Données projet'!$B$14,Paramètres!$A$1:$I$89,5,0)</f>
        <v>126.02304000000004</v>
      </c>
      <c r="DQ42" s="14">
        <f t="shared" si="43"/>
        <v>33.075745544773369</v>
      </c>
      <c r="DR42" s="22">
        <f t="shared" si="16"/>
        <v>277.0970514904804</v>
      </c>
      <c r="DS42" s="62">
        <f t="shared" si="17"/>
        <v>570.43038482381371</v>
      </c>
      <c r="DT42" s="62">
        <f ca="1">AVERAGE(OFFSET($DS$3,0,0,'Données projet'!$E$14+1,1))-AVERAGE(OFFSET($H$3,0,0,'Données projet'!$E$14+1,1))</f>
        <v>402.15128814037058</v>
      </c>
      <c r="DU42" s="62">
        <f t="shared" si="44"/>
        <v>232.85411068442738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>
        <f>EXP(-LN(2)/35)*EA41+(1-EXP(-LN(2)/35))/(LN(2)/35)*DW42*DX42*VLOOKUP('Données projet'!$B$14,Paramètres!$A$1:$I$89,3,0)*0.475*44/12</f>
        <v>0</v>
      </c>
      <c r="EB42" s="23">
        <f>EXP(-LN(2)/25)*EB41+(1-EXP(-LN(2)/25))/(LN(2)/25)*Calculateur!DW42*Calculateur!DY42*VLOOKUP('Données projet'!$B$14,Paramètres!$A$1:$I$89,3,0)*0.475*44/12</f>
        <v>0</v>
      </c>
      <c r="EC42" s="23">
        <f>EXP(-LN(2)/2)*EC41+(1-EXP(-LN(2)/2))/(LN(2)/2)*DW42*DZ42*VLOOKUP('Données projet'!$B$14,Paramètres!$A$1:$I$89,3,0)*0.475*44/12</f>
        <v>0</v>
      </c>
      <c r="ED42" s="24">
        <f t="shared" si="18"/>
        <v>0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7.8205128205128176</v>
      </c>
      <c r="EJ42" s="13">
        <f>IF('Données projet'!$A$192&gt;35,EJ41+EI42-ER41,IF(A42&lt;'Données projet'!$A$192,$EG$205^A42,IF(A42='Données projet'!$A$192,'Données projet'!$B$192,EJ41+EI42-ER41)))</f>
        <v>199.87179487179492</v>
      </c>
      <c r="EK42" s="18">
        <f>EJ42*VLOOKUP('Données projet'!$B$15,Paramètres!$A$1:$I$89,3,0)*VLOOKUP('Données projet'!$B$15,Paramètres!$A$1:$I$89,5,0)</f>
        <v>208.90600000000006</v>
      </c>
      <c r="EL42" s="14">
        <f t="shared" si="45"/>
        <v>51.696446549149798</v>
      </c>
      <c r="EM42" s="22">
        <f t="shared" si="19"/>
        <v>453.882594406436</v>
      </c>
      <c r="EN42" s="62">
        <f t="shared" si="20"/>
        <v>747.21592773976931</v>
      </c>
      <c r="EO42" s="62">
        <f ca="1">AVERAGE(OFFSET($EN$3,0,0,'Données projet'!$E$15+1,1))-AVERAGE(OFFSET($H$3,0,0,'Données projet'!$E$15+1,1))</f>
        <v>595.89992279024398</v>
      </c>
      <c r="EP42" s="62">
        <f t="shared" si="46"/>
        <v>378.16197659288338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>
        <f>EXP(-LN(2)/35)*EV41+(1-EXP(-LN(2)/35))/(LN(2)/35)*ER42*ES42*VLOOKUP('Données projet'!$B$15,Paramètres!$A$1:$I$89,3,0)*0.475*44/12</f>
        <v>0</v>
      </c>
      <c r="EW42" s="23">
        <f>EXP(-LN(2)/25)*EW41+(1-EXP(-LN(2)/25))/(LN(2)/25)*Calculateur!ER42*Calculateur!ET42*VLOOKUP('Données projet'!$B$15,Paramètres!$A$1:$I$89,3,0)*0.475*44/12</f>
        <v>0</v>
      </c>
      <c r="EX42" s="23">
        <f>EXP(-LN(2)/2)*EX41+(1-EXP(-LN(2)/2))/(LN(2)/2)*ER42*EU42*VLOOKUP('Données projet'!$B$15,Paramètres!$A$1:$I$89,3,0)*0.475*44/12</f>
        <v>0</v>
      </c>
      <c r="EY42" s="24">
        <f t="shared" si="21"/>
        <v>0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13.132967032967031</v>
      </c>
      <c r="FE42" s="13">
        <f>IF('Données projet'!$A$218&gt;35,FE41+FD42-FM41,IF(A42&lt;'Données projet'!$A$218,$FB$205^A42,IF(A42='Données projet'!$A$218,'Données projet'!$B$218,FE41+FD42-FM41)))</f>
        <v>237.42197802197796</v>
      </c>
      <c r="FF42" s="18">
        <f>FE42*VLOOKUP('Données projet'!$B$16,Paramètres!$A$1:$I$89,3,0)*VLOOKUP('Données projet'!$B$16,Paramètres!$A$1:$I$89,5,0)</f>
        <v>141.97834285714282</v>
      </c>
      <c r="FG42" s="14">
        <f t="shared" si="47"/>
        <v>36.749845276428786</v>
      </c>
      <c r="FH42" s="22">
        <f t="shared" si="22"/>
        <v>311.28492766597054</v>
      </c>
      <c r="FI42" s="62">
        <f t="shared" si="23"/>
        <v>604.61826099930386</v>
      </c>
      <c r="FJ42" s="62">
        <f ca="1">AVERAGE(OFFSET($FI$3,0,0,'Données projet'!$E$16+1,1))-AVERAGE(OFFSET($H$3,0,0,'Données projet'!$E$16+1,1))</f>
        <v>257.56116197646924</v>
      </c>
      <c r="FK42" s="62">
        <f t="shared" si="48"/>
        <v>269.95556918835888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>
        <f>EXP(-LN(2)/35)*FQ41+(1-EXP(-LN(2)/35))/(LN(2)/35)*FM42*FN42*VLOOKUP('Données projet'!$B$16,Paramètres!$A$1:$I$89,3,0)*0.475*44/12</f>
        <v>12.200925037851862</v>
      </c>
      <c r="FR42" s="23">
        <f>EXP(-LN(2)/25)*FR41+(1-EXP(-LN(2)/25))/(LN(2)/25)*Calculateur!FM42*Calculateur!FO42*VLOOKUP('Données projet'!$B$16,Paramètres!$A$1:$I$89,3,0)*0.475*44/12</f>
        <v>12.57811072412906</v>
      </c>
      <c r="FS42" s="23">
        <f>EXP(-LN(2)/2)*FS41+(1-EXP(-LN(2)/2))/(LN(2)/2)*FM42*FP42*VLOOKUP('Données projet'!$B$16,Paramètres!$A$1:$I$89,3,0)*0.475*44/12</f>
        <v>0.37804064965712114</v>
      </c>
      <c r="FT42" s="24">
        <f t="shared" si="24"/>
        <v>25.157076411638041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12.74038461538462</v>
      </c>
      <c r="FZ42" s="13">
        <f>IF('Données projet'!$A$244&gt;35,FZ41+FY42-GH41,IF(A42&lt;'Données projet'!$A$244,$FW$205^A42,IF(A42='Données projet'!$A$244,'Données projet'!$B$244,FZ41+FY42-GH41)))</f>
        <v>217.33461538461535</v>
      </c>
      <c r="GA42" s="18">
        <f>FZ42*VLOOKUP('Données projet'!$B$17,Paramètres!$A$1:$I$89,3,0)*VLOOKUP('Données projet'!$B$17,Paramètres!$A$1:$I$89,5,0)</f>
        <v>129.96609999999998</v>
      </c>
      <c r="GB42" s="14">
        <f t="shared" si="49"/>
        <v>33.988525918782614</v>
      </c>
      <c r="GC42" s="22">
        <f t="shared" si="25"/>
        <v>285.5543068085463</v>
      </c>
      <c r="GD42" s="62">
        <f t="shared" si="26"/>
        <v>578.88764014187961</v>
      </c>
      <c r="GE42" s="62">
        <f ca="1">AVERAGE(OFFSET($GD$3,0,0,'Données projet'!$E$17+1,1))-AVERAGE(OFFSET($H$3,0,0,'Données projet'!$E$17+1,1))</f>
        <v>289.12367833861299</v>
      </c>
      <c r="GF42" s="62">
        <f t="shared" si="50"/>
        <v>229.06617320689003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>
        <f>EXP(-LN(2)/35)*GL41+(1-EXP(-LN(2)/35))/(LN(2)/35)*GH42*GI42*VLOOKUP('Données projet'!$B$17,Paramètres!$A$1:$I$89,3,0)*0.475*44/12</f>
        <v>0</v>
      </c>
      <c r="GM42" s="23">
        <f>EXP(-LN(2)/25)*GM41+(1-EXP(-LN(2)/25))/(LN(2)/25)*Calculateur!GH42*Calculateur!GJ42*VLOOKUP('Données projet'!$B$17,Paramètres!$A$1:$I$89,3,0)*0.475*44/12</f>
        <v>0</v>
      </c>
      <c r="GN42" s="23">
        <f>EXP(-LN(2)/2)*GN41+(1-EXP(-LN(2)/2))/(LN(2)/2)*GH42*GK42*VLOOKUP('Données projet'!$B$17,Paramètres!$A$1:$I$89,3,0)*0.475*44/12</f>
        <v>0.18326595025837758</v>
      </c>
      <c r="GO42" s="23">
        <f t="shared" si="27"/>
        <v>0.18326595025837758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10.576153846153847</v>
      </c>
      <c r="GU42" s="13">
        <f>IF('Données projet'!$A$270&gt;35,GU41+GT42-HC41,IF(A42&lt;'Données projet'!$A$270,$GR$205^A42,IF(A42='Données projet'!$A$270,'Données projet'!$B$270,GU41+GT42-HC41)))</f>
        <v>242.43923076923087</v>
      </c>
      <c r="GV42" s="18">
        <f>GU42*VLOOKUP('Données projet'!$B$18,Paramètres!$A$1:$I$89,3,0)*VLOOKUP('Données projet'!$B$18,Paramètres!$A$1:$I$89,5,0)</f>
        <v>113.46156000000005</v>
      </c>
      <c r="GW42" s="14">
        <f t="shared" si="51"/>
        <v>30.145078613091886</v>
      </c>
      <c r="GX42" s="22">
        <f t="shared" si="28"/>
        <v>250.11489558446848</v>
      </c>
      <c r="GY42" s="62">
        <f t="shared" si="29"/>
        <v>543.44822891780177</v>
      </c>
      <c r="GZ42" s="62">
        <f ca="1">AVERAGE(OFFSET($GY$3,0,0,'Données projet'!$E$18+1,1))-AVERAGE(OFFSET($H$3,0,0,'Données projet'!$E$18+1,1))</f>
        <v>284.88646502866419</v>
      </c>
      <c r="HA42" s="62">
        <f t="shared" si="52"/>
        <v>190.4880882944471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>
        <f>EXP(-LN(2)/35)*HG41+(1-EXP(-LN(2)/35))/(LN(2)/35)*HC42*HD42*VLOOKUP('Données projet'!$B$18,Paramètres!$A$1:$I$89,3,0)*0.475*44/12</f>
        <v>0</v>
      </c>
      <c r="HH42" s="23">
        <f>EXP(-LN(2)/25)*HH41+(1-EXP(-LN(2)/25))/(LN(2)/25)*Calculateur!HC42*Calculateur!HE42*VLOOKUP('Données projet'!$B$18,Paramètres!$A$1:$I$89,3,0)*0.475*44/12</f>
        <v>0</v>
      </c>
      <c r="HI42" s="23">
        <f>EXP(-LN(2)/2)*HI41+(1-EXP(-LN(2)/2))/(LN(2)/2)*HC42*HF42*VLOOKUP('Données projet'!$B$18,Paramètres!$A$1:$I$89,3,0)*0.475*44/12</f>
        <v>0</v>
      </c>
      <c r="HJ42" s="24">
        <f t="shared" si="30"/>
        <v>0</v>
      </c>
    </row>
    <row r="43" spans="1:218" s="5" customFormat="1" x14ac:dyDescent="0.25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2">
        <f t="shared" si="32"/>
        <v>0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0</v>
      </c>
      <c r="H43" s="70">
        <f t="shared" si="1"/>
        <v>256.66666666666669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>
        <f>VLOOKUP(A43,'Données projet'!$A$35:$I$55,2,0)</f>
        <v>152.56410256410257</v>
      </c>
      <c r="L43" s="13">
        <f>VLOOKUP(A43,'Données projet'!$A$35:$I$55,9,0)</f>
        <v>5.8974358974359005</v>
      </c>
      <c r="M43" s="13">
        <f t="array" ref="M43">INDEX(L:L,MIN(IF(ISNUMBER(L43:L239),ROW(L43:L239),"")))</f>
        <v>5.8974358974359005</v>
      </c>
      <c r="N43" s="14">
        <f>IF('Données projet'!$A$36&gt;35,N42+M43-V42,IF(A43&lt;'Données projet'!$A$36,$K$205^A43,IF(A43='Données projet'!$A$36,'Données projet'!$B$36,N42+M43-V42)))</f>
        <v>152.56410256410263</v>
      </c>
      <c r="O43" s="14">
        <f>N43*VLOOKUP('Données projet'!$B$9,Paramètres!$A$1:$I$89,3,0)*VLOOKUP('Données projet'!$B$9,Paramètres!$A$1:$I$89,5,0)</f>
        <v>145.18000000000006</v>
      </c>
      <c r="P43" s="14">
        <f t="shared" si="33"/>
        <v>37.481149901429063</v>
      </c>
      <c r="Q43" s="22">
        <f t="shared" si="53"/>
        <v>318.13483607832239</v>
      </c>
      <c r="R43" s="62">
        <f t="shared" si="0"/>
        <v>611.46816941165571</v>
      </c>
      <c r="S43" s="62">
        <f ca="1">AVERAGE(OFFSET($R$3,0,0,'Données projet'!$E$9+1,1))-AVERAGE(OFFSET($H$3,0,0,'Données projet'!$E$9+1,1))</f>
        <v>367.11183928586667</v>
      </c>
      <c r="T43" s="62">
        <f t="shared" si="34"/>
        <v>281.52963027844595</v>
      </c>
      <c r="U43" s="16">
        <f>IF(ISNA(VLOOKUP(A43,'Données projet'!$A$35:$I$55,3,0)),0,VLOOKUP(A43,'Données projet'!$A$35:$I$55,3,0))</f>
        <v>3</v>
      </c>
      <c r="V43" s="16">
        <f>IF(ISNA(VLOOKUP(A43,'Données projet'!$A$35:$I$55,4,0)),0,VLOOKUP(A43,'Données projet'!$A$35:$I$55,4,0))</f>
        <v>28.846153846153847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0</v>
      </c>
      <c r="AA43" s="23">
        <f>EXP(-LN(2)/25)*AA42+(1-EXP(-LN(2)/25))/(LN(2)/25)*Calculateur!V43*Calculateur!X43*VLOOKUP('Données projet'!$B$9,Paramètres!$A$1:$I$89,3,0)*0.475*44/12</f>
        <v>0</v>
      </c>
      <c r="AB43" s="23">
        <f>EXP(-LN(2)/2)*AB42+(1-EXP(-LN(2)/2))/(LN(2)/2)*V43*Y43*VLOOKUP('Données projet'!$B$9,Paramètres!$A$1:$I$89,3,0)*0.475*44/12</f>
        <v>0</v>
      </c>
      <c r="AC43" s="24">
        <f t="shared" si="3"/>
        <v>0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>
        <f>VLOOKUP(A43,'Données projet'!$A$61:$I$81,2,0)</f>
        <v>158</v>
      </c>
      <c r="AG43" s="13">
        <f>VLOOKUP(A43,'Données projet'!$A$61:$I$81,9,0)</f>
        <v>8.4</v>
      </c>
      <c r="AH43" s="13">
        <f t="array" ref="AH43">INDEX(AG:AG,MIN(IF(ISNUMBER(AG43:AG239),ROW(AG43:AG239),"")))</f>
        <v>8.4</v>
      </c>
      <c r="AI43" s="14">
        <f>IF('Données projet'!$A$62&gt;35,AI42+AH43-AQ42,IF(A43&lt;'Données projet'!$A$62,$AF$205^A43,IF(A43='Données projet'!$A$62,'Données projet'!$B$62,AI42+AH43-AQ42)))</f>
        <v>158.00000000000003</v>
      </c>
      <c r="AJ43" s="14">
        <f>AI43*VLOOKUP('Données projet'!$B$10,Paramètres!$A$1:$I$89,3,0)*VLOOKUP('Données projet'!$B$10,Paramètres!$A$1:$I$89,5,0)</f>
        <v>142.95840000000004</v>
      </c>
      <c r="AK43" s="14">
        <f t="shared" si="35"/>
        <v>36.973906370811264</v>
      </c>
      <c r="AL43" s="22">
        <f t="shared" si="4"/>
        <v>313.38210026249641</v>
      </c>
      <c r="AM43" s="62">
        <f t="shared" si="5"/>
        <v>606.71543359582972</v>
      </c>
      <c r="AN43" s="62">
        <f ca="1">AVERAGE(OFFSET($AM$3,0,0,'Données projet'!$E$10+1,1))-AVERAGE(OFFSET($H$3,0,0,'Données projet'!$E$10+1,1))</f>
        <v>428.8489304403459</v>
      </c>
      <c r="AO43" s="62">
        <f t="shared" si="36"/>
        <v>247.01165577562966</v>
      </c>
      <c r="AP43" s="16">
        <f>IF(ISNA(VLOOKUP(A43,'Données projet'!$A$61:$I$81,3,0)),0,VLOOKUP(A43,'Données projet'!$A$61:$I$81,3,0))</f>
        <v>2</v>
      </c>
      <c r="AQ43" s="16">
        <f>IF(ISNA(VLOOKUP(A43,'Données projet'!$A$61:$I$81,4,0)),0,VLOOKUP(A43,'Données projet'!$A$61:$I$81,4,0))</f>
        <v>42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projet'!$B$10,Paramètres!$A$1:$I$89,3,0)*0.475*44/12</f>
        <v>0</v>
      </c>
      <c r="AV43" s="23">
        <f>EXP(-LN(2)/25)*AV42+(1-EXP(-LN(2)/25))/(LN(2)/25)*Calculateur!AQ43*Calculateur!AS43*VLOOKUP('Données projet'!$B$10,Paramètres!$A$1:$I$89,3,0)*0.475*44/12</f>
        <v>0</v>
      </c>
      <c r="AW43" s="23">
        <f>EXP(-LN(2)/2)*AW42+(1-EXP(-LN(2)/2))/(LN(2)/2)*AQ43*AT43*VLOOKUP('Données projet'!$B$10,Paramètres!$A$1:$I$89,3,0)*0.475*44/12</f>
        <v>0</v>
      </c>
      <c r="AX43" s="23">
        <f t="shared" si="6"/>
        <v>0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>
        <f>VLOOKUP(A43,'Données projet'!$A$87:$I$107,2,0)</f>
        <v>158</v>
      </c>
      <c r="BB43" s="13">
        <f>VLOOKUP(A43,'Données projet'!$A$87:$I$107,9,0)</f>
        <v>8.4</v>
      </c>
      <c r="BC43" s="13">
        <f t="array" ref="BC43">INDEX(BB:BB,MIN(IF(ISNUMBER(BB43:BB239),ROW(BB43:BB239),"")))</f>
        <v>8.4</v>
      </c>
      <c r="BD43" s="13">
        <f>IF('Données projet'!$A$88&gt;35,BD42+BC43-BL42,IF(A43&lt;'Données projet'!$A$88,$BA$205^A43,IF(A43='Données projet'!$A$88,'Données projet'!$B$88,BD42+BC43-BL42)))</f>
        <v>158.00000000000003</v>
      </c>
      <c r="BE43" s="14">
        <f>BD43*VLOOKUP('Données projet'!$B$11,Paramètres!$A$1:$I$89,3,0)*VLOOKUP('Données projet'!$B$11,Paramètres!$A$1:$I$89,5,0)</f>
        <v>160.21200000000005</v>
      </c>
      <c r="BF43" s="14">
        <f t="shared" si="37"/>
        <v>40.890328912852695</v>
      </c>
      <c r="BG43" s="22">
        <f t="shared" si="7"/>
        <v>350.25322285655176</v>
      </c>
      <c r="BH43" s="62">
        <f t="shared" si="8"/>
        <v>643.58655618988507</v>
      </c>
      <c r="BI43" s="62">
        <f ca="1">AVERAGE(OFFSET($BH$3,0,0,'Données projet'!$E$11+1,1))-AVERAGE(OFFSET($H$3,0,0,'Données projet'!$E$11+1,1))</f>
        <v>475.47920969424894</v>
      </c>
      <c r="BJ43" s="62">
        <f t="shared" si="38"/>
        <v>271.73544012419364</v>
      </c>
      <c r="BK43" s="16">
        <f>IF(ISNA(VLOOKUP(A43,'Données projet'!$A$87:$I$107,3,0)),0,VLOOKUP(A43,'Données projet'!$A$87:$I$107,3,0))</f>
        <v>2</v>
      </c>
      <c r="BL43" s="16">
        <f>IF(ISNA(VLOOKUP(A43,'Données projet'!$A$87:$I$107,4,0)),0,VLOOKUP(A43,'Données projet'!$A$87:$I$107,4,0))</f>
        <v>42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>
        <f>EXP(-LN(2)/35)*BP42+(1-EXP(-LN(2)/35))/(LN(2)/35)*BL43*BM43*VLOOKUP('Données projet'!$B$11,Paramètres!$A$1:$I$89,3,0)*0.475*44/12</f>
        <v>0</v>
      </c>
      <c r="BQ43" s="23">
        <f>EXP(-LN(2)/25)*BQ42+(1-EXP(-LN(2)/25))/(LN(2)/25)*Calculateur!BL43*Calculateur!BN43*VLOOKUP('Données projet'!$B$11,Paramètres!$A$1:$I$89,3,0)*0.475*44/12</f>
        <v>0</v>
      </c>
      <c r="BR43" s="23">
        <f>EXP(-LN(2)/2)*BR42+(1-EXP(-LN(2)/2))/(LN(2)/2)*BL43*BO43*VLOOKUP('Données projet'!$B$11,Paramètres!$A$1:$I$89,3,0)*0.475*44/12</f>
        <v>0</v>
      </c>
      <c r="BS43" s="24">
        <f t="shared" si="9"/>
        <v>0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18.229670329670324</v>
      </c>
      <c r="BY43" s="13">
        <f>IF('Données projet'!$A$114&gt;35,BY42+BX43-CG42,IF(A43&lt;'Données projet'!$A$114,$BV$205^A43,IF(A43='Données projet'!$A$114,'Données projet'!$B$114,BY42+BX43-CG42)))</f>
        <v>326.1406593406594</v>
      </c>
      <c r="BZ43" s="14">
        <f>BY43*VLOOKUP('Données projet'!$B$12,Paramètres!$A$1:$I$89,3,0)*VLOOKUP('Données projet'!$B$12,Paramètres!$A$1:$I$89,5,0)</f>
        <v>182.31262857142863</v>
      </c>
      <c r="CA43" s="14">
        <f t="shared" si="39"/>
        <v>45.836320512875446</v>
      </c>
      <c r="CB43" s="22">
        <f t="shared" si="10"/>
        <v>397.35941965516298</v>
      </c>
      <c r="CC43" s="62">
        <f t="shared" si="11"/>
        <v>690.6927529884963</v>
      </c>
      <c r="CD43" s="62">
        <f ca="1">AVERAGE(OFFSET($CC$3,0,0,'Données projet'!$E$12+1,1))-AVERAGE(OFFSET($H$3,0,0,'Données projet'!$E$12+1,1))</f>
        <v>323.98185264074681</v>
      </c>
      <c r="CE43" s="62">
        <f t="shared" si="40"/>
        <v>301.22207291854005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>
        <f>EXP(-LN(2)/35)*CK42+(1-EXP(-LN(2)/35))/(LN(2)/35)*CG43*CH43*VLOOKUP('Données projet'!$B$12,Paramètres!$A$1:$I$89,3,0)*0.475*44/12</f>
        <v>3.6605997040950573</v>
      </c>
      <c r="CL43" s="23">
        <f>EXP(-LN(2)/25)*CL42+(1-EXP(-LN(2)/25))/(LN(2)/25)*Calculateur!CG43*Calculateur!CI43*VLOOKUP('Données projet'!$B$12,Paramètres!$A$1:$I$89,3,0)*0.475*44/12</f>
        <v>6.2502843474814274</v>
      </c>
      <c r="CM43" s="23">
        <f>EXP(-LN(2)/2)*CM42+(1-EXP(-LN(2)/2))/(LN(2)/2)*CG43*CJ43*VLOOKUP('Données projet'!$B$12,Paramètres!$A$1:$I$89,3,0)*0.475*44/12</f>
        <v>0.19024397436306315</v>
      </c>
      <c r="CN43" s="24">
        <f t="shared" si="12"/>
        <v>10.101128025939548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>
        <f>VLOOKUP(A43,'Données projet'!$A$139:$I$159,2,0)</f>
        <v>106</v>
      </c>
      <c r="CR43" s="13">
        <f>VLOOKUP(A43,'Données projet'!$A$139:$I$159,9,0)</f>
        <v>5.4</v>
      </c>
      <c r="CS43" s="13">
        <f t="array" ref="CS43">INDEX(CR:CR,MIN(IF(ISNUMBER(CR43:CR239),ROW(CR43:CR239),"")))</f>
        <v>5.4</v>
      </c>
      <c r="CT43" s="13">
        <f>IF('Données projet'!$A$140&gt;35,CT42+CS43-DB42,IF(A43&lt;'Données projet'!$A$140,$CQ$205^A43,IF(A43='Données projet'!$A$140,'Données projet'!$B$140,CT42+CS43-DB42)))</f>
        <v>106.00000000000001</v>
      </c>
      <c r="CU43" s="18">
        <f>CT43*VLOOKUP('Données projet'!$B$13,Paramètres!$A$1:$I$89,3,0)*VLOOKUP('Données projet'!$B$13,Paramètres!$A$1:$I$89,5,0)</f>
        <v>120.71280000000002</v>
      </c>
      <c r="CV43" s="14">
        <f t="shared" si="41"/>
        <v>31.841190841691311</v>
      </c>
      <c r="CW43" s="22">
        <f t="shared" si="13"/>
        <v>265.69820071594569</v>
      </c>
      <c r="CX43" s="62">
        <f t="shared" si="14"/>
        <v>559.031534049279</v>
      </c>
      <c r="CY43" s="62">
        <f ca="1">AVERAGE(OFFSET($CX$3,0,0,'Données projet'!$E$13+1,1))-AVERAGE(OFFSET($H$3,0,0,'Données projet'!$E$13+1,1))</f>
        <v>399.78832690250164</v>
      </c>
      <c r="CZ43" s="62">
        <f t="shared" si="42"/>
        <v>174.32967064896343</v>
      </c>
      <c r="DA43" s="16">
        <f>IF(ISNA(VLOOKUP(A43,'Données projet'!$A$139:$I$159,3,0)),0,VLOOKUP(A43,'Données projet'!$A$139:$I$159,3,0))</f>
        <v>1</v>
      </c>
      <c r="DB43" s="16">
        <f>IF(ISNA(VLOOKUP(A43,'Données projet'!$A$139:$I$159,4,0)),0,VLOOKUP(A43,'Données projet'!$A$139:$I$159,4,0))</f>
        <v>27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>
        <f>EXP(-LN(2)/35)*DF42+(1-EXP(-LN(2)/35))/(LN(2)/35)*DB43*DC43*VLOOKUP('Données projet'!$B$13,Paramètres!$A$1:$I$89,3,0)*0.475*44/12</f>
        <v>0</v>
      </c>
      <c r="DG43" s="23">
        <f>EXP(-LN(2)/25)*DG42+(1-EXP(-LN(2)/25))/(LN(2)/25)*Calculateur!DB43*Calculateur!DD43*VLOOKUP('Données projet'!$B$13,Paramètres!$A$1:$I$89,3,0)*0.475*44/12</f>
        <v>0</v>
      </c>
      <c r="DH43" s="23">
        <f>EXP(-LN(2)/2)*DH42+(1-EXP(-LN(2)/2))/(LN(2)/2)*DB43*DE43*VLOOKUP('Données projet'!$B$13,Paramètres!$A$1:$I$89,3,0)*0.475*44/12</f>
        <v>0</v>
      </c>
      <c r="DI43" s="24">
        <f t="shared" si="15"/>
        <v>0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>
        <f>VLOOKUP(A43,'Données projet'!$A$165:$I$185,2,0)</f>
        <v>158</v>
      </c>
      <c r="DM43" s="13">
        <f>VLOOKUP(A43,'Données projet'!$A$165:$I$185,9,0)</f>
        <v>8.4</v>
      </c>
      <c r="DN43" s="13">
        <f t="array" ref="DN43">INDEX(DM:DM,MIN(IF(ISNUMBER(DM43:DM239),ROW(DM43:DM239),"")))</f>
        <v>8.4</v>
      </c>
      <c r="DO43" s="13">
        <f>IF('Données projet'!$A$166&gt;35,DO42+DN43-DW42,IF(A43&lt;'Données projet'!$A$166,$DL$205^A43,IF(A43='Données projet'!$A$166,'Données projet'!$B$166,DO42+DN43-DW42)))</f>
        <v>158.00000000000003</v>
      </c>
      <c r="DP43" s="18">
        <f>DO43*VLOOKUP('Données projet'!$B$14,Paramètres!$A$1:$I$89,3,0)*VLOOKUP('Données projet'!$B$14,Paramètres!$A$1:$I$89,5,0)</f>
        <v>133.09920000000002</v>
      </c>
      <c r="DQ43" s="14">
        <f t="shared" si="43"/>
        <v>34.71150853565117</v>
      </c>
      <c r="DR43" s="22">
        <f t="shared" si="16"/>
        <v>292.27031736625912</v>
      </c>
      <c r="DS43" s="62">
        <f t="shared" si="17"/>
        <v>585.60365069959244</v>
      </c>
      <c r="DT43" s="62">
        <f ca="1">AVERAGE(OFFSET($DS$3,0,0,'Données projet'!$E$14+1,1))-AVERAGE(OFFSET($H$3,0,0,'Données projet'!$E$14+1,1))</f>
        <v>402.15128814037058</v>
      </c>
      <c r="DU43" s="62">
        <f t="shared" si="44"/>
        <v>232.85411068442738</v>
      </c>
      <c r="DV43" s="16">
        <f>IF(ISNA(VLOOKUP(A43,'Données projet'!$A$165:$I$185,3,0)),0,VLOOKUP(A43,'Données projet'!$A$165:$I$185,3,0))</f>
        <v>2</v>
      </c>
      <c r="DW43" s="16">
        <f>IF(ISNA(VLOOKUP(A43,'Données projet'!$A$165:$I$185,4,0)),0,VLOOKUP(A43,'Données projet'!$A$165:$I$185,4,0))</f>
        <v>42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>
        <f>EXP(-LN(2)/35)*EA42+(1-EXP(-LN(2)/35))/(LN(2)/35)*DW43*DX43*VLOOKUP('Données projet'!$B$14,Paramètres!$A$1:$I$89,3,0)*0.475*44/12</f>
        <v>0</v>
      </c>
      <c r="EB43" s="23">
        <f>EXP(-LN(2)/25)*EB42+(1-EXP(-LN(2)/25))/(LN(2)/25)*Calculateur!DW43*Calculateur!DY43*VLOOKUP('Données projet'!$B$14,Paramètres!$A$1:$I$89,3,0)*0.475*44/12</f>
        <v>0</v>
      </c>
      <c r="EC43" s="23">
        <f>EXP(-LN(2)/2)*EC42+(1-EXP(-LN(2)/2))/(LN(2)/2)*DW43*DZ43*VLOOKUP('Données projet'!$B$14,Paramètres!$A$1:$I$89,3,0)*0.475*44/12</f>
        <v>0</v>
      </c>
      <c r="ED43" s="24">
        <f t="shared" si="18"/>
        <v>0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>
        <f>VLOOKUP(A43,'Données projet'!$A$191:$I$211,2,0)</f>
        <v>207.69230769230768</v>
      </c>
      <c r="EH43" s="13">
        <f>VLOOKUP(A43,'Données projet'!$A$191:$I$211,9,0)</f>
        <v>7.8205128205128176</v>
      </c>
      <c r="EI43" s="13">
        <f t="array" ref="EI43">INDEX(EH:EH,MIN(IF(ISNUMBER(EH43:EH239),ROW(EH43:EH239),"")))</f>
        <v>7.8205128205128176</v>
      </c>
      <c r="EJ43" s="13">
        <f>IF('Données projet'!$A$192&gt;35,EJ42+EI43-ER42,IF(A43&lt;'Données projet'!$A$192,$EG$205^A43,IF(A43='Données projet'!$A$192,'Données projet'!$B$192,EJ42+EI43-ER42)))</f>
        <v>207.69230769230774</v>
      </c>
      <c r="EK43" s="18">
        <f>EJ43*VLOOKUP('Données projet'!$B$15,Paramètres!$A$1:$I$89,3,0)*VLOOKUP('Données projet'!$B$15,Paramètres!$A$1:$I$89,5,0)</f>
        <v>217.08000000000007</v>
      </c>
      <c r="EL43" s="14">
        <f t="shared" si="45"/>
        <v>53.479745461216247</v>
      </c>
      <c r="EM43" s="22">
        <f t="shared" si="19"/>
        <v>471.22489001161836</v>
      </c>
      <c r="EN43" s="62">
        <f t="shared" si="20"/>
        <v>764.55822334495167</v>
      </c>
      <c r="EO43" s="62">
        <f ca="1">AVERAGE(OFFSET($EN$3,0,0,'Données projet'!$E$15+1,1))-AVERAGE(OFFSET($H$3,0,0,'Données projet'!$E$15+1,1))</f>
        <v>595.89992279024398</v>
      </c>
      <c r="EP43" s="62">
        <f t="shared" si="46"/>
        <v>378.16197659288338</v>
      </c>
      <c r="EQ43" s="16">
        <f>IF(ISNA(VLOOKUP(A43,'Données projet'!$A$191:$I$211,3,0)),0,VLOOKUP(A43,'Données projet'!$A$191:$I$211,3,0))</f>
        <v>3</v>
      </c>
      <c r="ER43" s="16">
        <f>IF(ISNA(VLOOKUP(A43,'Données projet'!$A$191:$I$211,4,0)),0,VLOOKUP(A43,'Données projet'!$A$191:$I$211,4,0))</f>
        <v>27.564102564102562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>
        <f>EXP(-LN(2)/35)*EV42+(1-EXP(-LN(2)/35))/(LN(2)/35)*ER43*ES43*VLOOKUP('Données projet'!$B$15,Paramètres!$A$1:$I$89,3,0)*0.475*44/12</f>
        <v>0</v>
      </c>
      <c r="EW43" s="23">
        <f>EXP(-LN(2)/25)*EW42+(1-EXP(-LN(2)/25))/(LN(2)/25)*Calculateur!ER43*Calculateur!ET43*VLOOKUP('Données projet'!$B$15,Paramètres!$A$1:$I$89,3,0)*0.475*44/12</f>
        <v>0</v>
      </c>
      <c r="EX43" s="23">
        <f>EXP(-LN(2)/2)*EX42+(1-EXP(-LN(2)/2))/(LN(2)/2)*ER43*EU43*VLOOKUP('Données projet'!$B$15,Paramètres!$A$1:$I$89,3,0)*0.475*44/12</f>
        <v>0</v>
      </c>
      <c r="EY43" s="24">
        <f t="shared" si="21"/>
        <v>0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13.132967032967031</v>
      </c>
      <c r="FE43" s="13">
        <f>IF('Données projet'!$A$218&gt;35,FE42+FD43-FM42,IF(A43&lt;'Données projet'!$A$218,$FB$205^A43,IF(A43='Données projet'!$A$218,'Données projet'!$B$218,FE42+FD43-FM42)))</f>
        <v>250.55494505494499</v>
      </c>
      <c r="FF43" s="18">
        <f>FE43*VLOOKUP('Données projet'!$B$16,Paramètres!$A$1:$I$89,3,0)*VLOOKUP('Données projet'!$B$16,Paramètres!$A$1:$I$89,5,0)</f>
        <v>149.83185714285713</v>
      </c>
      <c r="FG43" s="14">
        <f t="shared" si="47"/>
        <v>38.54037205930149</v>
      </c>
      <c r="FH43" s="22">
        <f t="shared" si="22"/>
        <v>328.08163252709295</v>
      </c>
      <c r="FI43" s="62">
        <f t="shared" si="23"/>
        <v>621.41496586042626</v>
      </c>
      <c r="FJ43" s="62">
        <f ca="1">AVERAGE(OFFSET($FI$3,0,0,'Données projet'!$E$16+1,1))-AVERAGE(OFFSET($H$3,0,0,'Données projet'!$E$16+1,1))</f>
        <v>257.56116197646924</v>
      </c>
      <c r="FK43" s="62">
        <f t="shared" si="48"/>
        <v>269.95556918835888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>
        <f>EXP(-LN(2)/35)*FQ42+(1-EXP(-LN(2)/35))/(LN(2)/35)*FM43*FN43*VLOOKUP('Données projet'!$B$16,Paramètres!$A$1:$I$89,3,0)*0.475*44/12</f>
        <v>11.96167233968904</v>
      </c>
      <c r="FR43" s="23">
        <f>EXP(-LN(2)/25)*FR42+(1-EXP(-LN(2)/25))/(LN(2)/25)*Calculateur!FM43*Calculateur!FO43*VLOOKUP('Données projet'!$B$16,Paramètres!$A$1:$I$89,3,0)*0.475*44/12</f>
        <v>12.234161624923654</v>
      </c>
      <c r="FS43" s="23">
        <f>EXP(-LN(2)/2)*FS42+(1-EXP(-LN(2)/2))/(LN(2)/2)*FM43*FP43*VLOOKUP('Données projet'!$B$16,Paramètres!$A$1:$I$89,3,0)*0.475*44/12</f>
        <v>0.26731510693671823</v>
      </c>
      <c r="FT43" s="24">
        <f t="shared" si="24"/>
        <v>24.463149071549413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12.74038461538462</v>
      </c>
      <c r="FZ43" s="13">
        <f>IF('Données projet'!$A$244&gt;35,FZ42+FY43-GH42,IF(A43&lt;'Données projet'!$A$244,$FW$205^A43,IF(A43='Données projet'!$A$244,'Données projet'!$B$244,FZ42+FY43-GH42)))</f>
        <v>230.07499999999996</v>
      </c>
      <c r="GA43" s="18">
        <f>FZ43*VLOOKUP('Données projet'!$B$17,Paramètres!$A$1:$I$89,3,0)*VLOOKUP('Données projet'!$B$17,Paramètres!$A$1:$I$89,5,0)</f>
        <v>137.58484999999999</v>
      </c>
      <c r="GB43" s="14">
        <f t="shared" si="49"/>
        <v>35.743169448737028</v>
      </c>
      <c r="GC43" s="22">
        <f t="shared" si="25"/>
        <v>301.87963387321696</v>
      </c>
      <c r="GD43" s="62">
        <f t="shared" si="26"/>
        <v>595.21296720655027</v>
      </c>
      <c r="GE43" s="62">
        <f ca="1">AVERAGE(OFFSET($GD$3,0,0,'Données projet'!$E$17+1,1))-AVERAGE(OFFSET($H$3,0,0,'Données projet'!$E$17+1,1))</f>
        <v>289.12367833861299</v>
      </c>
      <c r="GF43" s="62">
        <f t="shared" si="50"/>
        <v>229.06617320689003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>
        <f>EXP(-LN(2)/35)*GL42+(1-EXP(-LN(2)/35))/(LN(2)/35)*GH43*GI43*VLOOKUP('Données projet'!$B$17,Paramètres!$A$1:$I$89,3,0)*0.475*44/12</f>
        <v>0</v>
      </c>
      <c r="GM43" s="23">
        <f>EXP(-LN(2)/25)*GM42+(1-EXP(-LN(2)/25))/(LN(2)/25)*Calculateur!GH43*Calculateur!GJ43*VLOOKUP('Données projet'!$B$17,Paramètres!$A$1:$I$89,3,0)*0.475*44/12</f>
        <v>0</v>
      </c>
      <c r="GN43" s="23">
        <f>EXP(-LN(2)/2)*GN42+(1-EXP(-LN(2)/2))/(LN(2)/2)*GH43*GK43*VLOOKUP('Données projet'!$B$17,Paramètres!$A$1:$I$89,3,0)*0.475*44/12</f>
        <v>0.1295885961882953</v>
      </c>
      <c r="GO43" s="23">
        <f t="shared" si="27"/>
        <v>0.1295885961882953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>
        <f>VLOOKUP(A43,'Données projet'!$A$269:$I$289,2,0)</f>
        <v>253.01538461538462</v>
      </c>
      <c r="GS43" s="13">
        <f>VLOOKUP(A43,'Données projet'!$A$269:$I$289,9,0)</f>
        <v>10.576153846153847</v>
      </c>
      <c r="GT43" s="13">
        <f t="array" ref="GT43">INDEX(GS:GS,MIN(IF(ISNUMBER(GS43:GS239),ROW(GS43:GS239),"")))</f>
        <v>10.576153846153847</v>
      </c>
      <c r="GU43" s="13">
        <f>IF('Données projet'!$A$270&gt;35,GU42+GT43-HC42,IF(A43&lt;'Données projet'!$A$270,$GR$205^A43,IF(A43='Données projet'!$A$270,'Données projet'!$B$270,GU42+GT43-HC42)))</f>
        <v>253.01538461538473</v>
      </c>
      <c r="GV43" s="18">
        <f>GU43*VLOOKUP('Données projet'!$B$18,Paramètres!$A$1:$I$89,3,0)*VLOOKUP('Données projet'!$B$18,Paramètres!$A$1:$I$89,5,0)</f>
        <v>118.41120000000006</v>
      </c>
      <c r="GW43" s="14">
        <f t="shared" si="51"/>
        <v>31.304150825519994</v>
      </c>
      <c r="GX43" s="22">
        <f t="shared" si="28"/>
        <v>260.75423602111408</v>
      </c>
      <c r="GY43" s="62">
        <f t="shared" si="29"/>
        <v>554.0875693544474</v>
      </c>
      <c r="GZ43" s="62">
        <f ca="1">AVERAGE(OFFSET($GY$3,0,0,'Données projet'!$E$18+1,1))-AVERAGE(OFFSET($H$3,0,0,'Données projet'!$E$18+1,1))</f>
        <v>284.88646502866419</v>
      </c>
      <c r="HA43" s="62">
        <f t="shared" si="52"/>
        <v>190.4880882944471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>
        <f>EXP(-LN(2)/35)*HG42+(1-EXP(-LN(2)/35))/(LN(2)/35)*HC43*HD43*VLOOKUP('Données projet'!$B$18,Paramètres!$A$1:$I$89,3,0)*0.475*44/12</f>
        <v>0</v>
      </c>
      <c r="HH43" s="23">
        <f>EXP(-LN(2)/25)*HH42+(1-EXP(-LN(2)/25))/(LN(2)/25)*Calculateur!HC43*Calculateur!HE43*VLOOKUP('Données projet'!$B$18,Paramètres!$A$1:$I$89,3,0)*0.475*44/12</f>
        <v>0</v>
      </c>
      <c r="HI43" s="23">
        <f>EXP(-LN(2)/2)*HI42+(1-EXP(-LN(2)/2))/(LN(2)/2)*HC43*HF43*VLOOKUP('Données projet'!$B$18,Paramètres!$A$1:$I$89,3,0)*0.475*44/12</f>
        <v>0</v>
      </c>
      <c r="HJ43" s="24">
        <f t="shared" si="30"/>
        <v>0</v>
      </c>
    </row>
    <row r="44" spans="1:218" s="5" customFormat="1" x14ac:dyDescent="0.25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2">
        <f t="shared" si="32"/>
        <v>0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0</v>
      </c>
      <c r="H44" s="70">
        <f t="shared" si="1"/>
        <v>256.66666666666669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5.7692307692307683</v>
      </c>
      <c r="N44" s="14">
        <f>IF('Données projet'!$A$36&gt;35,N43+M44-V43,IF(A44&lt;'Données projet'!$A$36,$K$205^A44,IF(A44='Données projet'!$A$36,'Données projet'!$B$36,N43+M44-V43)))</f>
        <v>129.48717948717956</v>
      </c>
      <c r="O44" s="14">
        <f>N44*VLOOKUP('Données projet'!$B$9,Paramètres!$A$1:$I$89,3,0)*VLOOKUP('Données projet'!$B$9,Paramètres!$A$1:$I$89,5,0)</f>
        <v>123.22000000000007</v>
      </c>
      <c r="P44" s="14">
        <f t="shared" si="33"/>
        <v>32.42485010818541</v>
      </c>
      <c r="Q44" s="22">
        <f t="shared" si="53"/>
        <v>271.08144727175642</v>
      </c>
      <c r="R44" s="62">
        <f t="shared" si="0"/>
        <v>564.41478060508973</v>
      </c>
      <c r="S44" s="62">
        <f ca="1">AVERAGE(OFFSET($R$3,0,0,'Données projet'!$E$9+1,1))-AVERAGE(OFFSET($H$3,0,0,'Données projet'!$E$9+1,1))</f>
        <v>367.11183928586667</v>
      </c>
      <c r="T44" s="62">
        <f t="shared" si="34"/>
        <v>281.52963027844595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0</v>
      </c>
      <c r="AA44" s="23">
        <f>EXP(-LN(2)/25)*AA43+(1-EXP(-LN(2)/25))/(LN(2)/25)*Calculateur!V44*Calculateur!X44*VLOOKUP('Données projet'!$B$9,Paramètres!$A$1:$I$89,3,0)*0.475*44/12</f>
        <v>0</v>
      </c>
      <c r="AB44" s="23">
        <f>EXP(-LN(2)/2)*AB43+(1-EXP(-LN(2)/2))/(LN(2)/2)*V44*Y44*VLOOKUP('Données projet'!$B$9,Paramètres!$A$1:$I$89,3,0)*0.475*44/12</f>
        <v>0</v>
      </c>
      <c r="AC44" s="24">
        <f t="shared" si="3"/>
        <v>0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8.4</v>
      </c>
      <c r="AI44" s="14">
        <f>IF('Données projet'!$A$62&gt;35,AI43+AH44-AQ43,IF(A44&lt;'Données projet'!$A$62,$AF$205^A44,IF(A44='Données projet'!$A$62,'Données projet'!$B$62,AI43+AH44-AQ43)))</f>
        <v>124.40000000000003</v>
      </c>
      <c r="AJ44" s="14">
        <f>AI44*VLOOKUP('Données projet'!$B$10,Paramètres!$A$1:$I$89,3,0)*VLOOKUP('Données projet'!$B$10,Paramètres!$A$1:$I$89,5,0)</f>
        <v>112.55712000000003</v>
      </c>
      <c r="AK44" s="14">
        <f t="shared" si="35"/>
        <v>29.932653834140599</v>
      </c>
      <c r="AL44" s="22">
        <f t="shared" si="4"/>
        <v>248.16968942779496</v>
      </c>
      <c r="AM44" s="62">
        <f t="shared" si="5"/>
        <v>541.50302276112825</v>
      </c>
      <c r="AN44" s="62">
        <f ca="1">AVERAGE(OFFSET($AM$3,0,0,'Données projet'!$E$10+1,1))-AVERAGE(OFFSET($H$3,0,0,'Données projet'!$E$10+1,1))</f>
        <v>428.8489304403459</v>
      </c>
      <c r="AO44" s="62">
        <f t="shared" si="36"/>
        <v>247.01165577562966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0</v>
      </c>
      <c r="AV44" s="23">
        <f>EXP(-LN(2)/25)*AV43+(1-EXP(-LN(2)/25))/(LN(2)/25)*Calculateur!AQ44*Calculateur!AS44*VLOOKUP('Données projet'!$B$10,Paramètres!$A$1:$I$89,3,0)*0.475*44/12</f>
        <v>0</v>
      </c>
      <c r="AW44" s="23">
        <f>EXP(-LN(2)/2)*AW43+(1-EXP(-LN(2)/2))/(LN(2)/2)*AQ44*AT44*VLOOKUP('Données projet'!$B$10,Paramètres!$A$1:$I$89,3,0)*0.475*44/12</f>
        <v>0</v>
      </c>
      <c r="AX44" s="23">
        <f t="shared" si="6"/>
        <v>0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8.4</v>
      </c>
      <c r="BD44" s="13">
        <f>IF('Données projet'!$A$88&gt;35,BD43+BC44-BL43,IF(A44&lt;'Données projet'!$A$88,$BA$205^A44,IF(A44='Données projet'!$A$88,'Données projet'!$B$88,BD43+BC44-BL43)))</f>
        <v>124.40000000000003</v>
      </c>
      <c r="BE44" s="14">
        <f>BD44*VLOOKUP('Données projet'!$B$11,Paramètres!$A$1:$I$89,3,0)*VLOOKUP('Données projet'!$B$11,Paramètres!$A$1:$I$89,5,0)</f>
        <v>126.14160000000005</v>
      </c>
      <c r="BF44" s="14">
        <f t="shared" si="37"/>
        <v>33.10323903126482</v>
      </c>
      <c r="BG44" s="22">
        <f t="shared" si="7"/>
        <v>277.35142797945298</v>
      </c>
      <c r="BH44" s="62">
        <f t="shared" si="8"/>
        <v>570.68476131278635</v>
      </c>
      <c r="BI44" s="62">
        <f ca="1">AVERAGE(OFFSET($BH$3,0,0,'Données projet'!$E$11+1,1))-AVERAGE(OFFSET($H$3,0,0,'Données projet'!$E$11+1,1))</f>
        <v>475.47920969424894</v>
      </c>
      <c r="BJ44" s="62">
        <f t="shared" si="38"/>
        <v>271.73544012419364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>
        <f>EXP(-LN(2)/35)*BP43+(1-EXP(-LN(2)/35))/(LN(2)/35)*BL44*BM44*VLOOKUP('Données projet'!$B$11,Paramètres!$A$1:$I$89,3,0)*0.475*44/12</f>
        <v>0</v>
      </c>
      <c r="BQ44" s="23">
        <f>EXP(-LN(2)/25)*BQ43+(1-EXP(-LN(2)/25))/(LN(2)/25)*Calculateur!BL44*Calculateur!BN44*VLOOKUP('Données projet'!$B$11,Paramètres!$A$1:$I$89,3,0)*0.475*44/12</f>
        <v>0</v>
      </c>
      <c r="BR44" s="23">
        <f>EXP(-LN(2)/2)*BR43+(1-EXP(-LN(2)/2))/(LN(2)/2)*BL44*BO44*VLOOKUP('Données projet'!$B$11,Paramètres!$A$1:$I$89,3,0)*0.475*44/12</f>
        <v>0</v>
      </c>
      <c r="BS44" s="24">
        <f t="shared" si="9"/>
        <v>0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18.229670329670324</v>
      </c>
      <c r="BY44" s="13">
        <f>IF('Données projet'!$A$114&gt;35,BY43+BX44-CG43,IF(A44&lt;'Données projet'!$A$114,$BV$205^A44,IF(A44='Données projet'!$A$114,'Données projet'!$B$114,BY43+BX44-CG43)))</f>
        <v>344.37032967032974</v>
      </c>
      <c r="BZ44" s="14">
        <f>BY44*VLOOKUP('Données projet'!$B$12,Paramètres!$A$1:$I$89,3,0)*VLOOKUP('Données projet'!$B$12,Paramètres!$A$1:$I$89,5,0)</f>
        <v>192.50301428571433</v>
      </c>
      <c r="CA44" s="14">
        <f t="shared" si="39"/>
        <v>48.092911552862631</v>
      </c>
      <c r="CB44" s="22">
        <f t="shared" si="10"/>
        <v>419.03790416885482</v>
      </c>
      <c r="CC44" s="62">
        <f t="shared" si="11"/>
        <v>712.37123750218814</v>
      </c>
      <c r="CD44" s="62">
        <f ca="1">AVERAGE(OFFSET($CC$3,0,0,'Données projet'!$E$12+1,1))-AVERAGE(OFFSET($H$3,0,0,'Données projet'!$E$12+1,1))</f>
        <v>323.98185264074681</v>
      </c>
      <c r="CE44" s="62">
        <f t="shared" si="40"/>
        <v>301.22207291854005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>
        <f>EXP(-LN(2)/35)*CK43+(1-EXP(-LN(2)/35))/(LN(2)/35)*CG44*CH44*VLOOKUP('Données projet'!$B$12,Paramètres!$A$1:$I$89,3,0)*0.475*44/12</f>
        <v>3.5888175766431076</v>
      </c>
      <c r="CL44" s="23">
        <f>EXP(-LN(2)/25)*CL43+(1-EXP(-LN(2)/25))/(LN(2)/25)*Calculateur!CG44*Calculateur!CI44*VLOOKUP('Données projet'!$B$12,Paramètres!$A$1:$I$89,3,0)*0.475*44/12</f>
        <v>6.0793699933113787</v>
      </c>
      <c r="CM44" s="23">
        <f>EXP(-LN(2)/2)*CM43+(1-EXP(-LN(2)/2))/(LN(2)/2)*CG44*CJ44*VLOOKUP('Données projet'!$B$12,Paramètres!$A$1:$I$89,3,0)*0.475*44/12</f>
        <v>0.13452280435200165</v>
      </c>
      <c r="CN44" s="24">
        <f t="shared" si="12"/>
        <v>9.8027103743064892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5.6</v>
      </c>
      <c r="CT44" s="13">
        <f>IF('Données projet'!$A$140&gt;35,CT43+CS44-DB43,IF(A44&lt;'Données projet'!$A$140,$CQ$205^A44,IF(A44='Données projet'!$A$140,'Données projet'!$B$140,CT43+CS44-DB43)))</f>
        <v>84.600000000000009</v>
      </c>
      <c r="CU44" s="18">
        <f>CT44*VLOOKUP('Données projet'!$B$13,Paramètres!$A$1:$I$89,3,0)*VLOOKUP('Données projet'!$B$13,Paramètres!$A$1:$I$89,5,0)</f>
        <v>96.342480000000009</v>
      </c>
      <c r="CV44" s="14">
        <f t="shared" si="41"/>
        <v>26.088763268244669</v>
      </c>
      <c r="CW44" s="22">
        <f t="shared" si="13"/>
        <v>213.23441535885948</v>
      </c>
      <c r="CX44" s="62">
        <f t="shared" si="14"/>
        <v>506.56774869219282</v>
      </c>
      <c r="CY44" s="62">
        <f ca="1">AVERAGE(OFFSET($CX$3,0,0,'Données projet'!$E$13+1,1))-AVERAGE(OFFSET($H$3,0,0,'Données projet'!$E$13+1,1))</f>
        <v>399.78832690250164</v>
      </c>
      <c r="CZ44" s="62">
        <f t="shared" si="42"/>
        <v>174.32967064896343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>
        <f>EXP(-LN(2)/35)*DF43+(1-EXP(-LN(2)/35))/(LN(2)/35)*DB44*DC44*VLOOKUP('Données projet'!$B$13,Paramètres!$A$1:$I$89,3,0)*0.475*44/12</f>
        <v>0</v>
      </c>
      <c r="DG44" s="23">
        <f>EXP(-LN(2)/25)*DG43+(1-EXP(-LN(2)/25))/(LN(2)/25)*Calculateur!DB44*Calculateur!DD44*VLOOKUP('Données projet'!$B$13,Paramètres!$A$1:$I$89,3,0)*0.475*44/12</f>
        <v>0</v>
      </c>
      <c r="DH44" s="23">
        <f>EXP(-LN(2)/2)*DH43+(1-EXP(-LN(2)/2))/(LN(2)/2)*DB44*DE44*VLOOKUP('Données projet'!$B$13,Paramètres!$A$1:$I$89,3,0)*0.475*44/12</f>
        <v>0</v>
      </c>
      <c r="DI44" s="24">
        <f t="shared" si="15"/>
        <v>0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8.4</v>
      </c>
      <c r="DO44" s="13">
        <f>IF('Données projet'!$A$166&gt;35,DO43+DN44-DW43,IF(A44&lt;'Données projet'!$A$166,$DL$205^A44,IF(A44='Données projet'!$A$166,'Données projet'!$B$166,DO43+DN44-DW43)))</f>
        <v>124.40000000000003</v>
      </c>
      <c r="DP44" s="18">
        <f>DO44*VLOOKUP('Données projet'!$B$14,Paramètres!$A$1:$I$89,3,0)*VLOOKUP('Données projet'!$B$14,Paramètres!$A$1:$I$89,5,0)</f>
        <v>104.79456000000003</v>
      </c>
      <c r="DQ44" s="14">
        <f t="shared" si="43"/>
        <v>28.101103481959861</v>
      </c>
      <c r="DR44" s="22">
        <f t="shared" si="16"/>
        <v>231.45994723108015</v>
      </c>
      <c r="DS44" s="62">
        <f t="shared" si="17"/>
        <v>524.79328056441341</v>
      </c>
      <c r="DT44" s="62">
        <f ca="1">AVERAGE(OFFSET($DS$3,0,0,'Données projet'!$E$14+1,1))-AVERAGE(OFFSET($H$3,0,0,'Données projet'!$E$14+1,1))</f>
        <v>402.15128814037058</v>
      </c>
      <c r="DU44" s="62">
        <f t="shared" si="44"/>
        <v>232.85411068442738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>
        <f>EXP(-LN(2)/35)*EA43+(1-EXP(-LN(2)/35))/(LN(2)/35)*DW44*DX44*VLOOKUP('Données projet'!$B$14,Paramètres!$A$1:$I$89,3,0)*0.475*44/12</f>
        <v>0</v>
      </c>
      <c r="EB44" s="23">
        <f>EXP(-LN(2)/25)*EB43+(1-EXP(-LN(2)/25))/(LN(2)/25)*Calculateur!DW44*Calculateur!DY44*VLOOKUP('Données projet'!$B$14,Paramètres!$A$1:$I$89,3,0)*0.475*44/12</f>
        <v>0</v>
      </c>
      <c r="EC44" s="23">
        <f>EXP(-LN(2)/2)*EC43+(1-EXP(-LN(2)/2))/(LN(2)/2)*DW44*DZ44*VLOOKUP('Données projet'!$B$14,Paramètres!$A$1:$I$89,3,0)*0.475*44/12</f>
        <v>0</v>
      </c>
      <c r="ED44" s="24">
        <f t="shared" si="18"/>
        <v>0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7.5641025641025639</v>
      </c>
      <c r="EJ44" s="13">
        <f>IF('Données projet'!$A$192&gt;35,EJ43+EI44-ER43,IF(A44&lt;'Données projet'!$A$192,$EG$205^A44,IF(A44='Données projet'!$A$192,'Données projet'!$B$192,EJ43+EI44-ER43)))</f>
        <v>187.69230769230774</v>
      </c>
      <c r="EK44" s="18">
        <f>EJ44*VLOOKUP('Données projet'!$B$15,Paramètres!$A$1:$I$89,3,0)*VLOOKUP('Données projet'!$B$15,Paramètres!$A$1:$I$89,5,0)</f>
        <v>196.17600000000007</v>
      </c>
      <c r="EL44" s="14">
        <f t="shared" si="45"/>
        <v>48.902826361146509</v>
      </c>
      <c r="EM44" s="22">
        <f t="shared" si="19"/>
        <v>426.84562257899694</v>
      </c>
      <c r="EN44" s="62">
        <f t="shared" si="20"/>
        <v>720.17895591233025</v>
      </c>
      <c r="EO44" s="62">
        <f ca="1">AVERAGE(OFFSET($EN$3,0,0,'Données projet'!$E$15+1,1))-AVERAGE(OFFSET($H$3,0,0,'Données projet'!$E$15+1,1))</f>
        <v>595.89992279024398</v>
      </c>
      <c r="EP44" s="62">
        <f t="shared" si="46"/>
        <v>378.16197659288338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>
        <f>EXP(-LN(2)/35)*EV43+(1-EXP(-LN(2)/35))/(LN(2)/35)*ER44*ES44*VLOOKUP('Données projet'!$B$15,Paramètres!$A$1:$I$89,3,0)*0.475*44/12</f>
        <v>0</v>
      </c>
      <c r="EW44" s="23">
        <f>EXP(-LN(2)/25)*EW43+(1-EXP(-LN(2)/25))/(LN(2)/25)*Calculateur!ER44*Calculateur!ET44*VLOOKUP('Données projet'!$B$15,Paramètres!$A$1:$I$89,3,0)*0.475*44/12</f>
        <v>0</v>
      </c>
      <c r="EX44" s="23">
        <f>EXP(-LN(2)/2)*EX43+(1-EXP(-LN(2)/2))/(LN(2)/2)*ER44*EU44*VLOOKUP('Données projet'!$B$15,Paramètres!$A$1:$I$89,3,0)*0.475*44/12</f>
        <v>0</v>
      </c>
      <c r="EY44" s="24">
        <f t="shared" si="21"/>
        <v>0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13.132967032967031</v>
      </c>
      <c r="FE44" s="13">
        <f>IF('Données projet'!$A$218&gt;35,FE43+FD44-FM43,IF(A44&lt;'Données projet'!$A$218,$FB$205^A44,IF(A44='Données projet'!$A$218,'Données projet'!$B$218,FE43+FD44-FM43)))</f>
        <v>263.68791208791203</v>
      </c>
      <c r="FF44" s="18">
        <f>FE44*VLOOKUP('Données projet'!$B$16,Paramètres!$A$1:$I$89,3,0)*VLOOKUP('Données projet'!$B$16,Paramètres!$A$1:$I$89,5,0)</f>
        <v>157.68537142857141</v>
      </c>
      <c r="FG44" s="14">
        <f t="shared" si="47"/>
        <v>40.320002531301135</v>
      </c>
      <c r="FH44" s="22">
        <f t="shared" si="22"/>
        <v>344.85935964677805</v>
      </c>
      <c r="FI44" s="62">
        <f t="shared" si="23"/>
        <v>638.19269298011136</v>
      </c>
      <c r="FJ44" s="62">
        <f ca="1">AVERAGE(OFFSET($FI$3,0,0,'Données projet'!$E$16+1,1))-AVERAGE(OFFSET($H$3,0,0,'Données projet'!$E$16+1,1))</f>
        <v>257.56116197646924</v>
      </c>
      <c r="FK44" s="62">
        <f t="shared" si="48"/>
        <v>269.95556918835888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>
        <f>EXP(-LN(2)/35)*FQ43+(1-EXP(-LN(2)/35))/(LN(2)/35)*FM44*FN44*VLOOKUP('Données projet'!$B$16,Paramètres!$A$1:$I$89,3,0)*0.475*44/12</f>
        <v>11.727111241007455</v>
      </c>
      <c r="FR44" s="23">
        <f>EXP(-LN(2)/25)*FR43+(1-EXP(-LN(2)/25))/(LN(2)/25)*Calculateur!FM44*Calculateur!FO44*VLOOKUP('Données projet'!$B$16,Paramètres!$A$1:$I$89,3,0)*0.475*44/12</f>
        <v>11.89961783192352</v>
      </c>
      <c r="FS44" s="23">
        <f>EXP(-LN(2)/2)*FS43+(1-EXP(-LN(2)/2))/(LN(2)/2)*FM44*FP44*VLOOKUP('Données projet'!$B$16,Paramètres!$A$1:$I$89,3,0)*0.475*44/12</f>
        <v>0.18902032482856057</v>
      </c>
      <c r="FT44" s="24">
        <f t="shared" si="24"/>
        <v>23.815749397759536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>
        <f>VLOOKUP(A44,'Données projet'!$A$243:$I$263,2,0)</f>
        <v>242.81538461538463</v>
      </c>
      <c r="FX44" s="13">
        <f>VLOOKUP(A44,'Données projet'!$A$243:$I$263,9,0)</f>
        <v>12.74038461538462</v>
      </c>
      <c r="FY44" s="13">
        <f t="array" ref="FY44">INDEX(FX:FX,MIN(IF(ISNUMBER(FX44:FX240),ROW(FX44:FX240),"")))</f>
        <v>12.74038461538462</v>
      </c>
      <c r="FZ44" s="13">
        <f>IF('Données projet'!$A$244&gt;35,FZ43+FY44-GH43,IF(A44&lt;'Données projet'!$A$244,$FW$205^A44,IF(A44='Données projet'!$A$244,'Données projet'!$B$244,FZ43+FY44-GH43)))</f>
        <v>242.81538461538457</v>
      </c>
      <c r="GA44" s="18">
        <f>FZ44*VLOOKUP('Données projet'!$B$17,Paramètres!$A$1:$I$89,3,0)*VLOOKUP('Données projet'!$B$17,Paramètres!$A$1:$I$89,5,0)</f>
        <v>145.20359999999999</v>
      </c>
      <c r="GB44" s="14">
        <f t="shared" si="49"/>
        <v>37.4865334633907</v>
      </c>
      <c r="GC44" s="22">
        <f t="shared" si="25"/>
        <v>318.18531578207211</v>
      </c>
      <c r="GD44" s="62">
        <f t="shared" si="26"/>
        <v>611.51864911540542</v>
      </c>
      <c r="GE44" s="62">
        <f ca="1">AVERAGE(OFFSET($GD$3,0,0,'Données projet'!$E$17+1,1))-AVERAGE(OFFSET($H$3,0,0,'Données projet'!$E$17+1,1))</f>
        <v>289.12367833861299</v>
      </c>
      <c r="GF44" s="62">
        <f t="shared" si="50"/>
        <v>229.06617320689003</v>
      </c>
      <c r="GG44" s="16">
        <f>IF(ISNA(VLOOKUP(A44,'Données projet'!$A$243:$I$263,3,0)),0,VLOOKUP(A44,'Données projet'!$A$243:$I$263,3,0))</f>
        <v>4</v>
      </c>
      <c r="GH44" s="16">
        <f>IF(ISNA(VLOOKUP(A44,'Données projet'!$A$243:$I$263,4,0)),0,VLOOKUP(A44,'Données projet'!$A$243:$I$263,4,0))</f>
        <v>58.484615384615381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>
        <f>EXP(-LN(2)/35)*GL43+(1-EXP(-LN(2)/35))/(LN(2)/35)*GH44*GI44*VLOOKUP('Données projet'!$B$17,Paramètres!$A$1:$I$89,3,0)*0.475*44/12</f>
        <v>0</v>
      </c>
      <c r="GM44" s="23">
        <f>EXP(-LN(2)/25)*GM43+(1-EXP(-LN(2)/25))/(LN(2)/25)*Calculateur!GH44*Calculateur!GJ44*VLOOKUP('Données projet'!$B$17,Paramètres!$A$1:$I$89,3,0)*0.475*44/12</f>
        <v>0</v>
      </c>
      <c r="GN44" s="23">
        <f>EXP(-LN(2)/2)*GN43+(1-EXP(-LN(2)/2))/(LN(2)/2)*GH44*GK44*VLOOKUP('Données projet'!$B$17,Paramètres!$A$1:$I$89,3,0)*0.475*44/12</f>
        <v>9.163297512918879E-2</v>
      </c>
      <c r="GO44" s="23">
        <f t="shared" si="27"/>
        <v>9.163297512918879E-2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12.232167832167828</v>
      </c>
      <c r="GU44" s="13">
        <f>IF('Données projet'!$A$270&gt;35,GU43+GT44-HC43,IF(A44&lt;'Données projet'!$A$270,$GR$205^A44,IF(A44='Données projet'!$A$270,'Données projet'!$B$270,GU43+GT44-HC43)))</f>
        <v>265.24755244755255</v>
      </c>
      <c r="GV44" s="18">
        <f>GU44*VLOOKUP('Données projet'!$B$18,Paramètres!$A$1:$I$89,3,0)*VLOOKUP('Données projet'!$B$18,Paramètres!$A$1:$I$89,5,0)</f>
        <v>124.13585454545459</v>
      </c>
      <c r="GW44" s="14">
        <f t="shared" si="51"/>
        <v>32.637708900766754</v>
      </c>
      <c r="GX44" s="22">
        <f t="shared" si="28"/>
        <v>273.0472896688355</v>
      </c>
      <c r="GY44" s="62">
        <f t="shared" si="29"/>
        <v>566.38062300216882</v>
      </c>
      <c r="GZ44" s="62">
        <f ca="1">AVERAGE(OFFSET($GY$3,0,0,'Données projet'!$E$18+1,1))-AVERAGE(OFFSET($H$3,0,0,'Données projet'!$E$18+1,1))</f>
        <v>284.88646502866419</v>
      </c>
      <c r="HA44" s="62">
        <f t="shared" si="52"/>
        <v>190.4880882944471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>
        <f>EXP(-LN(2)/35)*HG43+(1-EXP(-LN(2)/35))/(LN(2)/35)*HC44*HD44*VLOOKUP('Données projet'!$B$18,Paramètres!$A$1:$I$89,3,0)*0.475*44/12</f>
        <v>0</v>
      </c>
      <c r="HH44" s="23">
        <f>EXP(-LN(2)/25)*HH43+(1-EXP(-LN(2)/25))/(LN(2)/25)*Calculateur!HC44*Calculateur!HE44*VLOOKUP('Données projet'!$B$18,Paramètres!$A$1:$I$89,3,0)*0.475*44/12</f>
        <v>0</v>
      </c>
      <c r="HI44" s="23">
        <f>EXP(-LN(2)/2)*HI43+(1-EXP(-LN(2)/2))/(LN(2)/2)*HC44*HF44*VLOOKUP('Données projet'!$B$18,Paramètres!$A$1:$I$89,3,0)*0.475*44/12</f>
        <v>0</v>
      </c>
      <c r="HJ44" s="24">
        <f t="shared" si="30"/>
        <v>0</v>
      </c>
    </row>
    <row r="45" spans="1:218" s="5" customFormat="1" x14ac:dyDescent="0.25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2">
        <f t="shared" si="32"/>
        <v>0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0</v>
      </c>
      <c r="H45" s="70">
        <f t="shared" si="1"/>
        <v>256.66666666666669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5.7692307692307683</v>
      </c>
      <c r="N45" s="14">
        <f>IF('Données projet'!$A$36&gt;35,N44+M45-V44,IF(A45&lt;'Données projet'!$A$36,$K$205^A45,IF(A45='Données projet'!$A$36,'Données projet'!$B$36,N44+M45-V44)))</f>
        <v>135.25641025641033</v>
      </c>
      <c r="O45" s="14">
        <f>N45*VLOOKUP('Données projet'!$B$9,Paramètres!$A$1:$I$89,3,0)*VLOOKUP('Données projet'!$B$9,Paramètres!$A$1:$I$89,5,0)</f>
        <v>128.71000000000009</v>
      </c>
      <c r="P45" s="14">
        <f t="shared" si="33"/>
        <v>33.698105419900322</v>
      </c>
      <c r="Q45" s="22">
        <f t="shared" si="53"/>
        <v>282.86078360632649</v>
      </c>
      <c r="R45" s="62">
        <f t="shared" si="0"/>
        <v>576.19411693965981</v>
      </c>
      <c r="S45" s="62">
        <f ca="1">AVERAGE(OFFSET($R$3,0,0,'Données projet'!$E$9+1,1))-AVERAGE(OFFSET($H$3,0,0,'Données projet'!$E$9+1,1))</f>
        <v>367.11183928586667</v>
      </c>
      <c r="T45" s="62">
        <f t="shared" si="34"/>
        <v>281.52963027844595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0</v>
      </c>
      <c r="AA45" s="23">
        <f>EXP(-LN(2)/25)*AA44+(1-EXP(-LN(2)/25))/(LN(2)/25)*Calculateur!V45*Calculateur!X45*VLOOKUP('Données projet'!$B$9,Paramètres!$A$1:$I$89,3,0)*0.475*44/12</f>
        <v>0</v>
      </c>
      <c r="AB45" s="23">
        <f>EXP(-LN(2)/2)*AB44+(1-EXP(-LN(2)/2))/(LN(2)/2)*V45*Y45*VLOOKUP('Données projet'!$B$9,Paramètres!$A$1:$I$89,3,0)*0.475*44/12</f>
        <v>0</v>
      </c>
      <c r="AC45" s="24">
        <f t="shared" si="3"/>
        <v>0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8.4</v>
      </c>
      <c r="AI45" s="14">
        <f>IF('Données projet'!$A$62&gt;35,AI44+AH45-AQ44,IF(A45&lt;'Données projet'!$A$62,$AF$205^A45,IF(A45='Données projet'!$A$62,'Données projet'!$B$62,AI44+AH45-AQ44)))</f>
        <v>132.80000000000004</v>
      </c>
      <c r="AJ45" s="14">
        <f>AI45*VLOOKUP('Données projet'!$B$10,Paramètres!$A$1:$I$89,3,0)*VLOOKUP('Données projet'!$B$10,Paramètres!$A$1:$I$89,5,0)</f>
        <v>120.15744000000002</v>
      </c>
      <c r="AK45" s="14">
        <f t="shared" si="35"/>
        <v>31.711716786129845</v>
      </c>
      <c r="AL45" s="22">
        <f t="shared" si="4"/>
        <v>264.50544806917623</v>
      </c>
      <c r="AM45" s="62">
        <f t="shared" si="5"/>
        <v>557.83878140250954</v>
      </c>
      <c r="AN45" s="62">
        <f ca="1">AVERAGE(OFFSET($AM$3,0,0,'Données projet'!$E$10+1,1))-AVERAGE(OFFSET($H$3,0,0,'Données projet'!$E$10+1,1))</f>
        <v>428.8489304403459</v>
      </c>
      <c r="AO45" s="62">
        <f t="shared" si="36"/>
        <v>247.01165577562966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0</v>
      </c>
      <c r="AV45" s="23">
        <f>EXP(-LN(2)/25)*AV44+(1-EXP(-LN(2)/25))/(LN(2)/25)*Calculateur!AQ45*Calculateur!AS45*VLOOKUP('Données projet'!$B$10,Paramètres!$A$1:$I$89,3,0)*0.475*44/12</f>
        <v>0</v>
      </c>
      <c r="AW45" s="23">
        <f>EXP(-LN(2)/2)*AW44+(1-EXP(-LN(2)/2))/(LN(2)/2)*AQ45*AT45*VLOOKUP('Données projet'!$B$10,Paramètres!$A$1:$I$89,3,0)*0.475*44/12</f>
        <v>0</v>
      </c>
      <c r="AX45" s="23">
        <f t="shared" si="6"/>
        <v>0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8.4</v>
      </c>
      <c r="BD45" s="13">
        <f>IF('Données projet'!$A$88&gt;35,BD44+BC45-BL44,IF(A45&lt;'Données projet'!$A$88,$BA$205^A45,IF(A45='Données projet'!$A$88,'Données projet'!$B$88,BD44+BC45-BL44)))</f>
        <v>132.80000000000004</v>
      </c>
      <c r="BE45" s="14">
        <f>BD45*VLOOKUP('Données projet'!$B$11,Paramètres!$A$1:$I$89,3,0)*VLOOKUP('Données projet'!$B$11,Paramètres!$A$1:$I$89,5,0)</f>
        <v>134.65920000000006</v>
      </c>
      <c r="BF45" s="14">
        <f t="shared" si="37"/>
        <v>35.07074737441733</v>
      </c>
      <c r="BG45" s="22">
        <f t="shared" si="7"/>
        <v>295.61299167711024</v>
      </c>
      <c r="BH45" s="62">
        <f t="shared" si="8"/>
        <v>588.94632501044362</v>
      </c>
      <c r="BI45" s="62">
        <f ca="1">AVERAGE(OFFSET($BH$3,0,0,'Données projet'!$E$11+1,1))-AVERAGE(OFFSET($H$3,0,0,'Données projet'!$E$11+1,1))</f>
        <v>475.47920969424894</v>
      </c>
      <c r="BJ45" s="62">
        <f t="shared" si="38"/>
        <v>271.73544012419364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>
        <f>EXP(-LN(2)/35)*BP44+(1-EXP(-LN(2)/35))/(LN(2)/35)*BL45*BM45*VLOOKUP('Données projet'!$B$11,Paramètres!$A$1:$I$89,3,0)*0.475*44/12</f>
        <v>0</v>
      </c>
      <c r="BQ45" s="23">
        <f>EXP(-LN(2)/25)*BQ44+(1-EXP(-LN(2)/25))/(LN(2)/25)*Calculateur!BL45*Calculateur!BN45*VLOOKUP('Données projet'!$B$11,Paramètres!$A$1:$I$89,3,0)*0.475*44/12</f>
        <v>0</v>
      </c>
      <c r="BR45" s="23">
        <f>EXP(-LN(2)/2)*BR44+(1-EXP(-LN(2)/2))/(LN(2)/2)*BL45*BO45*VLOOKUP('Données projet'!$B$11,Paramètres!$A$1:$I$89,3,0)*0.475*44/12</f>
        <v>0</v>
      </c>
      <c r="BS45" s="24">
        <f t="shared" si="9"/>
        <v>0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>
        <f>VLOOKUP(A45,'Données projet'!$A$113:$I$133,2,0)</f>
        <v>362.59999999999997</v>
      </c>
      <c r="BW45" s="13">
        <f>VLOOKUP(A45,'Données projet'!$A$113:$I$133,9,0)</f>
        <v>18.229670329670324</v>
      </c>
      <c r="BX45" s="13">
        <f t="array" ref="BX45">INDEX(BW:BW,MIN(IF(ISNUMBER(BW45:BW241),ROW(BW45:BW241),"")))</f>
        <v>18.229670329670324</v>
      </c>
      <c r="BY45" s="13">
        <f>IF('Données projet'!$A$114&gt;35,BY44+BX45-CG44,IF(A45&lt;'Données projet'!$A$114,$BV$205^A45,IF(A45='Données projet'!$A$114,'Données projet'!$B$114,BY44+BX45-CG44)))</f>
        <v>362.60000000000008</v>
      </c>
      <c r="BZ45" s="14">
        <f>BY45*VLOOKUP('Données projet'!$B$12,Paramètres!$A$1:$I$89,3,0)*VLOOKUP('Données projet'!$B$12,Paramètres!$A$1:$I$89,5,0)</f>
        <v>202.69340000000005</v>
      </c>
      <c r="CA45" s="14">
        <f t="shared" si="39"/>
        <v>50.335633892078647</v>
      </c>
      <c r="CB45" s="22">
        <f t="shared" si="10"/>
        <v>440.69223402870375</v>
      </c>
      <c r="CC45" s="62">
        <f t="shared" si="11"/>
        <v>734.02556736203701</v>
      </c>
      <c r="CD45" s="62">
        <f ca="1">AVERAGE(OFFSET($CC$3,0,0,'Données projet'!$E$12+1,1))-AVERAGE(OFFSET($H$3,0,0,'Données projet'!$E$12+1,1))</f>
        <v>323.98185264074681</v>
      </c>
      <c r="CE45" s="62">
        <f t="shared" si="40"/>
        <v>301.22207291854005</v>
      </c>
      <c r="CF45" s="16">
        <f>IF(ISNA(VLOOKUP(A45,'Données projet'!$A$113:$I$133,3,0)),0,VLOOKUP(A45,'Données projet'!$A$113:$I$133,3,0))</f>
        <v>4</v>
      </c>
      <c r="CG45" s="16">
        <f>IF(ISNA(VLOOKUP(A45,'Données projet'!$A$113:$I$133,4,0)),0,VLOOKUP(A45,'Données projet'!$A$113:$I$133,4,0))</f>
        <v>80.669230769230765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>
        <f>EXP(-LN(2)/35)*CK44+(1-EXP(-LN(2)/35))/(LN(2)/35)*CG45*CH45*VLOOKUP('Données projet'!$B$12,Paramètres!$A$1:$I$89,3,0)*0.475*44/12</f>
        <v>3.518443052927716</v>
      </c>
      <c r="CL45" s="23">
        <f>EXP(-LN(2)/25)*CL44+(1-EXP(-LN(2)/25))/(LN(2)/25)*Calculateur!CG45*Calculateur!CI45*VLOOKUP('Données projet'!$B$12,Paramètres!$A$1:$I$89,3,0)*0.475*44/12</f>
        <v>5.9131293011441057</v>
      </c>
      <c r="CM45" s="23">
        <f>EXP(-LN(2)/2)*CM44+(1-EXP(-LN(2)/2))/(LN(2)/2)*CG45*CJ45*VLOOKUP('Données projet'!$B$12,Paramètres!$A$1:$I$89,3,0)*0.475*44/12</f>
        <v>9.5121987181531573E-2</v>
      </c>
      <c r="CN45" s="24">
        <f t="shared" si="12"/>
        <v>9.5266943412533536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5.6</v>
      </c>
      <c r="CT45" s="13">
        <f>IF('Données projet'!$A$140&gt;35,CT44+CS45-DB44,IF(A45&lt;'Données projet'!$A$140,$CQ$205^A45,IF(A45='Données projet'!$A$140,'Données projet'!$B$140,CT44+CS45-DB44)))</f>
        <v>90.2</v>
      </c>
      <c r="CU45" s="18">
        <f>CT45*VLOOKUP('Données projet'!$B$13,Paramètres!$A$1:$I$89,3,0)*VLOOKUP('Données projet'!$B$13,Paramètres!$A$1:$I$89,5,0)</f>
        <v>102.71976000000001</v>
      </c>
      <c r="CV45" s="14">
        <f t="shared" si="41"/>
        <v>27.608927464604609</v>
      </c>
      <c r="CW45" s="22">
        <f t="shared" si="13"/>
        <v>226.9891306675197</v>
      </c>
      <c r="CX45" s="62">
        <f t="shared" si="14"/>
        <v>520.32246400085296</v>
      </c>
      <c r="CY45" s="62">
        <f ca="1">AVERAGE(OFFSET($CX$3,0,0,'Données projet'!$E$13+1,1))-AVERAGE(OFFSET($H$3,0,0,'Données projet'!$E$13+1,1))</f>
        <v>399.78832690250164</v>
      </c>
      <c r="CZ45" s="62">
        <f t="shared" si="42"/>
        <v>174.32967064896343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>
        <f>EXP(-LN(2)/35)*DF44+(1-EXP(-LN(2)/35))/(LN(2)/35)*DB45*DC45*VLOOKUP('Données projet'!$B$13,Paramètres!$A$1:$I$89,3,0)*0.475*44/12</f>
        <v>0</v>
      </c>
      <c r="DG45" s="23">
        <f>EXP(-LN(2)/25)*DG44+(1-EXP(-LN(2)/25))/(LN(2)/25)*Calculateur!DB45*Calculateur!DD45*VLOOKUP('Données projet'!$B$13,Paramètres!$A$1:$I$89,3,0)*0.475*44/12</f>
        <v>0</v>
      </c>
      <c r="DH45" s="23">
        <f>EXP(-LN(2)/2)*DH44+(1-EXP(-LN(2)/2))/(LN(2)/2)*DB45*DE45*VLOOKUP('Données projet'!$B$13,Paramètres!$A$1:$I$89,3,0)*0.475*44/12</f>
        <v>0</v>
      </c>
      <c r="DI45" s="24">
        <f t="shared" si="15"/>
        <v>0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8.4</v>
      </c>
      <c r="DO45" s="13">
        <f>IF('Données projet'!$A$166&gt;35,DO44+DN45-DW44,IF(A45&lt;'Données projet'!$A$166,$DL$205^A45,IF(A45='Données projet'!$A$166,'Données projet'!$B$166,DO44+DN45-DW44)))</f>
        <v>132.80000000000004</v>
      </c>
      <c r="DP45" s="18">
        <f>DO45*VLOOKUP('Données projet'!$B$14,Paramètres!$A$1:$I$89,3,0)*VLOOKUP('Données projet'!$B$14,Paramètres!$A$1:$I$89,5,0)</f>
        <v>111.87072000000005</v>
      </c>
      <c r="DQ45" s="14">
        <f t="shared" si="43"/>
        <v>29.771307279851975</v>
      </c>
      <c r="DR45" s="22">
        <f t="shared" si="16"/>
        <v>246.69319751240889</v>
      </c>
      <c r="DS45" s="62">
        <f t="shared" si="17"/>
        <v>540.02653084574217</v>
      </c>
      <c r="DT45" s="62">
        <f ca="1">AVERAGE(OFFSET($DS$3,0,0,'Données projet'!$E$14+1,1))-AVERAGE(OFFSET($H$3,0,0,'Données projet'!$E$14+1,1))</f>
        <v>402.15128814037058</v>
      </c>
      <c r="DU45" s="62">
        <f t="shared" si="44"/>
        <v>232.85411068442738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>
        <f>EXP(-LN(2)/35)*EA44+(1-EXP(-LN(2)/35))/(LN(2)/35)*DW45*DX45*VLOOKUP('Données projet'!$B$14,Paramètres!$A$1:$I$89,3,0)*0.475*44/12</f>
        <v>0</v>
      </c>
      <c r="EB45" s="23">
        <f>EXP(-LN(2)/25)*EB44+(1-EXP(-LN(2)/25))/(LN(2)/25)*Calculateur!DW45*Calculateur!DY45*VLOOKUP('Données projet'!$B$14,Paramètres!$A$1:$I$89,3,0)*0.475*44/12</f>
        <v>0</v>
      </c>
      <c r="EC45" s="23">
        <f>EXP(-LN(2)/2)*EC44+(1-EXP(-LN(2)/2))/(LN(2)/2)*DW45*DZ45*VLOOKUP('Données projet'!$B$14,Paramètres!$A$1:$I$89,3,0)*0.475*44/12</f>
        <v>0</v>
      </c>
      <c r="ED45" s="24">
        <f t="shared" si="18"/>
        <v>0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7.5641025641025639</v>
      </c>
      <c r="EJ45" s="13">
        <f>IF('Données projet'!$A$192&gt;35,EJ44+EI45-ER44,IF(A45&lt;'Données projet'!$A$192,$EG$205^A45,IF(A45='Données projet'!$A$192,'Données projet'!$B$192,EJ44+EI45-ER44)))</f>
        <v>195.25641025641031</v>
      </c>
      <c r="EK45" s="18">
        <f>EJ45*VLOOKUP('Données projet'!$B$15,Paramètres!$A$1:$I$89,3,0)*VLOOKUP('Données projet'!$B$15,Paramètres!$A$1:$I$89,5,0)</f>
        <v>204.08200000000005</v>
      </c>
      <c r="EL45" s="14">
        <f t="shared" si="45"/>
        <v>50.640210151891317</v>
      </c>
      <c r="EM45" s="22">
        <f t="shared" si="19"/>
        <v>443.64118268121075</v>
      </c>
      <c r="EN45" s="62">
        <f t="shared" si="20"/>
        <v>736.97451601454407</v>
      </c>
      <c r="EO45" s="62">
        <f ca="1">AVERAGE(OFFSET($EN$3,0,0,'Données projet'!$E$15+1,1))-AVERAGE(OFFSET($H$3,0,0,'Données projet'!$E$15+1,1))</f>
        <v>595.89992279024398</v>
      </c>
      <c r="EP45" s="62">
        <f t="shared" si="46"/>
        <v>378.16197659288338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>
        <f>EXP(-LN(2)/35)*EV44+(1-EXP(-LN(2)/35))/(LN(2)/35)*ER45*ES45*VLOOKUP('Données projet'!$B$15,Paramètres!$A$1:$I$89,3,0)*0.475*44/12</f>
        <v>0</v>
      </c>
      <c r="EW45" s="23">
        <f>EXP(-LN(2)/25)*EW44+(1-EXP(-LN(2)/25))/(LN(2)/25)*Calculateur!ER45*Calculateur!ET45*VLOOKUP('Données projet'!$B$15,Paramètres!$A$1:$I$89,3,0)*0.475*44/12</f>
        <v>0</v>
      </c>
      <c r="EX45" s="23">
        <f>EXP(-LN(2)/2)*EX44+(1-EXP(-LN(2)/2))/(LN(2)/2)*ER45*EU45*VLOOKUP('Données projet'!$B$15,Paramètres!$A$1:$I$89,3,0)*0.475*44/12</f>
        <v>0</v>
      </c>
      <c r="EY45" s="24">
        <f t="shared" si="21"/>
        <v>0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13.132967032967031</v>
      </c>
      <c r="FE45" s="13">
        <f>IF('Données projet'!$A$218&gt;35,FE44+FD45-FM44,IF(A45&lt;'Données projet'!$A$218,$FB$205^A45,IF(A45='Données projet'!$A$218,'Données projet'!$B$218,FE44+FD45-FM44)))</f>
        <v>276.82087912087906</v>
      </c>
      <c r="FF45" s="18">
        <f>FE45*VLOOKUP('Données projet'!$B$16,Paramètres!$A$1:$I$89,3,0)*VLOOKUP('Données projet'!$B$16,Paramètres!$A$1:$I$89,5,0)</f>
        <v>165.5388857142857</v>
      </c>
      <c r="FG45" s="14">
        <f t="shared" si="47"/>
        <v>42.089341311095623</v>
      </c>
      <c r="FH45" s="22">
        <f t="shared" si="22"/>
        <v>361.61916206920574</v>
      </c>
      <c r="FI45" s="62">
        <f t="shared" si="23"/>
        <v>654.95249540253906</v>
      </c>
      <c r="FJ45" s="62">
        <f ca="1">AVERAGE(OFFSET($FI$3,0,0,'Données projet'!$E$16+1,1))-AVERAGE(OFFSET($H$3,0,0,'Données projet'!$E$16+1,1))</f>
        <v>257.56116197646924</v>
      </c>
      <c r="FK45" s="62">
        <f t="shared" si="48"/>
        <v>269.95556918835888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>
        <f>EXP(-LN(2)/35)*FQ44+(1-EXP(-LN(2)/35))/(LN(2)/35)*FM45*FN45*VLOOKUP('Données projet'!$B$16,Paramètres!$A$1:$I$89,3,0)*0.475*44/12</f>
        <v>11.497149742402872</v>
      </c>
      <c r="FR45" s="23">
        <f>EXP(-LN(2)/25)*FR44+(1-EXP(-LN(2)/25))/(LN(2)/25)*Calculateur!FM45*Calculateur!FO45*VLOOKUP('Données projet'!$B$16,Paramètres!$A$1:$I$89,3,0)*0.475*44/12</f>
        <v>11.574222156535866</v>
      </c>
      <c r="FS45" s="23">
        <f>EXP(-LN(2)/2)*FS44+(1-EXP(-LN(2)/2))/(LN(2)/2)*FM45*FP45*VLOOKUP('Données projet'!$B$16,Paramètres!$A$1:$I$89,3,0)*0.475*44/12</f>
        <v>0.13365755346835911</v>
      </c>
      <c r="FT45" s="24">
        <f t="shared" si="24"/>
        <v>23.205029452407096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11.861538461538462</v>
      </c>
      <c r="FZ45" s="13">
        <f>IF('Données projet'!$A$244&gt;35,FZ44+FY45-GH44,IF(A45&lt;'Données projet'!$A$244,$FW$205^A45,IF(A45='Données projet'!$A$244,'Données projet'!$B$244,FZ44+FY45-GH44)))</f>
        <v>196.19230769230765</v>
      </c>
      <c r="GA45" s="18">
        <f>FZ45*VLOOKUP('Données projet'!$B$17,Paramètres!$A$1:$I$89,3,0)*VLOOKUP('Données projet'!$B$17,Paramètres!$A$1:$I$89,5,0)</f>
        <v>117.32299999999999</v>
      </c>
      <c r="GB45" s="14">
        <f t="shared" si="49"/>
        <v>31.049815552357138</v>
      </c>
      <c r="GC45" s="22">
        <f t="shared" si="25"/>
        <v>258.41598708702196</v>
      </c>
      <c r="GD45" s="62">
        <f t="shared" si="26"/>
        <v>551.74932042035528</v>
      </c>
      <c r="GE45" s="62">
        <f ca="1">AVERAGE(OFFSET($GD$3,0,0,'Données projet'!$E$17+1,1))-AVERAGE(OFFSET($H$3,0,0,'Données projet'!$E$17+1,1))</f>
        <v>289.12367833861299</v>
      </c>
      <c r="GF45" s="62">
        <f t="shared" si="50"/>
        <v>229.06617320689003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>
        <f>EXP(-LN(2)/35)*GL44+(1-EXP(-LN(2)/35))/(LN(2)/35)*GH45*GI45*VLOOKUP('Données projet'!$B$17,Paramètres!$A$1:$I$89,3,0)*0.475*44/12</f>
        <v>0</v>
      </c>
      <c r="GM45" s="23">
        <f>EXP(-LN(2)/25)*GM44+(1-EXP(-LN(2)/25))/(LN(2)/25)*Calculateur!GH45*Calculateur!GJ45*VLOOKUP('Données projet'!$B$17,Paramètres!$A$1:$I$89,3,0)*0.475*44/12</f>
        <v>0</v>
      </c>
      <c r="GN45" s="23">
        <f>EXP(-LN(2)/2)*GN44+(1-EXP(-LN(2)/2))/(LN(2)/2)*GH45*GK45*VLOOKUP('Données projet'!$B$17,Paramètres!$A$1:$I$89,3,0)*0.475*44/12</f>
        <v>6.4794298094147648E-2</v>
      </c>
      <c r="GO45" s="23">
        <f t="shared" si="27"/>
        <v>6.4794298094147648E-2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12.232167832167828</v>
      </c>
      <c r="GU45" s="13">
        <f>IF('Données projet'!$A$270&gt;35,GU44+GT45-HC44,IF(A45&lt;'Données projet'!$A$270,$GR$205^A45,IF(A45='Données projet'!$A$270,'Données projet'!$B$270,GU44+GT45-HC44)))</f>
        <v>277.47972027972037</v>
      </c>
      <c r="GV45" s="18">
        <f>GU45*VLOOKUP('Données projet'!$B$18,Paramètres!$A$1:$I$89,3,0)*VLOOKUP('Données projet'!$B$18,Paramètres!$A$1:$I$89,5,0)</f>
        <v>129.86050909090915</v>
      </c>
      <c r="GW45" s="14">
        <f t="shared" si="51"/>
        <v>33.964125065136322</v>
      </c>
      <c r="GX45" s="22">
        <f t="shared" si="28"/>
        <v>285.32790448844588</v>
      </c>
      <c r="GY45" s="62">
        <f t="shared" si="29"/>
        <v>578.6612378217792</v>
      </c>
      <c r="GZ45" s="62">
        <f ca="1">AVERAGE(OFFSET($GY$3,0,0,'Données projet'!$E$18+1,1))-AVERAGE(OFFSET($H$3,0,0,'Données projet'!$E$18+1,1))</f>
        <v>284.88646502866419</v>
      </c>
      <c r="HA45" s="62">
        <f t="shared" si="52"/>
        <v>190.4880882944471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>
        <f>EXP(-LN(2)/35)*HG44+(1-EXP(-LN(2)/35))/(LN(2)/35)*HC45*HD45*VLOOKUP('Données projet'!$B$18,Paramètres!$A$1:$I$89,3,0)*0.475*44/12</f>
        <v>0</v>
      </c>
      <c r="HH45" s="23">
        <f>EXP(-LN(2)/25)*HH44+(1-EXP(-LN(2)/25))/(LN(2)/25)*Calculateur!HC45*Calculateur!HE45*VLOOKUP('Données projet'!$B$18,Paramètres!$A$1:$I$89,3,0)*0.475*44/12</f>
        <v>0</v>
      </c>
      <c r="HI45" s="23">
        <f>EXP(-LN(2)/2)*HI44+(1-EXP(-LN(2)/2))/(LN(2)/2)*HC45*HF45*VLOOKUP('Données projet'!$B$18,Paramètres!$A$1:$I$89,3,0)*0.475*44/12</f>
        <v>0</v>
      </c>
      <c r="HJ45" s="24">
        <f t="shared" si="30"/>
        <v>0</v>
      </c>
    </row>
    <row r="46" spans="1:218" s="5" customFormat="1" x14ac:dyDescent="0.25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2">
        <f t="shared" si="32"/>
        <v>0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0</v>
      </c>
      <c r="H46" s="70">
        <f t="shared" si="1"/>
        <v>256.66666666666669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5.7692307692307683</v>
      </c>
      <c r="N46" s="14">
        <f>IF('Données projet'!$A$36&gt;35,N45+M46-V45,IF(A46&lt;'Données projet'!$A$36,$K$205^A46,IF(A46='Données projet'!$A$36,'Données projet'!$B$36,N45+M46-V45)))</f>
        <v>141.02564102564111</v>
      </c>
      <c r="O46" s="14">
        <f>N46*VLOOKUP('Données projet'!$B$9,Paramètres!$A$1:$I$89,3,0)*VLOOKUP('Données projet'!$B$9,Paramètres!$A$1:$I$89,5,0)</f>
        <v>134.20000000000007</v>
      </c>
      <c r="P46" s="14">
        <f t="shared" si="33"/>
        <v>34.965052756825415</v>
      </c>
      <c r="Q46" s="22">
        <f t="shared" si="53"/>
        <v>294.62913355147111</v>
      </c>
      <c r="R46" s="62">
        <f t="shared" si="0"/>
        <v>587.96246688480437</v>
      </c>
      <c r="S46" s="62">
        <f ca="1">AVERAGE(OFFSET($R$3,0,0,'Données projet'!$E$9+1,1))-AVERAGE(OFFSET($H$3,0,0,'Données projet'!$E$9+1,1))</f>
        <v>367.11183928586667</v>
      </c>
      <c r="T46" s="62">
        <f t="shared" si="34"/>
        <v>281.52963027844595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0</v>
      </c>
      <c r="AA46" s="23">
        <f>EXP(-LN(2)/25)*AA45+(1-EXP(-LN(2)/25))/(LN(2)/25)*Calculateur!V46*Calculateur!X46*VLOOKUP('Données projet'!$B$9,Paramètres!$A$1:$I$89,3,0)*0.475*44/12</f>
        <v>0</v>
      </c>
      <c r="AB46" s="23">
        <f>EXP(-LN(2)/2)*AB45+(1-EXP(-LN(2)/2))/(LN(2)/2)*V46*Y46*VLOOKUP('Données projet'!$B$9,Paramètres!$A$1:$I$89,3,0)*0.475*44/12</f>
        <v>0</v>
      </c>
      <c r="AC46" s="24">
        <f t="shared" si="3"/>
        <v>0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8.4</v>
      </c>
      <c r="AI46" s="14">
        <f>IF('Données projet'!$A$62&gt;35,AI45+AH46-AQ45,IF(A46&lt;'Données projet'!$A$62,$AF$205^A46,IF(A46='Données projet'!$A$62,'Données projet'!$B$62,AI45+AH46-AQ45)))</f>
        <v>141.20000000000005</v>
      </c>
      <c r="AJ46" s="14">
        <f>AI46*VLOOKUP('Données projet'!$B$10,Paramètres!$A$1:$I$89,3,0)*VLOOKUP('Données projet'!$B$10,Paramètres!$A$1:$I$89,5,0)</f>
        <v>127.75776000000003</v>
      </c>
      <c r="AK46" s="14">
        <f t="shared" si="35"/>
        <v>33.477720030956604</v>
      </c>
      <c r="AL46" s="22">
        <f t="shared" si="4"/>
        <v>280.81846105391611</v>
      </c>
      <c r="AM46" s="62">
        <f t="shared" si="5"/>
        <v>574.15179438724942</v>
      </c>
      <c r="AN46" s="62">
        <f ca="1">AVERAGE(OFFSET($AM$3,0,0,'Données projet'!$E$10+1,1))-AVERAGE(OFFSET($H$3,0,0,'Données projet'!$E$10+1,1))</f>
        <v>428.8489304403459</v>
      </c>
      <c r="AO46" s="62">
        <f t="shared" si="36"/>
        <v>247.01165577562966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0</v>
      </c>
      <c r="AV46" s="23">
        <f>EXP(-LN(2)/25)*AV45+(1-EXP(-LN(2)/25))/(LN(2)/25)*Calculateur!AQ46*Calculateur!AS46*VLOOKUP('Données projet'!$B$10,Paramètres!$A$1:$I$89,3,0)*0.475*44/12</f>
        <v>0</v>
      </c>
      <c r="AW46" s="23">
        <f>EXP(-LN(2)/2)*AW45+(1-EXP(-LN(2)/2))/(LN(2)/2)*AQ46*AT46*VLOOKUP('Données projet'!$B$10,Paramètres!$A$1:$I$89,3,0)*0.475*44/12</f>
        <v>0</v>
      </c>
      <c r="AX46" s="23">
        <f t="shared" si="6"/>
        <v>0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8.4</v>
      </c>
      <c r="BD46" s="13">
        <f>IF('Données projet'!$A$88&gt;35,BD45+BC46-BL45,IF(A46&lt;'Données projet'!$A$88,$BA$205^A46,IF(A46='Données projet'!$A$88,'Données projet'!$B$88,BD45+BC46-BL45)))</f>
        <v>141.20000000000005</v>
      </c>
      <c r="BE46" s="14">
        <f>BD46*VLOOKUP('Données projet'!$B$11,Paramètres!$A$1:$I$89,3,0)*VLOOKUP('Données projet'!$B$11,Paramètres!$A$1:$I$89,5,0)</f>
        <v>143.17680000000004</v>
      </c>
      <c r="BF46" s="14">
        <f t="shared" si="37"/>
        <v>37.023812674521515</v>
      </c>
      <c r="BG46" s="22">
        <f t="shared" si="7"/>
        <v>313.84940040812506</v>
      </c>
      <c r="BH46" s="62">
        <f t="shared" si="8"/>
        <v>607.18273374145838</v>
      </c>
      <c r="BI46" s="62">
        <f ca="1">AVERAGE(OFFSET($BH$3,0,0,'Données projet'!$E$11+1,1))-AVERAGE(OFFSET($H$3,0,0,'Données projet'!$E$11+1,1))</f>
        <v>475.47920969424894</v>
      </c>
      <c r="BJ46" s="62">
        <f t="shared" si="38"/>
        <v>271.73544012419364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>
        <f>EXP(-LN(2)/35)*BP45+(1-EXP(-LN(2)/35))/(LN(2)/35)*BL46*BM46*VLOOKUP('Données projet'!$B$11,Paramètres!$A$1:$I$89,3,0)*0.475*44/12</f>
        <v>0</v>
      </c>
      <c r="BQ46" s="23">
        <f>EXP(-LN(2)/25)*BQ45+(1-EXP(-LN(2)/25))/(LN(2)/25)*Calculateur!BL46*Calculateur!BN46*VLOOKUP('Données projet'!$B$11,Paramètres!$A$1:$I$89,3,0)*0.475*44/12</f>
        <v>0</v>
      </c>
      <c r="BR46" s="23">
        <f>EXP(-LN(2)/2)*BR45+(1-EXP(-LN(2)/2))/(LN(2)/2)*BL46*BO46*VLOOKUP('Données projet'!$B$11,Paramètres!$A$1:$I$89,3,0)*0.475*44/12</f>
        <v>0</v>
      </c>
      <c r="BS46" s="24">
        <f t="shared" si="9"/>
        <v>0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17.519780219780223</v>
      </c>
      <c r="BY46" s="13">
        <f>IF('Données projet'!$A$114&gt;35,BY45+BX46-CG45,IF(A46&lt;'Données projet'!$A$114,$BV$205^A46,IF(A46='Données projet'!$A$114,'Données projet'!$B$114,BY45+BX46-CG45)))</f>
        <v>299.45054945054954</v>
      </c>
      <c r="BZ46" s="14">
        <f>BY46*VLOOKUP('Données projet'!$B$12,Paramètres!$A$1:$I$89,3,0)*VLOOKUP('Données projet'!$B$12,Paramètres!$A$1:$I$89,5,0)</f>
        <v>167.3928571428572</v>
      </c>
      <c r="CA46" s="14">
        <f t="shared" si="39"/>
        <v>42.505586135425617</v>
      </c>
      <c r="CB46" s="22">
        <f t="shared" si="10"/>
        <v>365.57312204300916</v>
      </c>
      <c r="CC46" s="62">
        <f t="shared" si="11"/>
        <v>658.90645537634248</v>
      </c>
      <c r="CD46" s="62">
        <f ca="1">AVERAGE(OFFSET($CC$3,0,0,'Données projet'!$E$12+1,1))-AVERAGE(OFFSET($H$3,0,0,'Données projet'!$E$12+1,1))</f>
        <v>323.98185264074681</v>
      </c>
      <c r="CE46" s="62">
        <f t="shared" si="40"/>
        <v>301.22207291854005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>
        <f>EXP(-LN(2)/35)*CK45+(1-EXP(-LN(2)/35))/(LN(2)/35)*CG46*CH46*VLOOKUP('Données projet'!$B$12,Paramètres!$A$1:$I$89,3,0)*0.475*44/12</f>
        <v>3.4494485306981622</v>
      </c>
      <c r="CL46" s="23">
        <f>EXP(-LN(2)/25)*CL45+(1-EXP(-LN(2)/25))/(LN(2)/25)*Calculateur!CG46*Calculateur!CI46*VLOOKUP('Données projet'!$B$12,Paramètres!$A$1:$I$89,3,0)*0.475*44/12</f>
        <v>5.751434469446365</v>
      </c>
      <c r="CM46" s="23">
        <f>EXP(-LN(2)/2)*CM45+(1-EXP(-LN(2)/2))/(LN(2)/2)*CG46*CJ46*VLOOKUP('Données projet'!$B$12,Paramètres!$A$1:$I$89,3,0)*0.475*44/12</f>
        <v>6.7261402176000823E-2</v>
      </c>
      <c r="CN46" s="24">
        <f t="shared" si="12"/>
        <v>9.2681444023205284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5.6</v>
      </c>
      <c r="CT46" s="13">
        <f>IF('Données projet'!$A$140&gt;35,CT45+CS46-DB45,IF(A46&lt;'Données projet'!$A$140,$CQ$205^A46,IF(A46='Données projet'!$A$140,'Données projet'!$B$140,CT45+CS46-DB45)))</f>
        <v>95.8</v>
      </c>
      <c r="CU46" s="18">
        <f>CT46*VLOOKUP('Données projet'!$B$13,Paramètres!$A$1:$I$89,3,0)*VLOOKUP('Données projet'!$B$13,Paramètres!$A$1:$I$89,5,0)</f>
        <v>109.09704000000001</v>
      </c>
      <c r="CV46" s="14">
        <f t="shared" si="41"/>
        <v>29.118138203692205</v>
      </c>
      <c r="CW46" s="22">
        <f t="shared" si="13"/>
        <v>240.72476870476387</v>
      </c>
      <c r="CX46" s="62">
        <f t="shared" si="14"/>
        <v>534.05810203809722</v>
      </c>
      <c r="CY46" s="62">
        <f ca="1">AVERAGE(OFFSET($CX$3,0,0,'Données projet'!$E$13+1,1))-AVERAGE(OFFSET($H$3,0,0,'Données projet'!$E$13+1,1))</f>
        <v>399.78832690250164</v>
      </c>
      <c r="CZ46" s="62">
        <f t="shared" si="42"/>
        <v>174.32967064896343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>
        <f>EXP(-LN(2)/35)*DF45+(1-EXP(-LN(2)/35))/(LN(2)/35)*DB46*DC46*VLOOKUP('Données projet'!$B$13,Paramètres!$A$1:$I$89,3,0)*0.475*44/12</f>
        <v>0</v>
      </c>
      <c r="DG46" s="23">
        <f>EXP(-LN(2)/25)*DG45+(1-EXP(-LN(2)/25))/(LN(2)/25)*Calculateur!DB46*Calculateur!DD46*VLOOKUP('Données projet'!$B$13,Paramètres!$A$1:$I$89,3,0)*0.475*44/12</f>
        <v>0</v>
      </c>
      <c r="DH46" s="23">
        <f>EXP(-LN(2)/2)*DH45+(1-EXP(-LN(2)/2))/(LN(2)/2)*DB46*DE46*VLOOKUP('Données projet'!$B$13,Paramètres!$A$1:$I$89,3,0)*0.475*44/12</f>
        <v>0</v>
      </c>
      <c r="DI46" s="24">
        <f t="shared" si="15"/>
        <v>0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8.4</v>
      </c>
      <c r="DO46" s="13">
        <f>IF('Données projet'!$A$166&gt;35,DO45+DN46-DW45,IF(A46&lt;'Données projet'!$A$166,$DL$205^A46,IF(A46='Données projet'!$A$166,'Données projet'!$B$166,DO45+DN46-DW45)))</f>
        <v>141.20000000000005</v>
      </c>
      <c r="DP46" s="18">
        <f>DO46*VLOOKUP('Données projet'!$B$14,Paramètres!$A$1:$I$89,3,0)*VLOOKUP('Données projet'!$B$14,Paramètres!$A$1:$I$89,5,0)</f>
        <v>118.94688000000005</v>
      </c>
      <c r="DQ46" s="14">
        <f t="shared" si="43"/>
        <v>31.429250481525276</v>
      </c>
      <c r="DR46" s="22">
        <f t="shared" si="16"/>
        <v>261.90509392198993</v>
      </c>
      <c r="DS46" s="62">
        <f t="shared" si="17"/>
        <v>555.23842725532324</v>
      </c>
      <c r="DT46" s="62">
        <f ca="1">AVERAGE(OFFSET($DS$3,0,0,'Données projet'!$E$14+1,1))-AVERAGE(OFFSET($H$3,0,0,'Données projet'!$E$14+1,1))</f>
        <v>402.15128814037058</v>
      </c>
      <c r="DU46" s="62">
        <f t="shared" si="44"/>
        <v>232.85411068442738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>
        <f>EXP(-LN(2)/35)*EA45+(1-EXP(-LN(2)/35))/(LN(2)/35)*DW46*DX46*VLOOKUP('Données projet'!$B$14,Paramètres!$A$1:$I$89,3,0)*0.475*44/12</f>
        <v>0</v>
      </c>
      <c r="EB46" s="23">
        <f>EXP(-LN(2)/25)*EB45+(1-EXP(-LN(2)/25))/(LN(2)/25)*Calculateur!DW46*Calculateur!DY46*VLOOKUP('Données projet'!$B$14,Paramètres!$A$1:$I$89,3,0)*0.475*44/12</f>
        <v>0</v>
      </c>
      <c r="EC46" s="23">
        <f>EXP(-LN(2)/2)*EC45+(1-EXP(-LN(2)/2))/(LN(2)/2)*DW46*DZ46*VLOOKUP('Données projet'!$B$14,Paramètres!$A$1:$I$89,3,0)*0.475*44/12</f>
        <v>0</v>
      </c>
      <c r="ED46" s="24">
        <f t="shared" si="18"/>
        <v>0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7.5641025641025639</v>
      </c>
      <c r="EJ46" s="13">
        <f>IF('Données projet'!$A$192&gt;35,EJ45+EI46-ER45,IF(A46&lt;'Données projet'!$A$192,$EG$205^A46,IF(A46='Données projet'!$A$192,'Données projet'!$B$192,EJ45+EI46-ER45)))</f>
        <v>202.82051282051287</v>
      </c>
      <c r="EK46" s="18">
        <f>EJ46*VLOOKUP('Données projet'!$B$15,Paramètres!$A$1:$I$89,3,0)*VLOOKUP('Données projet'!$B$15,Paramètres!$A$1:$I$89,5,0)</f>
        <v>211.98800000000008</v>
      </c>
      <c r="EL46" s="14">
        <f t="shared" si="45"/>
        <v>52.369775202198831</v>
      </c>
      <c r="EM46" s="22">
        <f t="shared" si="19"/>
        <v>460.42312514382979</v>
      </c>
      <c r="EN46" s="62">
        <f t="shared" si="20"/>
        <v>753.75645847716305</v>
      </c>
      <c r="EO46" s="62">
        <f ca="1">AVERAGE(OFFSET($EN$3,0,0,'Données projet'!$E$15+1,1))-AVERAGE(OFFSET($H$3,0,0,'Données projet'!$E$15+1,1))</f>
        <v>595.89992279024398</v>
      </c>
      <c r="EP46" s="62">
        <f t="shared" si="46"/>
        <v>378.16197659288338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>
        <f>EXP(-LN(2)/35)*EV45+(1-EXP(-LN(2)/35))/(LN(2)/35)*ER46*ES46*VLOOKUP('Données projet'!$B$15,Paramètres!$A$1:$I$89,3,0)*0.475*44/12</f>
        <v>0</v>
      </c>
      <c r="EW46" s="23">
        <f>EXP(-LN(2)/25)*EW45+(1-EXP(-LN(2)/25))/(LN(2)/25)*Calculateur!ER46*Calculateur!ET46*VLOOKUP('Données projet'!$B$15,Paramètres!$A$1:$I$89,3,0)*0.475*44/12</f>
        <v>0</v>
      </c>
      <c r="EX46" s="23">
        <f>EXP(-LN(2)/2)*EX45+(1-EXP(-LN(2)/2))/(LN(2)/2)*ER46*EU46*VLOOKUP('Données projet'!$B$15,Paramètres!$A$1:$I$89,3,0)*0.475*44/12</f>
        <v>0</v>
      </c>
      <c r="EY46" s="24">
        <f t="shared" si="21"/>
        <v>0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>
        <f>VLOOKUP(A46,'Données projet'!$A$217:$I$237,2,0)</f>
        <v>289.95384615384614</v>
      </c>
      <c r="FC46" s="13">
        <f>VLOOKUP(A46,'Données projet'!$A$217:$I$237,9,0)</f>
        <v>13.132967032967031</v>
      </c>
      <c r="FD46" s="13">
        <f t="array" ref="FD46">INDEX(FC:FC,MIN(IF(ISNUMBER(FC46:FC242),ROW(FC46:FC242),"")))</f>
        <v>13.132967032967031</v>
      </c>
      <c r="FE46" s="13">
        <f>IF('Données projet'!$A$218&gt;35,FE45+FD46-FM45,IF(A46&lt;'Données projet'!$A$218,$FB$205^A46,IF(A46='Données projet'!$A$218,'Données projet'!$B$218,FE45+FD46-FM45)))</f>
        <v>289.95384615384609</v>
      </c>
      <c r="FF46" s="18">
        <f>FE46*VLOOKUP('Données projet'!$B$16,Paramètres!$A$1:$I$89,3,0)*VLOOKUP('Données projet'!$B$16,Paramètres!$A$1:$I$89,5,0)</f>
        <v>173.39239999999995</v>
      </c>
      <c r="FG46" s="14">
        <f t="shared" si="47"/>
        <v>43.848932406836973</v>
      </c>
      <c r="FH46" s="22">
        <f t="shared" si="22"/>
        <v>378.36198727524101</v>
      </c>
      <c r="FI46" s="62">
        <f t="shared" si="23"/>
        <v>671.69532060857432</v>
      </c>
      <c r="FJ46" s="62">
        <f ca="1">AVERAGE(OFFSET($FI$3,0,0,'Données projet'!$E$16+1,1))-AVERAGE(OFFSET($H$3,0,0,'Données projet'!$E$16+1,1))</f>
        <v>257.56116197646924</v>
      </c>
      <c r="FK46" s="62">
        <f t="shared" si="48"/>
        <v>269.95556918835888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>
        <f>EXP(-LN(2)/35)*FQ45+(1-EXP(-LN(2)/35))/(LN(2)/35)*FM46*FN46*VLOOKUP('Données projet'!$B$16,Paramètres!$A$1:$I$89,3,0)*0.475*44/12</f>
        <v>11.271697648523261</v>
      </c>
      <c r="FR46" s="23">
        <f>EXP(-LN(2)/25)*FR45+(1-EXP(-LN(2)/25))/(LN(2)/25)*Calculateur!FM46*Calculateur!FO46*VLOOKUP('Données projet'!$B$16,Paramètres!$A$1:$I$89,3,0)*0.475*44/12</f>
        <v>11.257724443003502</v>
      </c>
      <c r="FS46" s="23">
        <f>EXP(-LN(2)/2)*FS45+(1-EXP(-LN(2)/2))/(LN(2)/2)*FM46*FP46*VLOOKUP('Données projet'!$B$16,Paramètres!$A$1:$I$89,3,0)*0.475*44/12</f>
        <v>9.4510162414280285E-2</v>
      </c>
      <c r="FT46" s="24">
        <f t="shared" si="24"/>
        <v>22.623932253941042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11.861538461538462</v>
      </c>
      <c r="FZ46" s="13">
        <f>IF('Données projet'!$A$244&gt;35,FZ45+FY46-GH45,IF(A46&lt;'Données projet'!$A$244,$FW$205^A46,IF(A46='Données projet'!$A$244,'Données projet'!$B$244,FZ45+FY46-GH45)))</f>
        <v>208.05384615384611</v>
      </c>
      <c r="GA46" s="18">
        <f>FZ46*VLOOKUP('Données projet'!$B$17,Paramètres!$A$1:$I$89,3,0)*VLOOKUP('Données projet'!$B$17,Paramètres!$A$1:$I$89,5,0)</f>
        <v>124.41619999999999</v>
      </c>
      <c r="GB46" s="14">
        <f t="shared" si="49"/>
        <v>32.702828934083335</v>
      </c>
      <c r="GC46" s="22">
        <f t="shared" si="25"/>
        <v>273.64897539352847</v>
      </c>
      <c r="GD46" s="62">
        <f t="shared" si="26"/>
        <v>566.98230872686179</v>
      </c>
      <c r="GE46" s="62">
        <f ca="1">AVERAGE(OFFSET($GD$3,0,0,'Données projet'!$E$17+1,1))-AVERAGE(OFFSET($H$3,0,0,'Données projet'!$E$17+1,1))</f>
        <v>289.12367833861299</v>
      </c>
      <c r="GF46" s="62">
        <f t="shared" si="50"/>
        <v>229.06617320689003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>
        <f>EXP(-LN(2)/35)*GL45+(1-EXP(-LN(2)/35))/(LN(2)/35)*GH46*GI46*VLOOKUP('Données projet'!$B$17,Paramètres!$A$1:$I$89,3,0)*0.475*44/12</f>
        <v>0</v>
      </c>
      <c r="GM46" s="23">
        <f>EXP(-LN(2)/25)*GM45+(1-EXP(-LN(2)/25))/(LN(2)/25)*Calculateur!GH46*Calculateur!GJ46*VLOOKUP('Données projet'!$B$17,Paramètres!$A$1:$I$89,3,0)*0.475*44/12</f>
        <v>0</v>
      </c>
      <c r="GN46" s="23">
        <f>EXP(-LN(2)/2)*GN45+(1-EXP(-LN(2)/2))/(LN(2)/2)*GH46*GK46*VLOOKUP('Données projet'!$B$17,Paramètres!$A$1:$I$89,3,0)*0.475*44/12</f>
        <v>4.5816487564594395E-2</v>
      </c>
      <c r="GO46" s="23">
        <f t="shared" si="27"/>
        <v>4.5816487564594395E-2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12.232167832167828</v>
      </c>
      <c r="GU46" s="13">
        <f>IF('Données projet'!$A$270&gt;35,GU45+GT46-HC45,IF(A46&lt;'Données projet'!$A$270,$GR$205^A46,IF(A46='Données projet'!$A$270,'Données projet'!$B$270,GU45+GT46-HC45)))</f>
        <v>289.71188811188819</v>
      </c>
      <c r="GV46" s="18">
        <f>GU46*VLOOKUP('Données projet'!$B$18,Paramètres!$A$1:$I$89,3,0)*VLOOKUP('Données projet'!$B$18,Paramètres!$A$1:$I$89,5,0)</f>
        <v>135.58516363636366</v>
      </c>
      <c r="GW46" s="14">
        <f t="shared" si="51"/>
        <v>35.283750135121878</v>
      </c>
      <c r="GX46" s="22">
        <f t="shared" si="28"/>
        <v>297.59669148533732</v>
      </c>
      <c r="GY46" s="62">
        <f t="shared" si="29"/>
        <v>590.93002481867063</v>
      </c>
      <c r="GZ46" s="62">
        <f ca="1">AVERAGE(OFFSET($GY$3,0,0,'Données projet'!$E$18+1,1))-AVERAGE(OFFSET($H$3,0,0,'Données projet'!$E$18+1,1))</f>
        <v>284.88646502866419</v>
      </c>
      <c r="HA46" s="62">
        <f t="shared" si="52"/>
        <v>190.4880882944471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>
        <f>EXP(-LN(2)/35)*HG45+(1-EXP(-LN(2)/35))/(LN(2)/35)*HC46*HD46*VLOOKUP('Données projet'!$B$18,Paramètres!$A$1:$I$89,3,0)*0.475*44/12</f>
        <v>0</v>
      </c>
      <c r="HH46" s="23">
        <f>EXP(-LN(2)/25)*HH45+(1-EXP(-LN(2)/25))/(LN(2)/25)*Calculateur!HC46*Calculateur!HE46*VLOOKUP('Données projet'!$B$18,Paramètres!$A$1:$I$89,3,0)*0.475*44/12</f>
        <v>0</v>
      </c>
      <c r="HI46" s="23">
        <f>EXP(-LN(2)/2)*HI45+(1-EXP(-LN(2)/2))/(LN(2)/2)*HC46*HF46*VLOOKUP('Données projet'!$B$18,Paramètres!$A$1:$I$89,3,0)*0.475*44/12</f>
        <v>0</v>
      </c>
      <c r="HJ46" s="24">
        <f t="shared" si="30"/>
        <v>0</v>
      </c>
    </row>
    <row r="47" spans="1:218" s="5" customFormat="1" x14ac:dyDescent="0.25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2">
        <f t="shared" si="32"/>
        <v>0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0</v>
      </c>
      <c r="H47" s="70">
        <f t="shared" si="1"/>
        <v>256.66666666666669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5.7692307692307683</v>
      </c>
      <c r="N47" s="14">
        <f>IF('Données projet'!$A$36&gt;35,N46+M47-V46,IF(A47&lt;'Données projet'!$A$36,$K$205^A47,IF(A47='Données projet'!$A$36,'Données projet'!$B$36,N46+M47-V46)))</f>
        <v>146.79487179487188</v>
      </c>
      <c r="O47" s="14">
        <f>N47*VLOOKUP('Données projet'!$B$9,Paramètres!$A$1:$I$89,3,0)*VLOOKUP('Données projet'!$B$9,Paramètres!$A$1:$I$89,5,0)</f>
        <v>139.69000000000008</v>
      </c>
      <c r="P47" s="14">
        <f t="shared" si="33"/>
        <v>36.225979688604163</v>
      </c>
      <c r="Q47" s="22">
        <f t="shared" si="53"/>
        <v>306.3869979576524</v>
      </c>
      <c r="R47" s="62">
        <f t="shared" si="0"/>
        <v>599.72033129098577</v>
      </c>
      <c r="S47" s="62">
        <f ca="1">AVERAGE(OFFSET($R$3,0,0,'Données projet'!$E$9+1,1))-AVERAGE(OFFSET($H$3,0,0,'Données projet'!$E$9+1,1))</f>
        <v>367.11183928586667</v>
      </c>
      <c r="T47" s="62">
        <f t="shared" si="34"/>
        <v>281.52963027844595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0</v>
      </c>
      <c r="AA47" s="23">
        <f>EXP(-LN(2)/25)*AA46+(1-EXP(-LN(2)/25))/(LN(2)/25)*Calculateur!V47*Calculateur!X47*VLOOKUP('Données projet'!$B$9,Paramètres!$A$1:$I$89,3,0)*0.475*44/12</f>
        <v>0</v>
      </c>
      <c r="AB47" s="23">
        <f>EXP(-LN(2)/2)*AB46+(1-EXP(-LN(2)/2))/(LN(2)/2)*V47*Y47*VLOOKUP('Données projet'!$B$9,Paramètres!$A$1:$I$89,3,0)*0.475*44/12</f>
        <v>0</v>
      </c>
      <c r="AC47" s="24">
        <f t="shared" si="3"/>
        <v>0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8.4</v>
      </c>
      <c r="AI47" s="14">
        <f>IF('Données projet'!$A$62&gt;35,AI46+AH47-AQ46,IF(A47&lt;'Données projet'!$A$62,$AF$205^A47,IF(A47='Données projet'!$A$62,'Données projet'!$B$62,AI46+AH47-AQ46)))</f>
        <v>149.60000000000005</v>
      </c>
      <c r="AJ47" s="14">
        <f>AI47*VLOOKUP('Données projet'!$B$10,Paramètres!$A$1:$I$89,3,0)*VLOOKUP('Données projet'!$B$10,Paramètres!$A$1:$I$89,5,0)</f>
        <v>135.35808000000006</v>
      </c>
      <c r="AK47" s="14">
        <f t="shared" si="35"/>
        <v>35.231528980112834</v>
      </c>
      <c r="AL47" s="22">
        <f t="shared" si="4"/>
        <v>297.11023564036327</v>
      </c>
      <c r="AM47" s="62">
        <f t="shared" si="5"/>
        <v>590.44356897369653</v>
      </c>
      <c r="AN47" s="62">
        <f ca="1">AVERAGE(OFFSET($AM$3,0,0,'Données projet'!$E$10+1,1))-AVERAGE(OFFSET($H$3,0,0,'Données projet'!$E$10+1,1))</f>
        <v>428.8489304403459</v>
      </c>
      <c r="AO47" s="62">
        <f t="shared" si="36"/>
        <v>247.01165577562966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0</v>
      </c>
      <c r="AV47" s="23">
        <f>EXP(-LN(2)/25)*AV46+(1-EXP(-LN(2)/25))/(LN(2)/25)*Calculateur!AQ47*Calculateur!AS47*VLOOKUP('Données projet'!$B$10,Paramètres!$A$1:$I$89,3,0)*0.475*44/12</f>
        <v>0</v>
      </c>
      <c r="AW47" s="23">
        <f>EXP(-LN(2)/2)*AW46+(1-EXP(-LN(2)/2))/(LN(2)/2)*AQ47*AT47*VLOOKUP('Données projet'!$B$10,Paramètres!$A$1:$I$89,3,0)*0.475*44/12</f>
        <v>0</v>
      </c>
      <c r="AX47" s="23">
        <f t="shared" si="6"/>
        <v>0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8.4</v>
      </c>
      <c r="BD47" s="13">
        <f>IF('Données projet'!$A$88&gt;35,BD46+BC47-BL46,IF(A47&lt;'Données projet'!$A$88,$BA$205^A47,IF(A47='Données projet'!$A$88,'Données projet'!$B$88,BD46+BC47-BL46)))</f>
        <v>149.60000000000005</v>
      </c>
      <c r="BE47" s="14">
        <f>BD47*VLOOKUP('Données projet'!$B$11,Paramètres!$A$1:$I$89,3,0)*VLOOKUP('Données projet'!$B$11,Paramètres!$A$1:$I$89,5,0)</f>
        <v>151.69440000000006</v>
      </c>
      <c r="BF47" s="14">
        <f t="shared" si="37"/>
        <v>38.963392010880654</v>
      </c>
      <c r="BG47" s="22">
        <f t="shared" si="7"/>
        <v>332.06232108561721</v>
      </c>
      <c r="BH47" s="62">
        <f t="shared" si="8"/>
        <v>625.39565441895047</v>
      </c>
      <c r="BI47" s="62">
        <f ca="1">AVERAGE(OFFSET($BH$3,0,0,'Données projet'!$E$11+1,1))-AVERAGE(OFFSET($H$3,0,0,'Données projet'!$E$11+1,1))</f>
        <v>475.47920969424894</v>
      </c>
      <c r="BJ47" s="62">
        <f t="shared" si="38"/>
        <v>271.73544012419364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>
        <f>EXP(-LN(2)/35)*BP46+(1-EXP(-LN(2)/35))/(LN(2)/35)*BL47*BM47*VLOOKUP('Données projet'!$B$11,Paramètres!$A$1:$I$89,3,0)*0.475*44/12</f>
        <v>0</v>
      </c>
      <c r="BQ47" s="23">
        <f>EXP(-LN(2)/25)*BQ46+(1-EXP(-LN(2)/25))/(LN(2)/25)*Calculateur!BL47*Calculateur!BN47*VLOOKUP('Données projet'!$B$11,Paramètres!$A$1:$I$89,3,0)*0.475*44/12</f>
        <v>0</v>
      </c>
      <c r="BR47" s="23">
        <f>EXP(-LN(2)/2)*BR46+(1-EXP(-LN(2)/2))/(LN(2)/2)*BL47*BO47*VLOOKUP('Données projet'!$B$11,Paramètres!$A$1:$I$89,3,0)*0.475*44/12</f>
        <v>0</v>
      </c>
      <c r="BS47" s="24">
        <f t="shared" si="9"/>
        <v>0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17.519780219780223</v>
      </c>
      <c r="BY47" s="13">
        <f>IF('Données projet'!$A$114&gt;35,BY46+BX47-CG46,IF(A47&lt;'Données projet'!$A$114,$BV$205^A47,IF(A47='Données projet'!$A$114,'Données projet'!$B$114,BY46+BX47-CG46)))</f>
        <v>316.97032967032976</v>
      </c>
      <c r="BZ47" s="14">
        <f>BY47*VLOOKUP('Données projet'!$B$12,Paramètres!$A$1:$I$89,3,0)*VLOOKUP('Données projet'!$B$12,Paramètres!$A$1:$I$89,5,0)</f>
        <v>177.18641428571433</v>
      </c>
      <c r="CA47" s="14">
        <f t="shared" si="39"/>
        <v>44.695642380138821</v>
      </c>
      <c r="CB47" s="22">
        <f t="shared" si="10"/>
        <v>386.44458202636088</v>
      </c>
      <c r="CC47" s="62">
        <f t="shared" si="11"/>
        <v>679.77791535969413</v>
      </c>
      <c r="CD47" s="62">
        <f ca="1">AVERAGE(OFFSET($CC$3,0,0,'Données projet'!$E$12+1,1))-AVERAGE(OFFSET($H$3,0,0,'Données projet'!$E$12+1,1))</f>
        <v>323.98185264074681</v>
      </c>
      <c r="CE47" s="62">
        <f t="shared" si="40"/>
        <v>301.22207291854005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>
        <f>EXP(-LN(2)/35)*CK46+(1-EXP(-LN(2)/35))/(LN(2)/35)*CG47*CH47*VLOOKUP('Données projet'!$B$12,Paramètres!$A$1:$I$89,3,0)*0.475*44/12</f>
        <v>3.3818069489670264</v>
      </c>
      <c r="CL47" s="23">
        <f>EXP(-LN(2)/25)*CL46+(1-EXP(-LN(2)/25))/(LN(2)/25)*Calculateur!CG47*Calculateur!CI47*VLOOKUP('Données projet'!$B$12,Paramètres!$A$1:$I$89,3,0)*0.475*44/12</f>
        <v>5.5941611914245604</v>
      </c>
      <c r="CM47" s="23">
        <f>EXP(-LN(2)/2)*CM46+(1-EXP(-LN(2)/2))/(LN(2)/2)*CG47*CJ47*VLOOKUP('Données projet'!$B$12,Paramètres!$A$1:$I$89,3,0)*0.475*44/12</f>
        <v>4.7560993590765786E-2</v>
      </c>
      <c r="CN47" s="24">
        <f t="shared" si="12"/>
        <v>9.0235291339823522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5.6</v>
      </c>
      <c r="CT47" s="13">
        <f>IF('Données projet'!$A$140&gt;35,CT46+CS47-DB46,IF(A47&lt;'Données projet'!$A$140,$CQ$205^A47,IF(A47='Données projet'!$A$140,'Données projet'!$B$140,CT46+CS47-DB46)))</f>
        <v>101.39999999999999</v>
      </c>
      <c r="CU47" s="18">
        <f>CT47*VLOOKUP('Données projet'!$B$13,Paramètres!$A$1:$I$89,3,0)*VLOOKUP('Données projet'!$B$13,Paramètres!$A$1:$I$89,5,0)</f>
        <v>115.47431999999999</v>
      </c>
      <c r="CV47" s="14">
        <f t="shared" si="41"/>
        <v>30.617108709605674</v>
      </c>
      <c r="CW47" s="22">
        <f t="shared" si="13"/>
        <v>254.44257166922989</v>
      </c>
      <c r="CX47" s="62">
        <f t="shared" si="14"/>
        <v>547.77590500256315</v>
      </c>
      <c r="CY47" s="62">
        <f ca="1">AVERAGE(OFFSET($CX$3,0,0,'Données projet'!$E$13+1,1))-AVERAGE(OFFSET($H$3,0,0,'Données projet'!$E$13+1,1))</f>
        <v>399.78832690250164</v>
      </c>
      <c r="CZ47" s="62">
        <f t="shared" si="42"/>
        <v>174.32967064896343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>
        <f>EXP(-LN(2)/35)*DF46+(1-EXP(-LN(2)/35))/(LN(2)/35)*DB47*DC47*VLOOKUP('Données projet'!$B$13,Paramètres!$A$1:$I$89,3,0)*0.475*44/12</f>
        <v>0</v>
      </c>
      <c r="DG47" s="23">
        <f>EXP(-LN(2)/25)*DG46+(1-EXP(-LN(2)/25))/(LN(2)/25)*Calculateur!DB47*Calculateur!DD47*VLOOKUP('Données projet'!$B$13,Paramètres!$A$1:$I$89,3,0)*0.475*44/12</f>
        <v>0</v>
      </c>
      <c r="DH47" s="23">
        <f>EXP(-LN(2)/2)*DH46+(1-EXP(-LN(2)/2))/(LN(2)/2)*DB47*DE47*VLOOKUP('Données projet'!$B$13,Paramètres!$A$1:$I$89,3,0)*0.475*44/12</f>
        <v>0</v>
      </c>
      <c r="DI47" s="24">
        <f t="shared" si="15"/>
        <v>0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8.4</v>
      </c>
      <c r="DO47" s="13">
        <f>IF('Données projet'!$A$166&gt;35,DO46+DN47-DW46,IF(A47&lt;'Données projet'!$A$166,$DL$205^A47,IF(A47='Données projet'!$A$166,'Données projet'!$B$166,DO46+DN47-DW46)))</f>
        <v>149.60000000000005</v>
      </c>
      <c r="DP47" s="18">
        <f>DO47*VLOOKUP('Données projet'!$B$14,Paramètres!$A$1:$I$89,3,0)*VLOOKUP('Données projet'!$B$14,Paramètres!$A$1:$I$89,5,0)</f>
        <v>126.02304000000005</v>
      </c>
      <c r="DQ47" s="14">
        <f t="shared" si="43"/>
        <v>33.075745544773369</v>
      </c>
      <c r="DR47" s="22">
        <f t="shared" si="16"/>
        <v>277.0970514904804</v>
      </c>
      <c r="DS47" s="62">
        <f t="shared" si="17"/>
        <v>570.43038482381371</v>
      </c>
      <c r="DT47" s="62">
        <f ca="1">AVERAGE(OFFSET($DS$3,0,0,'Données projet'!$E$14+1,1))-AVERAGE(OFFSET($H$3,0,0,'Données projet'!$E$14+1,1))</f>
        <v>402.15128814037058</v>
      </c>
      <c r="DU47" s="62">
        <f t="shared" si="44"/>
        <v>232.85411068442738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>
        <f>EXP(-LN(2)/35)*EA46+(1-EXP(-LN(2)/35))/(LN(2)/35)*DW47*DX47*VLOOKUP('Données projet'!$B$14,Paramètres!$A$1:$I$89,3,0)*0.475*44/12</f>
        <v>0</v>
      </c>
      <c r="EB47" s="23">
        <f>EXP(-LN(2)/25)*EB46+(1-EXP(-LN(2)/25))/(LN(2)/25)*Calculateur!DW47*Calculateur!DY47*VLOOKUP('Données projet'!$B$14,Paramètres!$A$1:$I$89,3,0)*0.475*44/12</f>
        <v>0</v>
      </c>
      <c r="EC47" s="23">
        <f>EXP(-LN(2)/2)*EC46+(1-EXP(-LN(2)/2))/(LN(2)/2)*DW47*DZ47*VLOOKUP('Données projet'!$B$14,Paramètres!$A$1:$I$89,3,0)*0.475*44/12</f>
        <v>0</v>
      </c>
      <c r="ED47" s="24">
        <f t="shared" si="18"/>
        <v>0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7.5641025641025639</v>
      </c>
      <c r="EJ47" s="13">
        <f>IF('Données projet'!$A$192&gt;35,EJ46+EI47-ER46,IF(A47&lt;'Données projet'!$A$192,$EG$205^A47,IF(A47='Données projet'!$A$192,'Données projet'!$B$192,EJ46+EI47-ER46)))</f>
        <v>210.38461538461544</v>
      </c>
      <c r="EK47" s="18">
        <f>EJ47*VLOOKUP('Données projet'!$B$15,Paramètres!$A$1:$I$89,3,0)*VLOOKUP('Données projet'!$B$15,Paramètres!$A$1:$I$89,5,0)</f>
        <v>219.89400000000009</v>
      </c>
      <c r="EL47" s="14">
        <f t="shared" si="45"/>
        <v>54.091846498161985</v>
      </c>
      <c r="EM47" s="22">
        <f t="shared" si="19"/>
        <v>477.19201598429891</v>
      </c>
      <c r="EN47" s="62">
        <f t="shared" si="20"/>
        <v>770.52534931763216</v>
      </c>
      <c r="EO47" s="62">
        <f ca="1">AVERAGE(OFFSET($EN$3,0,0,'Données projet'!$E$15+1,1))-AVERAGE(OFFSET($H$3,0,0,'Données projet'!$E$15+1,1))</f>
        <v>595.89992279024398</v>
      </c>
      <c r="EP47" s="62">
        <f t="shared" si="46"/>
        <v>378.16197659288338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>
        <f>EXP(-LN(2)/35)*EV46+(1-EXP(-LN(2)/35))/(LN(2)/35)*ER47*ES47*VLOOKUP('Données projet'!$B$15,Paramètres!$A$1:$I$89,3,0)*0.475*44/12</f>
        <v>0</v>
      </c>
      <c r="EW47" s="23">
        <f>EXP(-LN(2)/25)*EW46+(1-EXP(-LN(2)/25))/(LN(2)/25)*Calculateur!ER47*Calculateur!ET47*VLOOKUP('Données projet'!$B$15,Paramètres!$A$1:$I$89,3,0)*0.475*44/12</f>
        <v>0</v>
      </c>
      <c r="EX47" s="23">
        <f>EXP(-LN(2)/2)*EX46+(1-EXP(-LN(2)/2))/(LN(2)/2)*ER47*EU47*VLOOKUP('Données projet'!$B$15,Paramètres!$A$1:$I$89,3,0)*0.475*44/12</f>
        <v>0</v>
      </c>
      <c r="EY47" s="24">
        <f t="shared" si="21"/>
        <v>0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>
        <f>VLOOKUP(A47,'Données projet'!$A$217:$I$237,2,0)</f>
        <v>303.15384615384619</v>
      </c>
      <c r="FC47" s="13">
        <f>VLOOKUP(A47,'Données projet'!$A$217:$I$237,9,0)</f>
        <v>13.200000000000045</v>
      </c>
      <c r="FD47" s="13">
        <f t="array" ref="FD47">INDEX(FC:FC,MIN(IF(ISNUMBER(FC47:FC243),ROW(FC47:FC243),"")))</f>
        <v>13.200000000000045</v>
      </c>
      <c r="FE47" s="13">
        <f>IF('Données projet'!$A$218&gt;35,FE46+FD47-FM46,IF(A47&lt;'Données projet'!$A$218,$FB$205^A47,IF(A47='Données projet'!$A$218,'Données projet'!$B$218,FE46+FD47-FM46)))</f>
        <v>303.15384615384613</v>
      </c>
      <c r="FF47" s="18">
        <f>FE47*VLOOKUP('Données projet'!$B$16,Paramètres!$A$1:$I$89,3,0)*VLOOKUP('Données projet'!$B$16,Paramètres!$A$1:$I$89,5,0)</f>
        <v>181.286</v>
      </c>
      <c r="FG47" s="14">
        <f t="shared" si="47"/>
        <v>45.608178821536583</v>
      </c>
      <c r="FH47" s="22">
        <f t="shared" si="22"/>
        <v>395.17402811417611</v>
      </c>
      <c r="FI47" s="62">
        <f t="shared" si="23"/>
        <v>688.50736144750942</v>
      </c>
      <c r="FJ47" s="62">
        <f ca="1">AVERAGE(OFFSET($FI$3,0,0,'Données projet'!$E$16+1,1))-AVERAGE(OFFSET($H$3,0,0,'Données projet'!$E$16+1,1))</f>
        <v>257.56116197646924</v>
      </c>
      <c r="FK47" s="62">
        <f t="shared" si="48"/>
        <v>269.95556918835888</v>
      </c>
      <c r="FL47" s="16">
        <f>IF(ISNA(VLOOKUP(A47,'Données projet'!$A$217:$I$237,3,0)),0,VLOOKUP(A47,'Données projet'!$A$217:$I$237,3,0))</f>
        <v>5</v>
      </c>
      <c r="FM47" s="16">
        <f>IF(ISNA(VLOOKUP(A47,'Données projet'!$A$217:$I$237,4,0)),0,VLOOKUP(A47,'Données projet'!$A$217:$I$237,4,0))</f>
        <v>64.476923076923072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>
        <f>EXP(-LN(2)/35)*FQ46+(1-EXP(-LN(2)/35))/(LN(2)/35)*FM47*FN47*VLOOKUP('Données projet'!$B$16,Paramètres!$A$1:$I$89,3,0)*0.475*44/12</f>
        <v>11.05066653269243</v>
      </c>
      <c r="FR47" s="23">
        <f>EXP(-LN(2)/25)*FR46+(1-EXP(-LN(2)/25))/(LN(2)/25)*Calculateur!FM47*Calculateur!FO47*VLOOKUP('Données projet'!$B$16,Paramètres!$A$1:$I$89,3,0)*0.475*44/12</f>
        <v>10.949881376091573</v>
      </c>
      <c r="FS47" s="23">
        <f>EXP(-LN(2)/2)*FS46+(1-EXP(-LN(2)/2))/(LN(2)/2)*FM47*FP47*VLOOKUP('Données projet'!$B$16,Paramètres!$A$1:$I$89,3,0)*0.475*44/12</f>
        <v>6.6828776734179557E-2</v>
      </c>
      <c r="FT47" s="24">
        <f t="shared" si="24"/>
        <v>22.067376685518184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11.861538461538462</v>
      </c>
      <c r="FZ47" s="13">
        <f>IF('Données projet'!$A$244&gt;35,FZ46+FY47-GH46,IF(A47&lt;'Données projet'!$A$244,$FW$205^A47,IF(A47='Données projet'!$A$244,'Données projet'!$B$244,FZ46+FY47-GH46)))</f>
        <v>219.91538461538457</v>
      </c>
      <c r="GA47" s="18">
        <f>FZ47*VLOOKUP('Données projet'!$B$17,Paramètres!$A$1:$I$89,3,0)*VLOOKUP('Données projet'!$B$17,Paramètres!$A$1:$I$89,5,0)</f>
        <v>131.50939999999997</v>
      </c>
      <c r="GB47" s="14">
        <f t="shared" si="49"/>
        <v>34.344902681781569</v>
      </c>
      <c r="GC47" s="22">
        <f t="shared" si="25"/>
        <v>288.86291050410284</v>
      </c>
      <c r="GD47" s="62">
        <f t="shared" si="26"/>
        <v>582.19624383743621</v>
      </c>
      <c r="GE47" s="62">
        <f ca="1">AVERAGE(OFFSET($GD$3,0,0,'Données projet'!$E$17+1,1))-AVERAGE(OFFSET($H$3,0,0,'Données projet'!$E$17+1,1))</f>
        <v>289.12367833861299</v>
      </c>
      <c r="GF47" s="62">
        <f t="shared" si="50"/>
        <v>229.06617320689003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>
        <f>EXP(-LN(2)/35)*GL46+(1-EXP(-LN(2)/35))/(LN(2)/35)*GH47*GI47*VLOOKUP('Données projet'!$B$17,Paramètres!$A$1:$I$89,3,0)*0.475*44/12</f>
        <v>0</v>
      </c>
      <c r="GM47" s="23">
        <f>EXP(-LN(2)/25)*GM46+(1-EXP(-LN(2)/25))/(LN(2)/25)*Calculateur!GH47*Calculateur!GJ47*VLOOKUP('Données projet'!$B$17,Paramètres!$A$1:$I$89,3,0)*0.475*44/12</f>
        <v>0</v>
      </c>
      <c r="GN47" s="23">
        <f>EXP(-LN(2)/2)*GN46+(1-EXP(-LN(2)/2))/(LN(2)/2)*GH47*GK47*VLOOKUP('Données projet'!$B$17,Paramètres!$A$1:$I$89,3,0)*0.475*44/12</f>
        <v>3.2397149047073824E-2</v>
      </c>
      <c r="GO47" s="23">
        <f t="shared" si="27"/>
        <v>3.2397149047073824E-2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12.232167832167828</v>
      </c>
      <c r="GU47" s="13">
        <f>IF('Données projet'!$A$270&gt;35,GU46+GT47-HC46,IF(A47&lt;'Données projet'!$A$270,$GR$205^A47,IF(A47='Données projet'!$A$270,'Données projet'!$B$270,GU46+GT47-HC46)))</f>
        <v>301.944055944056</v>
      </c>
      <c r="GV47" s="18">
        <f>GU47*VLOOKUP('Données projet'!$B$18,Paramètres!$A$1:$I$89,3,0)*VLOOKUP('Données projet'!$B$18,Paramètres!$A$1:$I$89,5,0)</f>
        <v>141.30981818181823</v>
      </c>
      <c r="GW47" s="14">
        <f t="shared" si="51"/>
        <v>36.59690362721242</v>
      </c>
      <c r="GX47" s="22">
        <f t="shared" si="28"/>
        <v>309.85420715072837</v>
      </c>
      <c r="GY47" s="62">
        <f t="shared" si="29"/>
        <v>603.18754048406163</v>
      </c>
      <c r="GZ47" s="62">
        <f ca="1">AVERAGE(OFFSET($GY$3,0,0,'Données projet'!$E$18+1,1))-AVERAGE(OFFSET($H$3,0,0,'Données projet'!$E$18+1,1))</f>
        <v>284.88646502866419</v>
      </c>
      <c r="HA47" s="62">
        <f t="shared" si="52"/>
        <v>190.4880882944471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>
        <f>EXP(-LN(2)/35)*HG46+(1-EXP(-LN(2)/35))/(LN(2)/35)*HC47*HD47*VLOOKUP('Données projet'!$B$18,Paramètres!$A$1:$I$89,3,0)*0.475*44/12</f>
        <v>0</v>
      </c>
      <c r="HH47" s="23">
        <f>EXP(-LN(2)/25)*HH46+(1-EXP(-LN(2)/25))/(LN(2)/25)*Calculateur!HC47*Calculateur!HE47*VLOOKUP('Données projet'!$B$18,Paramètres!$A$1:$I$89,3,0)*0.475*44/12</f>
        <v>0</v>
      </c>
      <c r="HI47" s="23">
        <f>EXP(-LN(2)/2)*HI46+(1-EXP(-LN(2)/2))/(LN(2)/2)*HC47*HF47*VLOOKUP('Données projet'!$B$18,Paramètres!$A$1:$I$89,3,0)*0.475*44/12</f>
        <v>0</v>
      </c>
      <c r="HJ47" s="24">
        <f t="shared" si="30"/>
        <v>0</v>
      </c>
    </row>
    <row r="48" spans="1:218" s="5" customFormat="1" x14ac:dyDescent="0.25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2">
        <f t="shared" si="32"/>
        <v>0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0</v>
      </c>
      <c r="H48" s="70">
        <f t="shared" si="1"/>
        <v>256.66666666666669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>
        <f>VLOOKUP(A48,'Données projet'!$A$35:$I$55,2,0)</f>
        <v>152.56410256410257</v>
      </c>
      <c r="L48" s="13">
        <f>VLOOKUP(A48,'Données projet'!$A$35:$I$55,9,0)</f>
        <v>5.7692307692307683</v>
      </c>
      <c r="M48" s="13">
        <f t="array" ref="M48">INDEX(L:L,MIN(IF(ISNUMBER(L48:L244),ROW(L48:L244),"")))</f>
        <v>5.7692307692307683</v>
      </c>
      <c r="N48" s="14">
        <f>IF('Données projet'!$A$36&gt;35,N47+M48-V47,IF(A48&lt;'Données projet'!$A$36,$K$205^A48,IF(A48='Données projet'!$A$36,'Données projet'!$B$36,N47+M48-V47)))</f>
        <v>152.56410256410265</v>
      </c>
      <c r="O48" s="14">
        <f>N48*VLOOKUP('Données projet'!$B$9,Paramètres!$A$1:$I$89,3,0)*VLOOKUP('Données projet'!$B$9,Paramètres!$A$1:$I$89,5,0)</f>
        <v>145.18000000000009</v>
      </c>
      <c r="P48" s="14">
        <f t="shared" si="33"/>
        <v>37.481149901429063</v>
      </c>
      <c r="Q48" s="22">
        <f t="shared" si="53"/>
        <v>318.13483607832245</v>
      </c>
      <c r="R48" s="62">
        <f t="shared" si="0"/>
        <v>611.46816941165571</v>
      </c>
      <c r="S48" s="62">
        <f ca="1">AVERAGE(OFFSET($R$3,0,0,'Données projet'!$E$9+1,1))-AVERAGE(OFFSET($H$3,0,0,'Données projet'!$E$9+1,1))</f>
        <v>367.11183928586667</v>
      </c>
      <c r="T48" s="62">
        <f t="shared" si="34"/>
        <v>281.52963027844595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0</v>
      </c>
      <c r="AA48" s="23">
        <f>EXP(-LN(2)/25)*AA47+(1-EXP(-LN(2)/25))/(LN(2)/25)*Calculateur!V48*Calculateur!X48*VLOOKUP('Données projet'!$B$9,Paramètres!$A$1:$I$89,3,0)*0.475*44/12</f>
        <v>0</v>
      </c>
      <c r="AB48" s="23">
        <f>EXP(-LN(2)/2)*AB47+(1-EXP(-LN(2)/2))/(LN(2)/2)*V48*Y48*VLOOKUP('Données projet'!$B$9,Paramètres!$A$1:$I$89,3,0)*0.475*44/12</f>
        <v>0</v>
      </c>
      <c r="AC48" s="24">
        <f t="shared" si="3"/>
        <v>0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>
        <f>VLOOKUP(A48,'Données projet'!$A$61:$I$81,2,0)</f>
        <v>158</v>
      </c>
      <c r="AG48" s="13">
        <f>VLOOKUP(A48,'Données projet'!$A$61:$I$81,9,0)</f>
        <v>8.4</v>
      </c>
      <c r="AH48" s="13">
        <f t="array" ref="AH48">INDEX(AG:AG,MIN(IF(ISNUMBER(AG48:AG244),ROW(AG48:AG244),"")))</f>
        <v>8.4</v>
      </c>
      <c r="AI48" s="14">
        <f>IF('Données projet'!$A$62&gt;35,AI47+AH48-AQ47,IF(A48&lt;'Données projet'!$A$62,$AF$205^A48,IF(A48='Données projet'!$A$62,'Données projet'!$B$62,AI47+AH48-AQ47)))</f>
        <v>158.00000000000006</v>
      </c>
      <c r="AJ48" s="14">
        <f>AI48*VLOOKUP('Données projet'!$B$10,Paramètres!$A$1:$I$89,3,0)*VLOOKUP('Données projet'!$B$10,Paramètres!$A$1:$I$89,5,0)</f>
        <v>142.95840000000004</v>
      </c>
      <c r="AK48" s="14">
        <f t="shared" si="35"/>
        <v>36.973906370811264</v>
      </c>
      <c r="AL48" s="22">
        <f t="shared" si="4"/>
        <v>313.38210026249641</v>
      </c>
      <c r="AM48" s="62">
        <f t="shared" si="5"/>
        <v>606.71543359582972</v>
      </c>
      <c r="AN48" s="62">
        <f ca="1">AVERAGE(OFFSET($AM$3,0,0,'Données projet'!$E$10+1,1))-AVERAGE(OFFSET($H$3,0,0,'Données projet'!$E$10+1,1))</f>
        <v>428.8489304403459</v>
      </c>
      <c r="AO48" s="62">
        <f t="shared" si="36"/>
        <v>247.01165577562966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projet'!$B$10,Paramètres!$A$1:$I$89,3,0)*0.475*44/12</f>
        <v>0</v>
      </c>
      <c r="AV48" s="23">
        <f>EXP(-LN(2)/25)*AV47+(1-EXP(-LN(2)/25))/(LN(2)/25)*Calculateur!AQ48*Calculateur!AS48*VLOOKUP('Données projet'!$B$10,Paramètres!$A$1:$I$89,3,0)*0.475*44/12</f>
        <v>0</v>
      </c>
      <c r="AW48" s="23">
        <f>EXP(-LN(2)/2)*AW47+(1-EXP(-LN(2)/2))/(LN(2)/2)*AQ48*AT48*VLOOKUP('Données projet'!$B$10,Paramètres!$A$1:$I$89,3,0)*0.475*44/12</f>
        <v>0</v>
      </c>
      <c r="AX48" s="23">
        <f t="shared" si="6"/>
        <v>0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>
        <f>VLOOKUP(A48,'Données projet'!$A$87:$I$107,2,0)</f>
        <v>158</v>
      </c>
      <c r="BB48" s="13">
        <f>VLOOKUP(A48,'Données projet'!$A$87:$I$107,9,0)</f>
        <v>8.4</v>
      </c>
      <c r="BC48" s="13">
        <f t="array" ref="BC48">INDEX(BB:BB,MIN(IF(ISNUMBER(BB48:BB244),ROW(BB48:BB244),"")))</f>
        <v>8.4</v>
      </c>
      <c r="BD48" s="13">
        <f>IF('Données projet'!$A$88&gt;35,BD47+BC48-BL47,IF(A48&lt;'Données projet'!$A$88,$BA$205^A48,IF(A48='Données projet'!$A$88,'Données projet'!$B$88,BD47+BC48-BL47)))</f>
        <v>158.00000000000006</v>
      </c>
      <c r="BE48" s="14">
        <f>BD48*VLOOKUP('Données projet'!$B$11,Paramètres!$A$1:$I$89,3,0)*VLOOKUP('Données projet'!$B$11,Paramètres!$A$1:$I$89,5,0)</f>
        <v>160.21200000000007</v>
      </c>
      <c r="BF48" s="14">
        <f t="shared" si="37"/>
        <v>40.890328912852731</v>
      </c>
      <c r="BG48" s="22">
        <f t="shared" si="7"/>
        <v>350.25322285655193</v>
      </c>
      <c r="BH48" s="62">
        <f t="shared" si="8"/>
        <v>643.58655618988519</v>
      </c>
      <c r="BI48" s="62">
        <f ca="1">AVERAGE(OFFSET($BH$3,0,0,'Données projet'!$E$11+1,1))-AVERAGE(OFFSET($H$3,0,0,'Données projet'!$E$11+1,1))</f>
        <v>475.47920969424894</v>
      </c>
      <c r="BJ48" s="62">
        <f t="shared" si="38"/>
        <v>271.73544012419364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>
        <f>EXP(-LN(2)/35)*BP47+(1-EXP(-LN(2)/35))/(LN(2)/35)*BL48*BM48*VLOOKUP('Données projet'!$B$11,Paramètres!$A$1:$I$89,3,0)*0.475*44/12</f>
        <v>0</v>
      </c>
      <c r="BQ48" s="23">
        <f>EXP(-LN(2)/25)*BQ47+(1-EXP(-LN(2)/25))/(LN(2)/25)*Calculateur!BL48*Calculateur!BN48*VLOOKUP('Données projet'!$B$11,Paramètres!$A$1:$I$89,3,0)*0.475*44/12</f>
        <v>0</v>
      </c>
      <c r="BR48" s="23">
        <f>EXP(-LN(2)/2)*BR47+(1-EXP(-LN(2)/2))/(LN(2)/2)*BL48*BO48*VLOOKUP('Données projet'!$B$11,Paramètres!$A$1:$I$89,3,0)*0.475*44/12</f>
        <v>0</v>
      </c>
      <c r="BS48" s="24">
        <f t="shared" si="9"/>
        <v>0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17.519780219780223</v>
      </c>
      <c r="BY48" s="13">
        <f>IF('Données projet'!$A$114&gt;35,BY47+BX48-CG47,IF(A48&lt;'Données projet'!$A$114,$BV$205^A48,IF(A48='Données projet'!$A$114,'Données projet'!$B$114,BY47+BX48-CG47)))</f>
        <v>334.49010989010998</v>
      </c>
      <c r="BZ48" s="14">
        <f>BY48*VLOOKUP('Données projet'!$B$12,Paramètres!$A$1:$I$89,3,0)*VLOOKUP('Données projet'!$B$12,Paramètres!$A$1:$I$89,5,0)</f>
        <v>186.9799714285715</v>
      </c>
      <c r="CA48" s="14">
        <f t="shared" si="39"/>
        <v>46.871646064498115</v>
      </c>
      <c r="CB48" s="22">
        <f t="shared" si="10"/>
        <v>407.29156713376295</v>
      </c>
      <c r="CC48" s="62">
        <f t="shared" si="11"/>
        <v>700.62490046709627</v>
      </c>
      <c r="CD48" s="62">
        <f ca="1">AVERAGE(OFFSET($CC$3,0,0,'Données projet'!$E$12+1,1))-AVERAGE(OFFSET($H$3,0,0,'Données projet'!$E$12+1,1))</f>
        <v>323.98185264074681</v>
      </c>
      <c r="CE48" s="62">
        <f t="shared" si="40"/>
        <v>301.22207291854005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>
        <f>EXP(-LN(2)/35)*CK47+(1-EXP(-LN(2)/35))/(LN(2)/35)*CG48*CH48*VLOOKUP('Données projet'!$B$12,Paramètres!$A$1:$I$89,3,0)*0.475*44/12</f>
        <v>3.3154917773963475</v>
      </c>
      <c r="CL48" s="23">
        <f>EXP(-LN(2)/25)*CL47+(1-EXP(-LN(2)/25))/(LN(2)/25)*Calculateur!CG48*Calculateur!CI48*VLOOKUP('Données projet'!$B$12,Paramètres!$A$1:$I$89,3,0)*0.475*44/12</f>
        <v>5.4411885594609046</v>
      </c>
      <c r="CM48" s="23">
        <f>EXP(-LN(2)/2)*CM47+(1-EXP(-LN(2)/2))/(LN(2)/2)*CG48*CJ48*VLOOKUP('Données projet'!$B$12,Paramètres!$A$1:$I$89,3,0)*0.475*44/12</f>
        <v>3.3630701088000411E-2</v>
      </c>
      <c r="CN48" s="24">
        <f t="shared" si="12"/>
        <v>8.7903110379452531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>
        <f>VLOOKUP(A48,'Données projet'!$A$139:$I$159,2,0)</f>
        <v>107</v>
      </c>
      <c r="CR48" s="13">
        <f>VLOOKUP(A48,'Données projet'!$A$139:$I$159,9,0)</f>
        <v>5.6</v>
      </c>
      <c r="CS48" s="13">
        <f t="array" ref="CS48">INDEX(CR:CR,MIN(IF(ISNUMBER(CR48:CR244),ROW(CR48:CR244),"")))</f>
        <v>5.6</v>
      </c>
      <c r="CT48" s="13">
        <f>IF('Données projet'!$A$140&gt;35,CT47+CS48-DB47,IF(A48&lt;'Données projet'!$A$140,$CQ$205^A48,IF(A48='Données projet'!$A$140,'Données projet'!$B$140,CT47+CS48-DB47)))</f>
        <v>106.99999999999999</v>
      </c>
      <c r="CU48" s="18">
        <f>CT48*VLOOKUP('Données projet'!$B$13,Paramètres!$A$1:$I$89,3,0)*VLOOKUP('Données projet'!$B$13,Paramètres!$A$1:$I$89,5,0)</f>
        <v>121.85159999999998</v>
      </c>
      <c r="CV48" s="14">
        <f t="shared" si="41"/>
        <v>32.106468978964038</v>
      </c>
      <c r="CW48" s="22">
        <f t="shared" si="13"/>
        <v>268.14363680502896</v>
      </c>
      <c r="CX48" s="62">
        <f t="shared" si="14"/>
        <v>561.47697013836228</v>
      </c>
      <c r="CY48" s="62">
        <f ca="1">AVERAGE(OFFSET($CX$3,0,0,'Données projet'!$E$13+1,1))-AVERAGE(OFFSET($H$3,0,0,'Données projet'!$E$13+1,1))</f>
        <v>399.78832690250164</v>
      </c>
      <c r="CZ48" s="62">
        <f t="shared" si="42"/>
        <v>174.32967064896343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>
        <f>EXP(-LN(2)/35)*DF47+(1-EXP(-LN(2)/35))/(LN(2)/35)*DB48*DC48*VLOOKUP('Données projet'!$B$13,Paramètres!$A$1:$I$89,3,0)*0.475*44/12</f>
        <v>0</v>
      </c>
      <c r="DG48" s="23">
        <f>EXP(-LN(2)/25)*DG47+(1-EXP(-LN(2)/25))/(LN(2)/25)*Calculateur!DB48*Calculateur!DD48*VLOOKUP('Données projet'!$B$13,Paramètres!$A$1:$I$89,3,0)*0.475*44/12</f>
        <v>0</v>
      </c>
      <c r="DH48" s="23">
        <f>EXP(-LN(2)/2)*DH47+(1-EXP(-LN(2)/2))/(LN(2)/2)*DB48*DE48*VLOOKUP('Données projet'!$B$13,Paramètres!$A$1:$I$89,3,0)*0.475*44/12</f>
        <v>0</v>
      </c>
      <c r="DI48" s="24">
        <f t="shared" si="15"/>
        <v>0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>
        <f>VLOOKUP(A48,'Données projet'!$A$165:$I$185,2,0)</f>
        <v>158</v>
      </c>
      <c r="DM48" s="13">
        <f>VLOOKUP(A48,'Données projet'!$A$165:$I$185,9,0)</f>
        <v>8.4</v>
      </c>
      <c r="DN48" s="13">
        <f t="array" ref="DN48">INDEX(DM:DM,MIN(IF(ISNUMBER(DM48:DM244),ROW(DM48:DM244),"")))</f>
        <v>8.4</v>
      </c>
      <c r="DO48" s="13">
        <f>IF('Données projet'!$A$166&gt;35,DO47+DN48-DW47,IF(A48&lt;'Données projet'!$A$166,$DL$205^A48,IF(A48='Données projet'!$A$166,'Données projet'!$B$166,DO47+DN48-DW47)))</f>
        <v>158.00000000000006</v>
      </c>
      <c r="DP48" s="18">
        <f>DO48*VLOOKUP('Données projet'!$B$14,Paramètres!$A$1:$I$89,3,0)*VLOOKUP('Données projet'!$B$14,Paramètres!$A$1:$I$89,5,0)</f>
        <v>133.09920000000005</v>
      </c>
      <c r="DQ48" s="14">
        <f t="shared" si="43"/>
        <v>34.71150853565117</v>
      </c>
      <c r="DR48" s="22">
        <f t="shared" si="16"/>
        <v>292.27031736625918</v>
      </c>
      <c r="DS48" s="62">
        <f t="shared" si="17"/>
        <v>585.60365069959244</v>
      </c>
      <c r="DT48" s="62">
        <f ca="1">AVERAGE(OFFSET($DS$3,0,0,'Données projet'!$E$14+1,1))-AVERAGE(OFFSET($H$3,0,0,'Données projet'!$E$14+1,1))</f>
        <v>402.15128814037058</v>
      </c>
      <c r="DU48" s="62">
        <f t="shared" si="44"/>
        <v>232.85411068442738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>
        <f>EXP(-LN(2)/35)*EA47+(1-EXP(-LN(2)/35))/(LN(2)/35)*DW48*DX48*VLOOKUP('Données projet'!$B$14,Paramètres!$A$1:$I$89,3,0)*0.475*44/12</f>
        <v>0</v>
      </c>
      <c r="EB48" s="23">
        <f>EXP(-LN(2)/25)*EB47+(1-EXP(-LN(2)/25))/(LN(2)/25)*Calculateur!DW48*Calculateur!DY48*VLOOKUP('Données projet'!$B$14,Paramètres!$A$1:$I$89,3,0)*0.475*44/12</f>
        <v>0</v>
      </c>
      <c r="EC48" s="23">
        <f>EXP(-LN(2)/2)*EC47+(1-EXP(-LN(2)/2))/(LN(2)/2)*DW48*DZ48*VLOOKUP('Données projet'!$B$14,Paramètres!$A$1:$I$89,3,0)*0.475*44/12</f>
        <v>0</v>
      </c>
      <c r="ED48" s="24">
        <f t="shared" si="18"/>
        <v>0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>
        <f>VLOOKUP(A48,'Données projet'!$A$191:$I$211,2,0)</f>
        <v>217.94871794871793</v>
      </c>
      <c r="EH48" s="13">
        <f>VLOOKUP(A48,'Données projet'!$A$191:$I$211,9,0)</f>
        <v>7.5641025641025639</v>
      </c>
      <c r="EI48" s="13">
        <f t="array" ref="EI48">INDEX(EH:EH,MIN(IF(ISNUMBER(EH48:EH244),ROW(EH48:EH244),"")))</f>
        <v>7.5641025641025639</v>
      </c>
      <c r="EJ48" s="13">
        <f>IF('Données projet'!$A$192&gt;35,EJ47+EI48-ER47,IF(A48&lt;'Données projet'!$A$192,$EG$205^A48,IF(A48='Données projet'!$A$192,'Données projet'!$B$192,EJ47+EI48-ER47)))</f>
        <v>217.94871794871801</v>
      </c>
      <c r="EK48" s="18">
        <f>EJ48*VLOOKUP('Données projet'!$B$15,Paramètres!$A$1:$I$89,3,0)*VLOOKUP('Données projet'!$B$15,Paramètres!$A$1:$I$89,5,0)</f>
        <v>227.8000000000001</v>
      </c>
      <c r="EL48" s="14">
        <f t="shared" si="45"/>
        <v>55.806724332359025</v>
      </c>
      <c r="EM48" s="22">
        <f t="shared" si="19"/>
        <v>493.94837821219221</v>
      </c>
      <c r="EN48" s="62">
        <f t="shared" si="20"/>
        <v>787.28171154552547</v>
      </c>
      <c r="EO48" s="62">
        <f ca="1">AVERAGE(OFFSET($EN$3,0,0,'Données projet'!$E$15+1,1))-AVERAGE(OFFSET($H$3,0,0,'Données projet'!$E$15+1,1))</f>
        <v>595.89992279024398</v>
      </c>
      <c r="EP48" s="62">
        <f t="shared" si="46"/>
        <v>378.16197659288338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>
        <f>EXP(-LN(2)/35)*EV47+(1-EXP(-LN(2)/35))/(LN(2)/35)*ER48*ES48*VLOOKUP('Données projet'!$B$15,Paramètres!$A$1:$I$89,3,0)*0.475*44/12</f>
        <v>0</v>
      </c>
      <c r="EW48" s="23">
        <f>EXP(-LN(2)/25)*EW47+(1-EXP(-LN(2)/25))/(LN(2)/25)*Calculateur!ER48*Calculateur!ET48*VLOOKUP('Données projet'!$B$15,Paramètres!$A$1:$I$89,3,0)*0.475*44/12</f>
        <v>0</v>
      </c>
      <c r="EX48" s="23">
        <f>EXP(-LN(2)/2)*EX47+(1-EXP(-LN(2)/2))/(LN(2)/2)*ER48*EU48*VLOOKUP('Données projet'!$B$15,Paramètres!$A$1:$I$89,3,0)*0.475*44/12</f>
        <v>0</v>
      </c>
      <c r="EY48" s="24">
        <f t="shared" si="21"/>
        <v>0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11.642307692307689</v>
      </c>
      <c r="FE48" s="13">
        <f>IF('Données projet'!$A$218&gt;35,FE47+FD48-FM47,IF(A48&lt;'Données projet'!$A$218,$FB$205^A48,IF(A48='Données projet'!$A$218,'Données projet'!$B$218,FE47+FD48-FM47)))</f>
        <v>250.31923076923073</v>
      </c>
      <c r="FF48" s="18">
        <f>FE48*VLOOKUP('Données projet'!$B$16,Paramètres!$A$1:$I$89,3,0)*VLOOKUP('Données projet'!$B$16,Paramètres!$A$1:$I$89,5,0)</f>
        <v>149.6909</v>
      </c>
      <c r="FG48" s="14">
        <f t="shared" si="47"/>
        <v>38.50833310579393</v>
      </c>
      <c r="FH48" s="22">
        <f t="shared" si="22"/>
        <v>327.78033099259108</v>
      </c>
      <c r="FI48" s="62">
        <f t="shared" si="23"/>
        <v>621.11366432592445</v>
      </c>
      <c r="FJ48" s="62">
        <f ca="1">AVERAGE(OFFSET($FI$3,0,0,'Données projet'!$E$16+1,1))-AVERAGE(OFFSET($H$3,0,0,'Données projet'!$E$16+1,1))</f>
        <v>257.56116197646924</v>
      </c>
      <c r="FK48" s="62">
        <f t="shared" si="48"/>
        <v>269.95556918835888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>
        <f>EXP(-LN(2)/35)*FQ47+(1-EXP(-LN(2)/35))/(LN(2)/35)*FM48*FN48*VLOOKUP('Données projet'!$B$16,Paramètres!$A$1:$I$89,3,0)*0.475*44/12</f>
        <v>10.833969702227373</v>
      </c>
      <c r="FR48" s="23">
        <f>EXP(-LN(2)/25)*FR47+(1-EXP(-LN(2)/25))/(LN(2)/25)*Calculateur!FM48*Calculateur!FO48*VLOOKUP('Données projet'!$B$16,Paramètres!$A$1:$I$89,3,0)*0.475*44/12</f>
        <v>10.650456294033114</v>
      </c>
      <c r="FS48" s="23">
        <f>EXP(-LN(2)/2)*FS47+(1-EXP(-LN(2)/2))/(LN(2)/2)*FM48*FP48*VLOOKUP('Données projet'!$B$16,Paramètres!$A$1:$I$89,3,0)*0.475*44/12</f>
        <v>4.7255081207140143E-2</v>
      </c>
      <c r="FT48" s="24">
        <f t="shared" si="24"/>
        <v>21.531681077467628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11.861538461538462</v>
      </c>
      <c r="FZ48" s="13">
        <f>IF('Données projet'!$A$244&gt;35,FZ47+FY48-GH47,IF(A48&lt;'Données projet'!$A$244,$FW$205^A48,IF(A48='Données projet'!$A$244,'Données projet'!$B$244,FZ47+FY48-GH47)))</f>
        <v>231.77692307692303</v>
      </c>
      <c r="GA48" s="18">
        <f>FZ48*VLOOKUP('Données projet'!$B$17,Paramètres!$A$1:$I$89,3,0)*VLOOKUP('Données projet'!$B$17,Paramètres!$A$1:$I$89,5,0)</f>
        <v>138.60259999999997</v>
      </c>
      <c r="GB48" s="14">
        <f t="shared" si="49"/>
        <v>35.976694116938198</v>
      </c>
      <c r="GC48" s="22">
        <f t="shared" si="25"/>
        <v>304.0589372536673</v>
      </c>
      <c r="GD48" s="62">
        <f t="shared" si="26"/>
        <v>597.39227058700067</v>
      </c>
      <c r="GE48" s="62">
        <f ca="1">AVERAGE(OFFSET($GD$3,0,0,'Données projet'!$E$17+1,1))-AVERAGE(OFFSET($H$3,0,0,'Données projet'!$E$17+1,1))</f>
        <v>289.12367833861299</v>
      </c>
      <c r="GF48" s="62">
        <f t="shared" si="50"/>
        <v>229.06617320689003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>
        <f>EXP(-LN(2)/35)*GL47+(1-EXP(-LN(2)/35))/(LN(2)/35)*GH48*GI48*VLOOKUP('Données projet'!$B$17,Paramètres!$A$1:$I$89,3,0)*0.475*44/12</f>
        <v>0</v>
      </c>
      <c r="GM48" s="23">
        <f>EXP(-LN(2)/25)*GM47+(1-EXP(-LN(2)/25))/(LN(2)/25)*Calculateur!GH48*Calculateur!GJ48*VLOOKUP('Données projet'!$B$17,Paramètres!$A$1:$I$89,3,0)*0.475*44/12</f>
        <v>0</v>
      </c>
      <c r="GN48" s="23">
        <f>EXP(-LN(2)/2)*GN47+(1-EXP(-LN(2)/2))/(LN(2)/2)*GH48*GK48*VLOOKUP('Données projet'!$B$17,Paramètres!$A$1:$I$89,3,0)*0.475*44/12</f>
        <v>2.2908243782297198E-2</v>
      </c>
      <c r="GO48" s="23">
        <f t="shared" si="27"/>
        <v>2.2908243782297198E-2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12.232167832167828</v>
      </c>
      <c r="GU48" s="13">
        <f>IF('Données projet'!$A$270&gt;35,GU47+GT48-HC47,IF(A48&lt;'Données projet'!$A$270,$GR$205^A48,IF(A48='Données projet'!$A$270,'Données projet'!$B$270,GU47+GT48-HC47)))</f>
        <v>314.17622377622382</v>
      </c>
      <c r="GV48" s="18">
        <f>GU48*VLOOKUP('Données projet'!$B$18,Paramètres!$A$1:$I$89,3,0)*VLOOKUP('Données projet'!$B$18,Paramètres!$A$1:$I$89,5,0)</f>
        <v>147.03447272727274</v>
      </c>
      <c r="GW48" s="14">
        <f t="shared" si="51"/>
        <v>37.903877704670933</v>
      </c>
      <c r="GX48" s="22">
        <f t="shared" si="28"/>
        <v>322.10096033563519</v>
      </c>
      <c r="GY48" s="62">
        <f t="shared" si="29"/>
        <v>615.43429366896851</v>
      </c>
      <c r="GZ48" s="62">
        <f ca="1">AVERAGE(OFFSET($GY$3,0,0,'Données projet'!$E$18+1,1))-AVERAGE(OFFSET($H$3,0,0,'Données projet'!$E$18+1,1))</f>
        <v>284.88646502866419</v>
      </c>
      <c r="HA48" s="62">
        <f t="shared" si="52"/>
        <v>190.4880882944471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>
        <f>EXP(-LN(2)/35)*HG47+(1-EXP(-LN(2)/35))/(LN(2)/35)*HC48*HD48*VLOOKUP('Données projet'!$B$18,Paramètres!$A$1:$I$89,3,0)*0.475*44/12</f>
        <v>0</v>
      </c>
      <c r="HH48" s="23">
        <f>EXP(-LN(2)/25)*HH47+(1-EXP(-LN(2)/25))/(LN(2)/25)*Calculateur!HC48*Calculateur!HE48*VLOOKUP('Données projet'!$B$18,Paramètres!$A$1:$I$89,3,0)*0.475*44/12</f>
        <v>0</v>
      </c>
      <c r="HI48" s="23">
        <f>EXP(-LN(2)/2)*HI47+(1-EXP(-LN(2)/2))/(LN(2)/2)*HC48*HF48*VLOOKUP('Données projet'!$B$18,Paramètres!$A$1:$I$89,3,0)*0.475*44/12</f>
        <v>0</v>
      </c>
      <c r="HJ48" s="24">
        <f t="shared" si="30"/>
        <v>0</v>
      </c>
    </row>
    <row r="49" spans="1:218" s="5" customFormat="1" x14ac:dyDescent="0.25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2">
        <f t="shared" si="32"/>
        <v>0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0</v>
      </c>
      <c r="H49" s="70">
        <f t="shared" si="1"/>
        <v>256.66666666666669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5.5128205128205083</v>
      </c>
      <c r="N49" s="14">
        <f>IF('Données projet'!$A$36&gt;35,N48+M49-V48,IF(A49&lt;'Données projet'!$A$36,$K$205^A49,IF(A49='Données projet'!$A$36,'Données projet'!$B$36,N48+M49-V48)))</f>
        <v>158.07692307692315</v>
      </c>
      <c r="O49" s="14">
        <f>N49*VLOOKUP('Données projet'!$B$9,Paramètres!$A$1:$I$89,3,0)*VLOOKUP('Données projet'!$B$9,Paramètres!$A$1:$I$89,5,0)</f>
        <v>150.42600000000007</v>
      </c>
      <c r="P49" s="14">
        <f t="shared" si="33"/>
        <v>38.67537966484668</v>
      </c>
      <c r="Q49" s="22">
        <f t="shared" si="53"/>
        <v>329.35156958294141</v>
      </c>
      <c r="R49" s="62">
        <f t="shared" si="0"/>
        <v>622.68490291627472</v>
      </c>
      <c r="S49" s="62">
        <f ca="1">AVERAGE(OFFSET($R$3,0,0,'Données projet'!$E$9+1,1))-AVERAGE(OFFSET($H$3,0,0,'Données projet'!$E$9+1,1))</f>
        <v>367.11183928586667</v>
      </c>
      <c r="T49" s="62">
        <f t="shared" si="34"/>
        <v>281.52963027844595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0</v>
      </c>
      <c r="AA49" s="23">
        <f>EXP(-LN(2)/25)*AA48+(1-EXP(-LN(2)/25))/(LN(2)/25)*Calculateur!V49*Calculateur!X49*VLOOKUP('Données projet'!$B$9,Paramètres!$A$1:$I$89,3,0)*0.475*44/12</f>
        <v>0</v>
      </c>
      <c r="AB49" s="23">
        <f>EXP(-LN(2)/2)*AB48+(1-EXP(-LN(2)/2))/(LN(2)/2)*V49*Y49*VLOOKUP('Données projet'!$B$9,Paramètres!$A$1:$I$89,3,0)*0.475*44/12</f>
        <v>0</v>
      </c>
      <c r="AC49" s="24">
        <f t="shared" si="3"/>
        <v>0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8.1999999999999993</v>
      </c>
      <c r="AI49" s="14">
        <f>IF('Données projet'!$A$62&gt;35,AI48+AH49-AQ48,IF(A49&lt;'Données projet'!$A$62,$AF$205^A49,IF(A49='Données projet'!$A$62,'Données projet'!$B$62,AI48+AH49-AQ48)))</f>
        <v>166.20000000000005</v>
      </c>
      <c r="AJ49" s="14">
        <f>AI49*VLOOKUP('Données projet'!$B$10,Paramètres!$A$1:$I$89,3,0)*VLOOKUP('Données projet'!$B$10,Paramètres!$A$1:$I$89,5,0)</f>
        <v>150.37776000000002</v>
      </c>
      <c r="AK49" s="14">
        <f t="shared" si="35"/>
        <v>38.664420365454049</v>
      </c>
      <c r="AL49" s="22">
        <f t="shared" si="4"/>
        <v>329.24846413649914</v>
      </c>
      <c r="AM49" s="62">
        <f t="shared" si="5"/>
        <v>622.58179746983251</v>
      </c>
      <c r="AN49" s="62">
        <f ca="1">AVERAGE(OFFSET($AM$3,0,0,'Données projet'!$E$10+1,1))-AVERAGE(OFFSET($H$3,0,0,'Données projet'!$E$10+1,1))</f>
        <v>428.8489304403459</v>
      </c>
      <c r="AO49" s="62">
        <f t="shared" si="36"/>
        <v>247.01165577562966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0</v>
      </c>
      <c r="AV49" s="23">
        <f>EXP(-LN(2)/25)*AV48+(1-EXP(-LN(2)/25))/(LN(2)/25)*Calculateur!AQ49*Calculateur!AS49*VLOOKUP('Données projet'!$B$10,Paramètres!$A$1:$I$89,3,0)*0.475*44/12</f>
        <v>0</v>
      </c>
      <c r="AW49" s="23">
        <f>EXP(-LN(2)/2)*AW48+(1-EXP(-LN(2)/2))/(LN(2)/2)*AQ49*AT49*VLOOKUP('Données projet'!$B$10,Paramètres!$A$1:$I$89,3,0)*0.475*44/12</f>
        <v>0</v>
      </c>
      <c r="AX49" s="23">
        <f t="shared" si="6"/>
        <v>0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8.1999999999999993</v>
      </c>
      <c r="BD49" s="13">
        <f>IF('Données projet'!$A$88&gt;35,BD48+BC49-BL48,IF(A49&lt;'Données projet'!$A$88,$BA$205^A49,IF(A49='Données projet'!$A$88,'Données projet'!$B$88,BD48+BC49-BL48)))</f>
        <v>166.20000000000005</v>
      </c>
      <c r="BE49" s="14">
        <f>BD49*VLOOKUP('Données projet'!$B$11,Paramètres!$A$1:$I$89,3,0)*VLOOKUP('Données projet'!$B$11,Paramètres!$A$1:$I$89,5,0)</f>
        <v>168.52680000000007</v>
      </c>
      <c r="BF49" s="14">
        <f t="shared" si="37"/>
        <v>42.759908842532369</v>
      </c>
      <c r="BG49" s="22">
        <f t="shared" si="7"/>
        <v>367.991017900744</v>
      </c>
      <c r="BH49" s="62">
        <f t="shared" si="8"/>
        <v>661.32435123407731</v>
      </c>
      <c r="BI49" s="62">
        <f ca="1">AVERAGE(OFFSET($BH$3,0,0,'Données projet'!$E$11+1,1))-AVERAGE(OFFSET($H$3,0,0,'Données projet'!$E$11+1,1))</f>
        <v>475.47920969424894</v>
      </c>
      <c r="BJ49" s="62">
        <f t="shared" si="38"/>
        <v>271.73544012419364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>
        <f>EXP(-LN(2)/35)*BP48+(1-EXP(-LN(2)/35))/(LN(2)/35)*BL49*BM49*VLOOKUP('Données projet'!$B$11,Paramètres!$A$1:$I$89,3,0)*0.475*44/12</f>
        <v>0</v>
      </c>
      <c r="BQ49" s="23">
        <f>EXP(-LN(2)/25)*BQ48+(1-EXP(-LN(2)/25))/(LN(2)/25)*Calculateur!BL49*Calculateur!BN49*VLOOKUP('Données projet'!$B$11,Paramètres!$A$1:$I$89,3,0)*0.475*44/12</f>
        <v>0</v>
      </c>
      <c r="BR49" s="23">
        <f>EXP(-LN(2)/2)*BR48+(1-EXP(-LN(2)/2))/(LN(2)/2)*BL49*BO49*VLOOKUP('Données projet'!$B$11,Paramètres!$A$1:$I$89,3,0)*0.475*44/12</f>
        <v>0</v>
      </c>
      <c r="BS49" s="24">
        <f t="shared" si="9"/>
        <v>0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17.519780219780223</v>
      </c>
      <c r="BY49" s="13">
        <f>IF('Données projet'!$A$114&gt;35,BY48+BX49-CG48,IF(A49&lt;'Données projet'!$A$114,$BV$205^A49,IF(A49='Données projet'!$A$114,'Données projet'!$B$114,BY48+BX49-CG48)))</f>
        <v>352.00989010989019</v>
      </c>
      <c r="BZ49" s="14">
        <f>BY49*VLOOKUP('Données projet'!$B$12,Paramètres!$A$1:$I$89,3,0)*VLOOKUP('Données projet'!$B$12,Paramètres!$A$1:$I$89,5,0)</f>
        <v>196.77352857142861</v>
      </c>
      <c r="CA49" s="14">
        <f t="shared" si="39"/>
        <v>49.034417171503861</v>
      </c>
      <c r="CB49" s="22">
        <f t="shared" si="10"/>
        <v>428.11550550227406</v>
      </c>
      <c r="CC49" s="62">
        <f t="shared" si="11"/>
        <v>721.44883883560738</v>
      </c>
      <c r="CD49" s="62">
        <f ca="1">AVERAGE(OFFSET($CC$3,0,0,'Données projet'!$E$12+1,1))-AVERAGE(OFFSET($H$3,0,0,'Données projet'!$E$12+1,1))</f>
        <v>323.98185264074681</v>
      </c>
      <c r="CE49" s="62">
        <f t="shared" si="40"/>
        <v>301.22207291854005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>
        <f>EXP(-LN(2)/35)*CK48+(1-EXP(-LN(2)/35))/(LN(2)/35)*CG49*CH49*VLOOKUP('Données projet'!$B$12,Paramètres!$A$1:$I$89,3,0)*0.475*44/12</f>
        <v>3.2504770058919088</v>
      </c>
      <c r="CL49" s="23">
        <f>EXP(-LN(2)/25)*CL48+(1-EXP(-LN(2)/25))/(LN(2)/25)*Calculateur!CG49*Calculateur!CI49*VLOOKUP('Données projet'!$B$12,Paramètres!$A$1:$I$89,3,0)*0.475*44/12</f>
        <v>5.2923989721627756</v>
      </c>
      <c r="CM49" s="23">
        <f>EXP(-LN(2)/2)*CM48+(1-EXP(-LN(2)/2))/(LN(2)/2)*CG49*CJ49*VLOOKUP('Données projet'!$B$12,Paramètres!$A$1:$I$89,3,0)*0.475*44/12</f>
        <v>2.3780496795382893E-2</v>
      </c>
      <c r="CN49" s="24">
        <f t="shared" si="12"/>
        <v>8.5666564748500669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5.6</v>
      </c>
      <c r="CT49" s="13">
        <f>IF('Données projet'!$A$140&gt;35,CT48+CS49-DB48,IF(A49&lt;'Données projet'!$A$140,$CQ$205^A49,IF(A49='Données projet'!$A$140,'Données projet'!$B$140,CT48+CS49-DB48)))</f>
        <v>112.59999999999998</v>
      </c>
      <c r="CU49" s="18">
        <f>CT49*VLOOKUP('Données projet'!$B$13,Paramètres!$A$1:$I$89,3,0)*VLOOKUP('Données projet'!$B$13,Paramètres!$A$1:$I$89,5,0)</f>
        <v>128.22887999999998</v>
      </c>
      <c r="CV49" s="14">
        <f t="shared" si="41"/>
        <v>33.586779340295337</v>
      </c>
      <c r="CW49" s="22">
        <f t="shared" si="13"/>
        <v>281.82894001768102</v>
      </c>
      <c r="CX49" s="62">
        <f t="shared" si="14"/>
        <v>575.16227335101439</v>
      </c>
      <c r="CY49" s="62">
        <f ca="1">AVERAGE(OFFSET($CX$3,0,0,'Données projet'!$E$13+1,1))-AVERAGE(OFFSET($H$3,0,0,'Données projet'!$E$13+1,1))</f>
        <v>399.78832690250164</v>
      </c>
      <c r="CZ49" s="62">
        <f t="shared" si="42"/>
        <v>174.32967064896343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>
        <f>EXP(-LN(2)/35)*DF48+(1-EXP(-LN(2)/35))/(LN(2)/35)*DB49*DC49*VLOOKUP('Données projet'!$B$13,Paramètres!$A$1:$I$89,3,0)*0.475*44/12</f>
        <v>0</v>
      </c>
      <c r="DG49" s="23">
        <f>EXP(-LN(2)/25)*DG48+(1-EXP(-LN(2)/25))/(LN(2)/25)*Calculateur!DB49*Calculateur!DD49*VLOOKUP('Données projet'!$B$13,Paramètres!$A$1:$I$89,3,0)*0.475*44/12</f>
        <v>0</v>
      </c>
      <c r="DH49" s="23">
        <f>EXP(-LN(2)/2)*DH48+(1-EXP(-LN(2)/2))/(LN(2)/2)*DB49*DE49*VLOOKUP('Données projet'!$B$13,Paramètres!$A$1:$I$89,3,0)*0.475*44/12</f>
        <v>0</v>
      </c>
      <c r="DI49" s="24">
        <f t="shared" si="15"/>
        <v>0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8.1999999999999993</v>
      </c>
      <c r="DO49" s="13">
        <f>IF('Données projet'!$A$166&gt;35,DO48+DN49-DW48,IF(A49&lt;'Données projet'!$A$166,$DL$205^A49,IF(A49='Données projet'!$A$166,'Données projet'!$B$166,DO48+DN49-DW48)))</f>
        <v>166.20000000000005</v>
      </c>
      <c r="DP49" s="18">
        <f>DO49*VLOOKUP('Données projet'!$B$14,Paramètres!$A$1:$I$89,3,0)*VLOOKUP('Données projet'!$B$14,Paramètres!$A$1:$I$89,5,0)</f>
        <v>140.00688000000005</v>
      </c>
      <c r="DQ49" s="14">
        <f t="shared" si="43"/>
        <v>36.29858160188811</v>
      </c>
      <c r="DR49" s="22">
        <f t="shared" si="16"/>
        <v>307.06534562328858</v>
      </c>
      <c r="DS49" s="62">
        <f t="shared" si="17"/>
        <v>600.39867895662189</v>
      </c>
      <c r="DT49" s="62">
        <f ca="1">AVERAGE(OFFSET($DS$3,0,0,'Données projet'!$E$14+1,1))-AVERAGE(OFFSET($H$3,0,0,'Données projet'!$E$14+1,1))</f>
        <v>402.15128814037058</v>
      </c>
      <c r="DU49" s="62">
        <f t="shared" si="44"/>
        <v>232.85411068442738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>
        <f>EXP(-LN(2)/35)*EA48+(1-EXP(-LN(2)/35))/(LN(2)/35)*DW49*DX49*VLOOKUP('Données projet'!$B$14,Paramètres!$A$1:$I$89,3,0)*0.475*44/12</f>
        <v>0</v>
      </c>
      <c r="EB49" s="23">
        <f>EXP(-LN(2)/25)*EB48+(1-EXP(-LN(2)/25))/(LN(2)/25)*Calculateur!DW49*Calculateur!DY49*VLOOKUP('Données projet'!$B$14,Paramètres!$A$1:$I$89,3,0)*0.475*44/12</f>
        <v>0</v>
      </c>
      <c r="EC49" s="23">
        <f>EXP(-LN(2)/2)*EC48+(1-EXP(-LN(2)/2))/(LN(2)/2)*DW49*DZ49*VLOOKUP('Données projet'!$B$14,Paramètres!$A$1:$I$89,3,0)*0.475*44/12</f>
        <v>0</v>
      </c>
      <c r="ED49" s="24">
        <f t="shared" si="18"/>
        <v>0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7.3076923076923093</v>
      </c>
      <c r="EJ49" s="13">
        <f>IF('Données projet'!$A$192&gt;35,EJ48+EI49-ER48,IF(A49&lt;'Données projet'!$A$192,$EG$205^A49,IF(A49='Données projet'!$A$192,'Données projet'!$B$192,EJ48+EI49-ER48)))</f>
        <v>225.25641025641033</v>
      </c>
      <c r="EK49" s="18">
        <f>EJ49*VLOOKUP('Données projet'!$B$15,Paramètres!$A$1:$I$89,3,0)*VLOOKUP('Données projet'!$B$15,Paramètres!$A$1:$I$89,5,0)</f>
        <v>235.4380000000001</v>
      </c>
      <c r="EL49" s="14">
        <f t="shared" si="45"/>
        <v>57.456900340643699</v>
      </c>
      <c r="EM49" s="22">
        <f t="shared" si="19"/>
        <v>510.12528475995458</v>
      </c>
      <c r="EN49" s="62">
        <f t="shared" si="20"/>
        <v>803.4586180932879</v>
      </c>
      <c r="EO49" s="62">
        <f ca="1">AVERAGE(OFFSET($EN$3,0,0,'Données projet'!$E$15+1,1))-AVERAGE(OFFSET($H$3,0,0,'Données projet'!$E$15+1,1))</f>
        <v>595.89992279024398</v>
      </c>
      <c r="EP49" s="62">
        <f t="shared" si="46"/>
        <v>378.16197659288338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>
        <f>EXP(-LN(2)/35)*EV48+(1-EXP(-LN(2)/35))/(LN(2)/35)*ER49*ES49*VLOOKUP('Données projet'!$B$15,Paramètres!$A$1:$I$89,3,0)*0.475*44/12</f>
        <v>0</v>
      </c>
      <c r="EW49" s="23">
        <f>EXP(-LN(2)/25)*EW48+(1-EXP(-LN(2)/25))/(LN(2)/25)*Calculateur!ER49*Calculateur!ET49*VLOOKUP('Données projet'!$B$15,Paramètres!$A$1:$I$89,3,0)*0.475*44/12</f>
        <v>0</v>
      </c>
      <c r="EX49" s="23">
        <f>EXP(-LN(2)/2)*EX48+(1-EXP(-LN(2)/2))/(LN(2)/2)*ER49*EU49*VLOOKUP('Données projet'!$B$15,Paramètres!$A$1:$I$89,3,0)*0.475*44/12</f>
        <v>0</v>
      </c>
      <c r="EY49" s="24">
        <f t="shared" si="21"/>
        <v>0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11.642307692307689</v>
      </c>
      <c r="FE49" s="13">
        <f>IF('Données projet'!$A$218&gt;35,FE48+FD49-FM48,IF(A49&lt;'Données projet'!$A$218,$FB$205^A49,IF(A49='Données projet'!$A$218,'Données projet'!$B$218,FE48+FD49-FM48)))</f>
        <v>261.9615384615384</v>
      </c>
      <c r="FF49" s="18">
        <f>FE49*VLOOKUP('Données projet'!$B$16,Paramètres!$A$1:$I$89,3,0)*VLOOKUP('Données projet'!$B$16,Paramètres!$A$1:$I$89,5,0)</f>
        <v>156.65299999999996</v>
      </c>
      <c r="FG49" s="14">
        <f t="shared" si="47"/>
        <v>40.0866638793565</v>
      </c>
      <c r="FH49" s="22">
        <f t="shared" si="22"/>
        <v>342.65491458987918</v>
      </c>
      <c r="FI49" s="62">
        <f t="shared" si="23"/>
        <v>635.9882479232125</v>
      </c>
      <c r="FJ49" s="62">
        <f ca="1">AVERAGE(OFFSET($FI$3,0,0,'Données projet'!$E$16+1,1))-AVERAGE(OFFSET($H$3,0,0,'Données projet'!$E$16+1,1))</f>
        <v>257.56116197646924</v>
      </c>
      <c r="FK49" s="62">
        <f t="shared" si="48"/>
        <v>269.95556918835888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>
        <f>EXP(-LN(2)/35)*FQ48+(1-EXP(-LN(2)/35))/(LN(2)/35)*FM49*FN49*VLOOKUP('Données projet'!$B$16,Paramètres!$A$1:$I$89,3,0)*0.475*44/12</f>
        <v>10.621522164435719</v>
      </c>
      <c r="FR49" s="23">
        <f>EXP(-LN(2)/25)*FR48+(1-EXP(-LN(2)/25))/(LN(2)/25)*Calculateur!FM49*Calculateur!FO49*VLOOKUP('Données projet'!$B$16,Paramètres!$A$1:$I$89,3,0)*0.475*44/12</f>
        <v>10.359219006589624</v>
      </c>
      <c r="FS49" s="23">
        <f>EXP(-LN(2)/2)*FS48+(1-EXP(-LN(2)/2))/(LN(2)/2)*FM49*FP49*VLOOKUP('Données projet'!$B$16,Paramètres!$A$1:$I$89,3,0)*0.475*44/12</f>
        <v>3.3414388367089778E-2</v>
      </c>
      <c r="FT49" s="24">
        <f t="shared" si="24"/>
        <v>21.014155559392432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11.861538461538462</v>
      </c>
      <c r="FZ49" s="13">
        <f>IF('Données projet'!$A$244&gt;35,FZ48+FY49-GH48,IF(A49&lt;'Données projet'!$A$244,$FW$205^A49,IF(A49='Données projet'!$A$244,'Données projet'!$B$244,FZ48+FY49-GH48)))</f>
        <v>243.63846153846148</v>
      </c>
      <c r="GA49" s="18">
        <f>FZ49*VLOOKUP('Données projet'!$B$17,Paramètres!$A$1:$I$89,3,0)*VLOOKUP('Données projet'!$B$17,Paramètres!$A$1:$I$89,5,0)</f>
        <v>145.69579999999996</v>
      </c>
      <c r="GB49" s="14">
        <f t="shared" si="49"/>
        <v>37.598789481990465</v>
      </c>
      <c r="GC49" s="22">
        <f t="shared" si="25"/>
        <v>319.23807668113335</v>
      </c>
      <c r="GD49" s="62">
        <f t="shared" si="26"/>
        <v>612.57141001446666</v>
      </c>
      <c r="GE49" s="62">
        <f ca="1">AVERAGE(OFFSET($GD$3,0,0,'Données projet'!$E$17+1,1))-AVERAGE(OFFSET($H$3,0,0,'Données projet'!$E$17+1,1))</f>
        <v>289.12367833861299</v>
      </c>
      <c r="GF49" s="62">
        <f t="shared" si="50"/>
        <v>229.06617320689003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>
        <f>EXP(-LN(2)/35)*GL48+(1-EXP(-LN(2)/35))/(LN(2)/35)*GH49*GI49*VLOOKUP('Données projet'!$B$17,Paramètres!$A$1:$I$89,3,0)*0.475*44/12</f>
        <v>0</v>
      </c>
      <c r="GM49" s="23">
        <f>EXP(-LN(2)/25)*GM48+(1-EXP(-LN(2)/25))/(LN(2)/25)*Calculateur!GH49*Calculateur!GJ49*VLOOKUP('Données projet'!$B$17,Paramètres!$A$1:$I$89,3,0)*0.475*44/12</f>
        <v>0</v>
      </c>
      <c r="GN49" s="23">
        <f>EXP(-LN(2)/2)*GN48+(1-EXP(-LN(2)/2))/(LN(2)/2)*GH49*GK49*VLOOKUP('Données projet'!$B$17,Paramètres!$A$1:$I$89,3,0)*0.475*44/12</f>
        <v>1.6198574523536912E-2</v>
      </c>
      <c r="GO49" s="23">
        <f t="shared" si="27"/>
        <v>1.6198574523536912E-2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12.232167832167828</v>
      </c>
      <c r="GU49" s="13">
        <f>IF('Données projet'!$A$270&gt;35,GU48+GT49-HC48,IF(A49&lt;'Données projet'!$A$270,$GR$205^A49,IF(A49='Données projet'!$A$270,'Données projet'!$B$270,GU48+GT49-HC48)))</f>
        <v>326.40839160839164</v>
      </c>
      <c r="GV49" s="18">
        <f>GU49*VLOOKUP('Données projet'!$B$18,Paramètres!$A$1:$I$89,3,0)*VLOOKUP('Données projet'!$B$18,Paramètres!$A$1:$I$89,5,0)</f>
        <v>152.75912727272728</v>
      </c>
      <c r="GW49" s="14">
        <f t="shared" si="51"/>
        <v>39.204940492363043</v>
      </c>
      <c r="GX49" s="22">
        <f t="shared" si="28"/>
        <v>334.337418024199</v>
      </c>
      <c r="GY49" s="62">
        <f t="shared" si="29"/>
        <v>627.67075135753225</v>
      </c>
      <c r="GZ49" s="62">
        <f ca="1">AVERAGE(OFFSET($GY$3,0,0,'Données projet'!$E$18+1,1))-AVERAGE(OFFSET($H$3,0,0,'Données projet'!$E$18+1,1))</f>
        <v>284.88646502866419</v>
      </c>
      <c r="HA49" s="62">
        <f t="shared" si="52"/>
        <v>190.4880882944471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>
        <f>EXP(-LN(2)/35)*HG48+(1-EXP(-LN(2)/35))/(LN(2)/35)*HC49*HD49*VLOOKUP('Données projet'!$B$18,Paramètres!$A$1:$I$89,3,0)*0.475*44/12</f>
        <v>0</v>
      </c>
      <c r="HH49" s="23">
        <f>EXP(-LN(2)/25)*HH48+(1-EXP(-LN(2)/25))/(LN(2)/25)*Calculateur!HC49*Calculateur!HE49*VLOOKUP('Données projet'!$B$18,Paramètres!$A$1:$I$89,3,0)*0.475*44/12</f>
        <v>0</v>
      </c>
      <c r="HI49" s="23">
        <f>EXP(-LN(2)/2)*HI48+(1-EXP(-LN(2)/2))/(LN(2)/2)*HC49*HF49*VLOOKUP('Données projet'!$B$18,Paramètres!$A$1:$I$89,3,0)*0.475*44/12</f>
        <v>0</v>
      </c>
      <c r="HJ49" s="24">
        <f t="shared" si="30"/>
        <v>0</v>
      </c>
    </row>
    <row r="50" spans="1:218" s="5" customFormat="1" x14ac:dyDescent="0.25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2">
        <f t="shared" si="32"/>
        <v>0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0</v>
      </c>
      <c r="H50" s="70">
        <f t="shared" si="1"/>
        <v>256.66666666666669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5.5128205128205083</v>
      </c>
      <c r="N50" s="14">
        <f>IF('Données projet'!$A$36&gt;35,N49+M50-V49,IF(A50&lt;'Données projet'!$A$36,$K$205^A50,IF(A50='Données projet'!$A$36,'Données projet'!$B$36,N49+M50-V49)))</f>
        <v>163.58974358974365</v>
      </c>
      <c r="O50" s="14">
        <f>N50*VLOOKUP('Données projet'!$B$9,Paramètres!$A$1:$I$89,3,0)*VLOOKUP('Données projet'!$B$9,Paramètres!$A$1:$I$89,5,0)</f>
        <v>155.67200000000005</v>
      </c>
      <c r="P50" s="14">
        <f t="shared" si="33"/>
        <v>39.86477040096252</v>
      </c>
      <c r="Q50" s="22">
        <f t="shared" si="53"/>
        <v>340.55987511500985</v>
      </c>
      <c r="R50" s="62">
        <f t="shared" si="0"/>
        <v>633.8932084483431</v>
      </c>
      <c r="S50" s="62">
        <f ca="1">AVERAGE(OFFSET($R$3,0,0,'Données projet'!$E$9+1,1))-AVERAGE(OFFSET($H$3,0,0,'Données projet'!$E$9+1,1))</f>
        <v>367.11183928586667</v>
      </c>
      <c r="T50" s="62">
        <f t="shared" si="34"/>
        <v>281.52963027844595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0</v>
      </c>
      <c r="AA50" s="23">
        <f>EXP(-LN(2)/25)*AA49+(1-EXP(-LN(2)/25))/(LN(2)/25)*Calculateur!V50*Calculateur!X50*VLOOKUP('Données projet'!$B$9,Paramètres!$A$1:$I$89,3,0)*0.475*44/12</f>
        <v>0</v>
      </c>
      <c r="AB50" s="23">
        <f>EXP(-LN(2)/2)*AB49+(1-EXP(-LN(2)/2))/(LN(2)/2)*V50*Y50*VLOOKUP('Données projet'!$B$9,Paramètres!$A$1:$I$89,3,0)*0.475*44/12</f>
        <v>0</v>
      </c>
      <c r="AC50" s="24">
        <f t="shared" si="3"/>
        <v>0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8.1999999999999993</v>
      </c>
      <c r="AI50" s="14">
        <f>IF('Données projet'!$A$62&gt;35,AI49+AH50-AQ49,IF(A50&lt;'Données projet'!$A$62,$AF$205^A50,IF(A50='Données projet'!$A$62,'Données projet'!$B$62,AI49+AH50-AQ49)))</f>
        <v>174.40000000000003</v>
      </c>
      <c r="AJ50" s="14">
        <f>AI50*VLOOKUP('Données projet'!$B$10,Paramètres!$A$1:$I$89,3,0)*VLOOKUP('Données projet'!$B$10,Paramètres!$A$1:$I$89,5,0)</f>
        <v>157.79712000000004</v>
      </c>
      <c r="AK50" s="14">
        <f t="shared" si="35"/>
        <v>40.345249481546155</v>
      </c>
      <c r="AL50" s="22">
        <f t="shared" si="4"/>
        <v>345.09796018035962</v>
      </c>
      <c r="AM50" s="62">
        <f t="shared" si="5"/>
        <v>638.43129351369294</v>
      </c>
      <c r="AN50" s="62">
        <f ca="1">AVERAGE(OFFSET($AM$3,0,0,'Données projet'!$E$10+1,1))-AVERAGE(OFFSET($H$3,0,0,'Données projet'!$E$10+1,1))</f>
        <v>428.8489304403459</v>
      </c>
      <c r="AO50" s="62">
        <f t="shared" si="36"/>
        <v>247.01165577562966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0</v>
      </c>
      <c r="AV50" s="23">
        <f>EXP(-LN(2)/25)*AV49+(1-EXP(-LN(2)/25))/(LN(2)/25)*Calculateur!AQ50*Calculateur!AS50*VLOOKUP('Données projet'!$B$10,Paramètres!$A$1:$I$89,3,0)*0.475*44/12</f>
        <v>0</v>
      </c>
      <c r="AW50" s="23">
        <f>EXP(-LN(2)/2)*AW49+(1-EXP(-LN(2)/2))/(LN(2)/2)*AQ50*AT50*VLOOKUP('Données projet'!$B$10,Paramètres!$A$1:$I$89,3,0)*0.475*44/12</f>
        <v>0</v>
      </c>
      <c r="AX50" s="23">
        <f t="shared" si="6"/>
        <v>0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8.1999999999999993</v>
      </c>
      <c r="BD50" s="13">
        <f>IF('Données projet'!$A$88&gt;35,BD49+BC50-BL49,IF(A50&lt;'Données projet'!$A$88,$BA$205^A50,IF(A50='Données projet'!$A$88,'Données projet'!$B$88,BD49+BC50-BL49)))</f>
        <v>174.40000000000003</v>
      </c>
      <c r="BE50" s="14">
        <f>BD50*VLOOKUP('Données projet'!$B$11,Paramètres!$A$1:$I$89,3,0)*VLOOKUP('Données projet'!$B$11,Paramètres!$A$1:$I$89,5,0)</f>
        <v>176.84160000000006</v>
      </c>
      <c r="BF50" s="14">
        <f t="shared" si="37"/>
        <v>44.618778032982952</v>
      </c>
      <c r="BG50" s="22">
        <f t="shared" si="7"/>
        <v>385.71015840744536</v>
      </c>
      <c r="BH50" s="62">
        <f t="shared" si="8"/>
        <v>679.04349174077868</v>
      </c>
      <c r="BI50" s="62">
        <f ca="1">AVERAGE(OFFSET($BH$3,0,0,'Données projet'!$E$11+1,1))-AVERAGE(OFFSET($H$3,0,0,'Données projet'!$E$11+1,1))</f>
        <v>475.47920969424894</v>
      </c>
      <c r="BJ50" s="62">
        <f t="shared" si="38"/>
        <v>271.73544012419364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>
        <f>EXP(-LN(2)/35)*BP49+(1-EXP(-LN(2)/35))/(LN(2)/35)*BL50*BM50*VLOOKUP('Données projet'!$B$11,Paramètres!$A$1:$I$89,3,0)*0.475*44/12</f>
        <v>0</v>
      </c>
      <c r="BQ50" s="23">
        <f>EXP(-LN(2)/25)*BQ49+(1-EXP(-LN(2)/25))/(LN(2)/25)*Calculateur!BL50*Calculateur!BN50*VLOOKUP('Données projet'!$B$11,Paramètres!$A$1:$I$89,3,0)*0.475*44/12</f>
        <v>0</v>
      </c>
      <c r="BR50" s="23">
        <f>EXP(-LN(2)/2)*BR49+(1-EXP(-LN(2)/2))/(LN(2)/2)*BL50*BO50*VLOOKUP('Données projet'!$B$11,Paramètres!$A$1:$I$89,3,0)*0.475*44/12</f>
        <v>0</v>
      </c>
      <c r="BS50" s="24">
        <f t="shared" si="9"/>
        <v>0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17.519780219780223</v>
      </c>
      <c r="BY50" s="13">
        <f>IF('Données projet'!$A$114&gt;35,BY49+BX50-CG49,IF(A50&lt;'Données projet'!$A$114,$BV$205^A50,IF(A50='Données projet'!$A$114,'Données projet'!$B$114,BY49+BX50-CG49)))</f>
        <v>369.52967032967041</v>
      </c>
      <c r="BZ50" s="14">
        <f>BY50*VLOOKUP('Données projet'!$B$12,Paramètres!$A$1:$I$89,3,0)*VLOOKUP('Données projet'!$B$12,Paramètres!$A$1:$I$89,5,0)</f>
        <v>206.56708571428578</v>
      </c>
      <c r="CA50" s="14">
        <f t="shared" si="39"/>
        <v>51.184689450990696</v>
      </c>
      <c r="CB50" s="22">
        <f t="shared" si="10"/>
        <v>448.91767507952318</v>
      </c>
      <c r="CC50" s="62">
        <f t="shared" si="11"/>
        <v>742.25100841285644</v>
      </c>
      <c r="CD50" s="62">
        <f ca="1">AVERAGE(OFFSET($CC$3,0,0,'Données projet'!$E$12+1,1))-AVERAGE(OFFSET($H$3,0,0,'Données projet'!$E$12+1,1))</f>
        <v>323.98185264074681</v>
      </c>
      <c r="CE50" s="62">
        <f t="shared" si="40"/>
        <v>301.22207291854005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>
        <f>EXP(-LN(2)/35)*CK49+(1-EXP(-LN(2)/35))/(LN(2)/35)*CG50*CH50*VLOOKUP('Données projet'!$B$12,Paramètres!$A$1:$I$89,3,0)*0.475*44/12</f>
        <v>3.1867371344015769</v>
      </c>
      <c r="CL50" s="23">
        <f>EXP(-LN(2)/25)*CL49+(1-EXP(-LN(2)/25))/(LN(2)/25)*Calculateur!CG50*Calculateur!CI50*VLOOKUP('Données projet'!$B$12,Paramètres!$A$1:$I$89,3,0)*0.475*44/12</f>
        <v>5.1476780439538183</v>
      </c>
      <c r="CM50" s="23">
        <f>EXP(-LN(2)/2)*CM49+(1-EXP(-LN(2)/2))/(LN(2)/2)*CG50*CJ50*VLOOKUP('Données projet'!$B$12,Paramètres!$A$1:$I$89,3,0)*0.475*44/12</f>
        <v>1.6815350544000206E-2</v>
      </c>
      <c r="CN50" s="24">
        <f t="shared" si="12"/>
        <v>8.3512305288993964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5.6</v>
      </c>
      <c r="CT50" s="13">
        <f>IF('Données projet'!$A$140&gt;35,CT49+CS50-DB49,IF(A50&lt;'Données projet'!$A$140,$CQ$205^A50,IF(A50='Données projet'!$A$140,'Données projet'!$B$140,CT49+CS50-DB49)))</f>
        <v>118.19999999999997</v>
      </c>
      <c r="CU50" s="18">
        <f>CT50*VLOOKUP('Données projet'!$B$13,Paramètres!$A$1:$I$89,3,0)*VLOOKUP('Données projet'!$B$13,Paramètres!$A$1:$I$89,5,0)</f>
        <v>134.60615999999996</v>
      </c>
      <c r="CV50" s="14">
        <f t="shared" si="41"/>
        <v>35.05854123936858</v>
      </c>
      <c r="CW50" s="22">
        <f t="shared" si="13"/>
        <v>295.49935465856686</v>
      </c>
      <c r="CX50" s="62">
        <f t="shared" si="14"/>
        <v>588.83268799190023</v>
      </c>
      <c r="CY50" s="62">
        <f ca="1">AVERAGE(OFFSET($CX$3,0,0,'Données projet'!$E$13+1,1))-AVERAGE(OFFSET($H$3,0,0,'Données projet'!$E$13+1,1))</f>
        <v>399.78832690250164</v>
      </c>
      <c r="CZ50" s="62">
        <f t="shared" si="42"/>
        <v>174.32967064896343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>
        <f>EXP(-LN(2)/35)*DF49+(1-EXP(-LN(2)/35))/(LN(2)/35)*DB50*DC50*VLOOKUP('Données projet'!$B$13,Paramètres!$A$1:$I$89,3,0)*0.475*44/12</f>
        <v>0</v>
      </c>
      <c r="DG50" s="23">
        <f>EXP(-LN(2)/25)*DG49+(1-EXP(-LN(2)/25))/(LN(2)/25)*Calculateur!DB50*Calculateur!DD50*VLOOKUP('Données projet'!$B$13,Paramètres!$A$1:$I$89,3,0)*0.475*44/12</f>
        <v>0</v>
      </c>
      <c r="DH50" s="23">
        <f>EXP(-LN(2)/2)*DH49+(1-EXP(-LN(2)/2))/(LN(2)/2)*DB50*DE50*VLOOKUP('Données projet'!$B$13,Paramètres!$A$1:$I$89,3,0)*0.475*44/12</f>
        <v>0</v>
      </c>
      <c r="DI50" s="24">
        <f t="shared" si="15"/>
        <v>0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8.1999999999999993</v>
      </c>
      <c r="DO50" s="13">
        <f>IF('Données projet'!$A$166&gt;35,DO49+DN50-DW49,IF(A50&lt;'Données projet'!$A$166,$DL$205^A50,IF(A50='Données projet'!$A$166,'Données projet'!$B$166,DO49+DN50-DW49)))</f>
        <v>174.40000000000003</v>
      </c>
      <c r="DP50" s="18">
        <f>DO50*VLOOKUP('Données projet'!$B$14,Paramètres!$A$1:$I$89,3,0)*VLOOKUP('Données projet'!$B$14,Paramètres!$A$1:$I$89,5,0)</f>
        <v>146.91456000000005</v>
      </c>
      <c r="DQ50" s="14">
        <f t="shared" si="43"/>
        <v>37.87656239799518</v>
      </c>
      <c r="DR50" s="22">
        <f t="shared" si="16"/>
        <v>321.84453817650837</v>
      </c>
      <c r="DS50" s="62">
        <f t="shared" si="17"/>
        <v>615.17787150984168</v>
      </c>
      <c r="DT50" s="62">
        <f ca="1">AVERAGE(OFFSET($DS$3,0,0,'Données projet'!$E$14+1,1))-AVERAGE(OFFSET($H$3,0,0,'Données projet'!$E$14+1,1))</f>
        <v>402.15128814037058</v>
      </c>
      <c r="DU50" s="62">
        <f t="shared" si="44"/>
        <v>232.85411068442738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>
        <f>EXP(-LN(2)/35)*EA49+(1-EXP(-LN(2)/35))/(LN(2)/35)*DW50*DX50*VLOOKUP('Données projet'!$B$14,Paramètres!$A$1:$I$89,3,0)*0.475*44/12</f>
        <v>0</v>
      </c>
      <c r="EB50" s="23">
        <f>EXP(-LN(2)/25)*EB49+(1-EXP(-LN(2)/25))/(LN(2)/25)*Calculateur!DW50*Calculateur!DY50*VLOOKUP('Données projet'!$B$14,Paramètres!$A$1:$I$89,3,0)*0.475*44/12</f>
        <v>0</v>
      </c>
      <c r="EC50" s="23">
        <f>EXP(-LN(2)/2)*EC49+(1-EXP(-LN(2)/2))/(LN(2)/2)*DW50*DZ50*VLOOKUP('Données projet'!$B$14,Paramètres!$A$1:$I$89,3,0)*0.475*44/12</f>
        <v>0</v>
      </c>
      <c r="ED50" s="24">
        <f t="shared" si="18"/>
        <v>0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7.3076923076923093</v>
      </c>
      <c r="EJ50" s="13">
        <f>IF('Données projet'!$A$192&gt;35,EJ49+EI50-ER49,IF(A50&lt;'Données projet'!$A$192,$EG$205^A50,IF(A50='Données projet'!$A$192,'Données projet'!$B$192,EJ49+EI50-ER49)))</f>
        <v>232.56410256410265</v>
      </c>
      <c r="EK50" s="18">
        <f>EJ50*VLOOKUP('Données projet'!$B$15,Paramètres!$A$1:$I$89,3,0)*VLOOKUP('Données projet'!$B$15,Paramètres!$A$1:$I$89,5,0)</f>
        <v>243.07600000000011</v>
      </c>
      <c r="EL50" s="14">
        <f t="shared" si="45"/>
        <v>59.100855536637525</v>
      </c>
      <c r="EM50" s="22">
        <f t="shared" si="19"/>
        <v>526.29135672631048</v>
      </c>
      <c r="EN50" s="62">
        <f t="shared" si="20"/>
        <v>819.62469005964385</v>
      </c>
      <c r="EO50" s="62">
        <f ca="1">AVERAGE(OFFSET($EN$3,0,0,'Données projet'!$E$15+1,1))-AVERAGE(OFFSET($H$3,0,0,'Données projet'!$E$15+1,1))</f>
        <v>595.89992279024398</v>
      </c>
      <c r="EP50" s="62">
        <f t="shared" si="46"/>
        <v>378.16197659288338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>
        <f>EXP(-LN(2)/35)*EV49+(1-EXP(-LN(2)/35))/(LN(2)/35)*ER50*ES50*VLOOKUP('Données projet'!$B$15,Paramètres!$A$1:$I$89,3,0)*0.475*44/12</f>
        <v>0</v>
      </c>
      <c r="EW50" s="23">
        <f>EXP(-LN(2)/25)*EW49+(1-EXP(-LN(2)/25))/(LN(2)/25)*Calculateur!ER50*Calculateur!ET50*VLOOKUP('Données projet'!$B$15,Paramètres!$A$1:$I$89,3,0)*0.475*44/12</f>
        <v>0</v>
      </c>
      <c r="EX50" s="23">
        <f>EXP(-LN(2)/2)*EX49+(1-EXP(-LN(2)/2))/(LN(2)/2)*ER50*EU50*VLOOKUP('Données projet'!$B$15,Paramètres!$A$1:$I$89,3,0)*0.475*44/12</f>
        <v>0</v>
      </c>
      <c r="EY50" s="24">
        <f t="shared" si="21"/>
        <v>0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11.642307692307689</v>
      </c>
      <c r="FE50" s="13">
        <f>IF('Données projet'!$A$218&gt;35,FE49+FD50-FM49,IF(A50&lt;'Données projet'!$A$218,$FB$205^A50,IF(A50='Données projet'!$A$218,'Données projet'!$B$218,FE49+FD50-FM49)))</f>
        <v>273.60384615384606</v>
      </c>
      <c r="FF50" s="18">
        <f>FE50*VLOOKUP('Données projet'!$B$16,Paramètres!$A$1:$I$89,3,0)*VLOOKUP('Données projet'!$B$16,Paramètres!$A$1:$I$89,5,0)</f>
        <v>163.61509999999996</v>
      </c>
      <c r="FG50" s="14">
        <f t="shared" si="47"/>
        <v>41.656847972292042</v>
      </c>
      <c r="FH50" s="22">
        <f t="shared" si="22"/>
        <v>357.51530938507517</v>
      </c>
      <c r="FI50" s="62">
        <f t="shared" si="23"/>
        <v>650.84864271840843</v>
      </c>
      <c r="FJ50" s="62">
        <f ca="1">AVERAGE(OFFSET($FI$3,0,0,'Données projet'!$E$16+1,1))-AVERAGE(OFFSET($H$3,0,0,'Données projet'!$E$16+1,1))</f>
        <v>257.56116197646924</v>
      </c>
      <c r="FK50" s="62">
        <f t="shared" si="48"/>
        <v>269.95556918835888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>
        <f>EXP(-LN(2)/35)*FQ49+(1-EXP(-LN(2)/35))/(LN(2)/35)*FM50*FN50*VLOOKUP('Données projet'!$B$16,Paramètres!$A$1:$I$89,3,0)*0.475*44/12</f>
        <v>10.413240593279957</v>
      </c>
      <c r="FR50" s="23">
        <f>EXP(-LN(2)/25)*FR49+(1-EXP(-LN(2)/25))/(LN(2)/25)*Calculateur!FM50*Calculateur!FO50*VLOOKUP('Données projet'!$B$16,Paramètres!$A$1:$I$89,3,0)*0.475*44/12</f>
        <v>10.075945618086779</v>
      </c>
      <c r="FS50" s="23">
        <f>EXP(-LN(2)/2)*FS49+(1-EXP(-LN(2)/2))/(LN(2)/2)*FM50*FP50*VLOOKUP('Données projet'!$B$16,Paramètres!$A$1:$I$89,3,0)*0.475*44/12</f>
        <v>2.3627540603570071E-2</v>
      </c>
      <c r="FT50" s="24">
        <f t="shared" si="24"/>
        <v>20.512813751970306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11.861538461538462</v>
      </c>
      <c r="FZ50" s="13">
        <f>IF('Données projet'!$A$244&gt;35,FZ49+FY50-GH49,IF(A50&lt;'Données projet'!$A$244,$FW$205^A50,IF(A50='Données projet'!$A$244,'Données projet'!$B$244,FZ49+FY50-GH49)))</f>
        <v>255.49999999999994</v>
      </c>
      <c r="GA50" s="18">
        <f>FZ50*VLOOKUP('Données projet'!$B$17,Paramètres!$A$1:$I$89,3,0)*VLOOKUP('Données projet'!$B$17,Paramètres!$A$1:$I$89,5,0)</f>
        <v>152.78899999999996</v>
      </c>
      <c r="GB50" s="14">
        <f t="shared" si="49"/>
        <v>39.211714711932316</v>
      </c>
      <c r="GC50" s="22">
        <f t="shared" si="25"/>
        <v>334.40124478994869</v>
      </c>
      <c r="GD50" s="62">
        <f t="shared" si="26"/>
        <v>627.73457812328206</v>
      </c>
      <c r="GE50" s="62">
        <f ca="1">AVERAGE(OFFSET($GD$3,0,0,'Données projet'!$E$17+1,1))-AVERAGE(OFFSET($H$3,0,0,'Données projet'!$E$17+1,1))</f>
        <v>289.12367833861299</v>
      </c>
      <c r="GF50" s="62">
        <f t="shared" si="50"/>
        <v>229.06617320689003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>
        <f>EXP(-LN(2)/35)*GL49+(1-EXP(-LN(2)/35))/(LN(2)/35)*GH50*GI50*VLOOKUP('Données projet'!$B$17,Paramètres!$A$1:$I$89,3,0)*0.475*44/12</f>
        <v>0</v>
      </c>
      <c r="GM50" s="23">
        <f>EXP(-LN(2)/25)*GM49+(1-EXP(-LN(2)/25))/(LN(2)/25)*Calculateur!GH50*Calculateur!GJ50*VLOOKUP('Données projet'!$B$17,Paramètres!$A$1:$I$89,3,0)*0.475*44/12</f>
        <v>0</v>
      </c>
      <c r="GN50" s="23">
        <f>EXP(-LN(2)/2)*GN49+(1-EXP(-LN(2)/2))/(LN(2)/2)*GH50*GK50*VLOOKUP('Données projet'!$B$17,Paramètres!$A$1:$I$89,3,0)*0.475*44/12</f>
        <v>1.1454121891148599E-2</v>
      </c>
      <c r="GO50" s="23">
        <f t="shared" si="27"/>
        <v>1.1454121891148599E-2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12.232167832167828</v>
      </c>
      <c r="GU50" s="13">
        <f>IF('Données projet'!$A$270&gt;35,GU49+GT50-HC49,IF(A50&lt;'Données projet'!$A$270,$GR$205^A50,IF(A50='Données projet'!$A$270,'Données projet'!$B$270,GU49+GT50-HC49)))</f>
        <v>338.64055944055946</v>
      </c>
      <c r="GV50" s="18">
        <f>GU50*VLOOKUP('Données projet'!$B$18,Paramètres!$A$1:$I$89,3,0)*VLOOKUP('Données projet'!$B$18,Paramètres!$A$1:$I$89,5,0)</f>
        <v>158.48378181818182</v>
      </c>
      <c r="GW50" s="14">
        <f t="shared" si="51"/>
        <v>40.500338880721898</v>
      </c>
      <c r="GX50" s="22">
        <f t="shared" si="28"/>
        <v>346.56401021725725</v>
      </c>
      <c r="GY50" s="62">
        <f t="shared" si="29"/>
        <v>639.89734355059056</v>
      </c>
      <c r="GZ50" s="62">
        <f ca="1">AVERAGE(OFFSET($GY$3,0,0,'Données projet'!$E$18+1,1))-AVERAGE(OFFSET($H$3,0,0,'Données projet'!$E$18+1,1))</f>
        <v>284.88646502866419</v>
      </c>
      <c r="HA50" s="62">
        <f t="shared" si="52"/>
        <v>190.4880882944471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>
        <f>EXP(-LN(2)/35)*HG49+(1-EXP(-LN(2)/35))/(LN(2)/35)*HC50*HD50*VLOOKUP('Données projet'!$B$18,Paramètres!$A$1:$I$89,3,0)*0.475*44/12</f>
        <v>0</v>
      </c>
      <c r="HH50" s="23">
        <f>EXP(-LN(2)/25)*HH49+(1-EXP(-LN(2)/25))/(LN(2)/25)*Calculateur!HC50*Calculateur!HE50*VLOOKUP('Données projet'!$B$18,Paramètres!$A$1:$I$89,3,0)*0.475*44/12</f>
        <v>0</v>
      </c>
      <c r="HI50" s="23">
        <f>EXP(-LN(2)/2)*HI49+(1-EXP(-LN(2)/2))/(LN(2)/2)*HC50*HF50*VLOOKUP('Données projet'!$B$18,Paramètres!$A$1:$I$89,3,0)*0.475*44/12</f>
        <v>0</v>
      </c>
      <c r="HJ50" s="24">
        <f t="shared" si="30"/>
        <v>0</v>
      </c>
    </row>
    <row r="51" spans="1:218" s="5" customFormat="1" x14ac:dyDescent="0.25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2">
        <f t="shared" si="32"/>
        <v>0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0</v>
      </c>
      <c r="H51" s="70">
        <f t="shared" si="1"/>
        <v>256.66666666666669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5.5128205128205083</v>
      </c>
      <c r="N51" s="14">
        <f>IF('Données projet'!$A$36&gt;35,N50+M51-V50,IF(A51&lt;'Données projet'!$A$36,$K$205^A51,IF(A51='Données projet'!$A$36,'Données projet'!$B$36,N50+M51-V50)))</f>
        <v>169.10256410256414</v>
      </c>
      <c r="O51" s="14">
        <f>N51*VLOOKUP('Données projet'!$B$9,Paramètres!$A$1:$I$89,3,0)*VLOOKUP('Données projet'!$B$9,Paramètres!$A$1:$I$89,5,0)</f>
        <v>160.91800000000003</v>
      </c>
      <c r="P51" s="14">
        <f t="shared" si="33"/>
        <v>41.049503875172206</v>
      </c>
      <c r="Q51" s="22">
        <f t="shared" si="53"/>
        <v>351.76006924925832</v>
      </c>
      <c r="R51" s="62">
        <f t="shared" si="0"/>
        <v>645.09340258259158</v>
      </c>
      <c r="S51" s="62">
        <f ca="1">AVERAGE(OFFSET($R$3,0,0,'Données projet'!$E$9+1,1))-AVERAGE(OFFSET($H$3,0,0,'Données projet'!$E$9+1,1))</f>
        <v>367.11183928586667</v>
      </c>
      <c r="T51" s="62">
        <f t="shared" si="34"/>
        <v>281.52963027844595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0</v>
      </c>
      <c r="AA51" s="23">
        <f>EXP(-LN(2)/25)*AA50+(1-EXP(-LN(2)/25))/(LN(2)/25)*Calculateur!V51*Calculateur!X51*VLOOKUP('Données projet'!$B$9,Paramètres!$A$1:$I$89,3,0)*0.475*44/12</f>
        <v>0</v>
      </c>
      <c r="AB51" s="23">
        <f>EXP(-LN(2)/2)*AB50+(1-EXP(-LN(2)/2))/(LN(2)/2)*V51*Y51*VLOOKUP('Données projet'!$B$9,Paramètres!$A$1:$I$89,3,0)*0.475*44/12</f>
        <v>0</v>
      </c>
      <c r="AC51" s="24">
        <f t="shared" si="3"/>
        <v>0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8.1999999999999993</v>
      </c>
      <c r="AI51" s="14">
        <f>IF('Données projet'!$A$62&gt;35,AI50+AH51-AQ50,IF(A51&lt;'Données projet'!$A$62,$AF$205^A51,IF(A51='Données projet'!$A$62,'Données projet'!$B$62,AI50+AH51-AQ50)))</f>
        <v>182.60000000000002</v>
      </c>
      <c r="AJ51" s="14">
        <f>AI51*VLOOKUP('Données projet'!$B$10,Paramètres!$A$1:$I$89,3,0)*VLOOKUP('Données projet'!$B$10,Paramètres!$A$1:$I$89,5,0)</f>
        <v>165.21648000000002</v>
      </c>
      <c r="AK51" s="14">
        <f t="shared" si="35"/>
        <v>42.016901084500397</v>
      </c>
      <c r="AL51" s="22">
        <f t="shared" si="4"/>
        <v>360.93147205550491</v>
      </c>
      <c r="AM51" s="62">
        <f t="shared" si="5"/>
        <v>654.26480538883823</v>
      </c>
      <c r="AN51" s="62">
        <f ca="1">AVERAGE(OFFSET($AM$3,0,0,'Données projet'!$E$10+1,1))-AVERAGE(OFFSET($H$3,0,0,'Données projet'!$E$10+1,1))</f>
        <v>428.8489304403459</v>
      </c>
      <c r="AO51" s="62">
        <f t="shared" si="36"/>
        <v>247.01165577562966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0</v>
      </c>
      <c r="AV51" s="23">
        <f>EXP(-LN(2)/25)*AV50+(1-EXP(-LN(2)/25))/(LN(2)/25)*Calculateur!AQ51*Calculateur!AS51*VLOOKUP('Données projet'!$B$10,Paramètres!$A$1:$I$89,3,0)*0.475*44/12</f>
        <v>0</v>
      </c>
      <c r="AW51" s="23">
        <f>EXP(-LN(2)/2)*AW50+(1-EXP(-LN(2)/2))/(LN(2)/2)*AQ51*AT51*VLOOKUP('Données projet'!$B$10,Paramètres!$A$1:$I$89,3,0)*0.475*44/12</f>
        <v>0</v>
      </c>
      <c r="AX51" s="23">
        <f t="shared" si="6"/>
        <v>0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8.1999999999999993</v>
      </c>
      <c r="BD51" s="13">
        <f>IF('Données projet'!$A$88&gt;35,BD50+BC51-BL50,IF(A51&lt;'Données projet'!$A$88,$BA$205^A51,IF(A51='Données projet'!$A$88,'Données projet'!$B$88,BD50+BC51-BL50)))</f>
        <v>182.60000000000002</v>
      </c>
      <c r="BE51" s="14">
        <f>BD51*VLOOKUP('Données projet'!$B$11,Paramètres!$A$1:$I$89,3,0)*VLOOKUP('Données projet'!$B$11,Paramètres!$A$1:$I$89,5,0)</f>
        <v>185.15640000000002</v>
      </c>
      <c r="BF51" s="14">
        <f t="shared" si="37"/>
        <v>46.467497591770453</v>
      </c>
      <c r="BG51" s="22">
        <f t="shared" si="7"/>
        <v>403.4116216390002</v>
      </c>
      <c r="BH51" s="62">
        <f t="shared" si="8"/>
        <v>696.74495497233352</v>
      </c>
      <c r="BI51" s="62">
        <f ca="1">AVERAGE(OFFSET($BH$3,0,0,'Données projet'!$E$11+1,1))-AVERAGE(OFFSET($H$3,0,0,'Données projet'!$E$11+1,1))</f>
        <v>475.47920969424894</v>
      </c>
      <c r="BJ51" s="62">
        <f t="shared" si="38"/>
        <v>271.73544012419364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>
        <f>EXP(-LN(2)/35)*BP50+(1-EXP(-LN(2)/35))/(LN(2)/35)*BL51*BM51*VLOOKUP('Données projet'!$B$11,Paramètres!$A$1:$I$89,3,0)*0.475*44/12</f>
        <v>0</v>
      </c>
      <c r="BQ51" s="23">
        <f>EXP(-LN(2)/25)*BQ50+(1-EXP(-LN(2)/25))/(LN(2)/25)*Calculateur!BL51*Calculateur!BN51*VLOOKUP('Données projet'!$B$11,Paramètres!$A$1:$I$89,3,0)*0.475*44/12</f>
        <v>0</v>
      </c>
      <c r="BR51" s="23">
        <f>EXP(-LN(2)/2)*BR50+(1-EXP(-LN(2)/2))/(LN(2)/2)*BL51*BO51*VLOOKUP('Données projet'!$B$11,Paramètres!$A$1:$I$89,3,0)*0.475*44/12</f>
        <v>0</v>
      </c>
      <c r="BS51" s="24">
        <f t="shared" si="9"/>
        <v>0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17.519780219780223</v>
      </c>
      <c r="BY51" s="13">
        <f>IF('Données projet'!$A$114&gt;35,BY50+BX51-CG50,IF(A51&lt;'Données projet'!$A$114,$BV$205^A51,IF(A51='Données projet'!$A$114,'Données projet'!$B$114,BY50+BX51-CG50)))</f>
        <v>387.04945054945063</v>
      </c>
      <c r="BZ51" s="14">
        <f>BY51*VLOOKUP('Données projet'!$B$12,Paramètres!$A$1:$I$89,3,0)*VLOOKUP('Données projet'!$B$12,Paramètres!$A$1:$I$89,5,0)</f>
        <v>216.36064285714289</v>
      </c>
      <c r="CA51" s="14">
        <f t="shared" si="39"/>
        <v>53.323123145592824</v>
      </c>
      <c r="CB51" s="22">
        <f t="shared" si="10"/>
        <v>469.69922578809798</v>
      </c>
      <c r="CC51" s="62">
        <f t="shared" si="11"/>
        <v>763.03255912143129</v>
      </c>
      <c r="CD51" s="62">
        <f ca="1">AVERAGE(OFFSET($CC$3,0,0,'Données projet'!$E$12+1,1))-AVERAGE(OFFSET($H$3,0,0,'Données projet'!$E$12+1,1))</f>
        <v>323.98185264074681</v>
      </c>
      <c r="CE51" s="62">
        <f t="shared" si="40"/>
        <v>301.22207291854005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>
        <f>EXP(-LN(2)/35)*CK50+(1-EXP(-LN(2)/35))/(LN(2)/35)*CG51*CH51*VLOOKUP('Données projet'!$B$12,Paramètres!$A$1:$I$89,3,0)*0.475*44/12</f>
        <v>3.1242471629136879</v>
      </c>
      <c r="CL51" s="23">
        <f>EXP(-LN(2)/25)*CL50+(1-EXP(-LN(2)/25))/(LN(2)/25)*Calculateur!CG51*Calculateur!CI51*VLOOKUP('Données projet'!$B$12,Paramètres!$A$1:$I$89,3,0)*0.475*44/12</f>
        <v>5.006914517137278</v>
      </c>
      <c r="CM51" s="23">
        <f>EXP(-LN(2)/2)*CM50+(1-EXP(-LN(2)/2))/(LN(2)/2)*CG51*CJ51*VLOOKUP('Données projet'!$B$12,Paramètres!$A$1:$I$89,3,0)*0.475*44/12</f>
        <v>1.1890248397691447E-2</v>
      </c>
      <c r="CN51" s="24">
        <f t="shared" si="12"/>
        <v>8.1430519284486564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5.6</v>
      </c>
      <c r="CT51" s="13">
        <f>IF('Données projet'!$A$140&gt;35,CT50+CS51-DB50,IF(A51&lt;'Données projet'!$A$140,$CQ$205^A51,IF(A51='Données projet'!$A$140,'Données projet'!$B$140,CT50+CS51-DB50)))</f>
        <v>123.79999999999997</v>
      </c>
      <c r="CU51" s="18">
        <f>CT51*VLOOKUP('Données projet'!$B$13,Paramètres!$A$1:$I$89,3,0)*VLOOKUP('Données projet'!$B$13,Paramètres!$A$1:$I$89,5,0)</f>
        <v>140.98343999999997</v>
      </c>
      <c r="CV51" s="14">
        <f t="shared" si="41"/>
        <v>36.522205922710093</v>
      </c>
      <c r="CW51" s="22">
        <f t="shared" si="13"/>
        <v>309.15566664872</v>
      </c>
      <c r="CX51" s="62">
        <f t="shared" si="14"/>
        <v>602.48899998205331</v>
      </c>
      <c r="CY51" s="62">
        <f ca="1">AVERAGE(OFFSET($CX$3,0,0,'Données projet'!$E$13+1,1))-AVERAGE(OFFSET($H$3,0,0,'Données projet'!$E$13+1,1))</f>
        <v>399.78832690250164</v>
      </c>
      <c r="CZ51" s="62">
        <f t="shared" si="42"/>
        <v>174.32967064896343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>
        <f>EXP(-LN(2)/35)*DF50+(1-EXP(-LN(2)/35))/(LN(2)/35)*DB51*DC51*VLOOKUP('Données projet'!$B$13,Paramètres!$A$1:$I$89,3,0)*0.475*44/12</f>
        <v>0</v>
      </c>
      <c r="DG51" s="23">
        <f>EXP(-LN(2)/25)*DG50+(1-EXP(-LN(2)/25))/(LN(2)/25)*Calculateur!DB51*Calculateur!DD51*VLOOKUP('Données projet'!$B$13,Paramètres!$A$1:$I$89,3,0)*0.475*44/12</f>
        <v>0</v>
      </c>
      <c r="DH51" s="23">
        <f>EXP(-LN(2)/2)*DH50+(1-EXP(-LN(2)/2))/(LN(2)/2)*DB51*DE51*VLOOKUP('Données projet'!$B$13,Paramètres!$A$1:$I$89,3,0)*0.475*44/12</f>
        <v>0</v>
      </c>
      <c r="DI51" s="24">
        <f t="shared" si="15"/>
        <v>0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8.1999999999999993</v>
      </c>
      <c r="DO51" s="13">
        <f>IF('Données projet'!$A$166&gt;35,DO50+DN51-DW50,IF(A51&lt;'Données projet'!$A$166,$DL$205^A51,IF(A51='Données projet'!$A$166,'Données projet'!$B$166,DO50+DN51-DW50)))</f>
        <v>182.60000000000002</v>
      </c>
      <c r="DP51" s="18">
        <f>DO51*VLOOKUP('Données projet'!$B$14,Paramètres!$A$1:$I$89,3,0)*VLOOKUP('Données projet'!$B$14,Paramètres!$A$1:$I$89,5,0)</f>
        <v>153.82224000000002</v>
      </c>
      <c r="DQ51" s="14">
        <f t="shared" si="43"/>
        <v>39.445927244182762</v>
      </c>
      <c r="DR51" s="22">
        <f t="shared" si="16"/>
        <v>336.60872461695169</v>
      </c>
      <c r="DS51" s="62">
        <f t="shared" si="17"/>
        <v>629.94205795028506</v>
      </c>
      <c r="DT51" s="62">
        <f ca="1">AVERAGE(OFFSET($DS$3,0,0,'Données projet'!$E$14+1,1))-AVERAGE(OFFSET($H$3,0,0,'Données projet'!$E$14+1,1))</f>
        <v>402.15128814037058</v>
      </c>
      <c r="DU51" s="62">
        <f t="shared" si="44"/>
        <v>232.85411068442738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>
        <f>EXP(-LN(2)/35)*EA50+(1-EXP(-LN(2)/35))/(LN(2)/35)*DW51*DX51*VLOOKUP('Données projet'!$B$14,Paramètres!$A$1:$I$89,3,0)*0.475*44/12</f>
        <v>0</v>
      </c>
      <c r="EB51" s="23">
        <f>EXP(-LN(2)/25)*EB50+(1-EXP(-LN(2)/25))/(LN(2)/25)*Calculateur!DW51*Calculateur!DY51*VLOOKUP('Données projet'!$B$14,Paramètres!$A$1:$I$89,3,0)*0.475*44/12</f>
        <v>0</v>
      </c>
      <c r="EC51" s="23">
        <f>EXP(-LN(2)/2)*EC50+(1-EXP(-LN(2)/2))/(LN(2)/2)*DW51*DZ51*VLOOKUP('Données projet'!$B$14,Paramètres!$A$1:$I$89,3,0)*0.475*44/12</f>
        <v>0</v>
      </c>
      <c r="ED51" s="24">
        <f t="shared" si="18"/>
        <v>0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7.3076923076923093</v>
      </c>
      <c r="EJ51" s="13">
        <f>IF('Données projet'!$A$192&gt;35,EJ50+EI51-ER50,IF(A51&lt;'Données projet'!$A$192,$EG$205^A51,IF(A51='Données projet'!$A$192,'Données projet'!$B$192,EJ50+EI51-ER50)))</f>
        <v>239.87179487179498</v>
      </c>
      <c r="EK51" s="18">
        <f>EJ51*VLOOKUP('Données projet'!$B$15,Paramètres!$A$1:$I$89,3,0)*VLOOKUP('Données projet'!$B$15,Paramètres!$A$1:$I$89,5,0)</f>
        <v>250.71400000000011</v>
      </c>
      <c r="EL51" s="14">
        <f t="shared" si="45"/>
        <v>60.738807819504103</v>
      </c>
      <c r="EM51" s="22">
        <f t="shared" si="19"/>
        <v>542.44697361896976</v>
      </c>
      <c r="EN51" s="62">
        <f t="shared" si="20"/>
        <v>835.78030695230314</v>
      </c>
      <c r="EO51" s="62">
        <f ca="1">AVERAGE(OFFSET($EN$3,0,0,'Données projet'!$E$15+1,1))-AVERAGE(OFFSET($H$3,0,0,'Données projet'!$E$15+1,1))</f>
        <v>595.89992279024398</v>
      </c>
      <c r="EP51" s="62">
        <f t="shared" si="46"/>
        <v>378.16197659288338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>
        <f>EXP(-LN(2)/35)*EV50+(1-EXP(-LN(2)/35))/(LN(2)/35)*ER51*ES51*VLOOKUP('Données projet'!$B$15,Paramètres!$A$1:$I$89,3,0)*0.475*44/12</f>
        <v>0</v>
      </c>
      <c r="EW51" s="23">
        <f>EXP(-LN(2)/25)*EW50+(1-EXP(-LN(2)/25))/(LN(2)/25)*Calculateur!ER51*Calculateur!ET51*VLOOKUP('Données projet'!$B$15,Paramètres!$A$1:$I$89,3,0)*0.475*44/12</f>
        <v>0</v>
      </c>
      <c r="EX51" s="23">
        <f>EXP(-LN(2)/2)*EX50+(1-EXP(-LN(2)/2))/(LN(2)/2)*ER51*EU51*VLOOKUP('Données projet'!$B$15,Paramètres!$A$1:$I$89,3,0)*0.475*44/12</f>
        <v>0</v>
      </c>
      <c r="EY51" s="24">
        <f t="shared" si="21"/>
        <v>0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11.642307692307689</v>
      </c>
      <c r="FE51" s="13">
        <f>IF('Données projet'!$A$218&gt;35,FE50+FD51-FM50,IF(A51&lt;'Données projet'!$A$218,$FB$205^A51,IF(A51='Données projet'!$A$218,'Données projet'!$B$218,FE50+FD51-FM50)))</f>
        <v>285.24615384615373</v>
      </c>
      <c r="FF51" s="18">
        <f>FE51*VLOOKUP('Données projet'!$B$16,Paramètres!$A$1:$I$89,3,0)*VLOOKUP('Données projet'!$B$16,Paramètres!$A$1:$I$89,5,0)</f>
        <v>170.57719999999995</v>
      </c>
      <c r="FG51" s="14">
        <f t="shared" si="47"/>
        <v>43.219271671345155</v>
      </c>
      <c r="FH51" s="22">
        <f t="shared" si="22"/>
        <v>372.36218816092605</v>
      </c>
      <c r="FI51" s="62">
        <f t="shared" si="23"/>
        <v>665.69552149425931</v>
      </c>
      <c r="FJ51" s="62">
        <f ca="1">AVERAGE(OFFSET($FI$3,0,0,'Données projet'!$E$16+1,1))-AVERAGE(OFFSET($H$3,0,0,'Données projet'!$E$16+1,1))</f>
        <v>257.56116197646924</v>
      </c>
      <c r="FK51" s="62">
        <f t="shared" si="48"/>
        <v>269.95556918835888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>
        <f>EXP(-LN(2)/35)*FQ50+(1-EXP(-LN(2)/35))/(LN(2)/35)*FM51*FN51*VLOOKUP('Données projet'!$B$16,Paramètres!$A$1:$I$89,3,0)*0.475*44/12</f>
        <v>10.209043296695345</v>
      </c>
      <c r="FR51" s="23">
        <f>EXP(-LN(2)/25)*FR50+(1-EXP(-LN(2)/25))/(LN(2)/25)*Calculateur!FM51*Calculateur!FO51*VLOOKUP('Données projet'!$B$16,Paramètres!$A$1:$I$89,3,0)*0.475*44/12</f>
        <v>9.8004183552892457</v>
      </c>
      <c r="FS51" s="23">
        <f>EXP(-LN(2)/2)*FS50+(1-EXP(-LN(2)/2))/(LN(2)/2)*FM51*FP51*VLOOKUP('Données projet'!$B$16,Paramètres!$A$1:$I$89,3,0)*0.475*44/12</f>
        <v>1.6707194183544889E-2</v>
      </c>
      <c r="FT51" s="24">
        <f t="shared" si="24"/>
        <v>20.026168846168137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11.861538461538462</v>
      </c>
      <c r="FZ51" s="13">
        <f>IF('Données projet'!$A$244&gt;35,FZ50+FY51-GH50,IF(A51&lt;'Données projet'!$A$244,$FW$205^A51,IF(A51='Données projet'!$A$244,'Données projet'!$B$244,FZ50+FY51-GH50)))</f>
        <v>267.36153846153843</v>
      </c>
      <c r="GA51" s="18">
        <f>FZ51*VLOOKUP('Données projet'!$B$17,Paramètres!$A$1:$I$89,3,0)*VLOOKUP('Données projet'!$B$17,Paramètres!$A$1:$I$89,5,0)</f>
        <v>159.88219999999998</v>
      </c>
      <c r="GB51" s="14">
        <f t="shared" si="49"/>
        <v>40.815944149041762</v>
      </c>
      <c r="GC51" s="22">
        <f t="shared" si="25"/>
        <v>349.54926772624771</v>
      </c>
      <c r="GD51" s="62">
        <f t="shared" si="26"/>
        <v>642.88260105958102</v>
      </c>
      <c r="GE51" s="62">
        <f ca="1">AVERAGE(OFFSET($GD$3,0,0,'Données projet'!$E$17+1,1))-AVERAGE(OFFSET($H$3,0,0,'Données projet'!$E$17+1,1))</f>
        <v>289.12367833861299</v>
      </c>
      <c r="GF51" s="62">
        <f t="shared" si="50"/>
        <v>229.06617320689003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>
        <f>EXP(-LN(2)/35)*GL50+(1-EXP(-LN(2)/35))/(LN(2)/35)*GH51*GI51*VLOOKUP('Données projet'!$B$17,Paramètres!$A$1:$I$89,3,0)*0.475*44/12</f>
        <v>0</v>
      </c>
      <c r="GM51" s="23">
        <f>EXP(-LN(2)/25)*GM50+(1-EXP(-LN(2)/25))/(LN(2)/25)*Calculateur!GH51*Calculateur!GJ51*VLOOKUP('Données projet'!$B$17,Paramètres!$A$1:$I$89,3,0)*0.475*44/12</f>
        <v>0</v>
      </c>
      <c r="GN51" s="23">
        <f>EXP(-LN(2)/2)*GN50+(1-EXP(-LN(2)/2))/(LN(2)/2)*GH51*GK51*VLOOKUP('Données projet'!$B$17,Paramètres!$A$1:$I$89,3,0)*0.475*44/12</f>
        <v>8.099287261768456E-3</v>
      </c>
      <c r="GO51" s="23">
        <f t="shared" si="27"/>
        <v>8.099287261768456E-3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12.232167832167828</v>
      </c>
      <c r="GU51" s="13">
        <f>IF('Données projet'!$A$270&gt;35,GU50+GT51-HC50,IF(A51&lt;'Données projet'!$A$270,$GR$205^A51,IF(A51='Données projet'!$A$270,'Données projet'!$B$270,GU50+GT51-HC50)))</f>
        <v>350.87272727272727</v>
      </c>
      <c r="GV51" s="18">
        <f>GU51*VLOOKUP('Données projet'!$B$18,Paramètres!$A$1:$I$89,3,0)*VLOOKUP('Données projet'!$B$18,Paramètres!$A$1:$I$89,5,0)</f>
        <v>164.20843636363637</v>
      </c>
      <c r="GW51" s="14">
        <f t="shared" si="51"/>
        <v>41.79030091319455</v>
      </c>
      <c r="GX51" s="22">
        <f t="shared" si="28"/>
        <v>358.78113409048046</v>
      </c>
      <c r="GY51" s="62">
        <f t="shared" si="29"/>
        <v>652.11446742381372</v>
      </c>
      <c r="GZ51" s="62">
        <f ca="1">AVERAGE(OFFSET($GY$3,0,0,'Données projet'!$E$18+1,1))-AVERAGE(OFFSET($H$3,0,0,'Données projet'!$E$18+1,1))</f>
        <v>284.88646502866419</v>
      </c>
      <c r="HA51" s="62">
        <f t="shared" si="52"/>
        <v>190.4880882944471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>
        <f>EXP(-LN(2)/35)*HG50+(1-EXP(-LN(2)/35))/(LN(2)/35)*HC51*HD51*VLOOKUP('Données projet'!$B$18,Paramètres!$A$1:$I$89,3,0)*0.475*44/12</f>
        <v>0</v>
      </c>
      <c r="HH51" s="23">
        <f>EXP(-LN(2)/25)*HH50+(1-EXP(-LN(2)/25))/(LN(2)/25)*Calculateur!HC51*Calculateur!HE51*VLOOKUP('Données projet'!$B$18,Paramètres!$A$1:$I$89,3,0)*0.475*44/12</f>
        <v>0</v>
      </c>
      <c r="HI51" s="23">
        <f>EXP(-LN(2)/2)*HI50+(1-EXP(-LN(2)/2))/(LN(2)/2)*HC51*HF51*VLOOKUP('Données projet'!$B$18,Paramètres!$A$1:$I$89,3,0)*0.475*44/12</f>
        <v>0</v>
      </c>
      <c r="HJ51" s="24">
        <f t="shared" si="30"/>
        <v>0</v>
      </c>
    </row>
    <row r="52" spans="1:218" s="5" customFormat="1" x14ac:dyDescent="0.25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2">
        <f t="shared" si="32"/>
        <v>0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0</v>
      </c>
      <c r="H52" s="70">
        <f t="shared" si="1"/>
        <v>256.66666666666669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5.5128205128205083</v>
      </c>
      <c r="N52" s="14">
        <f>IF('Données projet'!$A$36&gt;35,N51+M52-V51,IF(A52&lt;'Données projet'!$A$36,$K$205^A52,IF(A52='Données projet'!$A$36,'Données projet'!$B$36,N51+M52-V51)))</f>
        <v>174.61538461538464</v>
      </c>
      <c r="O52" s="14">
        <f>N52*VLOOKUP('Données projet'!$B$9,Paramètres!$A$1:$I$89,3,0)*VLOOKUP('Données projet'!$B$9,Paramètres!$A$1:$I$89,5,0)</f>
        <v>166.16400000000004</v>
      </c>
      <c r="P52" s="14">
        <f t="shared" si="33"/>
        <v>42.229749328882683</v>
      </c>
      <c r="Q52" s="22">
        <f t="shared" si="53"/>
        <v>362.95244674780406</v>
      </c>
      <c r="R52" s="62">
        <f t="shared" si="0"/>
        <v>656.28578008113732</v>
      </c>
      <c r="S52" s="62">
        <f ca="1">AVERAGE(OFFSET($R$3,0,0,'Données projet'!$E$9+1,1))-AVERAGE(OFFSET($H$3,0,0,'Données projet'!$E$9+1,1))</f>
        <v>367.11183928586667</v>
      </c>
      <c r="T52" s="62">
        <f t="shared" si="34"/>
        <v>281.52963027844595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0</v>
      </c>
      <c r="AA52" s="23">
        <f>EXP(-LN(2)/25)*AA51+(1-EXP(-LN(2)/25))/(LN(2)/25)*Calculateur!V52*Calculateur!X52*VLOOKUP('Données projet'!$B$9,Paramètres!$A$1:$I$89,3,0)*0.475*44/12</f>
        <v>0</v>
      </c>
      <c r="AB52" s="23">
        <f>EXP(-LN(2)/2)*AB51+(1-EXP(-LN(2)/2))/(LN(2)/2)*V52*Y52*VLOOKUP('Données projet'!$B$9,Paramètres!$A$1:$I$89,3,0)*0.475*44/12</f>
        <v>0</v>
      </c>
      <c r="AC52" s="24">
        <f t="shared" si="3"/>
        <v>0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8.1999999999999993</v>
      </c>
      <c r="AI52" s="14">
        <f>IF('Données projet'!$A$62&gt;35,AI51+AH52-AQ51,IF(A52&lt;'Données projet'!$A$62,$AF$205^A52,IF(A52='Données projet'!$A$62,'Données projet'!$B$62,AI51+AH52-AQ51)))</f>
        <v>190.8</v>
      </c>
      <c r="AJ52" s="14">
        <f>AI52*VLOOKUP('Données projet'!$B$10,Paramètres!$A$1:$I$89,3,0)*VLOOKUP('Données projet'!$B$10,Paramètres!$A$1:$I$89,5,0)</f>
        <v>172.63584</v>
      </c>
      <c r="AK52" s="14">
        <f t="shared" si="35"/>
        <v>43.679834395222109</v>
      </c>
      <c r="AL52" s="22">
        <f t="shared" si="4"/>
        <v>376.74979957167847</v>
      </c>
      <c r="AM52" s="62">
        <f t="shared" si="5"/>
        <v>670.08313290501178</v>
      </c>
      <c r="AN52" s="62">
        <f ca="1">AVERAGE(OFFSET($AM$3,0,0,'Données projet'!$E$10+1,1))-AVERAGE(OFFSET($H$3,0,0,'Données projet'!$E$10+1,1))</f>
        <v>428.8489304403459</v>
      </c>
      <c r="AO52" s="62">
        <f t="shared" si="36"/>
        <v>247.01165577562966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0</v>
      </c>
      <c r="AV52" s="23">
        <f>EXP(-LN(2)/25)*AV51+(1-EXP(-LN(2)/25))/(LN(2)/25)*Calculateur!AQ52*Calculateur!AS52*VLOOKUP('Données projet'!$B$10,Paramètres!$A$1:$I$89,3,0)*0.475*44/12</f>
        <v>0</v>
      </c>
      <c r="AW52" s="23">
        <f>EXP(-LN(2)/2)*AW51+(1-EXP(-LN(2)/2))/(LN(2)/2)*AQ52*AT52*VLOOKUP('Données projet'!$B$10,Paramètres!$A$1:$I$89,3,0)*0.475*44/12</f>
        <v>0</v>
      </c>
      <c r="AX52" s="23">
        <f t="shared" si="6"/>
        <v>0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8.1999999999999993</v>
      </c>
      <c r="BD52" s="13">
        <f>IF('Données projet'!$A$88&gt;35,BD51+BC52-BL51,IF(A52&lt;'Données projet'!$A$88,$BA$205^A52,IF(A52='Données projet'!$A$88,'Données projet'!$B$88,BD51+BC52-BL51)))</f>
        <v>190.8</v>
      </c>
      <c r="BE52" s="14">
        <f>BD52*VLOOKUP('Données projet'!$B$11,Paramètres!$A$1:$I$89,3,0)*VLOOKUP('Données projet'!$B$11,Paramètres!$A$1:$I$89,5,0)</f>
        <v>193.47120000000001</v>
      </c>
      <c r="BF52" s="14">
        <f t="shared" si="37"/>
        <v>48.306575382296536</v>
      </c>
      <c r="BG52" s="22">
        <f t="shared" si="7"/>
        <v>421.09629212416644</v>
      </c>
      <c r="BH52" s="62">
        <f t="shared" si="8"/>
        <v>714.4296254574997</v>
      </c>
      <c r="BI52" s="62">
        <f ca="1">AVERAGE(OFFSET($BH$3,0,0,'Données projet'!$E$11+1,1))-AVERAGE(OFFSET($H$3,0,0,'Données projet'!$E$11+1,1))</f>
        <v>475.47920969424894</v>
      </c>
      <c r="BJ52" s="62">
        <f t="shared" si="38"/>
        <v>271.73544012419364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>
        <f>EXP(-LN(2)/35)*BP51+(1-EXP(-LN(2)/35))/(LN(2)/35)*BL52*BM52*VLOOKUP('Données projet'!$B$11,Paramètres!$A$1:$I$89,3,0)*0.475*44/12</f>
        <v>0</v>
      </c>
      <c r="BQ52" s="23">
        <f>EXP(-LN(2)/25)*BQ51+(1-EXP(-LN(2)/25))/(LN(2)/25)*Calculateur!BL52*Calculateur!BN52*VLOOKUP('Données projet'!$B$11,Paramètres!$A$1:$I$89,3,0)*0.475*44/12</f>
        <v>0</v>
      </c>
      <c r="BR52" s="23">
        <f>EXP(-LN(2)/2)*BR51+(1-EXP(-LN(2)/2))/(LN(2)/2)*BL52*BO52*VLOOKUP('Données projet'!$B$11,Paramètres!$A$1:$I$89,3,0)*0.475*44/12</f>
        <v>0</v>
      </c>
      <c r="BS52" s="24">
        <f t="shared" si="9"/>
        <v>0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>
        <f>VLOOKUP(A52,'Données projet'!$A$113:$I$133,2,0)</f>
        <v>404.56923076923078</v>
      </c>
      <c r="BW52" s="13">
        <f>VLOOKUP(A52,'Données projet'!$A$113:$I$133,9,0)</f>
        <v>17.519780219780223</v>
      </c>
      <c r="BX52" s="13">
        <f t="array" ref="BX52">INDEX(BW:BW,MIN(IF(ISNUMBER(BW52:BW248),ROW(BW52:BW248),"")))</f>
        <v>17.519780219780223</v>
      </c>
      <c r="BY52" s="13">
        <f>IF('Données projet'!$A$114&gt;35,BY51+BX52-CG51,IF(A52&lt;'Données projet'!$A$114,$BV$205^A52,IF(A52='Données projet'!$A$114,'Données projet'!$B$114,BY51+BX52-CG51)))</f>
        <v>404.56923076923084</v>
      </c>
      <c r="BZ52" s="14">
        <f>BY52*VLOOKUP('Données projet'!$B$12,Paramètres!$A$1:$I$89,3,0)*VLOOKUP('Données projet'!$B$12,Paramètres!$A$1:$I$89,5,0)</f>
        <v>226.15420000000006</v>
      </c>
      <c r="CA52" s="14">
        <f t="shared" si="39"/>
        <v>55.450315347427065</v>
      </c>
      <c r="CB52" s="22">
        <f t="shared" si="10"/>
        <v>490.46119756343563</v>
      </c>
      <c r="CC52" s="62">
        <f t="shared" si="11"/>
        <v>783.79453089676895</v>
      </c>
      <c r="CD52" s="62">
        <f ca="1">AVERAGE(OFFSET($CC$3,0,0,'Données projet'!$E$12+1,1))-AVERAGE(OFFSET($H$3,0,0,'Données projet'!$E$12+1,1))</f>
        <v>323.98185264074681</v>
      </c>
      <c r="CE52" s="62">
        <f t="shared" si="40"/>
        <v>301.22207291854005</v>
      </c>
      <c r="CF52" s="16">
        <f>IF(ISNA(VLOOKUP(A52,'Données projet'!$A$113:$I$133,3,0)),0,VLOOKUP(A52,'Données projet'!$A$113:$I$133,3,0))</f>
        <v>5</v>
      </c>
      <c r="CG52" s="16">
        <f>IF(ISNA(VLOOKUP(A52,'Données projet'!$A$113:$I$133,4,0)),0,VLOOKUP(A52,'Données projet'!$A$113:$I$133,4,0))</f>
        <v>90.453846153846158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>
        <f>EXP(-LN(2)/35)*CK51+(1-EXP(-LN(2)/35))/(LN(2)/35)*CG52*CH52*VLOOKUP('Données projet'!$B$12,Paramètres!$A$1:$I$89,3,0)*0.475*44/12</f>
        <v>3.062982581651557</v>
      </c>
      <c r="CL52" s="23">
        <f>EXP(-LN(2)/25)*CL51+(1-EXP(-LN(2)/25))/(LN(2)/25)*Calculateur!CG52*Calculateur!CI52*VLOOKUP('Données projet'!$B$12,Paramètres!$A$1:$I$89,3,0)*0.475*44/12</f>
        <v>4.870000176363968</v>
      </c>
      <c r="CM52" s="23">
        <f>EXP(-LN(2)/2)*CM51+(1-EXP(-LN(2)/2))/(LN(2)/2)*CG52*CJ52*VLOOKUP('Données projet'!$B$12,Paramètres!$A$1:$I$89,3,0)*0.475*44/12</f>
        <v>8.4076752720001029E-3</v>
      </c>
      <c r="CN52" s="24">
        <f t="shared" si="12"/>
        <v>7.9413904332875251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5.6</v>
      </c>
      <c r="CT52" s="13">
        <f>IF('Données projet'!$A$140&gt;35,CT51+CS52-DB51,IF(A52&lt;'Données projet'!$A$140,$CQ$205^A52,IF(A52='Données projet'!$A$140,'Données projet'!$B$140,CT51+CS52-DB51)))</f>
        <v>129.39999999999998</v>
      </c>
      <c r="CU52" s="18">
        <f>CT52*VLOOKUP('Données projet'!$B$13,Paramètres!$A$1:$I$89,3,0)*VLOOKUP('Données projet'!$B$13,Paramètres!$A$1:$I$89,5,0)</f>
        <v>147.36071999999996</v>
      </c>
      <c r="CV52" s="14">
        <f t="shared" si="41"/>
        <v>37.978181505546587</v>
      </c>
      <c r="CW52" s="22">
        <f t="shared" si="13"/>
        <v>322.79858678882687</v>
      </c>
      <c r="CX52" s="62">
        <f t="shared" si="14"/>
        <v>616.13192012216018</v>
      </c>
      <c r="CY52" s="62">
        <f ca="1">AVERAGE(OFFSET($CX$3,0,0,'Données projet'!$E$13+1,1))-AVERAGE(OFFSET($H$3,0,0,'Données projet'!$E$13+1,1))</f>
        <v>399.78832690250164</v>
      </c>
      <c r="CZ52" s="62">
        <f t="shared" si="42"/>
        <v>174.32967064896343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>
        <f>EXP(-LN(2)/35)*DF51+(1-EXP(-LN(2)/35))/(LN(2)/35)*DB52*DC52*VLOOKUP('Données projet'!$B$13,Paramètres!$A$1:$I$89,3,0)*0.475*44/12</f>
        <v>0</v>
      </c>
      <c r="DG52" s="23">
        <f>EXP(-LN(2)/25)*DG51+(1-EXP(-LN(2)/25))/(LN(2)/25)*Calculateur!DB52*Calculateur!DD52*VLOOKUP('Données projet'!$B$13,Paramètres!$A$1:$I$89,3,0)*0.475*44/12</f>
        <v>0</v>
      </c>
      <c r="DH52" s="23">
        <f>EXP(-LN(2)/2)*DH51+(1-EXP(-LN(2)/2))/(LN(2)/2)*DB52*DE52*VLOOKUP('Données projet'!$B$13,Paramètres!$A$1:$I$89,3,0)*0.475*44/12</f>
        <v>0</v>
      </c>
      <c r="DI52" s="24">
        <f t="shared" si="15"/>
        <v>0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8.1999999999999993</v>
      </c>
      <c r="DO52" s="13">
        <f>IF('Données projet'!$A$166&gt;35,DO51+DN52-DW51,IF(A52&lt;'Données projet'!$A$166,$DL$205^A52,IF(A52='Données projet'!$A$166,'Données projet'!$B$166,DO51+DN52-DW51)))</f>
        <v>190.8</v>
      </c>
      <c r="DP52" s="18">
        <f>DO52*VLOOKUP('Données projet'!$B$14,Paramètres!$A$1:$I$89,3,0)*VLOOKUP('Données projet'!$B$14,Paramètres!$A$1:$I$89,5,0)</f>
        <v>160.72992000000002</v>
      </c>
      <c r="DQ52" s="14">
        <f t="shared" si="43"/>
        <v>41.007107262069759</v>
      </c>
      <c r="DR52" s="22">
        <f t="shared" si="16"/>
        <v>351.35865581477151</v>
      </c>
      <c r="DS52" s="62">
        <f t="shared" si="17"/>
        <v>644.69198914810477</v>
      </c>
      <c r="DT52" s="62">
        <f ca="1">AVERAGE(OFFSET($DS$3,0,0,'Données projet'!$E$14+1,1))-AVERAGE(OFFSET($H$3,0,0,'Données projet'!$E$14+1,1))</f>
        <v>402.15128814037058</v>
      </c>
      <c r="DU52" s="62">
        <f t="shared" si="44"/>
        <v>232.85411068442738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>
        <f>EXP(-LN(2)/35)*EA51+(1-EXP(-LN(2)/35))/(LN(2)/35)*DW52*DX52*VLOOKUP('Données projet'!$B$14,Paramètres!$A$1:$I$89,3,0)*0.475*44/12</f>
        <v>0</v>
      </c>
      <c r="EB52" s="23">
        <f>EXP(-LN(2)/25)*EB51+(1-EXP(-LN(2)/25))/(LN(2)/25)*Calculateur!DW52*Calculateur!DY52*VLOOKUP('Données projet'!$B$14,Paramètres!$A$1:$I$89,3,0)*0.475*44/12</f>
        <v>0</v>
      </c>
      <c r="EC52" s="23">
        <f>EXP(-LN(2)/2)*EC51+(1-EXP(-LN(2)/2))/(LN(2)/2)*DW52*DZ52*VLOOKUP('Données projet'!$B$14,Paramètres!$A$1:$I$89,3,0)*0.475*44/12</f>
        <v>0</v>
      </c>
      <c r="ED52" s="24">
        <f t="shared" si="18"/>
        <v>0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7.3076923076923093</v>
      </c>
      <c r="EJ52" s="13">
        <f>IF('Données projet'!$A$192&gt;35,EJ51+EI52-ER51,IF(A52&lt;'Données projet'!$A$192,$EG$205^A52,IF(A52='Données projet'!$A$192,'Données projet'!$B$192,EJ51+EI52-ER51)))</f>
        <v>247.1794871794873</v>
      </c>
      <c r="EK52" s="18">
        <f>EJ52*VLOOKUP('Données projet'!$B$15,Paramètres!$A$1:$I$89,3,0)*VLOOKUP('Données projet'!$B$15,Paramètres!$A$1:$I$89,5,0)</f>
        <v>258.35200000000015</v>
      </c>
      <c r="EL52" s="14">
        <f t="shared" si="45"/>
        <v>62.370961057417801</v>
      </c>
      <c r="EM52" s="22">
        <f t="shared" si="19"/>
        <v>558.59249050833625</v>
      </c>
      <c r="EN52" s="62">
        <f t="shared" si="20"/>
        <v>851.92582384166963</v>
      </c>
      <c r="EO52" s="62">
        <f ca="1">AVERAGE(OFFSET($EN$3,0,0,'Données projet'!$E$15+1,1))-AVERAGE(OFFSET($H$3,0,0,'Données projet'!$E$15+1,1))</f>
        <v>595.89992279024398</v>
      </c>
      <c r="EP52" s="62">
        <f t="shared" si="46"/>
        <v>378.16197659288338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>
        <f>EXP(-LN(2)/35)*EV51+(1-EXP(-LN(2)/35))/(LN(2)/35)*ER52*ES52*VLOOKUP('Données projet'!$B$15,Paramètres!$A$1:$I$89,3,0)*0.475*44/12</f>
        <v>0</v>
      </c>
      <c r="EW52" s="23">
        <f>EXP(-LN(2)/25)*EW51+(1-EXP(-LN(2)/25))/(LN(2)/25)*Calculateur!ER52*Calculateur!ET52*VLOOKUP('Données projet'!$B$15,Paramètres!$A$1:$I$89,3,0)*0.475*44/12</f>
        <v>0</v>
      </c>
      <c r="EX52" s="23">
        <f>EXP(-LN(2)/2)*EX51+(1-EXP(-LN(2)/2))/(LN(2)/2)*ER52*EU52*VLOOKUP('Données projet'!$B$15,Paramètres!$A$1:$I$89,3,0)*0.475*44/12</f>
        <v>0</v>
      </c>
      <c r="EY52" s="24">
        <f t="shared" si="21"/>
        <v>0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11.642307692307689</v>
      </c>
      <c r="FE52" s="13">
        <f>IF('Données projet'!$A$218&gt;35,FE51+FD52-FM51,IF(A52&lt;'Données projet'!$A$218,$FB$205^A52,IF(A52='Données projet'!$A$218,'Données projet'!$B$218,FE51+FD52-FM51)))</f>
        <v>296.8884615384614</v>
      </c>
      <c r="FF52" s="18">
        <f>FE52*VLOOKUP('Données projet'!$B$16,Paramètres!$A$1:$I$89,3,0)*VLOOKUP('Données projet'!$B$16,Paramètres!$A$1:$I$89,5,0)</f>
        <v>177.53929999999994</v>
      </c>
      <c r="FG52" s="14">
        <f t="shared" si="47"/>
        <v>44.774287946301975</v>
      </c>
      <c r="FH52" s="22">
        <f t="shared" si="22"/>
        <v>387.1961656731425</v>
      </c>
      <c r="FI52" s="62">
        <f t="shared" si="23"/>
        <v>680.52949900647582</v>
      </c>
      <c r="FJ52" s="62">
        <f ca="1">AVERAGE(OFFSET($FI$3,0,0,'Données projet'!$E$16+1,1))-AVERAGE(OFFSET($H$3,0,0,'Données projet'!$E$16+1,1))</f>
        <v>257.56116197646924</v>
      </c>
      <c r="FK52" s="62">
        <f t="shared" si="48"/>
        <v>269.95556918835888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>
        <f>EXP(-LN(2)/35)*FQ51+(1-EXP(-LN(2)/35))/(LN(2)/35)*FM52*FN52*VLOOKUP('Données projet'!$B$16,Paramètres!$A$1:$I$89,3,0)*0.475*44/12</f>
        <v>10.008850184548704</v>
      </c>
      <c r="FR52" s="23">
        <f>EXP(-LN(2)/25)*FR51+(1-EXP(-LN(2)/25))/(LN(2)/25)*Calculateur!FM52*Calculateur!FO52*VLOOKUP('Données projet'!$B$16,Paramètres!$A$1:$I$89,3,0)*0.475*44/12</f>
        <v>9.5324253999822588</v>
      </c>
      <c r="FS52" s="23">
        <f>EXP(-LN(2)/2)*FS51+(1-EXP(-LN(2)/2))/(LN(2)/2)*FM52*FP52*VLOOKUP('Données projet'!$B$16,Paramètres!$A$1:$I$89,3,0)*0.475*44/12</f>
        <v>1.1813770301785036E-2</v>
      </c>
      <c r="FT52" s="24">
        <f t="shared" si="24"/>
        <v>19.55308935483275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11.861538461538462</v>
      </c>
      <c r="FZ52" s="13">
        <f>IF('Données projet'!$A$244&gt;35,FZ51+FY52-GH51,IF(A52&lt;'Données projet'!$A$244,$FW$205^A52,IF(A52='Données projet'!$A$244,'Données projet'!$B$244,FZ51+FY52-GH51)))</f>
        <v>279.22307692307692</v>
      </c>
      <c r="GA52" s="18">
        <f>FZ52*VLOOKUP('Données projet'!$B$17,Paramètres!$A$1:$I$89,3,0)*VLOOKUP('Données projet'!$B$17,Paramètres!$A$1:$I$89,5,0)</f>
        <v>166.97540000000001</v>
      </c>
      <c r="GB52" s="14">
        <f t="shared" si="49"/>
        <v>42.411907667415186</v>
      </c>
      <c r="GC52" s="22">
        <f t="shared" si="25"/>
        <v>364.68289418741483</v>
      </c>
      <c r="GD52" s="62">
        <f t="shared" si="26"/>
        <v>658.01622752074809</v>
      </c>
      <c r="GE52" s="62">
        <f ca="1">AVERAGE(OFFSET($GD$3,0,0,'Données projet'!$E$17+1,1))-AVERAGE(OFFSET($H$3,0,0,'Données projet'!$E$17+1,1))</f>
        <v>289.12367833861299</v>
      </c>
      <c r="GF52" s="62">
        <f t="shared" si="50"/>
        <v>229.06617320689003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>
        <f>EXP(-LN(2)/35)*GL51+(1-EXP(-LN(2)/35))/(LN(2)/35)*GH52*GI52*VLOOKUP('Données projet'!$B$17,Paramètres!$A$1:$I$89,3,0)*0.475*44/12</f>
        <v>0</v>
      </c>
      <c r="GM52" s="23">
        <f>EXP(-LN(2)/25)*GM51+(1-EXP(-LN(2)/25))/(LN(2)/25)*Calculateur!GH52*Calculateur!GJ52*VLOOKUP('Données projet'!$B$17,Paramètres!$A$1:$I$89,3,0)*0.475*44/12</f>
        <v>0</v>
      </c>
      <c r="GN52" s="23">
        <f>EXP(-LN(2)/2)*GN51+(1-EXP(-LN(2)/2))/(LN(2)/2)*GH52*GK52*VLOOKUP('Données projet'!$B$17,Paramètres!$A$1:$I$89,3,0)*0.475*44/12</f>
        <v>5.7270609455742994E-3</v>
      </c>
      <c r="GO52" s="23">
        <f t="shared" si="27"/>
        <v>5.7270609455742994E-3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12.232167832167828</v>
      </c>
      <c r="GU52" s="13">
        <f>IF('Données projet'!$A$270&gt;35,GU51+GT52-HC51,IF(A52&lt;'Données projet'!$A$270,$GR$205^A52,IF(A52='Données projet'!$A$270,'Données projet'!$B$270,GU51+GT52-HC51)))</f>
        <v>363.10489510489509</v>
      </c>
      <c r="GV52" s="18">
        <f>GU52*VLOOKUP('Données projet'!$B$18,Paramètres!$A$1:$I$89,3,0)*VLOOKUP('Données projet'!$B$18,Paramètres!$A$1:$I$89,5,0)</f>
        <v>169.93309090909091</v>
      </c>
      <c r="GW52" s="14">
        <f t="shared" si="51"/>
        <v>43.075037831408729</v>
      </c>
      <c r="GX52" s="22">
        <f t="shared" si="28"/>
        <v>370.98915755637017</v>
      </c>
      <c r="GY52" s="62">
        <f t="shared" si="29"/>
        <v>664.32249088970343</v>
      </c>
      <c r="GZ52" s="62">
        <f ca="1">AVERAGE(OFFSET($GY$3,0,0,'Données projet'!$E$18+1,1))-AVERAGE(OFFSET($H$3,0,0,'Données projet'!$E$18+1,1))</f>
        <v>284.88646502866419</v>
      </c>
      <c r="HA52" s="62">
        <f t="shared" si="52"/>
        <v>190.4880882944471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>
        <f>EXP(-LN(2)/35)*HG51+(1-EXP(-LN(2)/35))/(LN(2)/35)*HC52*HD52*VLOOKUP('Données projet'!$B$18,Paramètres!$A$1:$I$89,3,0)*0.475*44/12</f>
        <v>0</v>
      </c>
      <c r="HH52" s="23">
        <f>EXP(-LN(2)/25)*HH51+(1-EXP(-LN(2)/25))/(LN(2)/25)*Calculateur!HC52*Calculateur!HE52*VLOOKUP('Données projet'!$B$18,Paramètres!$A$1:$I$89,3,0)*0.475*44/12</f>
        <v>0</v>
      </c>
      <c r="HI52" s="23">
        <f>EXP(-LN(2)/2)*HI51+(1-EXP(-LN(2)/2))/(LN(2)/2)*HC52*HF52*VLOOKUP('Données projet'!$B$18,Paramètres!$A$1:$I$89,3,0)*0.475*44/12</f>
        <v>0</v>
      </c>
      <c r="HJ52" s="24">
        <f t="shared" si="30"/>
        <v>0</v>
      </c>
    </row>
    <row r="53" spans="1:218" s="5" customFormat="1" x14ac:dyDescent="0.25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2">
        <f t="shared" si="32"/>
        <v>0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0</v>
      </c>
      <c r="H53" s="70">
        <f t="shared" si="1"/>
        <v>256.66666666666669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>
        <f>VLOOKUP(A53,'Données projet'!$A$35:$I$55,2,0)</f>
        <v>180.12820512820511</v>
      </c>
      <c r="L53" s="13">
        <f>VLOOKUP(A53,'Données projet'!$A$35:$I$55,9,0)</f>
        <v>5.5128205128205083</v>
      </c>
      <c r="M53" s="13">
        <f t="array" ref="M53">INDEX(L:L,MIN(IF(ISNUMBER(L53:L249),ROW(L53:L249),"")))</f>
        <v>5.5128205128205083</v>
      </c>
      <c r="N53" s="14">
        <f>IF('Données projet'!$A$36&gt;35,N52+M53-V52,IF(A53&lt;'Données projet'!$A$36,$K$205^A53,IF(A53='Données projet'!$A$36,'Données projet'!$B$36,N52+M53-V52)))</f>
        <v>180.12820512820514</v>
      </c>
      <c r="O53" s="14">
        <f>N53*VLOOKUP('Données projet'!$B$9,Paramètres!$A$1:$I$89,3,0)*VLOOKUP('Données projet'!$B$9,Paramètres!$A$1:$I$89,5,0)</f>
        <v>171.41000000000003</v>
      </c>
      <c r="P53" s="14">
        <f t="shared" si="33"/>
        <v>43.405664710300847</v>
      </c>
      <c r="Q53" s="22">
        <f t="shared" si="53"/>
        <v>374.13728270377402</v>
      </c>
      <c r="R53" s="62">
        <f t="shared" si="0"/>
        <v>667.47061603710733</v>
      </c>
      <c r="S53" s="62">
        <f ca="1">AVERAGE(OFFSET($R$3,0,0,'Données projet'!$E$9+1,1))-AVERAGE(OFFSET($H$3,0,0,'Données projet'!$E$9+1,1))</f>
        <v>367.11183928586667</v>
      </c>
      <c r="T53" s="62">
        <f t="shared" si="34"/>
        <v>281.52963027844595</v>
      </c>
      <c r="U53" s="16">
        <f>IF(ISNA(VLOOKUP(A53,'Données projet'!$A$35:$I$55,3,0)),0,VLOOKUP(A53,'Données projet'!$A$35:$I$55,3,0))</f>
        <v>4</v>
      </c>
      <c r="V53" s="16">
        <f>IF(ISNA(VLOOKUP(A53,'Données projet'!$A$35:$I$55,4,0)),0,VLOOKUP(A53,'Données projet'!$A$35:$I$55,4,0))</f>
        <v>30.769230769230766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0</v>
      </c>
      <c r="AA53" s="23">
        <f>EXP(-LN(2)/25)*AA52+(1-EXP(-LN(2)/25))/(LN(2)/25)*Calculateur!V53*Calculateur!X53*VLOOKUP('Données projet'!$B$9,Paramètres!$A$1:$I$89,3,0)*0.475*44/12</f>
        <v>0</v>
      </c>
      <c r="AB53" s="23">
        <f>EXP(-LN(2)/2)*AB52+(1-EXP(-LN(2)/2))/(LN(2)/2)*V53*Y53*VLOOKUP('Données projet'!$B$9,Paramètres!$A$1:$I$89,3,0)*0.475*44/12</f>
        <v>0</v>
      </c>
      <c r="AC53" s="24">
        <f t="shared" si="3"/>
        <v>0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>
        <f>VLOOKUP(A53,'Données projet'!$A$61:$I$81,2,0)</f>
        <v>199</v>
      </c>
      <c r="AG53" s="13">
        <f>VLOOKUP(A53,'Données projet'!$A$61:$I$81,9,0)</f>
        <v>8.1999999999999993</v>
      </c>
      <c r="AH53" s="13">
        <f t="array" ref="AH53">INDEX(AG:AG,MIN(IF(ISNUMBER(AG53:AG249),ROW(AG53:AG249),"")))</f>
        <v>8.1999999999999993</v>
      </c>
      <c r="AI53" s="14">
        <f>IF('Données projet'!$A$62&gt;35,AI52+AH53-AQ52,IF(A53&lt;'Données projet'!$A$62,$AF$205^A53,IF(A53='Données projet'!$A$62,'Données projet'!$B$62,AI52+AH53-AQ52)))</f>
        <v>199</v>
      </c>
      <c r="AJ53" s="14">
        <f>AI53*VLOOKUP('Données projet'!$B$10,Paramètres!$A$1:$I$89,3,0)*VLOOKUP('Données projet'!$B$10,Paramètres!$A$1:$I$89,5,0)</f>
        <v>180.05519999999999</v>
      </c>
      <c r="AK53" s="14">
        <f t="shared" si="35"/>
        <v>45.334466930398364</v>
      </c>
      <c r="AL53" s="22">
        <f t="shared" si="4"/>
        <v>392.55366990377706</v>
      </c>
      <c r="AM53" s="62">
        <f t="shared" si="5"/>
        <v>685.88700323711032</v>
      </c>
      <c r="AN53" s="62">
        <f ca="1">AVERAGE(OFFSET($AM$3,0,0,'Données projet'!$E$10+1,1))-AVERAGE(OFFSET($H$3,0,0,'Données projet'!$E$10+1,1))</f>
        <v>428.8489304403459</v>
      </c>
      <c r="AO53" s="62">
        <f t="shared" si="36"/>
        <v>247.01165577562966</v>
      </c>
      <c r="AP53" s="16">
        <f>IF(ISNA(VLOOKUP(A53,'Données projet'!$A$61:$I$81,3,0)),0,VLOOKUP(A53,'Données projet'!$A$61:$I$81,3,0))</f>
        <v>3</v>
      </c>
      <c r="AQ53" s="16">
        <f>IF(ISNA(VLOOKUP(A53,'Données projet'!$A$61:$I$81,4,0)),0,VLOOKUP(A53,'Données projet'!$A$61:$I$81,4,0))</f>
        <v>42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projet'!$B$10,Paramètres!$A$1:$I$89,3,0)*0.475*44/12</f>
        <v>0</v>
      </c>
      <c r="AV53" s="23">
        <f>EXP(-LN(2)/25)*AV52+(1-EXP(-LN(2)/25))/(LN(2)/25)*Calculateur!AQ53*Calculateur!AS53*VLOOKUP('Données projet'!$B$10,Paramètres!$A$1:$I$89,3,0)*0.475*44/12</f>
        <v>0</v>
      </c>
      <c r="AW53" s="23">
        <f>EXP(-LN(2)/2)*AW52+(1-EXP(-LN(2)/2))/(LN(2)/2)*AQ53*AT53*VLOOKUP('Données projet'!$B$10,Paramètres!$A$1:$I$89,3,0)*0.475*44/12</f>
        <v>0</v>
      </c>
      <c r="AX53" s="23">
        <f t="shared" si="6"/>
        <v>0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>
        <f>VLOOKUP(A53,'Données projet'!$A$87:$I$107,2,0)</f>
        <v>199</v>
      </c>
      <c r="BB53" s="13">
        <f>VLOOKUP(A53,'Données projet'!$A$87:$I$107,9,0)</f>
        <v>8.1999999999999993</v>
      </c>
      <c r="BC53" s="13">
        <f t="array" ref="BC53">INDEX(BB:BB,MIN(IF(ISNUMBER(BB53:BB249),ROW(BB53:BB249),"")))</f>
        <v>8.1999999999999993</v>
      </c>
      <c r="BD53" s="13">
        <f>IF('Données projet'!$A$88&gt;35,BD52+BC53-BL52,IF(A53&lt;'Données projet'!$A$88,$BA$205^A53,IF(A53='Données projet'!$A$88,'Données projet'!$B$88,BD52+BC53-BL52)))</f>
        <v>199</v>
      </c>
      <c r="BE53" s="14">
        <f>BD53*VLOOKUP('Données projet'!$B$11,Paramètres!$A$1:$I$89,3,0)*VLOOKUP('Données projet'!$B$11,Paramètres!$A$1:$I$89,5,0)</f>
        <v>201.786</v>
      </c>
      <c r="BF53" s="14">
        <f t="shared" si="37"/>
        <v>50.136473146268756</v>
      </c>
      <c r="BG53" s="22">
        <f t="shared" si="7"/>
        <v>438.76497406308476</v>
      </c>
      <c r="BH53" s="62">
        <f t="shared" si="8"/>
        <v>732.09830739641802</v>
      </c>
      <c r="BI53" s="62">
        <f ca="1">AVERAGE(OFFSET($BH$3,0,0,'Données projet'!$E$11+1,1))-AVERAGE(OFFSET($H$3,0,0,'Données projet'!$E$11+1,1))</f>
        <v>475.47920969424894</v>
      </c>
      <c r="BJ53" s="62">
        <f t="shared" si="38"/>
        <v>271.73544012419364</v>
      </c>
      <c r="BK53" s="16">
        <f>IF(ISNA(VLOOKUP(A53,'Données projet'!$A$87:$I$107,3,0)),0,VLOOKUP(A53,'Données projet'!$A$87:$I$107,3,0))</f>
        <v>3</v>
      </c>
      <c r="BL53" s="16">
        <f>IF(ISNA(VLOOKUP(A53,'Données projet'!$A$87:$I$107,4,0)),0,VLOOKUP(A53,'Données projet'!$A$87:$I$107,4,0))</f>
        <v>42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>
        <f>EXP(-LN(2)/35)*BP52+(1-EXP(-LN(2)/35))/(LN(2)/35)*BL53*BM53*VLOOKUP('Données projet'!$B$11,Paramètres!$A$1:$I$89,3,0)*0.475*44/12</f>
        <v>0</v>
      </c>
      <c r="BQ53" s="23">
        <f>EXP(-LN(2)/25)*BQ52+(1-EXP(-LN(2)/25))/(LN(2)/25)*Calculateur!BL53*Calculateur!BN53*VLOOKUP('Données projet'!$B$11,Paramètres!$A$1:$I$89,3,0)*0.475*44/12</f>
        <v>0</v>
      </c>
      <c r="BR53" s="23">
        <f>EXP(-LN(2)/2)*BR52+(1-EXP(-LN(2)/2))/(LN(2)/2)*BL53*BO53*VLOOKUP('Données projet'!$B$11,Paramètres!$A$1:$I$89,3,0)*0.475*44/12</f>
        <v>0</v>
      </c>
      <c r="BS53" s="24">
        <f t="shared" si="9"/>
        <v>0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16.227472527472521</v>
      </c>
      <c r="BY53" s="13">
        <f>IF('Données projet'!$A$114&gt;35,BY52+BX53-CG52,IF(A53&lt;'Données projet'!$A$114,$BV$205^A53,IF(A53='Données projet'!$A$114,'Données projet'!$B$114,BY52+BX53-CG52)))</f>
        <v>330.34285714285721</v>
      </c>
      <c r="BZ53" s="14">
        <f>BY53*VLOOKUP('Données projet'!$B$12,Paramètres!$A$1:$I$89,3,0)*VLOOKUP('Données projet'!$B$12,Paramètres!$A$1:$I$89,5,0)</f>
        <v>184.66165714285719</v>
      </c>
      <c r="CA53" s="14">
        <f t="shared" si="39"/>
        <v>46.357770619215231</v>
      </c>
      <c r="CB53" s="22">
        <f t="shared" si="10"/>
        <v>402.3588366856095</v>
      </c>
      <c r="CC53" s="62">
        <f t="shared" si="11"/>
        <v>695.69217001894276</v>
      </c>
      <c r="CD53" s="62">
        <f ca="1">AVERAGE(OFFSET($CC$3,0,0,'Données projet'!$E$12+1,1))-AVERAGE(OFFSET($H$3,0,0,'Données projet'!$E$12+1,1))</f>
        <v>323.98185264074681</v>
      </c>
      <c r="CE53" s="62">
        <f t="shared" si="40"/>
        <v>301.22207291854005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>
        <f>EXP(-LN(2)/35)*CK52+(1-EXP(-LN(2)/35))/(LN(2)/35)*CG53*CH53*VLOOKUP('Données projet'!$B$12,Paramètres!$A$1:$I$89,3,0)*0.475*44/12</f>
        <v>3.0029193614602718</v>
      </c>
      <c r="CL53" s="23">
        <f>EXP(-LN(2)/25)*CL52+(1-EXP(-LN(2)/25))/(LN(2)/25)*Calculateur!CG53*Calculateur!CI53*VLOOKUP('Données projet'!$B$12,Paramètres!$A$1:$I$89,3,0)*0.475*44/12</f>
        <v>4.7368297654391167</v>
      </c>
      <c r="CM53" s="23">
        <f>EXP(-LN(2)/2)*CM52+(1-EXP(-LN(2)/2))/(LN(2)/2)*CG53*CJ53*VLOOKUP('Données projet'!$B$12,Paramètres!$A$1:$I$89,3,0)*0.475*44/12</f>
        <v>5.9451241988457233E-3</v>
      </c>
      <c r="CN53" s="24">
        <f t="shared" si="12"/>
        <v>7.7456942510982341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>
        <f>VLOOKUP(A53,'Données projet'!$A$139:$I$159,2,0)</f>
        <v>135</v>
      </c>
      <c r="CR53" s="13">
        <f>VLOOKUP(A53,'Données projet'!$A$139:$I$159,9,0)</f>
        <v>5.6</v>
      </c>
      <c r="CS53" s="13">
        <f t="array" ref="CS53">INDEX(CR:CR,MIN(IF(ISNUMBER(CR53:CR249),ROW(CR53:CR249),"")))</f>
        <v>5.6</v>
      </c>
      <c r="CT53" s="13">
        <f>IF('Données projet'!$A$140&gt;35,CT52+CS53-DB52,IF(A53&lt;'Données projet'!$A$140,$CQ$205^A53,IF(A53='Données projet'!$A$140,'Données projet'!$B$140,CT52+CS53-DB52)))</f>
        <v>134.99999999999997</v>
      </c>
      <c r="CU53" s="18">
        <f>CT53*VLOOKUP('Données projet'!$B$13,Paramètres!$A$1:$I$89,3,0)*VLOOKUP('Données projet'!$B$13,Paramètres!$A$1:$I$89,5,0)</f>
        <v>153.73799999999997</v>
      </c>
      <c r="CV53" s="14">
        <f t="shared" si="41"/>
        <v>39.426838781722438</v>
      </c>
      <c r="CW53" s="22">
        <f t="shared" si="13"/>
        <v>336.42876087816649</v>
      </c>
      <c r="CX53" s="62">
        <f t="shared" si="14"/>
        <v>629.76209421149974</v>
      </c>
      <c r="CY53" s="62">
        <f ca="1">AVERAGE(OFFSET($CX$3,0,0,'Données projet'!$E$13+1,1))-AVERAGE(OFFSET($H$3,0,0,'Données projet'!$E$13+1,1))</f>
        <v>399.78832690250164</v>
      </c>
      <c r="CZ53" s="62">
        <f t="shared" si="42"/>
        <v>174.32967064896343</v>
      </c>
      <c r="DA53" s="16">
        <f>IF(ISNA(VLOOKUP(A53,'Données projet'!$A$139:$I$159,3,0)),0,VLOOKUP(A53,'Données projet'!$A$139:$I$159,3,0))</f>
        <v>2</v>
      </c>
      <c r="DB53" s="16">
        <f>IF(ISNA(VLOOKUP(A53,'Données projet'!$A$139:$I$159,4,0)),0,VLOOKUP(A53,'Données projet'!$A$139:$I$159,4,0))</f>
        <v>28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>
        <f>EXP(-LN(2)/35)*DF52+(1-EXP(-LN(2)/35))/(LN(2)/35)*DB53*DC53*VLOOKUP('Données projet'!$B$13,Paramètres!$A$1:$I$89,3,0)*0.475*44/12</f>
        <v>0</v>
      </c>
      <c r="DG53" s="23">
        <f>EXP(-LN(2)/25)*DG52+(1-EXP(-LN(2)/25))/(LN(2)/25)*Calculateur!DB53*Calculateur!DD53*VLOOKUP('Données projet'!$B$13,Paramètres!$A$1:$I$89,3,0)*0.475*44/12</f>
        <v>0</v>
      </c>
      <c r="DH53" s="23">
        <f>EXP(-LN(2)/2)*DH52+(1-EXP(-LN(2)/2))/(LN(2)/2)*DB53*DE53*VLOOKUP('Données projet'!$B$13,Paramètres!$A$1:$I$89,3,0)*0.475*44/12</f>
        <v>0</v>
      </c>
      <c r="DI53" s="24">
        <f t="shared" si="15"/>
        <v>0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>
        <f>VLOOKUP(A53,'Données projet'!$A$165:$I$185,2,0)</f>
        <v>199</v>
      </c>
      <c r="DM53" s="13">
        <f>VLOOKUP(A53,'Données projet'!$A$165:$I$185,9,0)</f>
        <v>8.1999999999999993</v>
      </c>
      <c r="DN53" s="13">
        <f t="array" ref="DN53">INDEX(DM:DM,MIN(IF(ISNUMBER(DM53:DM249),ROW(DM53:DM249),"")))</f>
        <v>8.1999999999999993</v>
      </c>
      <c r="DO53" s="13">
        <f>IF('Données projet'!$A$166&gt;35,DO52+DN53-DW52,IF(A53&lt;'Données projet'!$A$166,$DL$205^A53,IF(A53='Données projet'!$A$166,'Données projet'!$B$166,DO52+DN53-DW52)))</f>
        <v>199</v>
      </c>
      <c r="DP53" s="18">
        <f>DO53*VLOOKUP('Données projet'!$B$14,Paramètres!$A$1:$I$89,3,0)*VLOOKUP('Données projet'!$B$14,Paramètres!$A$1:$I$89,5,0)</f>
        <v>167.63760000000002</v>
      </c>
      <c r="DQ53" s="14">
        <f t="shared" si="43"/>
        <v>42.560494420898017</v>
      </c>
      <c r="DR53" s="22">
        <f t="shared" si="16"/>
        <v>366.09501444973074</v>
      </c>
      <c r="DS53" s="62">
        <f t="shared" si="17"/>
        <v>659.42834778306405</v>
      </c>
      <c r="DT53" s="62">
        <f ca="1">AVERAGE(OFFSET($DS$3,0,0,'Données projet'!$E$14+1,1))-AVERAGE(OFFSET($H$3,0,0,'Données projet'!$E$14+1,1))</f>
        <v>402.15128814037058</v>
      </c>
      <c r="DU53" s="62">
        <f t="shared" si="44"/>
        <v>232.85411068442738</v>
      </c>
      <c r="DV53" s="16">
        <f>IF(ISNA(VLOOKUP(A53,'Données projet'!$A$165:$I$185,3,0)),0,VLOOKUP(A53,'Données projet'!$A$165:$I$185,3,0))</f>
        <v>3</v>
      </c>
      <c r="DW53" s="16">
        <f>IF(ISNA(VLOOKUP(A53,'Données projet'!$A$165:$I$185,4,0)),0,VLOOKUP(A53,'Données projet'!$A$165:$I$185,4,0))</f>
        <v>42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>
        <f>EXP(-LN(2)/35)*EA52+(1-EXP(-LN(2)/35))/(LN(2)/35)*DW53*DX53*VLOOKUP('Données projet'!$B$14,Paramètres!$A$1:$I$89,3,0)*0.475*44/12</f>
        <v>0</v>
      </c>
      <c r="EB53" s="23">
        <f>EXP(-LN(2)/25)*EB52+(1-EXP(-LN(2)/25))/(LN(2)/25)*Calculateur!DW53*Calculateur!DY53*VLOOKUP('Données projet'!$B$14,Paramètres!$A$1:$I$89,3,0)*0.475*44/12</f>
        <v>0</v>
      </c>
      <c r="EC53" s="23">
        <f>EXP(-LN(2)/2)*EC52+(1-EXP(-LN(2)/2))/(LN(2)/2)*DW53*DZ53*VLOOKUP('Données projet'!$B$14,Paramètres!$A$1:$I$89,3,0)*0.475*44/12</f>
        <v>0</v>
      </c>
      <c r="ED53" s="24">
        <f t="shared" si="18"/>
        <v>0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>
        <f>VLOOKUP(A53,'Données projet'!$A$191:$I$211,2,0)</f>
        <v>254.48717948717947</v>
      </c>
      <c r="EH53" s="13">
        <f>VLOOKUP(A53,'Données projet'!$A$191:$I$211,9,0)</f>
        <v>7.3076923076923093</v>
      </c>
      <c r="EI53" s="13">
        <f t="array" ref="EI53">INDEX(EH:EH,MIN(IF(ISNUMBER(EH53:EH249),ROW(EH53:EH249),"")))</f>
        <v>7.3076923076923093</v>
      </c>
      <c r="EJ53" s="13">
        <f>IF('Données projet'!$A$192&gt;35,EJ52+EI53-ER52,IF(A53&lt;'Données projet'!$A$192,$EG$205^A53,IF(A53='Données projet'!$A$192,'Données projet'!$B$192,EJ52+EI53-ER52)))</f>
        <v>254.48717948717962</v>
      </c>
      <c r="EK53" s="18">
        <f>EJ53*VLOOKUP('Données projet'!$B$15,Paramètres!$A$1:$I$89,3,0)*VLOOKUP('Données projet'!$B$15,Paramètres!$A$1:$I$89,5,0)</f>
        <v>265.99000000000018</v>
      </c>
      <c r="EL53" s="14">
        <f t="shared" si="45"/>
        <v>63.997506378840363</v>
      </c>
      <c r="EM53" s="22">
        <f t="shared" si="19"/>
        <v>574.72824027648051</v>
      </c>
      <c r="EN53" s="62">
        <f t="shared" si="20"/>
        <v>868.06157360981388</v>
      </c>
      <c r="EO53" s="62">
        <f ca="1">AVERAGE(OFFSET($EN$3,0,0,'Données projet'!$E$15+1,1))-AVERAGE(OFFSET($H$3,0,0,'Données projet'!$E$15+1,1))</f>
        <v>595.89992279024398</v>
      </c>
      <c r="EP53" s="62">
        <f t="shared" si="46"/>
        <v>378.16197659288338</v>
      </c>
      <c r="EQ53" s="16">
        <f>IF(ISNA(VLOOKUP(A53,'Données projet'!$A$191:$I$211,3,0)),0,VLOOKUP(A53,'Données projet'!$A$191:$I$211,3,0))</f>
        <v>4</v>
      </c>
      <c r="ER53" s="16">
        <f>IF(ISNA(VLOOKUP(A53,'Données projet'!$A$191:$I$211,4,0)),0,VLOOKUP(A53,'Données projet'!$A$191:$I$211,4,0))</f>
        <v>28.846153846153847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>
        <f>EXP(-LN(2)/35)*EV52+(1-EXP(-LN(2)/35))/(LN(2)/35)*ER53*ES53*VLOOKUP('Données projet'!$B$15,Paramètres!$A$1:$I$89,3,0)*0.475*44/12</f>
        <v>0</v>
      </c>
      <c r="EW53" s="23">
        <f>EXP(-LN(2)/25)*EW52+(1-EXP(-LN(2)/25))/(LN(2)/25)*Calculateur!ER53*Calculateur!ET53*VLOOKUP('Données projet'!$B$15,Paramètres!$A$1:$I$89,3,0)*0.475*44/12</f>
        <v>0</v>
      </c>
      <c r="EX53" s="23">
        <f>EXP(-LN(2)/2)*EX52+(1-EXP(-LN(2)/2))/(LN(2)/2)*ER53*EU53*VLOOKUP('Données projet'!$B$15,Paramètres!$A$1:$I$89,3,0)*0.475*44/12</f>
        <v>0</v>
      </c>
      <c r="EY53" s="24">
        <f t="shared" si="21"/>
        <v>0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11.642307692307689</v>
      </c>
      <c r="FE53" s="13">
        <f>IF('Données projet'!$A$218&gt;35,FE52+FD53-FM52,IF(A53&lt;'Données projet'!$A$218,$FB$205^A53,IF(A53='Données projet'!$A$218,'Données projet'!$B$218,FE52+FD53-FM52)))</f>
        <v>308.53076923076907</v>
      </c>
      <c r="FF53" s="18">
        <f>FE53*VLOOKUP('Données projet'!$B$16,Paramètres!$A$1:$I$89,3,0)*VLOOKUP('Données projet'!$B$16,Paramètres!$A$1:$I$89,5,0)</f>
        <v>184.50139999999993</v>
      </c>
      <c r="FG53" s="14">
        <f t="shared" si="47"/>
        <v>46.322220516606542</v>
      </c>
      <c r="FH53" s="22">
        <f t="shared" si="22"/>
        <v>402.01780573308957</v>
      </c>
      <c r="FI53" s="62">
        <f t="shared" si="23"/>
        <v>695.35113906642289</v>
      </c>
      <c r="FJ53" s="62">
        <f ca="1">AVERAGE(OFFSET($FI$3,0,0,'Données projet'!$E$16+1,1))-AVERAGE(OFFSET($H$3,0,0,'Données projet'!$E$16+1,1))</f>
        <v>257.56116197646924</v>
      </c>
      <c r="FK53" s="62">
        <f t="shared" si="48"/>
        <v>269.95556918835888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>
        <f>EXP(-LN(2)/35)*FQ52+(1-EXP(-LN(2)/35))/(LN(2)/35)*FM53*FN53*VLOOKUP('Données projet'!$B$16,Paramètres!$A$1:$I$89,3,0)*0.475*44/12</f>
        <v>9.8125827372255188</v>
      </c>
      <c r="FR53" s="23">
        <f>EXP(-LN(2)/25)*FR52+(1-EXP(-LN(2)/25))/(LN(2)/25)*Calculateur!FM53*Calculateur!FO53*VLOOKUP('Données projet'!$B$16,Paramètres!$A$1:$I$89,3,0)*0.475*44/12</f>
        <v>9.2717607261312782</v>
      </c>
      <c r="FS53" s="23">
        <f>EXP(-LN(2)/2)*FS52+(1-EXP(-LN(2)/2))/(LN(2)/2)*FM53*FP53*VLOOKUP('Données projet'!$B$16,Paramètres!$A$1:$I$89,3,0)*0.475*44/12</f>
        <v>8.3535970917724446E-3</v>
      </c>
      <c r="FT53" s="24">
        <f t="shared" si="24"/>
        <v>19.092697060448568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>
        <f>VLOOKUP(A53,'Données projet'!$A$243:$I$263,2,0)</f>
        <v>291.0846153846154</v>
      </c>
      <c r="FX53" s="13">
        <f>VLOOKUP(A53,'Données projet'!$A$243:$I$263,9,0)</f>
        <v>11.861538461538462</v>
      </c>
      <c r="FY53" s="13">
        <f t="array" ref="FY53">INDEX(FX:FX,MIN(IF(ISNUMBER(FX53:FX249),ROW(FX53:FX249),"")))</f>
        <v>11.861538461538462</v>
      </c>
      <c r="FZ53" s="13">
        <f>IF('Données projet'!$A$244&gt;35,FZ52+FY53-GH52,IF(A53&lt;'Données projet'!$A$244,$FW$205^A53,IF(A53='Données projet'!$A$244,'Données projet'!$B$244,FZ52+FY53-GH52)))</f>
        <v>291.0846153846154</v>
      </c>
      <c r="GA53" s="18">
        <f>FZ53*VLOOKUP('Données projet'!$B$17,Paramètres!$A$1:$I$89,3,0)*VLOOKUP('Données projet'!$B$17,Paramètres!$A$1:$I$89,5,0)</f>
        <v>174.06860000000003</v>
      </c>
      <c r="GB53" s="14">
        <f t="shared" si="49"/>
        <v>43.999996552753835</v>
      </c>
      <c r="GC53" s="22">
        <f t="shared" si="25"/>
        <v>379.80280566271296</v>
      </c>
      <c r="GD53" s="62">
        <f t="shared" si="26"/>
        <v>673.13613899604627</v>
      </c>
      <c r="GE53" s="62">
        <f ca="1">AVERAGE(OFFSET($GD$3,0,0,'Données projet'!$E$17+1,1))-AVERAGE(OFFSET($H$3,0,0,'Données projet'!$E$17+1,1))</f>
        <v>289.12367833861299</v>
      </c>
      <c r="GF53" s="62">
        <f t="shared" si="50"/>
        <v>229.06617320689003</v>
      </c>
      <c r="GG53" s="16">
        <f>IF(ISNA(VLOOKUP(A53,'Données projet'!$A$243:$I$263,3,0)),0,VLOOKUP(A53,'Données projet'!$A$243:$I$263,3,0))</f>
        <v>5</v>
      </c>
      <c r="GH53" s="16">
        <f>IF(ISNA(VLOOKUP(A53,'Données projet'!$A$243:$I$263,4,0)),0,VLOOKUP(A53,'Données projet'!$A$243:$I$263,4,0))</f>
        <v>55.292307692307688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>
        <f>EXP(-LN(2)/35)*GL52+(1-EXP(-LN(2)/35))/(LN(2)/35)*GH53*GI53*VLOOKUP('Données projet'!$B$17,Paramètres!$A$1:$I$89,3,0)*0.475*44/12</f>
        <v>0</v>
      </c>
      <c r="GM53" s="23">
        <f>EXP(-LN(2)/25)*GM52+(1-EXP(-LN(2)/25))/(LN(2)/25)*Calculateur!GH53*Calculateur!GJ53*VLOOKUP('Données projet'!$B$17,Paramètres!$A$1:$I$89,3,0)*0.475*44/12</f>
        <v>0</v>
      </c>
      <c r="GN53" s="23">
        <f>EXP(-LN(2)/2)*GN52+(1-EXP(-LN(2)/2))/(LN(2)/2)*GH53*GK53*VLOOKUP('Données projet'!$B$17,Paramètres!$A$1:$I$89,3,0)*0.475*44/12</f>
        <v>4.049643630884228E-3</v>
      </c>
      <c r="GO53" s="23">
        <f t="shared" si="27"/>
        <v>4.049643630884228E-3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12.232167832167828</v>
      </c>
      <c r="GU53" s="13">
        <f>IF('Données projet'!$A$270&gt;35,GU52+GT53-HC52,IF(A53&lt;'Données projet'!$A$270,$GR$205^A53,IF(A53='Données projet'!$A$270,'Données projet'!$B$270,GU52+GT53-HC52)))</f>
        <v>375.33706293706291</v>
      </c>
      <c r="GV53" s="18">
        <f>GU53*VLOOKUP('Données projet'!$B$18,Paramètres!$A$1:$I$89,3,0)*VLOOKUP('Données projet'!$B$18,Paramètres!$A$1:$I$89,5,0)</f>
        <v>175.65774545454545</v>
      </c>
      <c r="GW53" s="14">
        <f t="shared" si="51"/>
        <v>44.354745837010036</v>
      </c>
      <c r="GX53" s="22">
        <f t="shared" si="28"/>
        <v>383.18842233279247</v>
      </c>
      <c r="GY53" s="62">
        <f t="shared" si="29"/>
        <v>676.52175566612573</v>
      </c>
      <c r="GZ53" s="62">
        <f ca="1">AVERAGE(OFFSET($GY$3,0,0,'Données projet'!$E$18+1,1))-AVERAGE(OFFSET($H$3,0,0,'Données projet'!$E$18+1,1))</f>
        <v>284.88646502866419</v>
      </c>
      <c r="HA53" s="62">
        <f t="shared" si="52"/>
        <v>190.4880882944471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>
        <f>EXP(-LN(2)/35)*HG52+(1-EXP(-LN(2)/35))/(LN(2)/35)*HC53*HD53*VLOOKUP('Données projet'!$B$18,Paramètres!$A$1:$I$89,3,0)*0.475*44/12</f>
        <v>0</v>
      </c>
      <c r="HH53" s="23">
        <f>EXP(-LN(2)/25)*HH52+(1-EXP(-LN(2)/25))/(LN(2)/25)*Calculateur!HC53*Calculateur!HE53*VLOOKUP('Données projet'!$B$18,Paramètres!$A$1:$I$89,3,0)*0.475*44/12</f>
        <v>0</v>
      </c>
      <c r="HI53" s="23">
        <f>EXP(-LN(2)/2)*HI52+(1-EXP(-LN(2)/2))/(LN(2)/2)*HC53*HF53*VLOOKUP('Données projet'!$B$18,Paramètres!$A$1:$I$89,3,0)*0.475*44/12</f>
        <v>0</v>
      </c>
      <c r="HJ53" s="24">
        <f t="shared" si="30"/>
        <v>0</v>
      </c>
    </row>
    <row r="54" spans="1:218" s="5" customFormat="1" x14ac:dyDescent="0.25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2">
        <f t="shared" si="32"/>
        <v>0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0</v>
      </c>
      <c r="H54" s="70">
        <f t="shared" si="1"/>
        <v>256.66666666666669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5.2564102564102599</v>
      </c>
      <c r="N54" s="14">
        <f>IF('Données projet'!$A$36&gt;35,N53+M54-V53,IF(A54&lt;'Données projet'!$A$36,$K$205^A54,IF(A54='Données projet'!$A$36,'Données projet'!$B$36,N53+M54-V53)))</f>
        <v>154.61538461538461</v>
      </c>
      <c r="O54" s="14">
        <f>N54*VLOOKUP('Données projet'!$B$9,Paramètres!$A$1:$I$89,3,0)*VLOOKUP('Données projet'!$B$9,Paramètres!$A$1:$I$89,5,0)</f>
        <v>147.13200000000001</v>
      </c>
      <c r="P54" s="14">
        <f t="shared" si="33"/>
        <v>37.926091844382093</v>
      </c>
      <c r="Q54" s="22">
        <f t="shared" si="53"/>
        <v>322.30950996229876</v>
      </c>
      <c r="R54" s="62">
        <f t="shared" si="0"/>
        <v>615.64284329563202</v>
      </c>
      <c r="S54" s="62">
        <f ca="1">AVERAGE(OFFSET($R$3,0,0,'Données projet'!$E$9+1,1))-AVERAGE(OFFSET($H$3,0,0,'Données projet'!$E$9+1,1))</f>
        <v>367.11183928586667</v>
      </c>
      <c r="T54" s="62">
        <f t="shared" si="34"/>
        <v>281.52963027844595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0</v>
      </c>
      <c r="AA54" s="23">
        <f>EXP(-LN(2)/25)*AA53+(1-EXP(-LN(2)/25))/(LN(2)/25)*Calculateur!V54*Calculateur!X54*VLOOKUP('Données projet'!$B$9,Paramètres!$A$1:$I$89,3,0)*0.475*44/12</f>
        <v>0</v>
      </c>
      <c r="AB54" s="23">
        <f>EXP(-LN(2)/2)*AB53+(1-EXP(-LN(2)/2))/(LN(2)/2)*V54*Y54*VLOOKUP('Données projet'!$B$9,Paramètres!$A$1:$I$89,3,0)*0.475*44/12</f>
        <v>0</v>
      </c>
      <c r="AC54" s="24">
        <f t="shared" si="3"/>
        <v>0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8</v>
      </c>
      <c r="AI54" s="14">
        <f>IF('Données projet'!$A$62&gt;35,AI53+AH54-AQ53,IF(A54&lt;'Données projet'!$A$62,$AF$205^A54,IF(A54='Données projet'!$A$62,'Données projet'!$B$62,AI53+AH54-AQ53)))</f>
        <v>165</v>
      </c>
      <c r="AJ54" s="14">
        <f>AI54*VLOOKUP('Données projet'!$B$10,Paramètres!$A$1:$I$89,3,0)*VLOOKUP('Données projet'!$B$10,Paramètres!$A$1:$I$89,5,0)</f>
        <v>149.29199999999997</v>
      </c>
      <c r="AK54" s="14">
        <f t="shared" si="35"/>
        <v>38.417645803815411</v>
      </c>
      <c r="AL54" s="22">
        <f t="shared" si="4"/>
        <v>326.9276331083118</v>
      </c>
      <c r="AM54" s="62">
        <f t="shared" si="5"/>
        <v>620.26096644164511</v>
      </c>
      <c r="AN54" s="62">
        <f ca="1">AVERAGE(OFFSET($AM$3,0,0,'Données projet'!$E$10+1,1))-AVERAGE(OFFSET($H$3,0,0,'Données projet'!$E$10+1,1))</f>
        <v>428.8489304403459</v>
      </c>
      <c r="AO54" s="62">
        <f t="shared" si="36"/>
        <v>247.01165577562966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0</v>
      </c>
      <c r="AV54" s="23">
        <f>EXP(-LN(2)/25)*AV53+(1-EXP(-LN(2)/25))/(LN(2)/25)*Calculateur!AQ54*Calculateur!AS54*VLOOKUP('Données projet'!$B$10,Paramètres!$A$1:$I$89,3,0)*0.475*44/12</f>
        <v>0</v>
      </c>
      <c r="AW54" s="23">
        <f>EXP(-LN(2)/2)*AW53+(1-EXP(-LN(2)/2))/(LN(2)/2)*AQ54*AT54*VLOOKUP('Données projet'!$B$10,Paramètres!$A$1:$I$89,3,0)*0.475*44/12</f>
        <v>0</v>
      </c>
      <c r="AX54" s="23">
        <f t="shared" si="6"/>
        <v>0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8</v>
      </c>
      <c r="BD54" s="13">
        <f>IF('Données projet'!$A$88&gt;35,BD53+BC54-BL53,IF(A54&lt;'Données projet'!$A$88,$BA$205^A54,IF(A54='Données projet'!$A$88,'Données projet'!$B$88,BD53+BC54-BL53)))</f>
        <v>165</v>
      </c>
      <c r="BE54" s="14">
        <f>BD54*VLOOKUP('Données projet'!$B$11,Paramètres!$A$1:$I$89,3,0)*VLOOKUP('Données projet'!$B$11,Paramètres!$A$1:$I$89,5,0)</f>
        <v>167.31</v>
      </c>
      <c r="BF54" s="14">
        <f t="shared" si="37"/>
        <v>42.486994942347515</v>
      </c>
      <c r="BG54" s="22">
        <f t="shared" si="7"/>
        <v>365.39643285792187</v>
      </c>
      <c r="BH54" s="62">
        <f t="shared" si="8"/>
        <v>658.72976619125518</v>
      </c>
      <c r="BI54" s="62">
        <f ca="1">AVERAGE(OFFSET($BH$3,0,0,'Données projet'!$E$11+1,1))-AVERAGE(OFFSET($H$3,0,0,'Données projet'!$E$11+1,1))</f>
        <v>475.47920969424894</v>
      </c>
      <c r="BJ54" s="62">
        <f t="shared" si="38"/>
        <v>271.73544012419364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>
        <f>EXP(-LN(2)/35)*BP53+(1-EXP(-LN(2)/35))/(LN(2)/35)*BL54*BM54*VLOOKUP('Données projet'!$B$11,Paramètres!$A$1:$I$89,3,0)*0.475*44/12</f>
        <v>0</v>
      </c>
      <c r="BQ54" s="23">
        <f>EXP(-LN(2)/25)*BQ53+(1-EXP(-LN(2)/25))/(LN(2)/25)*Calculateur!BL54*Calculateur!BN54*VLOOKUP('Données projet'!$B$11,Paramètres!$A$1:$I$89,3,0)*0.475*44/12</f>
        <v>0</v>
      </c>
      <c r="BR54" s="23">
        <f>EXP(-LN(2)/2)*BR53+(1-EXP(-LN(2)/2))/(LN(2)/2)*BL54*BO54*VLOOKUP('Données projet'!$B$11,Paramètres!$A$1:$I$89,3,0)*0.475*44/12</f>
        <v>0</v>
      </c>
      <c r="BS54" s="24">
        <f t="shared" si="9"/>
        <v>0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16.227472527472521</v>
      </c>
      <c r="BY54" s="13">
        <f>IF('Données projet'!$A$114&gt;35,BY53+BX54-CG53,IF(A54&lt;'Données projet'!$A$114,$BV$205^A54,IF(A54='Données projet'!$A$114,'Données projet'!$B$114,BY53+BX54-CG53)))</f>
        <v>346.57032967032973</v>
      </c>
      <c r="BZ54" s="14">
        <f>BY54*VLOOKUP('Données projet'!$B$12,Paramètres!$A$1:$I$89,3,0)*VLOOKUP('Données projet'!$B$12,Paramètres!$A$1:$I$89,5,0)</f>
        <v>193.73281428571431</v>
      </c>
      <c r="CA54" s="14">
        <f t="shared" si="39"/>
        <v>48.364288285880889</v>
      </c>
      <c r="CB54" s="22">
        <f t="shared" si="10"/>
        <v>421.65245364552828</v>
      </c>
      <c r="CC54" s="62">
        <f t="shared" si="11"/>
        <v>714.9857869788616</v>
      </c>
      <c r="CD54" s="62">
        <f ca="1">AVERAGE(OFFSET($CC$3,0,0,'Données projet'!$E$12+1,1))-AVERAGE(OFFSET($H$3,0,0,'Données projet'!$E$12+1,1))</f>
        <v>323.98185264074681</v>
      </c>
      <c r="CE54" s="62">
        <f t="shared" si="40"/>
        <v>301.22207291854005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>
        <f>EXP(-LN(2)/35)*CK53+(1-EXP(-LN(2)/35))/(LN(2)/35)*CG54*CH54*VLOOKUP('Données projet'!$B$12,Paramètres!$A$1:$I$89,3,0)*0.475*44/12</f>
        <v>2.944033944381991</v>
      </c>
      <c r="CL54" s="23">
        <f>EXP(-LN(2)/25)*CL53+(1-EXP(-LN(2)/25))/(LN(2)/25)*Calculateur!CG54*Calculateur!CI54*VLOOKUP('Données projet'!$B$12,Paramètres!$A$1:$I$89,3,0)*0.475*44/12</f>
        <v>4.6073009064041326</v>
      </c>
      <c r="CM54" s="23">
        <f>EXP(-LN(2)/2)*CM53+(1-EXP(-LN(2)/2))/(LN(2)/2)*CG54*CJ54*VLOOKUP('Données projet'!$B$12,Paramètres!$A$1:$I$89,3,0)*0.475*44/12</f>
        <v>4.2038376360000514E-3</v>
      </c>
      <c r="CN54" s="24">
        <f t="shared" si="12"/>
        <v>7.5555386884221232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5.6</v>
      </c>
      <c r="CT54" s="13">
        <f>IF('Données projet'!$A$140&gt;35,CT53+CS54-DB53,IF(A54&lt;'Données projet'!$A$140,$CQ$205^A54,IF(A54='Données projet'!$A$140,'Données projet'!$B$140,CT53+CS54-DB53)))</f>
        <v>112.59999999999997</v>
      </c>
      <c r="CU54" s="18">
        <f>CT54*VLOOKUP('Données projet'!$B$13,Paramètres!$A$1:$I$89,3,0)*VLOOKUP('Données projet'!$B$13,Paramètres!$A$1:$I$89,5,0)</f>
        <v>128.22887999999998</v>
      </c>
      <c r="CV54" s="14">
        <f t="shared" si="41"/>
        <v>33.586779340295337</v>
      </c>
      <c r="CW54" s="22">
        <f t="shared" si="13"/>
        <v>281.82894001768102</v>
      </c>
      <c r="CX54" s="62">
        <f t="shared" si="14"/>
        <v>575.16227335101439</v>
      </c>
      <c r="CY54" s="62">
        <f ca="1">AVERAGE(OFFSET($CX$3,0,0,'Données projet'!$E$13+1,1))-AVERAGE(OFFSET($H$3,0,0,'Données projet'!$E$13+1,1))</f>
        <v>399.78832690250164</v>
      </c>
      <c r="CZ54" s="62">
        <f t="shared" si="42"/>
        <v>174.32967064896343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>
        <f>EXP(-LN(2)/35)*DF53+(1-EXP(-LN(2)/35))/(LN(2)/35)*DB54*DC54*VLOOKUP('Données projet'!$B$13,Paramètres!$A$1:$I$89,3,0)*0.475*44/12</f>
        <v>0</v>
      </c>
      <c r="DG54" s="23">
        <f>EXP(-LN(2)/25)*DG53+(1-EXP(-LN(2)/25))/(LN(2)/25)*Calculateur!DB54*Calculateur!DD54*VLOOKUP('Données projet'!$B$13,Paramètres!$A$1:$I$89,3,0)*0.475*44/12</f>
        <v>0</v>
      </c>
      <c r="DH54" s="23">
        <f>EXP(-LN(2)/2)*DH53+(1-EXP(-LN(2)/2))/(LN(2)/2)*DB54*DE54*VLOOKUP('Données projet'!$B$13,Paramètres!$A$1:$I$89,3,0)*0.475*44/12</f>
        <v>0</v>
      </c>
      <c r="DI54" s="24">
        <f t="shared" si="15"/>
        <v>0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8</v>
      </c>
      <c r="DO54" s="13">
        <f>IF('Données projet'!$A$166&gt;35,DO53+DN54-DW53,IF(A54&lt;'Données projet'!$A$166,$DL$205^A54,IF(A54='Données projet'!$A$166,'Données projet'!$B$166,DO53+DN54-DW53)))</f>
        <v>165</v>
      </c>
      <c r="DP54" s="18">
        <f>DO54*VLOOKUP('Données projet'!$B$14,Paramètres!$A$1:$I$89,3,0)*VLOOKUP('Données projet'!$B$14,Paramètres!$A$1:$I$89,5,0)</f>
        <v>138.99600000000001</v>
      </c>
      <c r="DQ54" s="14">
        <f t="shared" si="43"/>
        <v>36.066906938767758</v>
      </c>
      <c r="DR54" s="22">
        <f t="shared" si="16"/>
        <v>304.90122958502047</v>
      </c>
      <c r="DS54" s="62">
        <f t="shared" si="17"/>
        <v>598.23456291835373</v>
      </c>
      <c r="DT54" s="62">
        <f ca="1">AVERAGE(OFFSET($DS$3,0,0,'Données projet'!$E$14+1,1))-AVERAGE(OFFSET($H$3,0,0,'Données projet'!$E$14+1,1))</f>
        <v>402.15128814037058</v>
      </c>
      <c r="DU54" s="62">
        <f t="shared" si="44"/>
        <v>232.85411068442738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>
        <f>EXP(-LN(2)/35)*EA53+(1-EXP(-LN(2)/35))/(LN(2)/35)*DW54*DX54*VLOOKUP('Données projet'!$B$14,Paramètres!$A$1:$I$89,3,0)*0.475*44/12</f>
        <v>0</v>
      </c>
      <c r="EB54" s="23">
        <f>EXP(-LN(2)/25)*EB53+(1-EXP(-LN(2)/25))/(LN(2)/25)*Calculateur!DW54*Calculateur!DY54*VLOOKUP('Données projet'!$B$14,Paramètres!$A$1:$I$89,3,0)*0.475*44/12</f>
        <v>0</v>
      </c>
      <c r="EC54" s="23">
        <f>EXP(-LN(2)/2)*EC53+(1-EXP(-LN(2)/2))/(LN(2)/2)*DW54*DZ54*VLOOKUP('Données projet'!$B$14,Paramètres!$A$1:$I$89,3,0)*0.475*44/12</f>
        <v>0</v>
      </c>
      <c r="ED54" s="24">
        <f t="shared" si="18"/>
        <v>0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6.6666666666666625</v>
      </c>
      <c r="EJ54" s="13">
        <f>IF('Données projet'!$A$192&gt;35,EJ53+EI54-ER53,IF(A54&lt;'Données projet'!$A$192,$EG$205^A54,IF(A54='Données projet'!$A$192,'Données projet'!$B$192,EJ53+EI54-ER53)))</f>
        <v>232.30769230769246</v>
      </c>
      <c r="EK54" s="18">
        <f>EJ54*VLOOKUP('Données projet'!$B$15,Paramètres!$A$1:$I$89,3,0)*VLOOKUP('Données projet'!$B$15,Paramètres!$A$1:$I$89,5,0)</f>
        <v>242.80800000000019</v>
      </c>
      <c r="EL54" s="14">
        <f t="shared" si="45"/>
        <v>59.043275748041687</v>
      </c>
      <c r="EM54" s="22">
        <f t="shared" si="19"/>
        <v>525.72430526117284</v>
      </c>
      <c r="EN54" s="62">
        <f t="shared" si="20"/>
        <v>819.05763859450622</v>
      </c>
      <c r="EO54" s="62">
        <f ca="1">AVERAGE(OFFSET($EN$3,0,0,'Données projet'!$E$15+1,1))-AVERAGE(OFFSET($H$3,0,0,'Données projet'!$E$15+1,1))</f>
        <v>595.89992279024398</v>
      </c>
      <c r="EP54" s="62">
        <f t="shared" si="46"/>
        <v>378.16197659288338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>
        <f>EXP(-LN(2)/35)*EV53+(1-EXP(-LN(2)/35))/(LN(2)/35)*ER54*ES54*VLOOKUP('Données projet'!$B$15,Paramètres!$A$1:$I$89,3,0)*0.475*44/12</f>
        <v>0</v>
      </c>
      <c r="EW54" s="23">
        <f>EXP(-LN(2)/25)*EW53+(1-EXP(-LN(2)/25))/(LN(2)/25)*Calculateur!ER54*Calculateur!ET54*VLOOKUP('Données projet'!$B$15,Paramètres!$A$1:$I$89,3,0)*0.475*44/12</f>
        <v>0</v>
      </c>
      <c r="EX54" s="23">
        <f>EXP(-LN(2)/2)*EX53+(1-EXP(-LN(2)/2))/(LN(2)/2)*ER54*EU54*VLOOKUP('Données projet'!$B$15,Paramètres!$A$1:$I$89,3,0)*0.475*44/12</f>
        <v>0</v>
      </c>
      <c r="EY54" s="24">
        <f t="shared" si="21"/>
        <v>0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11.642307692307689</v>
      </c>
      <c r="FE54" s="13">
        <f>IF('Données projet'!$A$218&gt;35,FE53+FD54-FM53,IF(A54&lt;'Données projet'!$A$218,$FB$205^A54,IF(A54='Données projet'!$A$218,'Données projet'!$B$218,FE53+FD54-FM53)))</f>
        <v>320.17307692307674</v>
      </c>
      <c r="FF54" s="18">
        <f>FE54*VLOOKUP('Données projet'!$B$16,Paramètres!$A$1:$I$89,3,0)*VLOOKUP('Données projet'!$B$16,Paramètres!$A$1:$I$89,5,0)</f>
        <v>191.46349999999993</v>
      </c>
      <c r="FG54" s="14">
        <f t="shared" si="47"/>
        <v>47.863367286908087</v>
      </c>
      <c r="FH54" s="22">
        <f t="shared" si="22"/>
        <v>416.82762719136468</v>
      </c>
      <c r="FI54" s="62">
        <f t="shared" si="23"/>
        <v>710.160960524698</v>
      </c>
      <c r="FJ54" s="62">
        <f ca="1">AVERAGE(OFFSET($FI$3,0,0,'Données projet'!$E$16+1,1))-AVERAGE(OFFSET($H$3,0,0,'Données projet'!$E$16+1,1))</f>
        <v>257.56116197646924</v>
      </c>
      <c r="FK54" s="62">
        <f t="shared" si="48"/>
        <v>269.95556918835888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>
        <f>EXP(-LN(2)/35)*FQ53+(1-EXP(-LN(2)/35))/(LN(2)/35)*FM54*FN54*VLOOKUP('Données projet'!$B$16,Paramètres!$A$1:$I$89,3,0)*0.475*44/12</f>
        <v>9.6201639748330177</v>
      </c>
      <c r="FR54" s="23">
        <f>EXP(-LN(2)/25)*FR53+(1-EXP(-LN(2)/25))/(LN(2)/25)*Calculateur!FM54*Calculateur!FO54*VLOOKUP('Données projet'!$B$16,Paramètres!$A$1:$I$89,3,0)*0.475*44/12</f>
        <v>9.0182239414945133</v>
      </c>
      <c r="FS54" s="23">
        <f>EXP(-LN(2)/2)*FS53+(1-EXP(-LN(2)/2))/(LN(2)/2)*FM54*FP54*VLOOKUP('Données projet'!$B$16,Paramètres!$A$1:$I$89,3,0)*0.475*44/12</f>
        <v>5.9068851508925178E-3</v>
      </c>
      <c r="FT54" s="24">
        <f t="shared" si="24"/>
        <v>18.644294801478424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10.66307692307692</v>
      </c>
      <c r="FZ54" s="13">
        <f>IF('Données projet'!$A$244&gt;35,FZ53+FY54-GH53,IF(A54&lt;'Données projet'!$A$244,$FW$205^A54,IF(A54='Données projet'!$A$244,'Données projet'!$B$244,FZ53+FY54-GH53)))</f>
        <v>246.45538461538462</v>
      </c>
      <c r="GA54" s="18">
        <f>FZ54*VLOOKUP('Données projet'!$B$17,Paramètres!$A$1:$I$89,3,0)*VLOOKUP('Données projet'!$B$17,Paramètres!$A$1:$I$89,5,0)</f>
        <v>147.38032000000001</v>
      </c>
      <c r="GB54" s="14">
        <f t="shared" si="49"/>
        <v>37.982644854557613</v>
      </c>
      <c r="GC54" s="22">
        <f t="shared" si="25"/>
        <v>322.84049712168786</v>
      </c>
      <c r="GD54" s="62">
        <f t="shared" si="26"/>
        <v>616.17383045502118</v>
      </c>
      <c r="GE54" s="62">
        <f ca="1">AVERAGE(OFFSET($GD$3,0,0,'Données projet'!$E$17+1,1))-AVERAGE(OFFSET($H$3,0,0,'Données projet'!$E$17+1,1))</f>
        <v>289.12367833861299</v>
      </c>
      <c r="GF54" s="62">
        <f t="shared" si="50"/>
        <v>229.06617320689003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>
        <f>EXP(-LN(2)/35)*GL53+(1-EXP(-LN(2)/35))/(LN(2)/35)*GH54*GI54*VLOOKUP('Données projet'!$B$17,Paramètres!$A$1:$I$89,3,0)*0.475*44/12</f>
        <v>0</v>
      </c>
      <c r="GM54" s="23">
        <f>EXP(-LN(2)/25)*GM53+(1-EXP(-LN(2)/25))/(LN(2)/25)*Calculateur!GH54*Calculateur!GJ54*VLOOKUP('Données projet'!$B$17,Paramètres!$A$1:$I$89,3,0)*0.475*44/12</f>
        <v>0</v>
      </c>
      <c r="GN54" s="23">
        <f>EXP(-LN(2)/2)*GN53+(1-EXP(-LN(2)/2))/(LN(2)/2)*GH54*GK54*VLOOKUP('Données projet'!$B$17,Paramètres!$A$1:$I$89,3,0)*0.475*44/12</f>
        <v>2.8635304727871497E-3</v>
      </c>
      <c r="GO54" s="23">
        <f t="shared" si="27"/>
        <v>2.8635304727871497E-3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>
        <f>VLOOKUP(A54,'Données projet'!$A$269:$I$289,2,0)</f>
        <v>387.56923076923073</v>
      </c>
      <c r="GS54" s="13">
        <f>VLOOKUP(A54,'Données projet'!$A$269:$I$289,9,0)</f>
        <v>12.232167832167828</v>
      </c>
      <c r="GT54" s="13">
        <f t="array" ref="GT54">INDEX(GS:GS,MIN(IF(ISNUMBER(GS54:GS250),ROW(GS54:GS250),"")))</f>
        <v>12.232167832167828</v>
      </c>
      <c r="GU54" s="13">
        <f>IF('Données projet'!$A$270&gt;35,GU53+GT54-HC53,IF(A54&lt;'Données projet'!$A$270,$GR$205^A54,IF(A54='Données projet'!$A$270,'Données projet'!$B$270,GU53+GT54-HC53)))</f>
        <v>387.56923076923073</v>
      </c>
      <c r="GV54" s="18">
        <f>GU54*VLOOKUP('Données projet'!$B$18,Paramètres!$A$1:$I$89,3,0)*VLOOKUP('Données projet'!$B$18,Paramètres!$A$1:$I$89,5,0)</f>
        <v>181.38239999999996</v>
      </c>
      <c r="GW54" s="14">
        <f t="shared" si="51"/>
        <v>45.629607617375228</v>
      </c>
      <c r="GX54" s="22">
        <f t="shared" si="28"/>
        <v>395.37924660026175</v>
      </c>
      <c r="GY54" s="62">
        <f t="shared" si="29"/>
        <v>688.71257993359507</v>
      </c>
      <c r="GZ54" s="62">
        <f ca="1">AVERAGE(OFFSET($GY$3,0,0,'Données projet'!$E$18+1,1))-AVERAGE(OFFSET($H$3,0,0,'Données projet'!$E$18+1,1))</f>
        <v>284.88646502866419</v>
      </c>
      <c r="HA54" s="62">
        <f t="shared" si="52"/>
        <v>190.4880882944471</v>
      </c>
      <c r="HB54" s="16">
        <f>IF(ISNA(VLOOKUP(A54,'Données projet'!$A$269:$I$289,3,0)),0,VLOOKUP(A54,'Données projet'!$A$269:$I$289,3,0))</f>
        <v>1</v>
      </c>
      <c r="HC54" s="16">
        <f>IF(ISNA(VLOOKUP(A54,'Données projet'!$A$269:$I$289,4,0)),0,VLOOKUP(A54,'Données projet'!$A$269:$I$289,4,0))</f>
        <v>170.16153846153847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>
        <f>EXP(-LN(2)/35)*HG53+(1-EXP(-LN(2)/35))/(LN(2)/35)*HC54*HD54*VLOOKUP('Données projet'!$B$18,Paramètres!$A$1:$I$89,3,0)*0.475*44/12</f>
        <v>0</v>
      </c>
      <c r="HH54" s="23">
        <f>EXP(-LN(2)/25)*HH53+(1-EXP(-LN(2)/25))/(LN(2)/25)*Calculateur!HC54*Calculateur!HE54*VLOOKUP('Données projet'!$B$18,Paramètres!$A$1:$I$89,3,0)*0.475*44/12</f>
        <v>0</v>
      </c>
      <c r="HI54" s="23">
        <f>EXP(-LN(2)/2)*HI53+(1-EXP(-LN(2)/2))/(LN(2)/2)*HC54*HF54*VLOOKUP('Données projet'!$B$18,Paramètres!$A$1:$I$89,3,0)*0.475*44/12</f>
        <v>0</v>
      </c>
      <c r="HJ54" s="24">
        <f t="shared" si="30"/>
        <v>0</v>
      </c>
    </row>
    <row r="55" spans="1:218" s="5" customFormat="1" x14ac:dyDescent="0.25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2">
        <f t="shared" si="32"/>
        <v>0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0</v>
      </c>
      <c r="H55" s="70">
        <f t="shared" si="1"/>
        <v>256.66666666666669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5.2564102564102599</v>
      </c>
      <c r="N55" s="14">
        <f>IF('Données projet'!$A$36&gt;35,N54+M55-V54,IF(A55&lt;'Données projet'!$A$36,$K$205^A55,IF(A55='Données projet'!$A$36,'Données projet'!$B$36,N54+M55-V54)))</f>
        <v>159.87179487179486</v>
      </c>
      <c r="O55" s="14">
        <f>N55*VLOOKUP('Données projet'!$B$9,Paramètres!$A$1:$I$89,3,0)*VLOOKUP('Données projet'!$B$9,Paramètres!$A$1:$I$89,5,0)</f>
        <v>152.13399999999999</v>
      </c>
      <c r="P55" s="14">
        <f t="shared" si="33"/>
        <v>39.063145346110034</v>
      </c>
      <c r="Q55" s="22">
        <f t="shared" si="53"/>
        <v>333.00169481114159</v>
      </c>
      <c r="R55" s="62">
        <f t="shared" si="0"/>
        <v>626.3350281444749</v>
      </c>
      <c r="S55" s="62">
        <f ca="1">AVERAGE(OFFSET($R$3,0,0,'Données projet'!$E$9+1,1))-AVERAGE(OFFSET($H$3,0,0,'Données projet'!$E$9+1,1))</f>
        <v>367.11183928586667</v>
      </c>
      <c r="T55" s="62">
        <f t="shared" si="34"/>
        <v>281.52963027844595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0</v>
      </c>
      <c r="AA55" s="23">
        <f>EXP(-LN(2)/25)*AA54+(1-EXP(-LN(2)/25))/(LN(2)/25)*Calculateur!V55*Calculateur!X55*VLOOKUP('Données projet'!$B$9,Paramètres!$A$1:$I$89,3,0)*0.475*44/12</f>
        <v>0</v>
      </c>
      <c r="AB55" s="23">
        <f>EXP(-LN(2)/2)*AB54+(1-EXP(-LN(2)/2))/(LN(2)/2)*V55*Y55*VLOOKUP('Données projet'!$B$9,Paramètres!$A$1:$I$89,3,0)*0.475*44/12</f>
        <v>0</v>
      </c>
      <c r="AC55" s="24">
        <f t="shared" si="3"/>
        <v>0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8</v>
      </c>
      <c r="AI55" s="14">
        <f>IF('Données projet'!$A$62&gt;35,AI54+AH55-AQ54,IF(A55&lt;'Données projet'!$A$62,$AF$205^A55,IF(A55='Données projet'!$A$62,'Données projet'!$B$62,AI54+AH55-AQ54)))</f>
        <v>173</v>
      </c>
      <c r="AJ55" s="14">
        <f>AI55*VLOOKUP('Données projet'!$B$10,Paramètres!$A$1:$I$89,3,0)*VLOOKUP('Données projet'!$B$10,Paramètres!$A$1:$I$89,5,0)</f>
        <v>156.53039999999999</v>
      </c>
      <c r="AK55" s="14">
        <f t="shared" si="35"/>
        <v>40.058941713182037</v>
      </c>
      <c r="AL55" s="22">
        <f t="shared" si="4"/>
        <v>342.393103483792</v>
      </c>
      <c r="AM55" s="62">
        <f t="shared" si="5"/>
        <v>635.72643681712532</v>
      </c>
      <c r="AN55" s="62">
        <f ca="1">AVERAGE(OFFSET($AM$3,0,0,'Données projet'!$E$10+1,1))-AVERAGE(OFFSET($H$3,0,0,'Données projet'!$E$10+1,1))</f>
        <v>428.8489304403459</v>
      </c>
      <c r="AO55" s="62">
        <f t="shared" si="36"/>
        <v>247.01165577562966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0</v>
      </c>
      <c r="AV55" s="23">
        <f>EXP(-LN(2)/25)*AV54+(1-EXP(-LN(2)/25))/(LN(2)/25)*Calculateur!AQ55*Calculateur!AS55*VLOOKUP('Données projet'!$B$10,Paramètres!$A$1:$I$89,3,0)*0.475*44/12</f>
        <v>0</v>
      </c>
      <c r="AW55" s="23">
        <f>EXP(-LN(2)/2)*AW54+(1-EXP(-LN(2)/2))/(LN(2)/2)*AQ55*AT55*VLOOKUP('Données projet'!$B$10,Paramètres!$A$1:$I$89,3,0)*0.475*44/12</f>
        <v>0</v>
      </c>
      <c r="AX55" s="23">
        <f t="shared" si="6"/>
        <v>0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8</v>
      </c>
      <c r="BD55" s="13">
        <f>IF('Données projet'!$A$88&gt;35,BD54+BC55-BL54,IF(A55&lt;'Données projet'!$A$88,$BA$205^A55,IF(A55='Données projet'!$A$88,'Données projet'!$B$88,BD54+BC55-BL54)))</f>
        <v>173</v>
      </c>
      <c r="BE55" s="14">
        <f>BD55*VLOOKUP('Données projet'!$B$11,Paramètres!$A$1:$I$89,3,0)*VLOOKUP('Données projet'!$B$11,Paramètres!$A$1:$I$89,5,0)</f>
        <v>175.422</v>
      </c>
      <c r="BF55" s="14">
        <f t="shared" si="37"/>
        <v>44.302143412304737</v>
      </c>
      <c r="BG55" s="22">
        <f t="shared" si="7"/>
        <v>382.68621644309741</v>
      </c>
      <c r="BH55" s="62">
        <f t="shared" si="8"/>
        <v>676.01954977643072</v>
      </c>
      <c r="BI55" s="62">
        <f ca="1">AVERAGE(OFFSET($BH$3,0,0,'Données projet'!$E$11+1,1))-AVERAGE(OFFSET($H$3,0,0,'Données projet'!$E$11+1,1))</f>
        <v>475.47920969424894</v>
      </c>
      <c r="BJ55" s="62">
        <f t="shared" si="38"/>
        <v>271.73544012419364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>
        <f>EXP(-LN(2)/35)*BP54+(1-EXP(-LN(2)/35))/(LN(2)/35)*BL55*BM55*VLOOKUP('Données projet'!$B$11,Paramètres!$A$1:$I$89,3,0)*0.475*44/12</f>
        <v>0</v>
      </c>
      <c r="BQ55" s="23">
        <f>EXP(-LN(2)/25)*BQ54+(1-EXP(-LN(2)/25))/(LN(2)/25)*Calculateur!BL55*Calculateur!BN55*VLOOKUP('Données projet'!$B$11,Paramètres!$A$1:$I$89,3,0)*0.475*44/12</f>
        <v>0</v>
      </c>
      <c r="BR55" s="23">
        <f>EXP(-LN(2)/2)*BR54+(1-EXP(-LN(2)/2))/(LN(2)/2)*BL55*BO55*VLOOKUP('Données projet'!$B$11,Paramètres!$A$1:$I$89,3,0)*0.475*44/12</f>
        <v>0</v>
      </c>
      <c r="BS55" s="24">
        <f t="shared" si="9"/>
        <v>0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16.227472527472521</v>
      </c>
      <c r="BY55" s="13">
        <f>IF('Données projet'!$A$114&gt;35,BY54+BX55-CG54,IF(A55&lt;'Données projet'!$A$114,$BV$205^A55,IF(A55='Données projet'!$A$114,'Données projet'!$B$114,BY54+BX55-CG54)))</f>
        <v>362.79780219780224</v>
      </c>
      <c r="BZ55" s="14">
        <f>BY55*VLOOKUP('Données projet'!$B$12,Paramètres!$A$1:$I$89,3,0)*VLOOKUP('Données projet'!$B$12,Paramètres!$A$1:$I$89,5,0)</f>
        <v>202.80397142857146</v>
      </c>
      <c r="CA55" s="14">
        <f t="shared" si="39"/>
        <v>50.359895566849652</v>
      </c>
      <c r="CB55" s="22">
        <f t="shared" si="10"/>
        <v>440.92706835035841</v>
      </c>
      <c r="CC55" s="62">
        <f t="shared" si="11"/>
        <v>734.26040168369173</v>
      </c>
      <c r="CD55" s="62">
        <f ca="1">AVERAGE(OFFSET($CC$3,0,0,'Données projet'!$E$12+1,1))-AVERAGE(OFFSET($H$3,0,0,'Données projet'!$E$12+1,1))</f>
        <v>323.98185264074681</v>
      </c>
      <c r="CE55" s="62">
        <f t="shared" si="40"/>
        <v>301.22207291854005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>
        <f>EXP(-LN(2)/35)*CK54+(1-EXP(-LN(2)/35))/(LN(2)/35)*CG55*CH55*VLOOKUP('Données projet'!$B$12,Paramètres!$A$1:$I$89,3,0)*0.475*44/12</f>
        <v>2.8863032344160571</v>
      </c>
      <c r="CL55" s="23">
        <f>EXP(-LN(2)/25)*CL54+(1-EXP(-LN(2)/25))/(LN(2)/25)*Calculateur!CG55*Calculateur!CI55*VLOOKUP('Données projet'!$B$12,Paramètres!$A$1:$I$89,3,0)*0.475*44/12</f>
        <v>4.4813140208310873</v>
      </c>
      <c r="CM55" s="23">
        <f>EXP(-LN(2)/2)*CM54+(1-EXP(-LN(2)/2))/(LN(2)/2)*CG55*CJ55*VLOOKUP('Données projet'!$B$12,Paramètres!$A$1:$I$89,3,0)*0.475*44/12</f>
        <v>2.9725620994228616E-3</v>
      </c>
      <c r="CN55" s="24">
        <f t="shared" si="12"/>
        <v>7.3705898173465672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5.6</v>
      </c>
      <c r="CT55" s="13">
        <f>IF('Données projet'!$A$140&gt;35,CT54+CS55-DB54,IF(A55&lt;'Données projet'!$A$140,$CQ$205^A55,IF(A55='Données projet'!$A$140,'Données projet'!$B$140,CT54+CS55-DB54)))</f>
        <v>118.19999999999996</v>
      </c>
      <c r="CU55" s="18">
        <f>CT55*VLOOKUP('Données projet'!$B$13,Paramètres!$A$1:$I$89,3,0)*VLOOKUP('Données projet'!$B$13,Paramètres!$A$1:$I$89,5,0)</f>
        <v>134.60615999999996</v>
      </c>
      <c r="CV55" s="14">
        <f t="shared" si="41"/>
        <v>35.05854123936858</v>
      </c>
      <c r="CW55" s="22">
        <f t="shared" si="13"/>
        <v>295.49935465856686</v>
      </c>
      <c r="CX55" s="62">
        <f t="shared" si="14"/>
        <v>588.83268799190023</v>
      </c>
      <c r="CY55" s="62">
        <f ca="1">AVERAGE(OFFSET($CX$3,0,0,'Données projet'!$E$13+1,1))-AVERAGE(OFFSET($H$3,0,0,'Données projet'!$E$13+1,1))</f>
        <v>399.78832690250164</v>
      </c>
      <c r="CZ55" s="62">
        <f t="shared" si="42"/>
        <v>174.32967064896343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>
        <f>EXP(-LN(2)/35)*DF54+(1-EXP(-LN(2)/35))/(LN(2)/35)*DB55*DC55*VLOOKUP('Données projet'!$B$13,Paramètres!$A$1:$I$89,3,0)*0.475*44/12</f>
        <v>0</v>
      </c>
      <c r="DG55" s="23">
        <f>EXP(-LN(2)/25)*DG54+(1-EXP(-LN(2)/25))/(LN(2)/25)*Calculateur!DB55*Calculateur!DD55*VLOOKUP('Données projet'!$B$13,Paramètres!$A$1:$I$89,3,0)*0.475*44/12</f>
        <v>0</v>
      </c>
      <c r="DH55" s="23">
        <f>EXP(-LN(2)/2)*DH54+(1-EXP(-LN(2)/2))/(LN(2)/2)*DB55*DE55*VLOOKUP('Données projet'!$B$13,Paramètres!$A$1:$I$89,3,0)*0.475*44/12</f>
        <v>0</v>
      </c>
      <c r="DI55" s="24">
        <f t="shared" si="15"/>
        <v>0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8</v>
      </c>
      <c r="DO55" s="13">
        <f>IF('Données projet'!$A$166&gt;35,DO54+DN55-DW54,IF(A55&lt;'Données projet'!$A$166,$DL$205^A55,IF(A55='Données projet'!$A$166,'Données projet'!$B$166,DO54+DN55-DW54)))</f>
        <v>173</v>
      </c>
      <c r="DP55" s="18">
        <f>DO55*VLOOKUP('Données projet'!$B$14,Paramètres!$A$1:$I$89,3,0)*VLOOKUP('Données projet'!$B$14,Paramètres!$A$1:$I$89,5,0)</f>
        <v>145.73520000000002</v>
      </c>
      <c r="DQ55" s="14">
        <f t="shared" si="43"/>
        <v>37.607773527116258</v>
      </c>
      <c r="DR55" s="22">
        <f t="shared" si="16"/>
        <v>319.32234555972747</v>
      </c>
      <c r="DS55" s="62">
        <f t="shared" si="17"/>
        <v>612.65567889306078</v>
      </c>
      <c r="DT55" s="62">
        <f ca="1">AVERAGE(OFFSET($DS$3,0,0,'Données projet'!$E$14+1,1))-AVERAGE(OFFSET($H$3,0,0,'Données projet'!$E$14+1,1))</f>
        <v>402.15128814037058</v>
      </c>
      <c r="DU55" s="62">
        <f t="shared" si="44"/>
        <v>232.85411068442738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>
        <f>EXP(-LN(2)/35)*EA54+(1-EXP(-LN(2)/35))/(LN(2)/35)*DW55*DX55*VLOOKUP('Données projet'!$B$14,Paramètres!$A$1:$I$89,3,0)*0.475*44/12</f>
        <v>0</v>
      </c>
      <c r="EB55" s="23">
        <f>EXP(-LN(2)/25)*EB54+(1-EXP(-LN(2)/25))/(LN(2)/25)*Calculateur!DW55*Calculateur!DY55*VLOOKUP('Données projet'!$B$14,Paramètres!$A$1:$I$89,3,0)*0.475*44/12</f>
        <v>0</v>
      </c>
      <c r="EC55" s="23">
        <f>EXP(-LN(2)/2)*EC54+(1-EXP(-LN(2)/2))/(LN(2)/2)*DW55*DZ55*VLOOKUP('Données projet'!$B$14,Paramètres!$A$1:$I$89,3,0)*0.475*44/12</f>
        <v>0</v>
      </c>
      <c r="ED55" s="24">
        <f t="shared" si="18"/>
        <v>0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6.6666666666666625</v>
      </c>
      <c r="EJ55" s="13">
        <f>IF('Données projet'!$A$192&gt;35,EJ54+EI55-ER54,IF(A55&lt;'Données projet'!$A$192,$EG$205^A55,IF(A55='Données projet'!$A$192,'Données projet'!$B$192,EJ54+EI55-ER54)))</f>
        <v>238.97435897435912</v>
      </c>
      <c r="EK55" s="18">
        <f>EJ55*VLOOKUP('Données projet'!$B$15,Paramètres!$A$1:$I$89,3,0)*VLOOKUP('Données projet'!$B$15,Paramètres!$A$1:$I$89,5,0)</f>
        <v>249.77600000000021</v>
      </c>
      <c r="EL55" s="14">
        <f t="shared" si="45"/>
        <v>60.537972121551782</v>
      </c>
      <c r="EM55" s="22">
        <f t="shared" si="19"/>
        <v>540.4635014450364</v>
      </c>
      <c r="EN55" s="62">
        <f t="shared" si="20"/>
        <v>833.79683477836966</v>
      </c>
      <c r="EO55" s="62">
        <f ca="1">AVERAGE(OFFSET($EN$3,0,0,'Données projet'!$E$15+1,1))-AVERAGE(OFFSET($H$3,0,0,'Données projet'!$E$15+1,1))</f>
        <v>595.89992279024398</v>
      </c>
      <c r="EP55" s="62">
        <f t="shared" si="46"/>
        <v>378.16197659288338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>
        <f>EXP(-LN(2)/35)*EV54+(1-EXP(-LN(2)/35))/(LN(2)/35)*ER55*ES55*VLOOKUP('Données projet'!$B$15,Paramètres!$A$1:$I$89,3,0)*0.475*44/12</f>
        <v>0</v>
      </c>
      <c r="EW55" s="23">
        <f>EXP(-LN(2)/25)*EW54+(1-EXP(-LN(2)/25))/(LN(2)/25)*Calculateur!ER55*Calculateur!ET55*VLOOKUP('Données projet'!$B$15,Paramètres!$A$1:$I$89,3,0)*0.475*44/12</f>
        <v>0</v>
      </c>
      <c r="EX55" s="23">
        <f>EXP(-LN(2)/2)*EX54+(1-EXP(-LN(2)/2))/(LN(2)/2)*ER55*EU55*VLOOKUP('Données projet'!$B$15,Paramètres!$A$1:$I$89,3,0)*0.475*44/12</f>
        <v>0</v>
      </c>
      <c r="EY55" s="24">
        <f t="shared" si="21"/>
        <v>0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>
        <f>VLOOKUP(A55,'Données projet'!$A$217:$I$237,2,0)</f>
        <v>331.81538461538463</v>
      </c>
      <c r="FC55" s="13">
        <f>VLOOKUP(A55,'Données projet'!$A$217:$I$237,9,0)</f>
        <v>11.642307692307689</v>
      </c>
      <c r="FD55" s="13">
        <f t="array" ref="FD55">INDEX(FC:FC,MIN(IF(ISNUMBER(FC55:FC251),ROW(FC55:FC251),"")))</f>
        <v>11.642307692307689</v>
      </c>
      <c r="FE55" s="13">
        <f>IF('Données projet'!$A$218&gt;35,FE54+FD55-FM54,IF(A55&lt;'Données projet'!$A$218,$FB$205^A55,IF(A55='Données projet'!$A$218,'Données projet'!$B$218,FE54+FD55-FM54)))</f>
        <v>331.8153846153844</v>
      </c>
      <c r="FF55" s="18">
        <f>FE55*VLOOKUP('Données projet'!$B$16,Paramètres!$A$1:$I$89,3,0)*VLOOKUP('Données projet'!$B$16,Paramètres!$A$1:$I$89,5,0)</f>
        <v>198.42559999999989</v>
      </c>
      <c r="FG55" s="14">
        <f t="shared" si="47"/>
        <v>49.398003268862659</v>
      </c>
      <c r="FH55" s="22">
        <f t="shared" si="22"/>
        <v>431.62610902660225</v>
      </c>
      <c r="FI55" s="62">
        <f t="shared" si="23"/>
        <v>724.95944235993557</v>
      </c>
      <c r="FJ55" s="62">
        <f ca="1">AVERAGE(OFFSET($FI$3,0,0,'Données projet'!$E$16+1,1))-AVERAGE(OFFSET($H$3,0,0,'Données projet'!$E$16+1,1))</f>
        <v>257.56116197646924</v>
      </c>
      <c r="FK55" s="62">
        <f t="shared" si="48"/>
        <v>269.95556918835888</v>
      </c>
      <c r="FL55" s="16">
        <f>IF(ISNA(VLOOKUP(A55,'Données projet'!$A$217:$I$237,3,0)),0,VLOOKUP(A55,'Données projet'!$A$217:$I$237,3,0))</f>
        <v>6</v>
      </c>
      <c r="FM55" s="16">
        <f>IF(ISNA(VLOOKUP(A55,'Données projet'!$A$217:$I$237,4,0)),0,VLOOKUP(A55,'Données projet'!$A$217:$I$237,4,0))</f>
        <v>59.058823529411754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>
        <f>EXP(-LN(2)/35)*FQ54+(1-EXP(-LN(2)/35))/(LN(2)/35)*FM55*FN55*VLOOKUP('Données projet'!$B$16,Paramètres!$A$1:$I$89,3,0)*0.475*44/12</f>
        <v>9.4315184270071768</v>
      </c>
      <c r="FR55" s="23">
        <f>EXP(-LN(2)/25)*FR54+(1-EXP(-LN(2)/25))/(LN(2)/25)*Calculateur!FM55*Calculateur!FO55*VLOOKUP('Données projet'!$B$16,Paramètres!$A$1:$I$89,3,0)*0.475*44/12</f>
        <v>8.7716201335665609</v>
      </c>
      <c r="FS55" s="23">
        <f>EXP(-LN(2)/2)*FS54+(1-EXP(-LN(2)/2))/(LN(2)/2)*FM55*FP55*VLOOKUP('Données projet'!$B$16,Paramètres!$A$1:$I$89,3,0)*0.475*44/12</f>
        <v>4.1767985458862223E-3</v>
      </c>
      <c r="FT55" s="24">
        <f t="shared" si="24"/>
        <v>18.207315359119622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10.66307692307692</v>
      </c>
      <c r="FZ55" s="13">
        <f>IF('Données projet'!$A$244&gt;35,FZ54+FY55-GH54,IF(A55&lt;'Données projet'!$A$244,$FW$205^A55,IF(A55='Données projet'!$A$244,'Données projet'!$B$244,FZ54+FY55-GH54)))</f>
        <v>257.11846153846153</v>
      </c>
      <c r="GA55" s="18">
        <f>FZ55*VLOOKUP('Données projet'!$B$17,Paramètres!$A$1:$I$89,3,0)*VLOOKUP('Données projet'!$B$17,Paramètres!$A$1:$I$89,5,0)</f>
        <v>153.75684000000001</v>
      </c>
      <c r="GB55" s="14">
        <f t="shared" si="49"/>
        <v>39.431107959482766</v>
      </c>
      <c r="GC55" s="22">
        <f t="shared" si="25"/>
        <v>336.4690093627658</v>
      </c>
      <c r="GD55" s="62">
        <f t="shared" si="26"/>
        <v>629.80234269609912</v>
      </c>
      <c r="GE55" s="62">
        <f ca="1">AVERAGE(OFFSET($GD$3,0,0,'Données projet'!$E$17+1,1))-AVERAGE(OFFSET($H$3,0,0,'Données projet'!$E$17+1,1))</f>
        <v>289.12367833861299</v>
      </c>
      <c r="GF55" s="62">
        <f t="shared" si="50"/>
        <v>229.06617320689003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>
        <f>EXP(-LN(2)/35)*GL54+(1-EXP(-LN(2)/35))/(LN(2)/35)*GH55*GI55*VLOOKUP('Données projet'!$B$17,Paramètres!$A$1:$I$89,3,0)*0.475*44/12</f>
        <v>0</v>
      </c>
      <c r="GM55" s="23">
        <f>EXP(-LN(2)/25)*GM54+(1-EXP(-LN(2)/25))/(LN(2)/25)*Calculateur!GH55*Calculateur!GJ55*VLOOKUP('Données projet'!$B$17,Paramètres!$A$1:$I$89,3,0)*0.475*44/12</f>
        <v>0</v>
      </c>
      <c r="GN55" s="23">
        <f>EXP(-LN(2)/2)*GN54+(1-EXP(-LN(2)/2))/(LN(2)/2)*GH55*GK55*VLOOKUP('Données projet'!$B$17,Paramètres!$A$1:$I$89,3,0)*0.475*44/12</f>
        <v>2.024821815442114E-3</v>
      </c>
      <c r="GO55" s="23">
        <f t="shared" si="27"/>
        <v>2.024821815442114E-3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11.264615384615393</v>
      </c>
      <c r="GU55" s="13">
        <f>IF('Données projet'!$A$270&gt;35,GU54+GT55-HC54,IF(A55&lt;'Données projet'!$A$270,$GR$205^A55,IF(A55='Données projet'!$A$270,'Données projet'!$B$270,GU54+GT55-HC54)))</f>
        <v>228.67230769230767</v>
      </c>
      <c r="GV55" s="18">
        <f>GU55*VLOOKUP('Données projet'!$B$18,Paramètres!$A$1:$I$89,3,0)*VLOOKUP('Données projet'!$B$18,Paramètres!$A$1:$I$89,5,0)</f>
        <v>107.01863999999999</v>
      </c>
      <c r="GW55" s="14">
        <f t="shared" si="51"/>
        <v>28.627433541162375</v>
      </c>
      <c r="GX55" s="22">
        <f t="shared" si="28"/>
        <v>236.25024475085775</v>
      </c>
      <c r="GY55" s="62">
        <f t="shared" si="29"/>
        <v>529.583578084191</v>
      </c>
      <c r="GZ55" s="62">
        <f ca="1">AVERAGE(OFFSET($GY$3,0,0,'Données projet'!$E$18+1,1))-AVERAGE(OFFSET($H$3,0,0,'Données projet'!$E$18+1,1))</f>
        <v>284.88646502866419</v>
      </c>
      <c r="HA55" s="62">
        <f t="shared" si="52"/>
        <v>190.4880882944471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>
        <f>EXP(-LN(2)/35)*HG54+(1-EXP(-LN(2)/35))/(LN(2)/35)*HC55*HD55*VLOOKUP('Données projet'!$B$18,Paramètres!$A$1:$I$89,3,0)*0.475*44/12</f>
        <v>0</v>
      </c>
      <c r="HH55" s="23">
        <f>EXP(-LN(2)/25)*HH54+(1-EXP(-LN(2)/25))/(LN(2)/25)*Calculateur!HC55*Calculateur!HE55*VLOOKUP('Données projet'!$B$18,Paramètres!$A$1:$I$89,3,0)*0.475*44/12</f>
        <v>0</v>
      </c>
      <c r="HI55" s="23">
        <f>EXP(-LN(2)/2)*HI54+(1-EXP(-LN(2)/2))/(LN(2)/2)*HC55*HF55*VLOOKUP('Données projet'!$B$18,Paramètres!$A$1:$I$89,3,0)*0.475*44/12</f>
        <v>0</v>
      </c>
      <c r="HJ55" s="24">
        <f t="shared" si="30"/>
        <v>0</v>
      </c>
    </row>
    <row r="56" spans="1:218" s="5" customFormat="1" x14ac:dyDescent="0.25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2">
        <f t="shared" si="32"/>
        <v>0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0</v>
      </c>
      <c r="H56" s="70">
        <f t="shared" si="1"/>
        <v>256.66666666666669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5.2564102564102599</v>
      </c>
      <c r="N56" s="14">
        <f>IF('Données projet'!$A$36&gt;35,N55+M56-V55,IF(A56&lt;'Données projet'!$A$36,$K$205^A56,IF(A56='Données projet'!$A$36,'Données projet'!$B$36,N55+M56-V55)))</f>
        <v>165.12820512820511</v>
      </c>
      <c r="O56" s="14">
        <f>N56*VLOOKUP('Données projet'!$B$9,Paramètres!$A$1:$I$89,3,0)*VLOOKUP('Données projet'!$B$9,Paramètres!$A$1:$I$89,5,0)</f>
        <v>157.136</v>
      </c>
      <c r="P56" s="14">
        <f t="shared" si="33"/>
        <v>40.195854714214285</v>
      </c>
      <c r="Q56" s="22">
        <f t="shared" si="53"/>
        <v>343.68631362725654</v>
      </c>
      <c r="R56" s="62">
        <f t="shared" si="0"/>
        <v>637.01964696058985</v>
      </c>
      <c r="S56" s="62">
        <f ca="1">AVERAGE(OFFSET($R$3,0,0,'Données projet'!$E$9+1,1))-AVERAGE(OFFSET($H$3,0,0,'Données projet'!$E$9+1,1))</f>
        <v>367.11183928586667</v>
      </c>
      <c r="T56" s="62">
        <f t="shared" si="34"/>
        <v>281.52963027844595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0</v>
      </c>
      <c r="AA56" s="23">
        <f>EXP(-LN(2)/25)*AA55+(1-EXP(-LN(2)/25))/(LN(2)/25)*Calculateur!V56*Calculateur!X56*VLOOKUP('Données projet'!$B$9,Paramètres!$A$1:$I$89,3,0)*0.475*44/12</f>
        <v>0</v>
      </c>
      <c r="AB56" s="23">
        <f>EXP(-LN(2)/2)*AB55+(1-EXP(-LN(2)/2))/(LN(2)/2)*V56*Y56*VLOOKUP('Données projet'!$B$9,Paramètres!$A$1:$I$89,3,0)*0.475*44/12</f>
        <v>0</v>
      </c>
      <c r="AC56" s="24">
        <f t="shared" si="3"/>
        <v>0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8</v>
      </c>
      <c r="AI56" s="14">
        <f>IF('Données projet'!$A$62&gt;35,AI55+AH56-AQ55,IF(A56&lt;'Données projet'!$A$62,$AF$205^A56,IF(A56='Données projet'!$A$62,'Données projet'!$B$62,AI55+AH56-AQ55)))</f>
        <v>181</v>
      </c>
      <c r="AJ56" s="14">
        <f>AI56*VLOOKUP('Données projet'!$B$10,Paramètres!$A$1:$I$89,3,0)*VLOOKUP('Données projet'!$B$10,Paramètres!$A$1:$I$89,5,0)</f>
        <v>163.7688</v>
      </c>
      <c r="AK56" s="14">
        <f t="shared" si="35"/>
        <v>41.691423503509803</v>
      </c>
      <c r="AL56" s="22">
        <f t="shared" si="4"/>
        <v>357.84322260194625</v>
      </c>
      <c r="AM56" s="62">
        <f t="shared" si="5"/>
        <v>651.17655593527957</v>
      </c>
      <c r="AN56" s="62">
        <f ca="1">AVERAGE(OFFSET($AM$3,0,0,'Données projet'!$E$10+1,1))-AVERAGE(OFFSET($H$3,0,0,'Données projet'!$E$10+1,1))</f>
        <v>428.8489304403459</v>
      </c>
      <c r="AO56" s="62">
        <f t="shared" si="36"/>
        <v>247.01165577562966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0</v>
      </c>
      <c r="AV56" s="23">
        <f>EXP(-LN(2)/25)*AV55+(1-EXP(-LN(2)/25))/(LN(2)/25)*Calculateur!AQ56*Calculateur!AS56*VLOOKUP('Données projet'!$B$10,Paramètres!$A$1:$I$89,3,0)*0.475*44/12</f>
        <v>0</v>
      </c>
      <c r="AW56" s="23">
        <f>EXP(-LN(2)/2)*AW55+(1-EXP(-LN(2)/2))/(LN(2)/2)*AQ56*AT56*VLOOKUP('Données projet'!$B$10,Paramètres!$A$1:$I$89,3,0)*0.475*44/12</f>
        <v>0</v>
      </c>
      <c r="AX56" s="23">
        <f t="shared" si="6"/>
        <v>0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8</v>
      </c>
      <c r="BD56" s="13">
        <f>IF('Données projet'!$A$88&gt;35,BD55+BC56-BL55,IF(A56&lt;'Données projet'!$A$88,$BA$205^A56,IF(A56='Données projet'!$A$88,'Données projet'!$B$88,BD55+BC56-BL55)))</f>
        <v>181</v>
      </c>
      <c r="BE56" s="14">
        <f>BD56*VLOOKUP('Données projet'!$B$11,Paramètres!$A$1:$I$89,3,0)*VLOOKUP('Données projet'!$B$11,Paramètres!$A$1:$I$89,5,0)</f>
        <v>183.53400000000002</v>
      </c>
      <c r="BF56" s="14">
        <f t="shared" si="37"/>
        <v>46.107544136839593</v>
      </c>
      <c r="BG56" s="22">
        <f t="shared" si="7"/>
        <v>399.95902270499568</v>
      </c>
      <c r="BH56" s="62">
        <f t="shared" si="8"/>
        <v>693.29235603832899</v>
      </c>
      <c r="BI56" s="62">
        <f ca="1">AVERAGE(OFFSET($BH$3,0,0,'Données projet'!$E$11+1,1))-AVERAGE(OFFSET($H$3,0,0,'Données projet'!$E$11+1,1))</f>
        <v>475.47920969424894</v>
      </c>
      <c r="BJ56" s="62">
        <f t="shared" si="38"/>
        <v>271.73544012419364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>
        <f>EXP(-LN(2)/35)*BP55+(1-EXP(-LN(2)/35))/(LN(2)/35)*BL56*BM56*VLOOKUP('Données projet'!$B$11,Paramètres!$A$1:$I$89,3,0)*0.475*44/12</f>
        <v>0</v>
      </c>
      <c r="BQ56" s="23">
        <f>EXP(-LN(2)/25)*BQ55+(1-EXP(-LN(2)/25))/(LN(2)/25)*Calculateur!BL56*Calculateur!BN56*VLOOKUP('Données projet'!$B$11,Paramètres!$A$1:$I$89,3,0)*0.475*44/12</f>
        <v>0</v>
      </c>
      <c r="BR56" s="23">
        <f>EXP(-LN(2)/2)*BR55+(1-EXP(-LN(2)/2))/(LN(2)/2)*BL56*BO56*VLOOKUP('Données projet'!$B$11,Paramètres!$A$1:$I$89,3,0)*0.475*44/12</f>
        <v>0</v>
      </c>
      <c r="BS56" s="24">
        <f t="shared" si="9"/>
        <v>0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16.227472527472521</v>
      </c>
      <c r="BY56" s="13">
        <f>IF('Données projet'!$A$114&gt;35,BY55+BX56-CG55,IF(A56&lt;'Données projet'!$A$114,$BV$205^A56,IF(A56='Données projet'!$A$114,'Données projet'!$B$114,BY55+BX56-CG55)))</f>
        <v>379.02527472527476</v>
      </c>
      <c r="BZ56" s="14">
        <f>BY56*VLOOKUP('Données projet'!$B$12,Paramètres!$A$1:$I$89,3,0)*VLOOKUP('Données projet'!$B$12,Paramètres!$A$1:$I$89,5,0)</f>
        <v>211.87512857142858</v>
      </c>
      <c r="CA56" s="14">
        <f t="shared" si="39"/>
        <v>52.345136228066735</v>
      </c>
      <c r="CB56" s="22">
        <f t="shared" si="10"/>
        <v>460.18362785912103</v>
      </c>
      <c r="CC56" s="62">
        <f t="shared" si="11"/>
        <v>753.51696119245435</v>
      </c>
      <c r="CD56" s="62">
        <f ca="1">AVERAGE(OFFSET($CC$3,0,0,'Données projet'!$E$12+1,1))-AVERAGE(OFFSET($H$3,0,0,'Données projet'!$E$12+1,1))</f>
        <v>323.98185264074681</v>
      </c>
      <c r="CE56" s="62">
        <f t="shared" si="40"/>
        <v>301.22207291854005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>
        <f>EXP(-LN(2)/35)*CK55+(1-EXP(-LN(2)/35))/(LN(2)/35)*CG56*CH56*VLOOKUP('Données projet'!$B$12,Paramètres!$A$1:$I$89,3,0)*0.475*44/12</f>
        <v>2.8297045884602992</v>
      </c>
      <c r="CL56" s="23">
        <f>EXP(-LN(2)/25)*CL55+(1-EXP(-LN(2)/25))/(LN(2)/25)*Calculateur!CG56*Calculateur!CI56*VLOOKUP('Données projet'!$B$12,Paramètres!$A$1:$I$89,3,0)*0.475*44/12</f>
        <v>4.3587722532693993</v>
      </c>
      <c r="CM56" s="23">
        <f>EXP(-LN(2)/2)*CM55+(1-EXP(-LN(2)/2))/(LN(2)/2)*CG56*CJ56*VLOOKUP('Données projet'!$B$12,Paramètres!$A$1:$I$89,3,0)*0.475*44/12</f>
        <v>2.1019188180000257E-3</v>
      </c>
      <c r="CN56" s="24">
        <f t="shared" si="12"/>
        <v>7.190578760547699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5.6</v>
      </c>
      <c r="CT56" s="13">
        <f>IF('Données projet'!$A$140&gt;35,CT55+CS56-DB55,IF(A56&lt;'Données projet'!$A$140,$CQ$205^A56,IF(A56='Données projet'!$A$140,'Données projet'!$B$140,CT55+CS56-DB55)))</f>
        <v>123.79999999999995</v>
      </c>
      <c r="CU56" s="18">
        <f>CT56*VLOOKUP('Données projet'!$B$13,Paramètres!$A$1:$I$89,3,0)*VLOOKUP('Données projet'!$B$13,Paramètres!$A$1:$I$89,5,0)</f>
        <v>140.98343999999994</v>
      </c>
      <c r="CV56" s="14">
        <f t="shared" si="41"/>
        <v>36.522205922710093</v>
      </c>
      <c r="CW56" s="22">
        <f t="shared" si="13"/>
        <v>309.15566664872</v>
      </c>
      <c r="CX56" s="62">
        <f t="shared" si="14"/>
        <v>602.48899998205331</v>
      </c>
      <c r="CY56" s="62">
        <f ca="1">AVERAGE(OFFSET($CX$3,0,0,'Données projet'!$E$13+1,1))-AVERAGE(OFFSET($H$3,0,0,'Données projet'!$E$13+1,1))</f>
        <v>399.78832690250164</v>
      </c>
      <c r="CZ56" s="62">
        <f t="shared" si="42"/>
        <v>174.32967064896343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>
        <f>EXP(-LN(2)/35)*DF55+(1-EXP(-LN(2)/35))/(LN(2)/35)*DB56*DC56*VLOOKUP('Données projet'!$B$13,Paramètres!$A$1:$I$89,3,0)*0.475*44/12</f>
        <v>0</v>
      </c>
      <c r="DG56" s="23">
        <f>EXP(-LN(2)/25)*DG55+(1-EXP(-LN(2)/25))/(LN(2)/25)*Calculateur!DB56*Calculateur!DD56*VLOOKUP('Données projet'!$B$13,Paramètres!$A$1:$I$89,3,0)*0.475*44/12</f>
        <v>0</v>
      </c>
      <c r="DH56" s="23">
        <f>EXP(-LN(2)/2)*DH55+(1-EXP(-LN(2)/2))/(LN(2)/2)*DB56*DE56*VLOOKUP('Données projet'!$B$13,Paramètres!$A$1:$I$89,3,0)*0.475*44/12</f>
        <v>0</v>
      </c>
      <c r="DI56" s="24">
        <f t="shared" si="15"/>
        <v>0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8</v>
      </c>
      <c r="DO56" s="13">
        <f>IF('Données projet'!$A$166&gt;35,DO55+DN56-DW55,IF(A56&lt;'Données projet'!$A$166,$DL$205^A56,IF(A56='Données projet'!$A$166,'Données projet'!$B$166,DO55+DN56-DW55)))</f>
        <v>181</v>
      </c>
      <c r="DP56" s="18">
        <f>DO56*VLOOKUP('Données projet'!$B$14,Paramètres!$A$1:$I$89,3,0)*VLOOKUP('Données projet'!$B$14,Paramètres!$A$1:$I$89,5,0)</f>
        <v>152.47440000000003</v>
      </c>
      <c r="DQ56" s="14">
        <f t="shared" si="43"/>
        <v>39.140365323908171</v>
      </c>
      <c r="DR56" s="22">
        <f t="shared" si="16"/>
        <v>333.72904960580678</v>
      </c>
      <c r="DS56" s="62">
        <f t="shared" si="17"/>
        <v>627.06238293914009</v>
      </c>
      <c r="DT56" s="62">
        <f ca="1">AVERAGE(OFFSET($DS$3,0,0,'Données projet'!$E$14+1,1))-AVERAGE(OFFSET($H$3,0,0,'Données projet'!$E$14+1,1))</f>
        <v>402.15128814037058</v>
      </c>
      <c r="DU56" s="62">
        <f t="shared" si="44"/>
        <v>232.85411068442738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>
        <f>EXP(-LN(2)/35)*EA55+(1-EXP(-LN(2)/35))/(LN(2)/35)*DW56*DX56*VLOOKUP('Données projet'!$B$14,Paramètres!$A$1:$I$89,3,0)*0.475*44/12</f>
        <v>0</v>
      </c>
      <c r="EB56" s="23">
        <f>EXP(-LN(2)/25)*EB55+(1-EXP(-LN(2)/25))/(LN(2)/25)*Calculateur!DW56*Calculateur!DY56*VLOOKUP('Données projet'!$B$14,Paramètres!$A$1:$I$89,3,0)*0.475*44/12</f>
        <v>0</v>
      </c>
      <c r="EC56" s="23">
        <f>EXP(-LN(2)/2)*EC55+(1-EXP(-LN(2)/2))/(LN(2)/2)*DW56*DZ56*VLOOKUP('Données projet'!$B$14,Paramètres!$A$1:$I$89,3,0)*0.475*44/12</f>
        <v>0</v>
      </c>
      <c r="ED56" s="24">
        <f t="shared" si="18"/>
        <v>0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6.6666666666666625</v>
      </c>
      <c r="EJ56" s="13">
        <f>IF('Données projet'!$A$192&gt;35,EJ55+EI56-ER55,IF(A56&lt;'Données projet'!$A$192,$EG$205^A56,IF(A56='Données projet'!$A$192,'Données projet'!$B$192,EJ55+EI56-ER55)))</f>
        <v>245.64102564102578</v>
      </c>
      <c r="EK56" s="18">
        <f>EJ56*VLOOKUP('Données projet'!$B$15,Paramètres!$A$1:$I$89,3,0)*VLOOKUP('Données projet'!$B$15,Paramètres!$A$1:$I$89,5,0)</f>
        <v>256.74400000000014</v>
      </c>
      <c r="EL56" s="14">
        <f t="shared" si="45"/>
        <v>62.027822109156943</v>
      </c>
      <c r="EM56" s="22">
        <f t="shared" si="19"/>
        <v>555.19425684011514</v>
      </c>
      <c r="EN56" s="62">
        <f t="shared" si="20"/>
        <v>848.52759017344852</v>
      </c>
      <c r="EO56" s="62">
        <f ca="1">AVERAGE(OFFSET($EN$3,0,0,'Données projet'!$E$15+1,1))-AVERAGE(OFFSET($H$3,0,0,'Données projet'!$E$15+1,1))</f>
        <v>595.89992279024398</v>
      </c>
      <c r="EP56" s="62">
        <f t="shared" si="46"/>
        <v>378.16197659288338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>
        <f>EXP(-LN(2)/35)*EV55+(1-EXP(-LN(2)/35))/(LN(2)/35)*ER56*ES56*VLOOKUP('Données projet'!$B$15,Paramètres!$A$1:$I$89,3,0)*0.475*44/12</f>
        <v>0</v>
      </c>
      <c r="EW56" s="23">
        <f>EXP(-LN(2)/25)*EW55+(1-EXP(-LN(2)/25))/(LN(2)/25)*Calculateur!ER56*Calculateur!ET56*VLOOKUP('Données projet'!$B$15,Paramètres!$A$1:$I$89,3,0)*0.475*44/12</f>
        <v>0</v>
      </c>
      <c r="EX56" s="23">
        <f>EXP(-LN(2)/2)*EX55+(1-EXP(-LN(2)/2))/(LN(2)/2)*ER56*EU56*VLOOKUP('Données projet'!$B$15,Paramètres!$A$1:$I$89,3,0)*0.475*44/12</f>
        <v>0</v>
      </c>
      <c r="EY56" s="24">
        <f t="shared" si="21"/>
        <v>0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10.092929864253392</v>
      </c>
      <c r="FE56" s="13">
        <f>IF('Données projet'!$A$218&gt;35,FE55+FD56-FM55,IF(A56&lt;'Données projet'!$A$218,$FB$205^A56,IF(A56='Données projet'!$A$218,'Données projet'!$B$218,FE55+FD56-FM55)))</f>
        <v>282.84949095022603</v>
      </c>
      <c r="FF56" s="18">
        <f>FE56*VLOOKUP('Données projet'!$B$16,Paramètres!$A$1:$I$89,3,0)*VLOOKUP('Données projet'!$B$16,Paramètres!$A$1:$I$89,5,0)</f>
        <v>169.14399558823516</v>
      </c>
      <c r="FG56" s="14">
        <f t="shared" si="47"/>
        <v>42.898250783455694</v>
      </c>
      <c r="FH56" s="22">
        <f t="shared" si="22"/>
        <v>369.30691243069487</v>
      </c>
      <c r="FI56" s="62">
        <f t="shared" si="23"/>
        <v>662.64024576402812</v>
      </c>
      <c r="FJ56" s="62">
        <f ca="1">AVERAGE(OFFSET($FI$3,0,0,'Données projet'!$E$16+1,1))-AVERAGE(OFFSET($H$3,0,0,'Données projet'!$E$16+1,1))</f>
        <v>257.56116197646924</v>
      </c>
      <c r="FK56" s="62">
        <f t="shared" si="48"/>
        <v>269.95556918835888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>
        <f>EXP(-LN(2)/35)*FQ55+(1-EXP(-LN(2)/35))/(LN(2)/35)*FM56*FN56*VLOOKUP('Données projet'!$B$16,Paramètres!$A$1:$I$89,3,0)*0.475*44/12</f>
        <v>9.2465721033117791</v>
      </c>
      <c r="FR56" s="23">
        <f>EXP(-LN(2)/25)*FR55+(1-EXP(-LN(2)/25))/(LN(2)/25)*Calculateur!FM56*Calculateur!FO56*VLOOKUP('Données projet'!$B$16,Paramètres!$A$1:$I$89,3,0)*0.475*44/12</f>
        <v>8.5317597197347279</v>
      </c>
      <c r="FS56" s="23">
        <f>EXP(-LN(2)/2)*FS55+(1-EXP(-LN(2)/2))/(LN(2)/2)*FM56*FP56*VLOOKUP('Données projet'!$B$16,Paramètres!$A$1:$I$89,3,0)*0.475*44/12</f>
        <v>2.9534425754462589E-3</v>
      </c>
      <c r="FT56" s="24">
        <f t="shared" si="24"/>
        <v>17.781285265621953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10.66307692307692</v>
      </c>
      <c r="FZ56" s="13">
        <f>IF('Données projet'!$A$244&gt;35,FZ55+FY56-GH55,IF(A56&lt;'Données projet'!$A$244,$FW$205^A56,IF(A56='Données projet'!$A$244,'Données projet'!$B$244,FZ55+FY56-GH55)))</f>
        <v>267.78153846153845</v>
      </c>
      <c r="GA56" s="18">
        <f>FZ56*VLOOKUP('Données projet'!$B$17,Paramètres!$A$1:$I$89,3,0)*VLOOKUP('Données projet'!$B$17,Paramètres!$A$1:$I$89,5,0)</f>
        <v>160.13336000000001</v>
      </c>
      <c r="GB56" s="14">
        <f t="shared" si="49"/>
        <v>40.872593668242253</v>
      </c>
      <c r="GC56" s="22">
        <f t="shared" si="25"/>
        <v>350.08536930552191</v>
      </c>
      <c r="GD56" s="62">
        <f t="shared" si="26"/>
        <v>643.41870263885517</v>
      </c>
      <c r="GE56" s="62">
        <f ca="1">AVERAGE(OFFSET($GD$3,0,0,'Données projet'!$E$17+1,1))-AVERAGE(OFFSET($H$3,0,0,'Données projet'!$E$17+1,1))</f>
        <v>289.12367833861299</v>
      </c>
      <c r="GF56" s="62">
        <f t="shared" si="50"/>
        <v>229.06617320689003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>
        <f>EXP(-LN(2)/35)*GL55+(1-EXP(-LN(2)/35))/(LN(2)/35)*GH56*GI56*VLOOKUP('Données projet'!$B$17,Paramètres!$A$1:$I$89,3,0)*0.475*44/12</f>
        <v>0</v>
      </c>
      <c r="GM56" s="23">
        <f>EXP(-LN(2)/25)*GM55+(1-EXP(-LN(2)/25))/(LN(2)/25)*Calculateur!GH56*Calculateur!GJ56*VLOOKUP('Données projet'!$B$17,Paramètres!$A$1:$I$89,3,0)*0.475*44/12</f>
        <v>0</v>
      </c>
      <c r="GN56" s="23">
        <f>EXP(-LN(2)/2)*GN55+(1-EXP(-LN(2)/2))/(LN(2)/2)*GH56*GK56*VLOOKUP('Données projet'!$B$17,Paramètres!$A$1:$I$89,3,0)*0.475*44/12</f>
        <v>1.4317652363935748E-3</v>
      </c>
      <c r="GO56" s="23">
        <f t="shared" si="27"/>
        <v>1.4317652363935748E-3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11.264615384615393</v>
      </c>
      <c r="GU56" s="13">
        <f>IF('Données projet'!$A$270&gt;35,GU55+GT56-HC55,IF(A56&lt;'Données projet'!$A$270,$GR$205^A56,IF(A56='Données projet'!$A$270,'Données projet'!$B$270,GU55+GT56-HC55)))</f>
        <v>239.93692307692305</v>
      </c>
      <c r="GV56" s="18">
        <f>GU56*VLOOKUP('Données projet'!$B$18,Paramètres!$A$1:$I$89,3,0)*VLOOKUP('Données projet'!$B$18,Paramètres!$A$1:$I$89,5,0)</f>
        <v>112.29047999999999</v>
      </c>
      <c r="GW56" s="14">
        <f t="shared" si="51"/>
        <v>29.869990545356057</v>
      </c>
      <c r="GX56" s="22">
        <f t="shared" si="28"/>
        <v>247.59615286649509</v>
      </c>
      <c r="GY56" s="62">
        <f t="shared" si="29"/>
        <v>540.92948619982837</v>
      </c>
      <c r="GZ56" s="62">
        <f ca="1">AVERAGE(OFFSET($GY$3,0,0,'Données projet'!$E$18+1,1))-AVERAGE(OFFSET($H$3,0,0,'Données projet'!$E$18+1,1))</f>
        <v>284.88646502866419</v>
      </c>
      <c r="HA56" s="62">
        <f t="shared" si="52"/>
        <v>190.4880882944471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>
        <f>EXP(-LN(2)/35)*HG55+(1-EXP(-LN(2)/35))/(LN(2)/35)*HC56*HD56*VLOOKUP('Données projet'!$B$18,Paramètres!$A$1:$I$89,3,0)*0.475*44/12</f>
        <v>0</v>
      </c>
      <c r="HH56" s="23">
        <f>EXP(-LN(2)/25)*HH55+(1-EXP(-LN(2)/25))/(LN(2)/25)*Calculateur!HC56*Calculateur!HE56*VLOOKUP('Données projet'!$B$18,Paramètres!$A$1:$I$89,3,0)*0.475*44/12</f>
        <v>0</v>
      </c>
      <c r="HI56" s="23">
        <f>EXP(-LN(2)/2)*HI55+(1-EXP(-LN(2)/2))/(LN(2)/2)*HC56*HF56*VLOOKUP('Données projet'!$B$18,Paramètres!$A$1:$I$89,3,0)*0.475*44/12</f>
        <v>0</v>
      </c>
      <c r="HJ56" s="24">
        <f t="shared" si="30"/>
        <v>0</v>
      </c>
    </row>
    <row r="57" spans="1:218" s="5" customFormat="1" x14ac:dyDescent="0.25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2">
        <f t="shared" si="32"/>
        <v>0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0</v>
      </c>
      <c r="H57" s="70">
        <f t="shared" si="1"/>
        <v>256.66666666666669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5.2564102564102599</v>
      </c>
      <c r="N57" s="14">
        <f>IF('Données projet'!$A$36&gt;35,N56+M57-V56,IF(A57&lt;'Données projet'!$A$36,$K$205^A57,IF(A57='Données projet'!$A$36,'Données projet'!$B$36,N56+M57-V56)))</f>
        <v>170.38461538461536</v>
      </c>
      <c r="O57" s="14">
        <f>N57*VLOOKUP('Données projet'!$B$9,Paramètres!$A$1:$I$89,3,0)*VLOOKUP('Données projet'!$B$9,Paramètres!$A$1:$I$89,5,0)</f>
        <v>162.13799999999998</v>
      </c>
      <c r="P57" s="14">
        <f t="shared" si="33"/>
        <v>41.324374095861224</v>
      </c>
      <c r="Q57" s="22">
        <f t="shared" si="53"/>
        <v>354.36363488362491</v>
      </c>
      <c r="R57" s="62">
        <f t="shared" si="0"/>
        <v>647.69696821695823</v>
      </c>
      <c r="S57" s="62">
        <f ca="1">AVERAGE(OFFSET($R$3,0,0,'Données projet'!$E$9+1,1))-AVERAGE(OFFSET($H$3,0,0,'Données projet'!$E$9+1,1))</f>
        <v>367.11183928586667</v>
      </c>
      <c r="T57" s="62">
        <f t="shared" si="34"/>
        <v>281.52963027844595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0</v>
      </c>
      <c r="AA57" s="23">
        <f>EXP(-LN(2)/25)*AA56+(1-EXP(-LN(2)/25))/(LN(2)/25)*Calculateur!V57*Calculateur!X57*VLOOKUP('Données projet'!$B$9,Paramètres!$A$1:$I$89,3,0)*0.475*44/12</f>
        <v>0</v>
      </c>
      <c r="AB57" s="23">
        <f>EXP(-LN(2)/2)*AB56+(1-EXP(-LN(2)/2))/(LN(2)/2)*V57*Y57*VLOOKUP('Données projet'!$B$9,Paramètres!$A$1:$I$89,3,0)*0.475*44/12</f>
        <v>0</v>
      </c>
      <c r="AC57" s="24">
        <f t="shared" si="3"/>
        <v>0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8</v>
      </c>
      <c r="AI57" s="14">
        <f>IF('Données projet'!$A$62&gt;35,AI56+AH57-AQ56,IF(A57&lt;'Données projet'!$A$62,$AF$205^A57,IF(A57='Données projet'!$A$62,'Données projet'!$B$62,AI56+AH57-AQ56)))</f>
        <v>189</v>
      </c>
      <c r="AJ57" s="14">
        <f>AI57*VLOOKUP('Données projet'!$B$10,Paramètres!$A$1:$I$89,3,0)*VLOOKUP('Données projet'!$B$10,Paramètres!$A$1:$I$89,5,0)</f>
        <v>171.00719999999998</v>
      </c>
      <c r="AK57" s="14">
        <f t="shared" si="35"/>
        <v>43.315525267338089</v>
      </c>
      <c r="AL57" s="22">
        <f t="shared" si="4"/>
        <v>373.27874650728046</v>
      </c>
      <c r="AM57" s="62">
        <f t="shared" si="5"/>
        <v>666.61207984061377</v>
      </c>
      <c r="AN57" s="62">
        <f ca="1">AVERAGE(OFFSET($AM$3,0,0,'Données projet'!$E$10+1,1))-AVERAGE(OFFSET($H$3,0,0,'Données projet'!$E$10+1,1))</f>
        <v>428.8489304403459</v>
      </c>
      <c r="AO57" s="62">
        <f t="shared" si="36"/>
        <v>247.01165577562966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0</v>
      </c>
      <c r="AV57" s="23">
        <f>EXP(-LN(2)/25)*AV56+(1-EXP(-LN(2)/25))/(LN(2)/25)*Calculateur!AQ57*Calculateur!AS57*VLOOKUP('Données projet'!$B$10,Paramètres!$A$1:$I$89,3,0)*0.475*44/12</f>
        <v>0</v>
      </c>
      <c r="AW57" s="23">
        <f>EXP(-LN(2)/2)*AW56+(1-EXP(-LN(2)/2))/(LN(2)/2)*AQ57*AT57*VLOOKUP('Données projet'!$B$10,Paramètres!$A$1:$I$89,3,0)*0.475*44/12</f>
        <v>0</v>
      </c>
      <c r="AX57" s="23">
        <f t="shared" si="6"/>
        <v>0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8</v>
      </c>
      <c r="BD57" s="13">
        <f>IF('Données projet'!$A$88&gt;35,BD56+BC57-BL56,IF(A57&lt;'Données projet'!$A$88,$BA$205^A57,IF(A57='Données projet'!$A$88,'Données projet'!$B$88,BD56+BC57-BL56)))</f>
        <v>189</v>
      </c>
      <c r="BE57" s="14">
        <f>BD57*VLOOKUP('Données projet'!$B$11,Paramètres!$A$1:$I$89,3,0)*VLOOKUP('Données projet'!$B$11,Paramètres!$A$1:$I$89,5,0)</f>
        <v>191.64600000000002</v>
      </c>
      <c r="BF57" s="14">
        <f t="shared" si="37"/>
        <v>47.903677189291635</v>
      </c>
      <c r="BG57" s="22">
        <f t="shared" si="7"/>
        <v>417.21568777134962</v>
      </c>
      <c r="BH57" s="62">
        <f t="shared" si="8"/>
        <v>710.54902110468288</v>
      </c>
      <c r="BI57" s="62">
        <f ca="1">AVERAGE(OFFSET($BH$3,0,0,'Données projet'!$E$11+1,1))-AVERAGE(OFFSET($H$3,0,0,'Données projet'!$E$11+1,1))</f>
        <v>475.47920969424894</v>
      </c>
      <c r="BJ57" s="62">
        <f t="shared" si="38"/>
        <v>271.73544012419364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>
        <f>EXP(-LN(2)/35)*BP56+(1-EXP(-LN(2)/35))/(LN(2)/35)*BL57*BM57*VLOOKUP('Données projet'!$B$11,Paramètres!$A$1:$I$89,3,0)*0.475*44/12</f>
        <v>0</v>
      </c>
      <c r="BQ57" s="23">
        <f>EXP(-LN(2)/25)*BQ56+(1-EXP(-LN(2)/25))/(LN(2)/25)*Calculateur!BL57*Calculateur!BN57*VLOOKUP('Données projet'!$B$11,Paramètres!$A$1:$I$89,3,0)*0.475*44/12</f>
        <v>0</v>
      </c>
      <c r="BR57" s="23">
        <f>EXP(-LN(2)/2)*BR56+(1-EXP(-LN(2)/2))/(LN(2)/2)*BL57*BO57*VLOOKUP('Données projet'!$B$11,Paramètres!$A$1:$I$89,3,0)*0.475*44/12</f>
        <v>0</v>
      </c>
      <c r="BS57" s="24">
        <f t="shared" si="9"/>
        <v>0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16.227472527472521</v>
      </c>
      <c r="BY57" s="13">
        <f>IF('Données projet'!$A$114&gt;35,BY56+BX57-CG56,IF(A57&lt;'Données projet'!$A$114,$BV$205^A57,IF(A57='Données projet'!$A$114,'Données projet'!$B$114,BY56+BX57-CG56)))</f>
        <v>395.25274725274727</v>
      </c>
      <c r="BZ57" s="14">
        <f>BY57*VLOOKUP('Données projet'!$B$12,Paramètres!$A$1:$I$89,3,0)*VLOOKUP('Données projet'!$B$12,Paramètres!$A$1:$I$89,5,0)</f>
        <v>220.94628571428572</v>
      </c>
      <c r="CA57" s="14">
        <f t="shared" si="39"/>
        <v>54.320504840756463</v>
      </c>
      <c r="CB57" s="22">
        <f t="shared" si="10"/>
        <v>479.42299355003178</v>
      </c>
      <c r="CC57" s="62">
        <f t="shared" si="11"/>
        <v>772.75632688336509</v>
      </c>
      <c r="CD57" s="62">
        <f ca="1">AVERAGE(OFFSET($CC$3,0,0,'Données projet'!$E$12+1,1))-AVERAGE(OFFSET($H$3,0,0,'Données projet'!$E$12+1,1))</f>
        <v>323.98185264074681</v>
      </c>
      <c r="CE57" s="62">
        <f t="shared" si="40"/>
        <v>301.22207291854005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>
        <f>EXP(-LN(2)/35)*CK56+(1-EXP(-LN(2)/35))/(LN(2)/35)*CG57*CH57*VLOOKUP('Données projet'!$B$12,Paramètres!$A$1:$I$89,3,0)*0.475*44/12</f>
        <v>2.7742158074299681</v>
      </c>
      <c r="CL57" s="23">
        <f>EXP(-LN(2)/25)*CL56+(1-EXP(-LN(2)/25))/(LN(2)/25)*Calculateur!CG57*Calculateur!CI57*VLOOKUP('Données projet'!$B$12,Paramètres!$A$1:$I$89,3,0)*0.475*44/12</f>
        <v>4.2395813967858773</v>
      </c>
      <c r="CM57" s="23">
        <f>EXP(-LN(2)/2)*CM56+(1-EXP(-LN(2)/2))/(LN(2)/2)*CG57*CJ57*VLOOKUP('Données projet'!$B$12,Paramètres!$A$1:$I$89,3,0)*0.475*44/12</f>
        <v>1.4862810497114308E-3</v>
      </c>
      <c r="CN57" s="24">
        <f t="shared" si="12"/>
        <v>7.0152834852655568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5.6</v>
      </c>
      <c r="CT57" s="13">
        <f>IF('Données projet'!$A$140&gt;35,CT56+CS57-DB56,IF(A57&lt;'Données projet'!$A$140,$CQ$205^A57,IF(A57='Données projet'!$A$140,'Données projet'!$B$140,CT56+CS57-DB56)))</f>
        <v>129.39999999999995</v>
      </c>
      <c r="CU57" s="18">
        <f>CT57*VLOOKUP('Données projet'!$B$13,Paramètres!$A$1:$I$89,3,0)*VLOOKUP('Données projet'!$B$13,Paramètres!$A$1:$I$89,5,0)</f>
        <v>147.36071999999993</v>
      </c>
      <c r="CV57" s="14">
        <f t="shared" si="41"/>
        <v>37.978181505546587</v>
      </c>
      <c r="CW57" s="22">
        <f t="shared" si="13"/>
        <v>322.79858678882687</v>
      </c>
      <c r="CX57" s="62">
        <f t="shared" si="14"/>
        <v>616.13192012216018</v>
      </c>
      <c r="CY57" s="62">
        <f ca="1">AVERAGE(OFFSET($CX$3,0,0,'Données projet'!$E$13+1,1))-AVERAGE(OFFSET($H$3,0,0,'Données projet'!$E$13+1,1))</f>
        <v>399.78832690250164</v>
      </c>
      <c r="CZ57" s="62">
        <f t="shared" si="42"/>
        <v>174.32967064896343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>
        <f>EXP(-LN(2)/35)*DF56+(1-EXP(-LN(2)/35))/(LN(2)/35)*DB57*DC57*VLOOKUP('Données projet'!$B$13,Paramètres!$A$1:$I$89,3,0)*0.475*44/12</f>
        <v>0</v>
      </c>
      <c r="DG57" s="23">
        <f>EXP(-LN(2)/25)*DG56+(1-EXP(-LN(2)/25))/(LN(2)/25)*Calculateur!DB57*Calculateur!DD57*VLOOKUP('Données projet'!$B$13,Paramètres!$A$1:$I$89,3,0)*0.475*44/12</f>
        <v>0</v>
      </c>
      <c r="DH57" s="23">
        <f>EXP(-LN(2)/2)*DH56+(1-EXP(-LN(2)/2))/(LN(2)/2)*DB57*DE57*VLOOKUP('Données projet'!$B$13,Paramètres!$A$1:$I$89,3,0)*0.475*44/12</f>
        <v>0</v>
      </c>
      <c r="DI57" s="24">
        <f t="shared" si="15"/>
        <v>0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8</v>
      </c>
      <c r="DO57" s="13">
        <f>IF('Données projet'!$A$166&gt;35,DO56+DN57-DW56,IF(A57&lt;'Données projet'!$A$166,$DL$205^A57,IF(A57='Données projet'!$A$166,'Données projet'!$B$166,DO56+DN57-DW56)))</f>
        <v>189</v>
      </c>
      <c r="DP57" s="18">
        <f>DO57*VLOOKUP('Données projet'!$B$14,Paramètres!$A$1:$I$89,3,0)*VLOOKUP('Données projet'!$B$14,Paramètres!$A$1:$I$89,5,0)</f>
        <v>159.21360000000001</v>
      </c>
      <c r="DQ57" s="14">
        <f t="shared" si="43"/>
        <v>40.665089859977108</v>
      </c>
      <c r="DR57" s="22">
        <f t="shared" si="16"/>
        <v>348.12205150612681</v>
      </c>
      <c r="DS57" s="62">
        <f t="shared" si="17"/>
        <v>641.45538483946007</v>
      </c>
      <c r="DT57" s="62">
        <f ca="1">AVERAGE(OFFSET($DS$3,0,0,'Données projet'!$E$14+1,1))-AVERAGE(OFFSET($H$3,0,0,'Données projet'!$E$14+1,1))</f>
        <v>402.15128814037058</v>
      </c>
      <c r="DU57" s="62">
        <f t="shared" si="44"/>
        <v>232.85411068442738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>
        <f>EXP(-LN(2)/35)*EA56+(1-EXP(-LN(2)/35))/(LN(2)/35)*DW57*DX57*VLOOKUP('Données projet'!$B$14,Paramètres!$A$1:$I$89,3,0)*0.475*44/12</f>
        <v>0</v>
      </c>
      <c r="EB57" s="23">
        <f>EXP(-LN(2)/25)*EB56+(1-EXP(-LN(2)/25))/(LN(2)/25)*Calculateur!DW57*Calculateur!DY57*VLOOKUP('Données projet'!$B$14,Paramètres!$A$1:$I$89,3,0)*0.475*44/12</f>
        <v>0</v>
      </c>
      <c r="EC57" s="23">
        <f>EXP(-LN(2)/2)*EC56+(1-EXP(-LN(2)/2))/(LN(2)/2)*DW57*DZ57*VLOOKUP('Données projet'!$B$14,Paramètres!$A$1:$I$89,3,0)*0.475*44/12</f>
        <v>0</v>
      </c>
      <c r="ED57" s="24">
        <f t="shared" si="18"/>
        <v>0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6.6666666666666625</v>
      </c>
      <c r="EJ57" s="13">
        <f>IF('Données projet'!$A$192&gt;35,EJ56+EI57-ER56,IF(A57&lt;'Données projet'!$A$192,$EG$205^A57,IF(A57='Données projet'!$A$192,'Données projet'!$B$192,EJ56+EI57-ER56)))</f>
        <v>252.30769230769243</v>
      </c>
      <c r="EK57" s="18">
        <f>EJ57*VLOOKUP('Données projet'!$B$15,Paramètres!$A$1:$I$89,3,0)*VLOOKUP('Données projet'!$B$15,Paramètres!$A$1:$I$89,5,0)</f>
        <v>263.71200000000016</v>
      </c>
      <c r="EL57" s="14">
        <f t="shared" si="45"/>
        <v>63.51297235605125</v>
      </c>
      <c r="EM57" s="22">
        <f t="shared" si="19"/>
        <v>569.9168268534562</v>
      </c>
      <c r="EN57" s="62">
        <f t="shared" si="20"/>
        <v>863.25016018678957</v>
      </c>
      <c r="EO57" s="62">
        <f ca="1">AVERAGE(OFFSET($EN$3,0,0,'Données projet'!$E$15+1,1))-AVERAGE(OFFSET($H$3,0,0,'Données projet'!$E$15+1,1))</f>
        <v>595.89992279024398</v>
      </c>
      <c r="EP57" s="62">
        <f t="shared" si="46"/>
        <v>378.16197659288338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>
        <f>EXP(-LN(2)/35)*EV56+(1-EXP(-LN(2)/35))/(LN(2)/35)*ER57*ES57*VLOOKUP('Données projet'!$B$15,Paramètres!$A$1:$I$89,3,0)*0.475*44/12</f>
        <v>0</v>
      </c>
      <c r="EW57" s="23">
        <f>EXP(-LN(2)/25)*EW56+(1-EXP(-LN(2)/25))/(LN(2)/25)*Calculateur!ER57*Calculateur!ET57*VLOOKUP('Données projet'!$B$15,Paramètres!$A$1:$I$89,3,0)*0.475*44/12</f>
        <v>0</v>
      </c>
      <c r="EX57" s="23">
        <f>EXP(-LN(2)/2)*EX56+(1-EXP(-LN(2)/2))/(LN(2)/2)*ER57*EU57*VLOOKUP('Données projet'!$B$15,Paramètres!$A$1:$I$89,3,0)*0.475*44/12</f>
        <v>0</v>
      </c>
      <c r="EY57" s="24">
        <f t="shared" si="21"/>
        <v>0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10.092929864253392</v>
      </c>
      <c r="FE57" s="13">
        <f>IF('Données projet'!$A$218&gt;35,FE56+FD57-FM56,IF(A57&lt;'Données projet'!$A$218,$FB$205^A57,IF(A57='Données projet'!$A$218,'Données projet'!$B$218,FE56+FD57-FM56)))</f>
        <v>292.94242081447942</v>
      </c>
      <c r="FF57" s="18">
        <f>FE57*VLOOKUP('Données projet'!$B$16,Paramètres!$A$1:$I$89,3,0)*VLOOKUP('Données projet'!$B$16,Paramètres!$A$1:$I$89,5,0)</f>
        <v>175.17956764705869</v>
      </c>
      <c r="FG57" s="14">
        <f t="shared" si="47"/>
        <v>44.24804034194824</v>
      </c>
      <c r="FH57" s="22">
        <f t="shared" si="22"/>
        <v>382.16975058085364</v>
      </c>
      <c r="FI57" s="62">
        <f t="shared" si="23"/>
        <v>675.50308391418696</v>
      </c>
      <c r="FJ57" s="62">
        <f ca="1">AVERAGE(OFFSET($FI$3,0,0,'Données projet'!$E$16+1,1))-AVERAGE(OFFSET($H$3,0,0,'Données projet'!$E$16+1,1))</f>
        <v>257.56116197646924</v>
      </c>
      <c r="FK57" s="62">
        <f t="shared" si="48"/>
        <v>269.95556918835888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>
        <f>EXP(-LN(2)/35)*FQ56+(1-EXP(-LN(2)/35))/(LN(2)/35)*FM57*FN57*VLOOKUP('Données projet'!$B$16,Paramètres!$A$1:$I$89,3,0)*0.475*44/12</f>
        <v>9.0652524642179291</v>
      </c>
      <c r="FR57" s="23">
        <f>EXP(-LN(2)/25)*FR56+(1-EXP(-LN(2)/25))/(LN(2)/25)*Calculateur!FM57*Calculateur!FO57*VLOOKUP('Données projet'!$B$16,Paramètres!$A$1:$I$89,3,0)*0.475*44/12</f>
        <v>8.2984583015328379</v>
      </c>
      <c r="FS57" s="23">
        <f>EXP(-LN(2)/2)*FS56+(1-EXP(-LN(2)/2))/(LN(2)/2)*FM57*FP57*VLOOKUP('Données projet'!$B$16,Paramètres!$A$1:$I$89,3,0)*0.475*44/12</f>
        <v>2.0883992729431112E-3</v>
      </c>
      <c r="FT57" s="24">
        <f t="shared" si="24"/>
        <v>17.365799165023709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10.66307692307692</v>
      </c>
      <c r="FZ57" s="13">
        <f>IF('Données projet'!$A$244&gt;35,FZ56+FY57-GH56,IF(A57&lt;'Données projet'!$A$244,$FW$205^A57,IF(A57='Données projet'!$A$244,'Données projet'!$B$244,FZ56+FY57-GH56)))</f>
        <v>278.44461538461536</v>
      </c>
      <c r="GA57" s="18">
        <f>FZ57*VLOOKUP('Données projet'!$B$17,Paramètres!$A$1:$I$89,3,0)*VLOOKUP('Données projet'!$B$17,Paramètres!$A$1:$I$89,5,0)</f>
        <v>166.50987999999998</v>
      </c>
      <c r="GB57" s="14">
        <f t="shared" si="49"/>
        <v>42.307411610776938</v>
      </c>
      <c r="GC57" s="22">
        <f t="shared" si="25"/>
        <v>363.69011622210314</v>
      </c>
      <c r="GD57" s="62">
        <f t="shared" si="26"/>
        <v>657.0234495554364</v>
      </c>
      <c r="GE57" s="62">
        <f ca="1">AVERAGE(OFFSET($GD$3,0,0,'Données projet'!$E$17+1,1))-AVERAGE(OFFSET($H$3,0,0,'Données projet'!$E$17+1,1))</f>
        <v>289.12367833861299</v>
      </c>
      <c r="GF57" s="62">
        <f t="shared" si="50"/>
        <v>229.06617320689003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>
        <f>EXP(-LN(2)/35)*GL56+(1-EXP(-LN(2)/35))/(LN(2)/35)*GH57*GI57*VLOOKUP('Données projet'!$B$17,Paramètres!$A$1:$I$89,3,0)*0.475*44/12</f>
        <v>0</v>
      </c>
      <c r="GM57" s="23">
        <f>EXP(-LN(2)/25)*GM56+(1-EXP(-LN(2)/25))/(LN(2)/25)*Calculateur!GH57*Calculateur!GJ57*VLOOKUP('Données projet'!$B$17,Paramètres!$A$1:$I$89,3,0)*0.475*44/12</f>
        <v>0</v>
      </c>
      <c r="GN57" s="23">
        <f>EXP(-LN(2)/2)*GN56+(1-EXP(-LN(2)/2))/(LN(2)/2)*GH57*GK57*VLOOKUP('Données projet'!$B$17,Paramètres!$A$1:$I$89,3,0)*0.475*44/12</f>
        <v>1.012410907721057E-3</v>
      </c>
      <c r="GO57" s="23">
        <f t="shared" si="27"/>
        <v>1.012410907721057E-3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11.264615384615393</v>
      </c>
      <c r="GU57" s="13">
        <f>IF('Données projet'!$A$270&gt;35,GU56+GT57-HC56,IF(A57&lt;'Données projet'!$A$270,$GR$205^A57,IF(A57='Données projet'!$A$270,'Données projet'!$B$270,GU56+GT57-HC56)))</f>
        <v>251.20153846153843</v>
      </c>
      <c r="GV57" s="18">
        <f>GU57*VLOOKUP('Données projet'!$B$18,Paramètres!$A$1:$I$89,3,0)*VLOOKUP('Données projet'!$B$18,Paramètres!$A$1:$I$89,5,0)</f>
        <v>117.56231999999999</v>
      </c>
      <c r="GW57" s="14">
        <f t="shared" si="51"/>
        <v>31.105773147740869</v>
      </c>
      <c r="GX57" s="22">
        <f t="shared" si="28"/>
        <v>258.93026223231527</v>
      </c>
      <c r="GY57" s="62">
        <f t="shared" si="29"/>
        <v>552.26359556564853</v>
      </c>
      <c r="GZ57" s="62">
        <f ca="1">AVERAGE(OFFSET($GY$3,0,0,'Données projet'!$E$18+1,1))-AVERAGE(OFFSET($H$3,0,0,'Données projet'!$E$18+1,1))</f>
        <v>284.88646502866419</v>
      </c>
      <c r="HA57" s="62">
        <f t="shared" si="52"/>
        <v>190.4880882944471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>
        <f>EXP(-LN(2)/35)*HG56+(1-EXP(-LN(2)/35))/(LN(2)/35)*HC57*HD57*VLOOKUP('Données projet'!$B$18,Paramètres!$A$1:$I$89,3,0)*0.475*44/12</f>
        <v>0</v>
      </c>
      <c r="HH57" s="23">
        <f>EXP(-LN(2)/25)*HH56+(1-EXP(-LN(2)/25))/(LN(2)/25)*Calculateur!HC57*Calculateur!HE57*VLOOKUP('Données projet'!$B$18,Paramètres!$A$1:$I$89,3,0)*0.475*44/12</f>
        <v>0</v>
      </c>
      <c r="HI57" s="23">
        <f>EXP(-LN(2)/2)*HI56+(1-EXP(-LN(2)/2))/(LN(2)/2)*HC57*HF57*VLOOKUP('Données projet'!$B$18,Paramètres!$A$1:$I$89,3,0)*0.475*44/12</f>
        <v>0</v>
      </c>
      <c r="HJ57" s="24">
        <f t="shared" si="30"/>
        <v>0</v>
      </c>
    </row>
    <row r="58" spans="1:218" s="5" customFormat="1" x14ac:dyDescent="0.25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2">
        <f t="shared" si="32"/>
        <v>0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0</v>
      </c>
      <c r="H58" s="70">
        <f t="shared" si="1"/>
        <v>256.66666666666669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>
        <f>VLOOKUP(A58,'Données projet'!$A$35:$I$55,2,0)</f>
        <v>175.64102564102564</v>
      </c>
      <c r="L58" s="13">
        <f>VLOOKUP(A58,'Données projet'!$A$35:$I$55,9,0)</f>
        <v>5.2564102564102599</v>
      </c>
      <c r="M58" s="13">
        <f t="array" ref="M58">INDEX(L:L,MIN(IF(ISNUMBER(L58:L254),ROW(L58:L254),"")))</f>
        <v>5.2564102564102599</v>
      </c>
      <c r="N58" s="14">
        <f>IF('Données projet'!$A$36&gt;35,N57+M58-V57,IF(A58&lt;'Données projet'!$A$36,$K$205^A58,IF(A58='Données projet'!$A$36,'Données projet'!$B$36,N57+M58-V57)))</f>
        <v>175.64102564102561</v>
      </c>
      <c r="O58" s="14">
        <f>N58*VLOOKUP('Données projet'!$B$9,Paramètres!$A$1:$I$89,3,0)*VLOOKUP('Données projet'!$B$9,Paramètres!$A$1:$I$89,5,0)</f>
        <v>167.14</v>
      </c>
      <c r="P58" s="14">
        <f t="shared" si="33"/>
        <v>42.448847586931429</v>
      </c>
      <c r="Q58" s="22">
        <f t="shared" si="53"/>
        <v>365.03390954723886</v>
      </c>
      <c r="R58" s="62">
        <f t="shared" si="0"/>
        <v>658.36724288057212</v>
      </c>
      <c r="S58" s="62">
        <f ca="1">AVERAGE(OFFSET($R$3,0,0,'Données projet'!$E$9+1,1))-AVERAGE(OFFSET($H$3,0,0,'Données projet'!$E$9+1,1))</f>
        <v>367.11183928586667</v>
      </c>
      <c r="T58" s="62">
        <f t="shared" si="34"/>
        <v>281.52963027844595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0</v>
      </c>
      <c r="AA58" s="23">
        <f>EXP(-LN(2)/25)*AA57+(1-EXP(-LN(2)/25))/(LN(2)/25)*Calculateur!V58*Calculateur!X58*VLOOKUP('Données projet'!$B$9,Paramètres!$A$1:$I$89,3,0)*0.475*44/12</f>
        <v>0</v>
      </c>
      <c r="AB58" s="23">
        <f>EXP(-LN(2)/2)*AB57+(1-EXP(-LN(2)/2))/(LN(2)/2)*V58*Y58*VLOOKUP('Données projet'!$B$9,Paramètres!$A$1:$I$89,3,0)*0.475*44/12</f>
        <v>0</v>
      </c>
      <c r="AC58" s="24">
        <f t="shared" si="3"/>
        <v>0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>
        <f>VLOOKUP(A58,'Données projet'!$A$61:$I$81,2,0)</f>
        <v>197</v>
      </c>
      <c r="AG58" s="13">
        <f>VLOOKUP(A58,'Données projet'!$A$61:$I$81,9,0)</f>
        <v>8</v>
      </c>
      <c r="AH58" s="13">
        <f t="array" ref="AH58">INDEX(AG:AG,MIN(IF(ISNUMBER(AG58:AG254),ROW(AG58:AG254),"")))</f>
        <v>8</v>
      </c>
      <c r="AI58" s="14">
        <f>IF('Données projet'!$A$62&gt;35,AI57+AH58-AQ57,IF(A58&lt;'Données projet'!$A$62,$AF$205^A58,IF(A58='Données projet'!$A$62,'Données projet'!$B$62,AI57+AH58-AQ57)))</f>
        <v>197</v>
      </c>
      <c r="AJ58" s="14">
        <f>AI58*VLOOKUP('Données projet'!$B$10,Paramètres!$A$1:$I$89,3,0)*VLOOKUP('Données projet'!$B$10,Paramètres!$A$1:$I$89,5,0)</f>
        <v>178.2456</v>
      </c>
      <c r="AK58" s="14">
        <f t="shared" si="35"/>
        <v>44.931642269910427</v>
      </c>
      <c r="AL58" s="22">
        <f t="shared" si="4"/>
        <v>388.70036362009404</v>
      </c>
      <c r="AM58" s="62">
        <f t="shared" si="5"/>
        <v>682.03369695342735</v>
      </c>
      <c r="AN58" s="62">
        <f ca="1">AVERAGE(OFFSET($AM$3,0,0,'Données projet'!$E$10+1,1))-AVERAGE(OFFSET($H$3,0,0,'Données projet'!$E$10+1,1))</f>
        <v>428.8489304403459</v>
      </c>
      <c r="AO58" s="62">
        <f t="shared" si="36"/>
        <v>247.01165577562966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projet'!$B$10,Paramètres!$A$1:$I$89,3,0)*0.475*44/12</f>
        <v>0</v>
      </c>
      <c r="AV58" s="23">
        <f>EXP(-LN(2)/25)*AV57+(1-EXP(-LN(2)/25))/(LN(2)/25)*Calculateur!AQ58*Calculateur!AS58*VLOOKUP('Données projet'!$B$10,Paramètres!$A$1:$I$89,3,0)*0.475*44/12</f>
        <v>0</v>
      </c>
      <c r="AW58" s="23">
        <f>EXP(-LN(2)/2)*AW57+(1-EXP(-LN(2)/2))/(LN(2)/2)*AQ58*AT58*VLOOKUP('Données projet'!$B$10,Paramètres!$A$1:$I$89,3,0)*0.475*44/12</f>
        <v>0</v>
      </c>
      <c r="AX58" s="23">
        <f t="shared" si="6"/>
        <v>0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>
        <f>VLOOKUP(A58,'Données projet'!$A$87:$I$107,2,0)</f>
        <v>197</v>
      </c>
      <c r="BB58" s="13">
        <f>VLOOKUP(A58,'Données projet'!$A$87:$I$107,9,0)</f>
        <v>8</v>
      </c>
      <c r="BC58" s="13">
        <f t="array" ref="BC58">INDEX(BB:BB,MIN(IF(ISNUMBER(BB58:BB254),ROW(BB58:BB254),"")))</f>
        <v>8</v>
      </c>
      <c r="BD58" s="13">
        <f>IF('Données projet'!$A$88&gt;35,BD57+BC58-BL57,IF(A58&lt;'Données projet'!$A$88,$BA$205^A58,IF(A58='Données projet'!$A$88,'Données projet'!$B$88,BD57+BC58-BL57)))</f>
        <v>197</v>
      </c>
      <c r="BE58" s="14">
        <f>BD58*VLOOKUP('Données projet'!$B$11,Paramètres!$A$1:$I$89,3,0)*VLOOKUP('Données projet'!$B$11,Paramètres!$A$1:$I$89,5,0)</f>
        <v>199.75800000000004</v>
      </c>
      <c r="BF58" s="14">
        <f t="shared" si="37"/>
        <v>49.690979702964015</v>
      </c>
      <c r="BG58" s="22">
        <f t="shared" si="7"/>
        <v>434.45697298266236</v>
      </c>
      <c r="BH58" s="62">
        <f t="shared" si="8"/>
        <v>727.79030631599562</v>
      </c>
      <c r="BI58" s="62">
        <f ca="1">AVERAGE(OFFSET($BH$3,0,0,'Données projet'!$E$11+1,1))-AVERAGE(OFFSET($H$3,0,0,'Données projet'!$E$11+1,1))</f>
        <v>475.47920969424894</v>
      </c>
      <c r="BJ58" s="62">
        <f t="shared" si="38"/>
        <v>271.73544012419364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>
        <f>EXP(-LN(2)/35)*BP57+(1-EXP(-LN(2)/35))/(LN(2)/35)*BL58*BM58*VLOOKUP('Données projet'!$B$11,Paramètres!$A$1:$I$89,3,0)*0.475*44/12</f>
        <v>0</v>
      </c>
      <c r="BQ58" s="23">
        <f>EXP(-LN(2)/25)*BQ57+(1-EXP(-LN(2)/25))/(LN(2)/25)*Calculateur!BL58*Calculateur!BN58*VLOOKUP('Données projet'!$B$11,Paramètres!$A$1:$I$89,3,0)*0.475*44/12</f>
        <v>0</v>
      </c>
      <c r="BR58" s="23">
        <f>EXP(-LN(2)/2)*BR57+(1-EXP(-LN(2)/2))/(LN(2)/2)*BL58*BO58*VLOOKUP('Données projet'!$B$11,Paramètres!$A$1:$I$89,3,0)*0.475*44/12</f>
        <v>0</v>
      </c>
      <c r="BS58" s="24">
        <f t="shared" si="9"/>
        <v>0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16.227472527472521</v>
      </c>
      <c r="BY58" s="13">
        <f>IF('Données projet'!$A$114&gt;35,BY57+BX58-CG57,IF(A58&lt;'Données projet'!$A$114,$BV$205^A58,IF(A58='Données projet'!$A$114,'Données projet'!$B$114,BY57+BX58-CG57)))</f>
        <v>411.48021978021978</v>
      </c>
      <c r="BZ58" s="14">
        <f>BY58*VLOOKUP('Données projet'!$B$12,Paramètres!$A$1:$I$89,3,0)*VLOOKUP('Données projet'!$B$12,Paramètres!$A$1:$I$89,5,0)</f>
        <v>230.01744285714284</v>
      </c>
      <c r="CA58" s="14">
        <f t="shared" si="39"/>
        <v>56.286453068022915</v>
      </c>
      <c r="CB58" s="22">
        <f t="shared" si="10"/>
        <v>498.64595206966368</v>
      </c>
      <c r="CC58" s="62">
        <f t="shared" si="11"/>
        <v>791.97928540299699</v>
      </c>
      <c r="CD58" s="62">
        <f ca="1">AVERAGE(OFFSET($CC$3,0,0,'Données projet'!$E$12+1,1))-AVERAGE(OFFSET($H$3,0,0,'Données projet'!$E$12+1,1))</f>
        <v>323.98185264074681</v>
      </c>
      <c r="CE58" s="62">
        <f t="shared" si="40"/>
        <v>301.22207291854005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>
        <f>EXP(-LN(2)/35)*CK57+(1-EXP(-LN(2)/35))/(LN(2)/35)*CG58*CH58*VLOOKUP('Données projet'!$B$12,Paramètres!$A$1:$I$89,3,0)*0.475*44/12</f>
        <v>2.7198151275508273</v>
      </c>
      <c r="CL58" s="23">
        <f>EXP(-LN(2)/25)*CL57+(1-EXP(-LN(2)/25))/(LN(2)/25)*Calculateur!CG58*Calculateur!CI58*VLOOKUP('Données projet'!$B$12,Paramètres!$A$1:$I$89,3,0)*0.475*44/12</f>
        <v>4.1236498205408711</v>
      </c>
      <c r="CM58" s="23">
        <f>EXP(-LN(2)/2)*CM57+(1-EXP(-LN(2)/2))/(LN(2)/2)*CG58*CJ58*VLOOKUP('Données projet'!$B$12,Paramètres!$A$1:$I$89,3,0)*0.475*44/12</f>
        <v>1.0509594090000129E-3</v>
      </c>
      <c r="CN58" s="24">
        <f t="shared" si="12"/>
        <v>6.844515907500698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>
        <f>VLOOKUP(A58,'Données projet'!$A$139:$I$159,2,0)</f>
        <v>135</v>
      </c>
      <c r="CR58" s="13">
        <f>VLOOKUP(A58,'Données projet'!$A$139:$I$159,9,0)</f>
        <v>5.6</v>
      </c>
      <c r="CS58" s="13">
        <f t="array" ref="CS58">INDEX(CR:CR,MIN(IF(ISNUMBER(CR58:CR254),ROW(CR58:CR254),"")))</f>
        <v>5.6</v>
      </c>
      <c r="CT58" s="13">
        <f>IF('Données projet'!$A$140&gt;35,CT57+CS58-DB57,IF(A58&lt;'Données projet'!$A$140,$CQ$205^A58,IF(A58='Données projet'!$A$140,'Données projet'!$B$140,CT57+CS58-DB57)))</f>
        <v>134.99999999999994</v>
      </c>
      <c r="CU58" s="18">
        <f>CT58*VLOOKUP('Données projet'!$B$13,Paramètres!$A$1:$I$89,3,0)*VLOOKUP('Données projet'!$B$13,Paramètres!$A$1:$I$89,5,0)</f>
        <v>153.73799999999994</v>
      </c>
      <c r="CV58" s="14">
        <f t="shared" si="41"/>
        <v>39.426838781722438</v>
      </c>
      <c r="CW58" s="22">
        <f t="shared" si="13"/>
        <v>336.42876087816643</v>
      </c>
      <c r="CX58" s="62">
        <f t="shared" si="14"/>
        <v>629.76209421149974</v>
      </c>
      <c r="CY58" s="62">
        <f ca="1">AVERAGE(OFFSET($CX$3,0,0,'Données projet'!$E$13+1,1))-AVERAGE(OFFSET($H$3,0,0,'Données projet'!$E$13+1,1))</f>
        <v>399.78832690250164</v>
      </c>
      <c r="CZ58" s="62">
        <f t="shared" si="42"/>
        <v>174.32967064896343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>
        <f>EXP(-LN(2)/35)*DF57+(1-EXP(-LN(2)/35))/(LN(2)/35)*DB58*DC58*VLOOKUP('Données projet'!$B$13,Paramètres!$A$1:$I$89,3,0)*0.475*44/12</f>
        <v>0</v>
      </c>
      <c r="DG58" s="23">
        <f>EXP(-LN(2)/25)*DG57+(1-EXP(-LN(2)/25))/(LN(2)/25)*Calculateur!DB58*Calculateur!DD58*VLOOKUP('Données projet'!$B$13,Paramètres!$A$1:$I$89,3,0)*0.475*44/12</f>
        <v>0</v>
      </c>
      <c r="DH58" s="23">
        <f>EXP(-LN(2)/2)*DH57+(1-EXP(-LN(2)/2))/(LN(2)/2)*DB58*DE58*VLOOKUP('Données projet'!$B$13,Paramètres!$A$1:$I$89,3,0)*0.475*44/12</f>
        <v>0</v>
      </c>
      <c r="DI58" s="24">
        <f t="shared" si="15"/>
        <v>0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>
        <f>VLOOKUP(A58,'Données projet'!$A$165:$I$185,2,0)</f>
        <v>197</v>
      </c>
      <c r="DM58" s="13">
        <f>VLOOKUP(A58,'Données projet'!$A$165:$I$185,9,0)</f>
        <v>8</v>
      </c>
      <c r="DN58" s="13">
        <f t="array" ref="DN58">INDEX(DM:DM,MIN(IF(ISNUMBER(DM58:DM254),ROW(DM58:DM254),"")))</f>
        <v>8</v>
      </c>
      <c r="DO58" s="13">
        <f>IF('Données projet'!$A$166&gt;35,DO57+DN58-DW57,IF(A58&lt;'Données projet'!$A$166,$DL$205^A58,IF(A58='Données projet'!$A$166,'Données projet'!$B$166,DO57+DN58-DW57)))</f>
        <v>197</v>
      </c>
      <c r="DP58" s="18">
        <f>DO58*VLOOKUP('Données projet'!$B$14,Paramètres!$A$1:$I$89,3,0)*VLOOKUP('Données projet'!$B$14,Paramètres!$A$1:$I$89,5,0)</f>
        <v>165.95280000000002</v>
      </c>
      <c r="DQ58" s="14">
        <f t="shared" si="43"/>
        <v>42.182318214665827</v>
      </c>
      <c r="DR58" s="22">
        <f t="shared" si="16"/>
        <v>362.50199755720968</v>
      </c>
      <c r="DS58" s="62">
        <f t="shared" si="17"/>
        <v>655.83533089054299</v>
      </c>
      <c r="DT58" s="62">
        <f ca="1">AVERAGE(OFFSET($DS$3,0,0,'Données projet'!$E$14+1,1))-AVERAGE(OFFSET($H$3,0,0,'Données projet'!$E$14+1,1))</f>
        <v>402.15128814037058</v>
      </c>
      <c r="DU58" s="62">
        <f t="shared" si="44"/>
        <v>232.85411068442738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>
        <f>EXP(-LN(2)/35)*EA57+(1-EXP(-LN(2)/35))/(LN(2)/35)*DW58*DX58*VLOOKUP('Données projet'!$B$14,Paramètres!$A$1:$I$89,3,0)*0.475*44/12</f>
        <v>0</v>
      </c>
      <c r="EB58" s="23">
        <f>EXP(-LN(2)/25)*EB57+(1-EXP(-LN(2)/25))/(LN(2)/25)*Calculateur!DW58*Calculateur!DY58*VLOOKUP('Données projet'!$B$14,Paramètres!$A$1:$I$89,3,0)*0.475*44/12</f>
        <v>0</v>
      </c>
      <c r="EC58" s="23">
        <f>EXP(-LN(2)/2)*EC57+(1-EXP(-LN(2)/2))/(LN(2)/2)*DW58*DZ58*VLOOKUP('Données projet'!$B$14,Paramètres!$A$1:$I$89,3,0)*0.475*44/12</f>
        <v>0</v>
      </c>
      <c r="ED58" s="24">
        <f t="shared" si="18"/>
        <v>0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>
        <f>VLOOKUP(A58,'Données projet'!$A$191:$I$211,2,0)</f>
        <v>258.97435897435895</v>
      </c>
      <c r="EH58" s="13">
        <f>VLOOKUP(A58,'Données projet'!$A$191:$I$211,9,0)</f>
        <v>6.6666666666666625</v>
      </c>
      <c r="EI58" s="13">
        <f t="array" ref="EI58">INDEX(EH:EH,MIN(IF(ISNUMBER(EH58:EH254),ROW(EH58:EH254),"")))</f>
        <v>6.6666666666666625</v>
      </c>
      <c r="EJ58" s="13">
        <f>IF('Données projet'!$A$192&gt;35,EJ57+EI58-ER57,IF(A58&lt;'Données projet'!$A$192,$EG$205^A58,IF(A58='Données projet'!$A$192,'Données projet'!$B$192,EJ57+EI58-ER57)))</f>
        <v>258.97435897435912</v>
      </c>
      <c r="EK58" s="18">
        <f>EJ58*VLOOKUP('Données projet'!$B$15,Paramètres!$A$1:$I$89,3,0)*VLOOKUP('Données projet'!$B$15,Paramètres!$A$1:$I$89,5,0)</f>
        <v>270.68000000000018</v>
      </c>
      <c r="EL58" s="14">
        <f t="shared" si="45"/>
        <v>64.993561316583325</v>
      </c>
      <c r="EM58" s="22">
        <f t="shared" si="19"/>
        <v>584.63145262638295</v>
      </c>
      <c r="EN58" s="62">
        <f t="shared" si="20"/>
        <v>877.96478595971621</v>
      </c>
      <c r="EO58" s="62">
        <f ca="1">AVERAGE(OFFSET($EN$3,0,0,'Données projet'!$E$15+1,1))-AVERAGE(OFFSET($H$3,0,0,'Données projet'!$E$15+1,1))</f>
        <v>595.89992279024398</v>
      </c>
      <c r="EP58" s="62">
        <f t="shared" si="46"/>
        <v>378.16197659288338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>
        <f>EXP(-LN(2)/35)*EV57+(1-EXP(-LN(2)/35))/(LN(2)/35)*ER58*ES58*VLOOKUP('Données projet'!$B$15,Paramètres!$A$1:$I$89,3,0)*0.475*44/12</f>
        <v>0</v>
      </c>
      <c r="EW58" s="23">
        <f>EXP(-LN(2)/25)*EW57+(1-EXP(-LN(2)/25))/(LN(2)/25)*Calculateur!ER58*Calculateur!ET58*VLOOKUP('Données projet'!$B$15,Paramètres!$A$1:$I$89,3,0)*0.475*44/12</f>
        <v>0</v>
      </c>
      <c r="EX58" s="23">
        <f>EXP(-LN(2)/2)*EX57+(1-EXP(-LN(2)/2))/(LN(2)/2)*ER58*EU58*VLOOKUP('Données projet'!$B$15,Paramètres!$A$1:$I$89,3,0)*0.475*44/12</f>
        <v>0</v>
      </c>
      <c r="EY58" s="24">
        <f t="shared" si="21"/>
        <v>0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10.092929864253392</v>
      </c>
      <c r="FE58" s="13">
        <f>IF('Données projet'!$A$218&gt;35,FE57+FD58-FM57,IF(A58&lt;'Données projet'!$A$218,$FB$205^A58,IF(A58='Données projet'!$A$218,'Données projet'!$B$218,FE57+FD58-FM57)))</f>
        <v>303.03535067873281</v>
      </c>
      <c r="FF58" s="18">
        <f>FE58*VLOOKUP('Données projet'!$B$16,Paramètres!$A$1:$I$89,3,0)*VLOOKUP('Données projet'!$B$16,Paramètres!$A$1:$I$89,5,0)</f>
        <v>181.21513970588222</v>
      </c>
      <c r="FG58" s="14">
        <f t="shared" si="47"/>
        <v>45.592426411676563</v>
      </c>
      <c r="FH58" s="22">
        <f t="shared" si="22"/>
        <v>395.02317765474822</v>
      </c>
      <c r="FI58" s="62">
        <f t="shared" si="23"/>
        <v>688.35651098808148</v>
      </c>
      <c r="FJ58" s="62">
        <f ca="1">AVERAGE(OFFSET($FI$3,0,0,'Données projet'!$E$16+1,1))-AVERAGE(OFFSET($H$3,0,0,'Données projet'!$E$16+1,1))</f>
        <v>257.56116197646924</v>
      </c>
      <c r="FK58" s="62">
        <f t="shared" si="48"/>
        <v>269.95556918835888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>
        <f>EXP(-LN(2)/35)*FQ57+(1-EXP(-LN(2)/35))/(LN(2)/35)*FM58*FN58*VLOOKUP('Données projet'!$B$16,Paramètres!$A$1:$I$89,3,0)*0.475*44/12</f>
        <v>8.8874883926526493</v>
      </c>
      <c r="FR58" s="23">
        <f>EXP(-LN(2)/25)*FR57+(1-EXP(-LN(2)/25))/(LN(2)/25)*Calculateur!FM58*Calculateur!FO58*VLOOKUP('Données projet'!$B$16,Paramètres!$A$1:$I$89,3,0)*0.475*44/12</f>
        <v>8.0715365228804661</v>
      </c>
      <c r="FS58" s="23">
        <f>EXP(-LN(2)/2)*FS57+(1-EXP(-LN(2)/2))/(LN(2)/2)*FM58*FP58*VLOOKUP('Données projet'!$B$16,Paramètres!$A$1:$I$89,3,0)*0.475*44/12</f>
        <v>1.4767212877231295E-3</v>
      </c>
      <c r="FT58" s="24">
        <f t="shared" si="24"/>
        <v>16.960501636820837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10.66307692307692</v>
      </c>
      <c r="FZ58" s="13">
        <f>IF('Données projet'!$A$244&gt;35,FZ57+FY58-GH57,IF(A58&lt;'Données projet'!$A$244,$FW$205^A58,IF(A58='Données projet'!$A$244,'Données projet'!$B$244,FZ57+FY58-GH57)))</f>
        <v>289.10769230769228</v>
      </c>
      <c r="GA58" s="18">
        <f>FZ58*VLOOKUP('Données projet'!$B$17,Paramètres!$A$1:$I$89,3,0)*VLOOKUP('Données projet'!$B$17,Paramètres!$A$1:$I$89,5,0)</f>
        <v>172.88639999999998</v>
      </c>
      <c r="GB58" s="14">
        <f t="shared" si="49"/>
        <v>43.735846359314316</v>
      </c>
      <c r="GC58" s="22">
        <f t="shared" si="25"/>
        <v>377.28374574247232</v>
      </c>
      <c r="GD58" s="62">
        <f t="shared" si="26"/>
        <v>670.61707907580558</v>
      </c>
      <c r="GE58" s="62">
        <f ca="1">AVERAGE(OFFSET($GD$3,0,0,'Données projet'!$E$17+1,1))-AVERAGE(OFFSET($H$3,0,0,'Données projet'!$E$17+1,1))</f>
        <v>289.12367833861299</v>
      </c>
      <c r="GF58" s="62">
        <f t="shared" si="50"/>
        <v>229.06617320689003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>
        <f>EXP(-LN(2)/35)*GL57+(1-EXP(-LN(2)/35))/(LN(2)/35)*GH58*GI58*VLOOKUP('Données projet'!$B$17,Paramètres!$A$1:$I$89,3,0)*0.475*44/12</f>
        <v>0</v>
      </c>
      <c r="GM58" s="23">
        <f>EXP(-LN(2)/25)*GM57+(1-EXP(-LN(2)/25))/(LN(2)/25)*Calculateur!GH58*Calculateur!GJ58*VLOOKUP('Données projet'!$B$17,Paramètres!$A$1:$I$89,3,0)*0.475*44/12</f>
        <v>0</v>
      </c>
      <c r="GN58" s="23">
        <f>EXP(-LN(2)/2)*GN57+(1-EXP(-LN(2)/2))/(LN(2)/2)*GH58*GK58*VLOOKUP('Données projet'!$B$17,Paramètres!$A$1:$I$89,3,0)*0.475*44/12</f>
        <v>7.1588261819678742E-4</v>
      </c>
      <c r="GO58" s="23">
        <f t="shared" si="27"/>
        <v>7.1588261819678742E-4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11.264615384615393</v>
      </c>
      <c r="GU58" s="13">
        <f>IF('Données projet'!$A$270&gt;35,GU57+GT58-HC57,IF(A58&lt;'Données projet'!$A$270,$GR$205^A58,IF(A58='Données projet'!$A$270,'Données projet'!$B$270,GU57+GT58-HC57)))</f>
        <v>262.46615384615382</v>
      </c>
      <c r="GV58" s="18">
        <f>GU58*VLOOKUP('Données projet'!$B$18,Paramètres!$A$1:$I$89,3,0)*VLOOKUP('Données projet'!$B$18,Paramètres!$A$1:$I$89,5,0)</f>
        <v>122.83415999999998</v>
      </c>
      <c r="GW58" s="14">
        <f t="shared" si="51"/>
        <v>32.33511984104085</v>
      </c>
      <c r="GX58" s="22">
        <f t="shared" si="28"/>
        <v>270.25316238981276</v>
      </c>
      <c r="GY58" s="62">
        <f t="shared" si="29"/>
        <v>563.58649572314607</v>
      </c>
      <c r="GZ58" s="62">
        <f ca="1">AVERAGE(OFFSET($GY$3,0,0,'Données projet'!$E$18+1,1))-AVERAGE(OFFSET($H$3,0,0,'Données projet'!$E$18+1,1))</f>
        <v>284.88646502866419</v>
      </c>
      <c r="HA58" s="62">
        <f t="shared" si="52"/>
        <v>190.4880882944471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>
        <f>EXP(-LN(2)/35)*HG57+(1-EXP(-LN(2)/35))/(LN(2)/35)*HC58*HD58*VLOOKUP('Données projet'!$B$18,Paramètres!$A$1:$I$89,3,0)*0.475*44/12</f>
        <v>0</v>
      </c>
      <c r="HH58" s="23">
        <f>EXP(-LN(2)/25)*HH57+(1-EXP(-LN(2)/25))/(LN(2)/25)*Calculateur!HC58*Calculateur!HE58*VLOOKUP('Données projet'!$B$18,Paramètres!$A$1:$I$89,3,0)*0.475*44/12</f>
        <v>0</v>
      </c>
      <c r="HI58" s="23">
        <f>EXP(-LN(2)/2)*HI57+(1-EXP(-LN(2)/2))/(LN(2)/2)*HC58*HF58*VLOOKUP('Données projet'!$B$18,Paramètres!$A$1:$I$89,3,0)*0.475*44/12</f>
        <v>0</v>
      </c>
      <c r="HJ58" s="24">
        <f t="shared" si="30"/>
        <v>0</v>
      </c>
    </row>
    <row r="59" spans="1:218" s="5" customFormat="1" x14ac:dyDescent="0.25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2">
        <f t="shared" si="32"/>
        <v>0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0</v>
      </c>
      <c r="H59" s="70">
        <f t="shared" si="1"/>
        <v>256.66666666666669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4.8717948717948731</v>
      </c>
      <c r="N59" s="14">
        <f>IF('Données projet'!$A$36&gt;35,N58+M59-V58,IF(A59&lt;'Données projet'!$A$36,$K$205^A59,IF(A59='Données projet'!$A$36,'Données projet'!$B$36,N58+M59-V58)))</f>
        <v>180.51282051282047</v>
      </c>
      <c r="O59" s="14">
        <f>N59*VLOOKUP('Données projet'!$B$9,Paramètres!$A$1:$I$89,3,0)*VLOOKUP('Données projet'!$B$9,Paramètres!$A$1:$I$89,5,0)</f>
        <v>171.77599999999995</v>
      </c>
      <c r="P59" s="14">
        <f t="shared" si="33"/>
        <v>43.48754759203468</v>
      </c>
      <c r="Q59" s="22">
        <f t="shared" si="53"/>
        <v>374.91734538946031</v>
      </c>
      <c r="R59" s="62">
        <f t="shared" si="0"/>
        <v>668.25067872279362</v>
      </c>
      <c r="S59" s="62">
        <f ca="1">AVERAGE(OFFSET($R$3,0,0,'Données projet'!$E$9+1,1))-AVERAGE(OFFSET($H$3,0,0,'Données projet'!$E$9+1,1))</f>
        <v>367.11183928586667</v>
      </c>
      <c r="T59" s="62">
        <f t="shared" si="34"/>
        <v>281.52963027844595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0</v>
      </c>
      <c r="AA59" s="23">
        <f>EXP(-LN(2)/25)*AA58+(1-EXP(-LN(2)/25))/(LN(2)/25)*Calculateur!V59*Calculateur!X59*VLOOKUP('Données projet'!$B$9,Paramètres!$A$1:$I$89,3,0)*0.475*44/12</f>
        <v>0</v>
      </c>
      <c r="AB59" s="23">
        <f>EXP(-LN(2)/2)*AB58+(1-EXP(-LN(2)/2))/(LN(2)/2)*V59*Y59*VLOOKUP('Données projet'!$B$9,Paramètres!$A$1:$I$89,3,0)*0.475*44/12</f>
        <v>0</v>
      </c>
      <c r="AC59" s="24">
        <f t="shared" si="3"/>
        <v>0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7.6</v>
      </c>
      <c r="AI59" s="14">
        <f>IF('Données projet'!$A$62&gt;35,AI58+AH59-AQ58,IF(A59&lt;'Données projet'!$A$62,$AF$205^A59,IF(A59='Données projet'!$A$62,'Données projet'!$B$62,AI58+AH59-AQ58)))</f>
        <v>204.6</v>
      </c>
      <c r="AJ59" s="14">
        <f>AI59*VLOOKUP('Données projet'!$B$10,Paramètres!$A$1:$I$89,3,0)*VLOOKUP('Données projet'!$B$10,Paramètres!$A$1:$I$89,5,0)</f>
        <v>185.12207999999998</v>
      </c>
      <c r="AK59" s="14">
        <f t="shared" si="35"/>
        <v>46.459887003478677</v>
      </c>
      <c r="AL59" s="22">
        <f t="shared" si="4"/>
        <v>403.33859253105862</v>
      </c>
      <c r="AM59" s="62">
        <f t="shared" si="5"/>
        <v>696.67192586439194</v>
      </c>
      <c r="AN59" s="62">
        <f ca="1">AVERAGE(OFFSET($AM$3,0,0,'Données projet'!$E$10+1,1))-AVERAGE(OFFSET($H$3,0,0,'Données projet'!$E$10+1,1))</f>
        <v>428.8489304403459</v>
      </c>
      <c r="AO59" s="62">
        <f t="shared" si="36"/>
        <v>247.01165577562966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0</v>
      </c>
      <c r="AV59" s="23">
        <f>EXP(-LN(2)/25)*AV58+(1-EXP(-LN(2)/25))/(LN(2)/25)*Calculateur!AQ59*Calculateur!AS59*VLOOKUP('Données projet'!$B$10,Paramètres!$A$1:$I$89,3,0)*0.475*44/12</f>
        <v>0</v>
      </c>
      <c r="AW59" s="23">
        <f>EXP(-LN(2)/2)*AW58+(1-EXP(-LN(2)/2))/(LN(2)/2)*AQ59*AT59*VLOOKUP('Données projet'!$B$10,Paramètres!$A$1:$I$89,3,0)*0.475*44/12</f>
        <v>0</v>
      </c>
      <c r="AX59" s="23">
        <f t="shared" si="6"/>
        <v>0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7.6</v>
      </c>
      <c r="BD59" s="13">
        <f>IF('Données projet'!$A$88&gt;35,BD58+BC59-BL58,IF(A59&lt;'Données projet'!$A$88,$BA$205^A59,IF(A59='Données projet'!$A$88,'Données projet'!$B$88,BD58+BC59-BL58)))</f>
        <v>204.6</v>
      </c>
      <c r="BE59" s="14">
        <f>BD59*VLOOKUP('Données projet'!$B$11,Paramètres!$A$1:$I$89,3,0)*VLOOKUP('Données projet'!$B$11,Paramètres!$A$1:$I$89,5,0)</f>
        <v>207.46440000000001</v>
      </c>
      <c r="BF59" s="14">
        <f t="shared" si="37"/>
        <v>51.381102169014063</v>
      </c>
      <c r="BG59" s="22">
        <f t="shared" si="7"/>
        <v>450.82258294436616</v>
      </c>
      <c r="BH59" s="62">
        <f t="shared" si="8"/>
        <v>744.15591627769948</v>
      </c>
      <c r="BI59" s="62">
        <f ca="1">AVERAGE(OFFSET($BH$3,0,0,'Données projet'!$E$11+1,1))-AVERAGE(OFFSET($H$3,0,0,'Données projet'!$E$11+1,1))</f>
        <v>475.47920969424894</v>
      </c>
      <c r="BJ59" s="62">
        <f t="shared" si="38"/>
        <v>271.73544012419364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>
        <f>EXP(-LN(2)/35)*BP58+(1-EXP(-LN(2)/35))/(LN(2)/35)*BL59*BM59*VLOOKUP('Données projet'!$B$11,Paramètres!$A$1:$I$89,3,0)*0.475*44/12</f>
        <v>0</v>
      </c>
      <c r="BQ59" s="23">
        <f>EXP(-LN(2)/25)*BQ58+(1-EXP(-LN(2)/25))/(LN(2)/25)*Calculateur!BL59*Calculateur!BN59*VLOOKUP('Données projet'!$B$11,Paramètres!$A$1:$I$89,3,0)*0.475*44/12</f>
        <v>0</v>
      </c>
      <c r="BR59" s="23">
        <f>EXP(-LN(2)/2)*BR58+(1-EXP(-LN(2)/2))/(LN(2)/2)*BL59*BO59*VLOOKUP('Données projet'!$B$11,Paramètres!$A$1:$I$89,3,0)*0.475*44/12</f>
        <v>0</v>
      </c>
      <c r="BS59" s="24">
        <f t="shared" si="9"/>
        <v>0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>
        <f>VLOOKUP(A59,'Données projet'!$A$113:$I$133,2,0)</f>
        <v>427.7076923076923</v>
      </c>
      <c r="BW59" s="13">
        <f>VLOOKUP(A59,'Données projet'!$A$113:$I$133,9,0)</f>
        <v>16.227472527472521</v>
      </c>
      <c r="BX59" s="13">
        <f t="array" ref="BX59">INDEX(BW:BW,MIN(IF(ISNUMBER(BW59:BW255),ROW(BW59:BW255),"")))</f>
        <v>16.227472527472521</v>
      </c>
      <c r="BY59" s="13">
        <f>IF('Données projet'!$A$114&gt;35,BY58+BX59-CG58,IF(A59&lt;'Données projet'!$A$114,$BV$205^A59,IF(A59='Données projet'!$A$114,'Données projet'!$B$114,BY58+BX59-CG58)))</f>
        <v>427.7076923076923</v>
      </c>
      <c r="BZ59" s="14">
        <f>BY59*VLOOKUP('Données projet'!$B$12,Paramètres!$A$1:$I$89,3,0)*VLOOKUP('Données projet'!$B$12,Paramètres!$A$1:$I$89,5,0)</f>
        <v>239.08860000000001</v>
      </c>
      <c r="CA59" s="14">
        <f t="shared" si="39"/>
        <v>58.243394931850105</v>
      </c>
      <c r="CB59" s="22">
        <f t="shared" si="10"/>
        <v>517.85322450630554</v>
      </c>
      <c r="CC59" s="62">
        <f t="shared" si="11"/>
        <v>811.18655783963891</v>
      </c>
      <c r="CD59" s="62">
        <f ca="1">AVERAGE(OFFSET($CC$3,0,0,'Données projet'!$E$12+1,1))-AVERAGE(OFFSET($H$3,0,0,'Données projet'!$E$12+1,1))</f>
        <v>323.98185264074681</v>
      </c>
      <c r="CE59" s="62">
        <f t="shared" si="40"/>
        <v>301.22207291854005</v>
      </c>
      <c r="CF59" s="16">
        <f>IF(ISNA(VLOOKUP(A59,'Données projet'!$A$113:$I$133,3,0)),0,VLOOKUP(A59,'Données projet'!$A$113:$I$133,3,0))</f>
        <v>6</v>
      </c>
      <c r="CG59" s="16">
        <f>IF(ISNA(VLOOKUP(A59,'Données projet'!$A$113:$I$133,4,0)),0,VLOOKUP(A59,'Données projet'!$A$113:$I$133,4,0))</f>
        <v>75.869230769230768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>
        <f>EXP(-LN(2)/35)*CK58+(1-EXP(-LN(2)/35))/(LN(2)/35)*CG59*CH59*VLOOKUP('Données projet'!$B$12,Paramètres!$A$1:$I$89,3,0)*0.475*44/12</f>
        <v>2.6664812118229784</v>
      </c>
      <c r="CL59" s="23">
        <f>EXP(-LN(2)/25)*CL58+(1-EXP(-LN(2)/25))/(LN(2)/25)*Calculateur!CG59*Calculateur!CI59*VLOOKUP('Données projet'!$B$12,Paramètres!$A$1:$I$89,3,0)*0.475*44/12</f>
        <v>4.0108883993448616</v>
      </c>
      <c r="CM59" s="23">
        <f>EXP(-LN(2)/2)*CM58+(1-EXP(-LN(2)/2))/(LN(2)/2)*CG59*CJ59*VLOOKUP('Données projet'!$B$12,Paramètres!$A$1:$I$89,3,0)*0.475*44/12</f>
        <v>7.4314052485571541E-4</v>
      </c>
      <c r="CN59" s="24">
        <f t="shared" si="12"/>
        <v>6.6781127516926961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5.4</v>
      </c>
      <c r="CT59" s="13">
        <f>IF('Données projet'!$A$140&gt;35,CT58+CS59-DB58,IF(A59&lt;'Données projet'!$A$140,$CQ$205^A59,IF(A59='Données projet'!$A$140,'Données projet'!$B$140,CT58+CS59-DB58)))</f>
        <v>140.39999999999995</v>
      </c>
      <c r="CU59" s="18">
        <f>CT59*VLOOKUP('Données projet'!$B$13,Paramètres!$A$1:$I$89,3,0)*VLOOKUP('Données projet'!$B$13,Paramètres!$A$1:$I$89,5,0)</f>
        <v>159.88751999999994</v>
      </c>
      <c r="CV59" s="14">
        <f t="shared" si="41"/>
        <v>40.817144190444282</v>
      </c>
      <c r="CW59" s="22">
        <f t="shared" si="13"/>
        <v>349.56062346502364</v>
      </c>
      <c r="CX59" s="62">
        <f t="shared" si="14"/>
        <v>642.89395679835695</v>
      </c>
      <c r="CY59" s="62">
        <f ca="1">AVERAGE(OFFSET($CX$3,0,0,'Données projet'!$E$13+1,1))-AVERAGE(OFFSET($H$3,0,0,'Données projet'!$E$13+1,1))</f>
        <v>399.78832690250164</v>
      </c>
      <c r="CZ59" s="62">
        <f t="shared" si="42"/>
        <v>174.32967064896343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>
        <f>EXP(-LN(2)/35)*DF58+(1-EXP(-LN(2)/35))/(LN(2)/35)*DB59*DC59*VLOOKUP('Données projet'!$B$13,Paramètres!$A$1:$I$89,3,0)*0.475*44/12</f>
        <v>0</v>
      </c>
      <c r="DG59" s="23">
        <f>EXP(-LN(2)/25)*DG58+(1-EXP(-LN(2)/25))/(LN(2)/25)*Calculateur!DB59*Calculateur!DD59*VLOOKUP('Données projet'!$B$13,Paramètres!$A$1:$I$89,3,0)*0.475*44/12</f>
        <v>0</v>
      </c>
      <c r="DH59" s="23">
        <f>EXP(-LN(2)/2)*DH58+(1-EXP(-LN(2)/2))/(LN(2)/2)*DB59*DE59*VLOOKUP('Données projet'!$B$13,Paramètres!$A$1:$I$89,3,0)*0.475*44/12</f>
        <v>0</v>
      </c>
      <c r="DI59" s="24">
        <f t="shared" si="15"/>
        <v>0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7.6</v>
      </c>
      <c r="DO59" s="13">
        <f>IF('Données projet'!$A$166&gt;35,DO58+DN59-DW58,IF(A59&lt;'Données projet'!$A$166,$DL$205^A59,IF(A59='Données projet'!$A$166,'Données projet'!$B$166,DO58+DN59-DW58)))</f>
        <v>204.6</v>
      </c>
      <c r="DP59" s="18">
        <f>DO59*VLOOKUP('Données projet'!$B$14,Paramètres!$A$1:$I$89,3,0)*VLOOKUP('Données projet'!$B$14,Paramètres!$A$1:$I$89,5,0)</f>
        <v>172.35504000000003</v>
      </c>
      <c r="DQ59" s="14">
        <f t="shared" si="43"/>
        <v>43.617051120131734</v>
      </c>
      <c r="DR59" s="22">
        <f t="shared" si="16"/>
        <v>376.1513920342295</v>
      </c>
      <c r="DS59" s="62">
        <f t="shared" si="17"/>
        <v>669.48472536756276</v>
      </c>
      <c r="DT59" s="62">
        <f ca="1">AVERAGE(OFFSET($DS$3,0,0,'Données projet'!$E$14+1,1))-AVERAGE(OFFSET($H$3,0,0,'Données projet'!$E$14+1,1))</f>
        <v>402.15128814037058</v>
      </c>
      <c r="DU59" s="62">
        <f t="shared" si="44"/>
        <v>232.85411068442738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>
        <f>EXP(-LN(2)/35)*EA58+(1-EXP(-LN(2)/35))/(LN(2)/35)*DW59*DX59*VLOOKUP('Données projet'!$B$14,Paramètres!$A$1:$I$89,3,0)*0.475*44/12</f>
        <v>0</v>
      </c>
      <c r="EB59" s="23">
        <f>EXP(-LN(2)/25)*EB58+(1-EXP(-LN(2)/25))/(LN(2)/25)*Calculateur!DW59*Calculateur!DY59*VLOOKUP('Données projet'!$B$14,Paramètres!$A$1:$I$89,3,0)*0.475*44/12</f>
        <v>0</v>
      </c>
      <c r="EC59" s="23">
        <f>EXP(-LN(2)/2)*EC58+(1-EXP(-LN(2)/2))/(LN(2)/2)*DW59*DZ59*VLOOKUP('Données projet'!$B$14,Paramètres!$A$1:$I$89,3,0)*0.475*44/12</f>
        <v>0</v>
      </c>
      <c r="ED59" s="24">
        <f t="shared" si="18"/>
        <v>0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6.4102564102564088</v>
      </c>
      <c r="EJ59" s="13">
        <f>IF('Données projet'!$A$192&gt;35,EJ58+EI59-ER58,IF(A59&lt;'Données projet'!$A$192,$EG$205^A59,IF(A59='Données projet'!$A$192,'Données projet'!$B$192,EJ58+EI59-ER58)))</f>
        <v>265.38461538461553</v>
      </c>
      <c r="EK59" s="18">
        <f>EJ59*VLOOKUP('Données projet'!$B$15,Paramètres!$A$1:$I$89,3,0)*VLOOKUP('Données projet'!$B$15,Paramètres!$A$1:$I$89,5,0)</f>
        <v>277.38000000000017</v>
      </c>
      <c r="EL59" s="14">
        <f t="shared" si="45"/>
        <v>66.413024982910088</v>
      </c>
      <c r="EM59" s="22">
        <f t="shared" si="19"/>
        <v>598.77285184523532</v>
      </c>
      <c r="EN59" s="62">
        <f t="shared" si="20"/>
        <v>892.10618517856869</v>
      </c>
      <c r="EO59" s="62">
        <f ca="1">AVERAGE(OFFSET($EN$3,0,0,'Données projet'!$E$15+1,1))-AVERAGE(OFFSET($H$3,0,0,'Données projet'!$E$15+1,1))</f>
        <v>595.89992279024398</v>
      </c>
      <c r="EP59" s="62">
        <f t="shared" si="46"/>
        <v>378.16197659288338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>
        <f>EXP(-LN(2)/35)*EV58+(1-EXP(-LN(2)/35))/(LN(2)/35)*ER59*ES59*VLOOKUP('Données projet'!$B$15,Paramètres!$A$1:$I$89,3,0)*0.475*44/12</f>
        <v>0</v>
      </c>
      <c r="EW59" s="23">
        <f>EXP(-LN(2)/25)*EW58+(1-EXP(-LN(2)/25))/(LN(2)/25)*Calculateur!ER59*Calculateur!ET59*VLOOKUP('Données projet'!$B$15,Paramètres!$A$1:$I$89,3,0)*0.475*44/12</f>
        <v>0</v>
      </c>
      <c r="EX59" s="23">
        <f>EXP(-LN(2)/2)*EX58+(1-EXP(-LN(2)/2))/(LN(2)/2)*ER59*EU59*VLOOKUP('Données projet'!$B$15,Paramètres!$A$1:$I$89,3,0)*0.475*44/12</f>
        <v>0</v>
      </c>
      <c r="EY59" s="24">
        <f t="shared" si="21"/>
        <v>0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10.092929864253392</v>
      </c>
      <c r="FE59" s="13">
        <f>IF('Données projet'!$A$218&gt;35,FE58+FD59-FM58,IF(A59&lt;'Données projet'!$A$218,$FB$205^A59,IF(A59='Données projet'!$A$218,'Données projet'!$B$218,FE58+FD59-FM58)))</f>
        <v>313.1282805429862</v>
      </c>
      <c r="FF59" s="18">
        <f>FE59*VLOOKUP('Données projet'!$B$16,Paramètres!$A$1:$I$89,3,0)*VLOOKUP('Données projet'!$B$16,Paramètres!$A$1:$I$89,5,0)</f>
        <v>187.25071176470576</v>
      </c>
      <c r="FG59" s="14">
        <f t="shared" si="47"/>
        <v>46.9316095966403</v>
      </c>
      <c r="FH59" s="22">
        <f t="shared" si="22"/>
        <v>407.86754303767771</v>
      </c>
      <c r="FI59" s="62">
        <f t="shared" si="23"/>
        <v>701.20087637101096</v>
      </c>
      <c r="FJ59" s="62">
        <f ca="1">AVERAGE(OFFSET($FI$3,0,0,'Données projet'!$E$16+1,1))-AVERAGE(OFFSET($H$3,0,0,'Données projet'!$E$16+1,1))</f>
        <v>257.56116197646924</v>
      </c>
      <c r="FK59" s="62">
        <f t="shared" si="48"/>
        <v>269.95556918835888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>
        <f>EXP(-LN(2)/35)*FQ58+(1-EXP(-LN(2)/35))/(LN(2)/35)*FM59*FN59*VLOOKUP('Données projet'!$B$16,Paramètres!$A$1:$I$89,3,0)*0.475*44/12</f>
        <v>8.7132101661053873</v>
      </c>
      <c r="FR59" s="23">
        <f>EXP(-LN(2)/25)*FR58+(1-EXP(-LN(2)/25))/(LN(2)/25)*Calculateur!FM59*Calculateur!FO59*VLOOKUP('Données projet'!$B$16,Paramètres!$A$1:$I$89,3,0)*0.475*44/12</f>
        <v>7.8508199321986414</v>
      </c>
      <c r="FS59" s="23">
        <f>EXP(-LN(2)/2)*FS58+(1-EXP(-LN(2)/2))/(LN(2)/2)*FM59*FP59*VLOOKUP('Données projet'!$B$16,Paramètres!$A$1:$I$89,3,0)*0.475*44/12</f>
        <v>1.0441996364715556E-3</v>
      </c>
      <c r="FT59" s="24">
        <f t="shared" si="24"/>
        <v>16.565074297940502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10.66307692307692</v>
      </c>
      <c r="FZ59" s="13">
        <f>IF('Données projet'!$A$244&gt;35,FZ58+FY59-GH58,IF(A59&lt;'Données projet'!$A$244,$FW$205^A59,IF(A59='Données projet'!$A$244,'Données projet'!$B$244,FZ58+FY59-GH58)))</f>
        <v>299.77076923076919</v>
      </c>
      <c r="GA59" s="18">
        <f>FZ59*VLOOKUP('Données projet'!$B$17,Paramètres!$A$1:$I$89,3,0)*VLOOKUP('Données projet'!$B$17,Paramètres!$A$1:$I$89,5,0)</f>
        <v>179.26291999999998</v>
      </c>
      <c r="GB59" s="14">
        <f t="shared" si="49"/>
        <v>45.158160305042841</v>
      </c>
      <c r="GC59" s="22">
        <f t="shared" si="25"/>
        <v>390.8667148646162</v>
      </c>
      <c r="GD59" s="62">
        <f t="shared" si="26"/>
        <v>684.20004819794951</v>
      </c>
      <c r="GE59" s="62">
        <f ca="1">AVERAGE(OFFSET($GD$3,0,0,'Données projet'!$E$17+1,1))-AVERAGE(OFFSET($H$3,0,0,'Données projet'!$E$17+1,1))</f>
        <v>289.12367833861299</v>
      </c>
      <c r="GF59" s="62">
        <f t="shared" si="50"/>
        <v>229.06617320689003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>
        <f>EXP(-LN(2)/35)*GL58+(1-EXP(-LN(2)/35))/(LN(2)/35)*GH59*GI59*VLOOKUP('Données projet'!$B$17,Paramètres!$A$1:$I$89,3,0)*0.475*44/12</f>
        <v>0</v>
      </c>
      <c r="GM59" s="23">
        <f>EXP(-LN(2)/25)*GM58+(1-EXP(-LN(2)/25))/(LN(2)/25)*Calculateur!GH59*Calculateur!GJ59*VLOOKUP('Données projet'!$B$17,Paramètres!$A$1:$I$89,3,0)*0.475*44/12</f>
        <v>0</v>
      </c>
      <c r="GN59" s="23">
        <f>EXP(-LN(2)/2)*GN58+(1-EXP(-LN(2)/2))/(LN(2)/2)*GH59*GK59*VLOOKUP('Données projet'!$B$17,Paramètres!$A$1:$I$89,3,0)*0.475*44/12</f>
        <v>5.062054538605285E-4</v>
      </c>
      <c r="GO59" s="23">
        <f t="shared" si="27"/>
        <v>5.062054538605285E-4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>
        <f>VLOOKUP(A59,'Données projet'!$A$269:$I$289,2,0)</f>
        <v>273.73076923076923</v>
      </c>
      <c r="GS59" s="13">
        <f>VLOOKUP(A59,'Données projet'!$A$269:$I$289,9,0)</f>
        <v>11.264615384615393</v>
      </c>
      <c r="GT59" s="13">
        <f t="array" ref="GT59">INDEX(GS:GS,MIN(IF(ISNUMBER(GS59:GS255),ROW(GS59:GS255),"")))</f>
        <v>11.264615384615393</v>
      </c>
      <c r="GU59" s="13">
        <f>IF('Données projet'!$A$270&gt;35,GU58+GT59-HC58,IF(A59&lt;'Données projet'!$A$270,$GR$205^A59,IF(A59='Données projet'!$A$270,'Données projet'!$B$270,GU58+GT59-HC58)))</f>
        <v>273.73076923076923</v>
      </c>
      <c r="GV59" s="18">
        <f>GU59*VLOOKUP('Données projet'!$B$18,Paramètres!$A$1:$I$89,3,0)*VLOOKUP('Données projet'!$B$18,Paramètres!$A$1:$I$89,5,0)</f>
        <v>128.10599999999999</v>
      </c>
      <c r="GW59" s="14">
        <f t="shared" si="51"/>
        <v>33.558338419591188</v>
      </c>
      <c r="GX59" s="22">
        <f t="shared" si="28"/>
        <v>281.56538941412128</v>
      </c>
      <c r="GY59" s="62">
        <f t="shared" si="29"/>
        <v>574.8987227474546</v>
      </c>
      <c r="GZ59" s="62">
        <f ca="1">AVERAGE(OFFSET($GY$3,0,0,'Données projet'!$E$18+1,1))-AVERAGE(OFFSET($H$3,0,0,'Données projet'!$E$18+1,1))</f>
        <v>284.88646502866419</v>
      </c>
      <c r="HA59" s="62">
        <f t="shared" si="52"/>
        <v>190.4880882944471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>
        <f>EXP(-LN(2)/35)*HG58+(1-EXP(-LN(2)/35))/(LN(2)/35)*HC59*HD59*VLOOKUP('Données projet'!$B$18,Paramètres!$A$1:$I$89,3,0)*0.475*44/12</f>
        <v>0</v>
      </c>
      <c r="HH59" s="23">
        <f>EXP(-LN(2)/25)*HH58+(1-EXP(-LN(2)/25))/(LN(2)/25)*Calculateur!HC59*Calculateur!HE59*VLOOKUP('Données projet'!$B$18,Paramètres!$A$1:$I$89,3,0)*0.475*44/12</f>
        <v>0</v>
      </c>
      <c r="HI59" s="23">
        <f>EXP(-LN(2)/2)*HI58+(1-EXP(-LN(2)/2))/(LN(2)/2)*HC59*HF59*VLOOKUP('Données projet'!$B$18,Paramètres!$A$1:$I$89,3,0)*0.475*44/12</f>
        <v>0</v>
      </c>
      <c r="HJ59" s="24">
        <f t="shared" si="30"/>
        <v>0</v>
      </c>
    </row>
    <row r="60" spans="1:218" s="5" customFormat="1" x14ac:dyDescent="0.25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2">
        <f t="shared" si="32"/>
        <v>0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0</v>
      </c>
      <c r="H60" s="70">
        <f t="shared" si="1"/>
        <v>256.66666666666669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4.8717948717948731</v>
      </c>
      <c r="N60" s="14">
        <f>IF('Données projet'!$A$36&gt;35,N59+M60-V59,IF(A60&lt;'Données projet'!$A$36,$K$205^A60,IF(A60='Données projet'!$A$36,'Données projet'!$B$36,N59+M60-V59)))</f>
        <v>185.38461538461533</v>
      </c>
      <c r="O60" s="14">
        <f>N60*VLOOKUP('Données projet'!$B$9,Paramètres!$A$1:$I$89,3,0)*VLOOKUP('Données projet'!$B$9,Paramètres!$A$1:$I$89,5,0)</f>
        <v>176.41199999999995</v>
      </c>
      <c r="P60" s="14">
        <f t="shared" si="33"/>
        <v>44.522989246723967</v>
      </c>
      <c r="Q60" s="22">
        <f t="shared" si="53"/>
        <v>384.79510627137751</v>
      </c>
      <c r="R60" s="62">
        <f t="shared" si="0"/>
        <v>678.12843960471082</v>
      </c>
      <c r="S60" s="62">
        <f ca="1">AVERAGE(OFFSET($R$3,0,0,'Données projet'!$E$9+1,1))-AVERAGE(OFFSET($H$3,0,0,'Données projet'!$E$9+1,1))</f>
        <v>367.11183928586667</v>
      </c>
      <c r="T60" s="62">
        <f t="shared" si="34"/>
        <v>281.52963027844595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0</v>
      </c>
      <c r="AA60" s="23">
        <f>EXP(-LN(2)/25)*AA59+(1-EXP(-LN(2)/25))/(LN(2)/25)*Calculateur!V60*Calculateur!X60*VLOOKUP('Données projet'!$B$9,Paramètres!$A$1:$I$89,3,0)*0.475*44/12</f>
        <v>0</v>
      </c>
      <c r="AB60" s="23">
        <f>EXP(-LN(2)/2)*AB59+(1-EXP(-LN(2)/2))/(LN(2)/2)*V60*Y60*VLOOKUP('Données projet'!$B$9,Paramètres!$A$1:$I$89,3,0)*0.475*44/12</f>
        <v>0</v>
      </c>
      <c r="AC60" s="24">
        <f t="shared" si="3"/>
        <v>0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7.6</v>
      </c>
      <c r="AI60" s="14">
        <f>IF('Données projet'!$A$62&gt;35,AI59+AH60-AQ59,IF(A60&lt;'Données projet'!$A$62,$AF$205^A60,IF(A60='Données projet'!$A$62,'Données projet'!$B$62,AI59+AH60-AQ59)))</f>
        <v>212.2</v>
      </c>
      <c r="AJ60" s="14">
        <f>AI60*VLOOKUP('Données projet'!$B$10,Paramètres!$A$1:$I$89,3,0)*VLOOKUP('Données projet'!$B$10,Paramètres!$A$1:$I$89,5,0)</f>
        <v>191.99855999999997</v>
      </c>
      <c r="AK60" s="14">
        <f t="shared" si="35"/>
        <v>47.981536645873334</v>
      </c>
      <c r="AL60" s="22">
        <f t="shared" si="4"/>
        <v>417.96533499156266</v>
      </c>
      <c r="AM60" s="62">
        <f t="shared" si="5"/>
        <v>711.29866832489597</v>
      </c>
      <c r="AN60" s="62">
        <f ca="1">AVERAGE(OFFSET($AM$3,0,0,'Données projet'!$E$10+1,1))-AVERAGE(OFFSET($H$3,0,0,'Données projet'!$E$10+1,1))</f>
        <v>428.8489304403459</v>
      </c>
      <c r="AO60" s="62">
        <f t="shared" si="36"/>
        <v>247.01165577562966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0</v>
      </c>
      <c r="AV60" s="23">
        <f>EXP(-LN(2)/25)*AV59+(1-EXP(-LN(2)/25))/(LN(2)/25)*Calculateur!AQ60*Calculateur!AS60*VLOOKUP('Données projet'!$B$10,Paramètres!$A$1:$I$89,3,0)*0.475*44/12</f>
        <v>0</v>
      </c>
      <c r="AW60" s="23">
        <f>EXP(-LN(2)/2)*AW59+(1-EXP(-LN(2)/2))/(LN(2)/2)*AQ60*AT60*VLOOKUP('Données projet'!$B$10,Paramètres!$A$1:$I$89,3,0)*0.475*44/12</f>
        <v>0</v>
      </c>
      <c r="AX60" s="23">
        <f t="shared" si="6"/>
        <v>0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7.6</v>
      </c>
      <c r="BD60" s="13">
        <f>IF('Données projet'!$A$88&gt;35,BD59+BC60-BL59,IF(A60&lt;'Données projet'!$A$88,$BA$205^A60,IF(A60='Données projet'!$A$88,'Données projet'!$B$88,BD59+BC60-BL59)))</f>
        <v>212.2</v>
      </c>
      <c r="BE60" s="14">
        <f>BD60*VLOOKUP('Données projet'!$B$11,Paramètres!$A$1:$I$89,3,0)*VLOOKUP('Données projet'!$B$11,Paramètres!$A$1:$I$89,5,0)</f>
        <v>215.17080000000001</v>
      </c>
      <c r="BF60" s="14">
        <f t="shared" si="37"/>
        <v>53.063930965723607</v>
      </c>
      <c r="BG60" s="22">
        <f t="shared" si="7"/>
        <v>467.17548976530185</v>
      </c>
      <c r="BH60" s="62">
        <f t="shared" si="8"/>
        <v>760.50882309863516</v>
      </c>
      <c r="BI60" s="62">
        <f ca="1">AVERAGE(OFFSET($BH$3,0,0,'Données projet'!$E$11+1,1))-AVERAGE(OFFSET($H$3,0,0,'Données projet'!$E$11+1,1))</f>
        <v>475.47920969424894</v>
      </c>
      <c r="BJ60" s="62">
        <f t="shared" si="38"/>
        <v>271.73544012419364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>
        <f>EXP(-LN(2)/35)*BP59+(1-EXP(-LN(2)/35))/(LN(2)/35)*BL60*BM60*VLOOKUP('Données projet'!$B$11,Paramètres!$A$1:$I$89,3,0)*0.475*44/12</f>
        <v>0</v>
      </c>
      <c r="BQ60" s="23">
        <f>EXP(-LN(2)/25)*BQ59+(1-EXP(-LN(2)/25))/(LN(2)/25)*Calculateur!BL60*Calculateur!BN60*VLOOKUP('Données projet'!$B$11,Paramètres!$A$1:$I$89,3,0)*0.475*44/12</f>
        <v>0</v>
      </c>
      <c r="BR60" s="23">
        <f>EXP(-LN(2)/2)*BR59+(1-EXP(-LN(2)/2))/(LN(2)/2)*BL60*BO60*VLOOKUP('Données projet'!$B$11,Paramètres!$A$1:$I$89,3,0)*0.475*44/12</f>
        <v>0</v>
      </c>
      <c r="BS60" s="24">
        <f t="shared" si="9"/>
        <v>0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14.839560439560435</v>
      </c>
      <c r="BY60" s="13">
        <f>IF('Données projet'!$A$114&gt;35,BY59+BX60-CG59,IF(A60&lt;'Données projet'!$A$114,$BV$205^A60,IF(A60='Données projet'!$A$114,'Données projet'!$B$114,BY59+BX60-CG59)))</f>
        <v>366.678021978022</v>
      </c>
      <c r="BZ60" s="14">
        <f>BY60*VLOOKUP('Données projet'!$B$12,Paramètres!$A$1:$I$89,3,0)*VLOOKUP('Données projet'!$B$12,Paramètres!$A$1:$I$89,5,0)</f>
        <v>204.9730142857143</v>
      </c>
      <c r="CA60" s="14">
        <f t="shared" si="39"/>
        <v>50.835518579260878</v>
      </c>
      <c r="CB60" s="22">
        <f t="shared" si="10"/>
        <v>445.53319473983174</v>
      </c>
      <c r="CC60" s="62">
        <f t="shared" si="11"/>
        <v>738.866528073165</v>
      </c>
      <c r="CD60" s="62">
        <f ca="1">AVERAGE(OFFSET($CC$3,0,0,'Données projet'!$E$12+1,1))-AVERAGE(OFFSET($H$3,0,0,'Données projet'!$E$12+1,1))</f>
        <v>323.98185264074681</v>
      </c>
      <c r="CE60" s="62">
        <f t="shared" si="40"/>
        <v>301.22207291854005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>
        <f>EXP(-LN(2)/35)*CK59+(1-EXP(-LN(2)/35))/(LN(2)/35)*CG60*CH60*VLOOKUP('Données projet'!$B$12,Paramètres!$A$1:$I$89,3,0)*0.475*44/12</f>
        <v>2.6141931416520761</v>
      </c>
      <c r="CL60" s="23">
        <f>EXP(-LN(2)/25)*CL59+(1-EXP(-LN(2)/25))/(LN(2)/25)*Calculateur!CG60*Calculateur!CI60*VLOOKUP('Données projet'!$B$12,Paramètres!$A$1:$I$89,3,0)*0.475*44/12</f>
        <v>3.9012104451413223</v>
      </c>
      <c r="CM60" s="23">
        <f>EXP(-LN(2)/2)*CM59+(1-EXP(-LN(2)/2))/(LN(2)/2)*CG60*CJ60*VLOOKUP('Données projet'!$B$12,Paramètres!$A$1:$I$89,3,0)*0.475*44/12</f>
        <v>5.2547970450000643E-4</v>
      </c>
      <c r="CN60" s="24">
        <f t="shared" si="12"/>
        <v>6.5159290664978986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5.4</v>
      </c>
      <c r="CT60" s="13">
        <f>IF('Données projet'!$A$140&gt;35,CT59+CS60-DB59,IF(A60&lt;'Données projet'!$A$140,$CQ$205^A60,IF(A60='Données projet'!$A$140,'Données projet'!$B$140,CT59+CS60-DB59)))</f>
        <v>145.79999999999995</v>
      </c>
      <c r="CU60" s="18">
        <f>CT60*VLOOKUP('Données projet'!$B$13,Paramètres!$A$1:$I$89,3,0)*VLOOKUP('Données projet'!$B$13,Paramètres!$A$1:$I$89,5,0)</f>
        <v>166.03703999999996</v>
      </c>
      <c r="CV60" s="14">
        <f t="shared" si="41"/>
        <v>42.201237603214814</v>
      </c>
      <c r="CW60" s="22">
        <f t="shared" si="13"/>
        <v>362.68166682559905</v>
      </c>
      <c r="CX60" s="62">
        <f t="shared" si="14"/>
        <v>656.01500015893237</v>
      </c>
      <c r="CY60" s="62">
        <f ca="1">AVERAGE(OFFSET($CX$3,0,0,'Données projet'!$E$13+1,1))-AVERAGE(OFFSET($H$3,0,0,'Données projet'!$E$13+1,1))</f>
        <v>399.78832690250164</v>
      </c>
      <c r="CZ60" s="62">
        <f t="shared" si="42"/>
        <v>174.32967064896343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>
        <f>EXP(-LN(2)/35)*DF59+(1-EXP(-LN(2)/35))/(LN(2)/35)*DB60*DC60*VLOOKUP('Données projet'!$B$13,Paramètres!$A$1:$I$89,3,0)*0.475*44/12</f>
        <v>0</v>
      </c>
      <c r="DG60" s="23">
        <f>EXP(-LN(2)/25)*DG59+(1-EXP(-LN(2)/25))/(LN(2)/25)*Calculateur!DB60*Calculateur!DD60*VLOOKUP('Données projet'!$B$13,Paramètres!$A$1:$I$89,3,0)*0.475*44/12</f>
        <v>0</v>
      </c>
      <c r="DH60" s="23">
        <f>EXP(-LN(2)/2)*DH59+(1-EXP(-LN(2)/2))/(LN(2)/2)*DB60*DE60*VLOOKUP('Données projet'!$B$13,Paramètres!$A$1:$I$89,3,0)*0.475*44/12</f>
        <v>0</v>
      </c>
      <c r="DI60" s="24">
        <f t="shared" si="15"/>
        <v>0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7.6</v>
      </c>
      <c r="DO60" s="13">
        <f>IF('Données projet'!$A$166&gt;35,DO59+DN60-DW59,IF(A60&lt;'Données projet'!$A$166,$DL$205^A60,IF(A60='Données projet'!$A$166,'Données projet'!$B$166,DO59+DN60-DW59)))</f>
        <v>212.2</v>
      </c>
      <c r="DP60" s="18">
        <f>DO60*VLOOKUP('Données projet'!$B$14,Paramètres!$A$1:$I$89,3,0)*VLOOKUP('Données projet'!$B$14,Paramètres!$A$1:$I$89,5,0)</f>
        <v>178.75728000000001</v>
      </c>
      <c r="DQ60" s="14">
        <f t="shared" si="43"/>
        <v>45.045592481721528</v>
      </c>
      <c r="DR60" s="22">
        <f t="shared" si="16"/>
        <v>389.79000290566495</v>
      </c>
      <c r="DS60" s="62">
        <f t="shared" si="17"/>
        <v>683.12333623899826</v>
      </c>
      <c r="DT60" s="62">
        <f ca="1">AVERAGE(OFFSET($DS$3,0,0,'Données projet'!$E$14+1,1))-AVERAGE(OFFSET($H$3,0,0,'Données projet'!$E$14+1,1))</f>
        <v>402.15128814037058</v>
      </c>
      <c r="DU60" s="62">
        <f t="shared" si="44"/>
        <v>232.85411068442738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>
        <f>EXP(-LN(2)/35)*EA59+(1-EXP(-LN(2)/35))/(LN(2)/35)*DW60*DX60*VLOOKUP('Données projet'!$B$14,Paramètres!$A$1:$I$89,3,0)*0.475*44/12</f>
        <v>0</v>
      </c>
      <c r="EB60" s="23">
        <f>EXP(-LN(2)/25)*EB59+(1-EXP(-LN(2)/25))/(LN(2)/25)*Calculateur!DW60*Calculateur!DY60*VLOOKUP('Données projet'!$B$14,Paramètres!$A$1:$I$89,3,0)*0.475*44/12</f>
        <v>0</v>
      </c>
      <c r="EC60" s="23">
        <f>EXP(-LN(2)/2)*EC59+(1-EXP(-LN(2)/2))/(LN(2)/2)*DW60*DZ60*VLOOKUP('Données projet'!$B$14,Paramètres!$A$1:$I$89,3,0)*0.475*44/12</f>
        <v>0</v>
      </c>
      <c r="ED60" s="24">
        <f t="shared" si="18"/>
        <v>0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6.4102564102564088</v>
      </c>
      <c r="EJ60" s="13">
        <f>IF('Données projet'!$A$192&gt;35,EJ59+EI60-ER59,IF(A60&lt;'Données projet'!$A$192,$EG$205^A60,IF(A60='Données projet'!$A$192,'Données projet'!$B$192,EJ59+EI60-ER59)))</f>
        <v>271.79487179487194</v>
      </c>
      <c r="EK60" s="18">
        <f>EJ60*VLOOKUP('Données projet'!$B$15,Paramètres!$A$1:$I$89,3,0)*VLOOKUP('Données projet'!$B$15,Paramètres!$A$1:$I$89,5,0)</f>
        <v>284.08000000000015</v>
      </c>
      <c r="EL60" s="14">
        <f t="shared" si="45"/>
        <v>67.828502889024321</v>
      </c>
      <c r="EM60" s="22">
        <f t="shared" si="19"/>
        <v>612.90730919838427</v>
      </c>
      <c r="EN60" s="62">
        <f t="shared" si="20"/>
        <v>906.24064253171764</v>
      </c>
      <c r="EO60" s="62">
        <f ca="1">AVERAGE(OFFSET($EN$3,0,0,'Données projet'!$E$15+1,1))-AVERAGE(OFFSET($H$3,0,0,'Données projet'!$E$15+1,1))</f>
        <v>595.89992279024398</v>
      </c>
      <c r="EP60" s="62">
        <f t="shared" si="46"/>
        <v>378.16197659288338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>
        <f>EXP(-LN(2)/35)*EV59+(1-EXP(-LN(2)/35))/(LN(2)/35)*ER60*ES60*VLOOKUP('Données projet'!$B$15,Paramètres!$A$1:$I$89,3,0)*0.475*44/12</f>
        <v>0</v>
      </c>
      <c r="EW60" s="23">
        <f>EXP(-LN(2)/25)*EW59+(1-EXP(-LN(2)/25))/(LN(2)/25)*Calculateur!ER60*Calculateur!ET60*VLOOKUP('Données projet'!$B$15,Paramètres!$A$1:$I$89,3,0)*0.475*44/12</f>
        <v>0</v>
      </c>
      <c r="EX60" s="23">
        <f>EXP(-LN(2)/2)*EX59+(1-EXP(-LN(2)/2))/(LN(2)/2)*ER60*EU60*VLOOKUP('Données projet'!$B$15,Paramètres!$A$1:$I$89,3,0)*0.475*44/12</f>
        <v>0</v>
      </c>
      <c r="EY60" s="24">
        <f t="shared" si="21"/>
        <v>0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10.092929864253392</v>
      </c>
      <c r="FE60" s="13">
        <f>IF('Données projet'!$A$218&gt;35,FE59+FD60-FM59,IF(A60&lt;'Données projet'!$A$218,$FB$205^A60,IF(A60='Données projet'!$A$218,'Données projet'!$B$218,FE59+FD60-FM59)))</f>
        <v>323.2212104072396</v>
      </c>
      <c r="FF60" s="18">
        <f>FE60*VLOOKUP('Données projet'!$B$16,Paramètres!$A$1:$I$89,3,0)*VLOOKUP('Données projet'!$B$16,Paramètres!$A$1:$I$89,5,0)</f>
        <v>193.28628382352929</v>
      </c>
      <c r="FG60" s="14">
        <f t="shared" si="47"/>
        <v>48.265776834685113</v>
      </c>
      <c r="FH60" s="22">
        <f t="shared" si="22"/>
        <v>420.70317231305671</v>
      </c>
      <c r="FI60" s="62">
        <f t="shared" si="23"/>
        <v>714.03650564638997</v>
      </c>
      <c r="FJ60" s="62">
        <f ca="1">AVERAGE(OFFSET($FI$3,0,0,'Données projet'!$E$16+1,1))-AVERAGE(OFFSET($H$3,0,0,'Données projet'!$E$16+1,1))</f>
        <v>257.56116197646924</v>
      </c>
      <c r="FK60" s="62">
        <f t="shared" si="48"/>
        <v>269.95556918835888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>
        <f>EXP(-LN(2)/35)*FQ59+(1-EXP(-LN(2)/35))/(LN(2)/35)*FM60*FN60*VLOOKUP('Données projet'!$B$16,Paramètres!$A$1:$I$89,3,0)*0.475*44/12</f>
        <v>8.5423494292814954</v>
      </c>
      <c r="FR60" s="23">
        <f>EXP(-LN(2)/25)*FR59+(1-EXP(-LN(2)/25))/(LN(2)/25)*Calculateur!FM60*Calculateur!FO60*VLOOKUP('Données projet'!$B$16,Paramètres!$A$1:$I$89,3,0)*0.475*44/12</f>
        <v>7.6361388482959924</v>
      </c>
      <c r="FS60" s="23">
        <f>EXP(-LN(2)/2)*FS59+(1-EXP(-LN(2)/2))/(LN(2)/2)*FM60*FP60*VLOOKUP('Données projet'!$B$16,Paramètres!$A$1:$I$89,3,0)*0.475*44/12</f>
        <v>7.3836064386156473E-4</v>
      </c>
      <c r="FT60" s="24">
        <f t="shared" si="24"/>
        <v>16.179226638221348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10.66307692307692</v>
      </c>
      <c r="FZ60" s="13">
        <f>IF('Données projet'!$A$244&gt;35,FZ59+FY60-GH59,IF(A60&lt;'Données projet'!$A$244,$FW$205^A60,IF(A60='Données projet'!$A$244,'Données projet'!$B$244,FZ59+FY60-GH59)))</f>
        <v>310.4338461538461</v>
      </c>
      <c r="GA60" s="18">
        <f>FZ60*VLOOKUP('Données projet'!$B$17,Paramètres!$A$1:$I$89,3,0)*VLOOKUP('Données projet'!$B$17,Paramètres!$A$1:$I$89,5,0)</f>
        <v>185.63943999999998</v>
      </c>
      <c r="GB60" s="14">
        <f t="shared" si="49"/>
        <v>46.574596113982338</v>
      </c>
      <c r="GC60" s="22">
        <f t="shared" si="25"/>
        <v>404.43944623185251</v>
      </c>
      <c r="GD60" s="62">
        <f t="shared" si="26"/>
        <v>697.77277956518583</v>
      </c>
      <c r="GE60" s="62">
        <f ca="1">AVERAGE(OFFSET($GD$3,0,0,'Données projet'!$E$17+1,1))-AVERAGE(OFFSET($H$3,0,0,'Données projet'!$E$17+1,1))</f>
        <v>289.12367833861299</v>
      </c>
      <c r="GF60" s="62">
        <f t="shared" si="50"/>
        <v>229.06617320689003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>
        <f>EXP(-LN(2)/35)*GL59+(1-EXP(-LN(2)/35))/(LN(2)/35)*GH60*GI60*VLOOKUP('Données projet'!$B$17,Paramètres!$A$1:$I$89,3,0)*0.475*44/12</f>
        <v>0</v>
      </c>
      <c r="GM60" s="23">
        <f>EXP(-LN(2)/25)*GM59+(1-EXP(-LN(2)/25))/(LN(2)/25)*Calculateur!GH60*Calculateur!GJ60*VLOOKUP('Données projet'!$B$17,Paramètres!$A$1:$I$89,3,0)*0.475*44/12</f>
        <v>0</v>
      </c>
      <c r="GN60" s="23">
        <f>EXP(-LN(2)/2)*GN59+(1-EXP(-LN(2)/2))/(LN(2)/2)*GH60*GK60*VLOOKUP('Données projet'!$B$17,Paramètres!$A$1:$I$89,3,0)*0.475*44/12</f>
        <v>3.5794130909839371E-4</v>
      </c>
      <c r="GO60" s="23">
        <f t="shared" si="27"/>
        <v>3.5794130909839371E-4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11.076923076923084</v>
      </c>
      <c r="GU60" s="13">
        <f>IF('Données projet'!$A$270&gt;35,GU59+GT60-HC59,IF(A60&lt;'Données projet'!$A$270,$GR$205^A60,IF(A60='Données projet'!$A$270,'Données projet'!$B$270,GU59+GT60-HC59)))</f>
        <v>284.80769230769232</v>
      </c>
      <c r="GV60" s="18">
        <f>GU60*VLOOKUP('Données projet'!$B$18,Paramètres!$A$1:$I$89,3,0)*VLOOKUP('Données projet'!$B$18,Paramètres!$A$1:$I$89,5,0)</f>
        <v>133.29000000000002</v>
      </c>
      <c r="GW60" s="14">
        <f t="shared" si="51"/>
        <v>34.755472404632187</v>
      </c>
      <c r="GX60" s="22">
        <f t="shared" si="28"/>
        <v>292.67919777140111</v>
      </c>
      <c r="GY60" s="62">
        <f t="shared" si="29"/>
        <v>586.01253110473442</v>
      </c>
      <c r="GZ60" s="62">
        <f ca="1">AVERAGE(OFFSET($GY$3,0,0,'Données projet'!$E$18+1,1))-AVERAGE(OFFSET($H$3,0,0,'Données projet'!$E$18+1,1))</f>
        <v>284.88646502866419</v>
      </c>
      <c r="HA60" s="62">
        <f t="shared" si="52"/>
        <v>190.4880882944471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>
        <f>EXP(-LN(2)/35)*HG59+(1-EXP(-LN(2)/35))/(LN(2)/35)*HC60*HD60*VLOOKUP('Données projet'!$B$18,Paramètres!$A$1:$I$89,3,0)*0.475*44/12</f>
        <v>0</v>
      </c>
      <c r="HH60" s="23">
        <f>EXP(-LN(2)/25)*HH59+(1-EXP(-LN(2)/25))/(LN(2)/25)*Calculateur!HC60*Calculateur!HE60*VLOOKUP('Données projet'!$B$18,Paramètres!$A$1:$I$89,3,0)*0.475*44/12</f>
        <v>0</v>
      </c>
      <c r="HI60" s="23">
        <f>EXP(-LN(2)/2)*HI59+(1-EXP(-LN(2)/2))/(LN(2)/2)*HC60*HF60*VLOOKUP('Données projet'!$B$18,Paramètres!$A$1:$I$89,3,0)*0.475*44/12</f>
        <v>0</v>
      </c>
      <c r="HJ60" s="24">
        <f t="shared" si="30"/>
        <v>0</v>
      </c>
    </row>
    <row r="61" spans="1:218" s="5" customFormat="1" x14ac:dyDescent="0.25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2">
        <f t="shared" si="32"/>
        <v>0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0</v>
      </c>
      <c r="H61" s="70">
        <f t="shared" si="1"/>
        <v>256.66666666666669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4.8717948717948731</v>
      </c>
      <c r="N61" s="14">
        <f>IF('Données projet'!$A$36&gt;35,N60+M61-V60,IF(A61&lt;'Données projet'!$A$36,$K$205^A61,IF(A61='Données projet'!$A$36,'Données projet'!$B$36,N60+M61-V60)))</f>
        <v>190.25641025641019</v>
      </c>
      <c r="O61" s="14">
        <f>N61*VLOOKUP('Données projet'!$B$9,Paramètres!$A$1:$I$89,3,0)*VLOOKUP('Données projet'!$B$9,Paramètres!$A$1:$I$89,5,0)</f>
        <v>181.04799999999994</v>
      </c>
      <c r="P61" s="14">
        <f t="shared" si="33"/>
        <v>45.555268021687233</v>
      </c>
      <c r="Q61" s="22">
        <f t="shared" si="53"/>
        <v>394.66735847110516</v>
      </c>
      <c r="R61" s="62">
        <f t="shared" si="0"/>
        <v>688.00069180443847</v>
      </c>
      <c r="S61" s="62">
        <f ca="1">AVERAGE(OFFSET($R$3,0,0,'Données projet'!$E$9+1,1))-AVERAGE(OFFSET($H$3,0,0,'Données projet'!$E$9+1,1))</f>
        <v>367.11183928586667</v>
      </c>
      <c r="T61" s="62">
        <f t="shared" si="34"/>
        <v>281.52963027844595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0</v>
      </c>
      <c r="AA61" s="23">
        <f>EXP(-LN(2)/25)*AA60+(1-EXP(-LN(2)/25))/(LN(2)/25)*Calculateur!V61*Calculateur!X61*VLOOKUP('Données projet'!$B$9,Paramètres!$A$1:$I$89,3,0)*0.475*44/12</f>
        <v>0</v>
      </c>
      <c r="AB61" s="23">
        <f>EXP(-LN(2)/2)*AB60+(1-EXP(-LN(2)/2))/(LN(2)/2)*V61*Y61*VLOOKUP('Données projet'!$B$9,Paramètres!$A$1:$I$89,3,0)*0.475*44/12</f>
        <v>0</v>
      </c>
      <c r="AC61" s="24">
        <f t="shared" si="3"/>
        <v>0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7.6</v>
      </c>
      <c r="AI61" s="14">
        <f>IF('Données projet'!$A$62&gt;35,AI60+AH61-AQ60,IF(A61&lt;'Données projet'!$A$62,$AF$205^A61,IF(A61='Données projet'!$A$62,'Données projet'!$B$62,AI60+AH61-AQ60)))</f>
        <v>219.79999999999998</v>
      </c>
      <c r="AJ61" s="14">
        <f>AI61*VLOOKUP('Données projet'!$B$10,Paramètres!$A$1:$I$89,3,0)*VLOOKUP('Données projet'!$B$10,Paramètres!$A$1:$I$89,5,0)</f>
        <v>198.87503999999998</v>
      </c>
      <c r="AK61" s="14">
        <f t="shared" si="35"/>
        <v>49.496854461868558</v>
      </c>
      <c r="AL61" s="22">
        <f t="shared" si="4"/>
        <v>432.58104952108766</v>
      </c>
      <c r="AM61" s="62">
        <f t="shared" si="5"/>
        <v>725.91438285442098</v>
      </c>
      <c r="AN61" s="62">
        <f ca="1">AVERAGE(OFFSET($AM$3,0,0,'Données projet'!$E$10+1,1))-AVERAGE(OFFSET($H$3,0,0,'Données projet'!$E$10+1,1))</f>
        <v>428.8489304403459</v>
      </c>
      <c r="AO61" s="62">
        <f t="shared" si="36"/>
        <v>247.01165577562966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0</v>
      </c>
      <c r="AV61" s="23">
        <f>EXP(-LN(2)/25)*AV60+(1-EXP(-LN(2)/25))/(LN(2)/25)*Calculateur!AQ61*Calculateur!AS61*VLOOKUP('Données projet'!$B$10,Paramètres!$A$1:$I$89,3,0)*0.475*44/12</f>
        <v>0</v>
      </c>
      <c r="AW61" s="23">
        <f>EXP(-LN(2)/2)*AW60+(1-EXP(-LN(2)/2))/(LN(2)/2)*AQ61*AT61*VLOOKUP('Données projet'!$B$10,Paramètres!$A$1:$I$89,3,0)*0.475*44/12</f>
        <v>0</v>
      </c>
      <c r="AX61" s="23">
        <f t="shared" si="6"/>
        <v>0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7.6</v>
      </c>
      <c r="BD61" s="13">
        <f>IF('Données projet'!$A$88&gt;35,BD60+BC61-BL60,IF(A61&lt;'Données projet'!$A$88,$BA$205^A61,IF(A61='Données projet'!$A$88,'Données projet'!$B$88,BD60+BC61-BL60)))</f>
        <v>219.79999999999998</v>
      </c>
      <c r="BE61" s="14">
        <f>BD61*VLOOKUP('Données projet'!$B$11,Paramètres!$A$1:$I$89,3,0)*VLOOKUP('Données projet'!$B$11,Paramètres!$A$1:$I$89,5,0)</f>
        <v>222.87720000000002</v>
      </c>
      <c r="BF61" s="14">
        <f t="shared" si="37"/>
        <v>54.739757243913829</v>
      </c>
      <c r="BG61" s="22">
        <f t="shared" si="7"/>
        <v>483.51620053314986</v>
      </c>
      <c r="BH61" s="62">
        <f t="shared" si="8"/>
        <v>776.84953386648317</v>
      </c>
      <c r="BI61" s="62">
        <f ca="1">AVERAGE(OFFSET($BH$3,0,0,'Données projet'!$E$11+1,1))-AVERAGE(OFFSET($H$3,0,0,'Données projet'!$E$11+1,1))</f>
        <v>475.47920969424894</v>
      </c>
      <c r="BJ61" s="62">
        <f t="shared" si="38"/>
        <v>271.73544012419364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>
        <f>EXP(-LN(2)/35)*BP60+(1-EXP(-LN(2)/35))/(LN(2)/35)*BL61*BM61*VLOOKUP('Données projet'!$B$11,Paramètres!$A$1:$I$89,3,0)*0.475*44/12</f>
        <v>0</v>
      </c>
      <c r="BQ61" s="23">
        <f>EXP(-LN(2)/25)*BQ60+(1-EXP(-LN(2)/25))/(LN(2)/25)*Calculateur!BL61*Calculateur!BN61*VLOOKUP('Données projet'!$B$11,Paramètres!$A$1:$I$89,3,0)*0.475*44/12</f>
        <v>0</v>
      </c>
      <c r="BR61" s="23">
        <f>EXP(-LN(2)/2)*BR60+(1-EXP(-LN(2)/2))/(LN(2)/2)*BL61*BO61*VLOOKUP('Données projet'!$B$11,Paramètres!$A$1:$I$89,3,0)*0.475*44/12</f>
        <v>0</v>
      </c>
      <c r="BS61" s="24">
        <f t="shared" si="9"/>
        <v>0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14.839560439560435</v>
      </c>
      <c r="BY61" s="13">
        <f>IF('Données projet'!$A$114&gt;35,BY60+BX61-CG60,IF(A61&lt;'Données projet'!$A$114,$BV$205^A61,IF(A61='Données projet'!$A$114,'Données projet'!$B$114,BY60+BX61-CG60)))</f>
        <v>381.51758241758245</v>
      </c>
      <c r="BZ61" s="14">
        <f>BY61*VLOOKUP('Données projet'!$B$12,Paramètres!$A$1:$I$89,3,0)*VLOOKUP('Données projet'!$B$12,Paramètres!$A$1:$I$89,5,0)</f>
        <v>213.26832857142858</v>
      </c>
      <c r="CA61" s="14">
        <f t="shared" si="39"/>
        <v>52.649154508451623</v>
      </c>
      <c r="CB61" s="22">
        <f t="shared" si="10"/>
        <v>463.13961636412461</v>
      </c>
      <c r="CC61" s="62">
        <f t="shared" si="11"/>
        <v>756.47294969745792</v>
      </c>
      <c r="CD61" s="62">
        <f ca="1">AVERAGE(OFFSET($CC$3,0,0,'Données projet'!$E$12+1,1))-AVERAGE(OFFSET($H$3,0,0,'Données projet'!$E$12+1,1))</f>
        <v>323.98185264074681</v>
      </c>
      <c r="CE61" s="62">
        <f t="shared" si="40"/>
        <v>301.22207291854005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>
        <f>EXP(-LN(2)/35)*CK60+(1-EXP(-LN(2)/35))/(LN(2)/35)*CG61*CH61*VLOOKUP('Données projet'!$B$12,Paramètres!$A$1:$I$89,3,0)*0.475*44/12</f>
        <v>2.5629304086446516</v>
      </c>
      <c r="CL61" s="23">
        <f>EXP(-LN(2)/25)*CL60+(1-EXP(-LN(2)/25))/(LN(2)/25)*Calculateur!CG61*Calculateur!CI61*VLOOKUP('Données projet'!$B$12,Paramètres!$A$1:$I$89,3,0)*0.475*44/12</f>
        <v>3.7945316403631919</v>
      </c>
      <c r="CM61" s="23">
        <f>EXP(-LN(2)/2)*CM60+(1-EXP(-LN(2)/2))/(LN(2)/2)*CG61*CJ61*VLOOKUP('Données projet'!$B$12,Paramètres!$A$1:$I$89,3,0)*0.475*44/12</f>
        <v>3.7157026242785771E-4</v>
      </c>
      <c r="CN61" s="24">
        <f t="shared" si="12"/>
        <v>6.3578336192702709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5.4</v>
      </c>
      <c r="CT61" s="13">
        <f>IF('Données projet'!$A$140&gt;35,CT60+CS61-DB60,IF(A61&lt;'Données projet'!$A$140,$CQ$205^A61,IF(A61='Données projet'!$A$140,'Données projet'!$B$140,CT60+CS61-DB60)))</f>
        <v>151.19999999999996</v>
      </c>
      <c r="CU61" s="18">
        <f>CT61*VLOOKUP('Données projet'!$B$13,Paramètres!$A$1:$I$89,3,0)*VLOOKUP('Données projet'!$B$13,Paramètres!$A$1:$I$89,5,0)</f>
        <v>172.18655999999996</v>
      </c>
      <c r="CV61" s="14">
        <f t="shared" si="41"/>
        <v>43.579375440984577</v>
      </c>
      <c r="CW61" s="22">
        <f t="shared" si="13"/>
        <v>375.79233755971472</v>
      </c>
      <c r="CX61" s="62">
        <f t="shared" si="14"/>
        <v>669.12567089304798</v>
      </c>
      <c r="CY61" s="62">
        <f ca="1">AVERAGE(OFFSET($CX$3,0,0,'Données projet'!$E$13+1,1))-AVERAGE(OFFSET($H$3,0,0,'Données projet'!$E$13+1,1))</f>
        <v>399.78832690250164</v>
      </c>
      <c r="CZ61" s="62">
        <f t="shared" si="42"/>
        <v>174.32967064896343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>
        <f>EXP(-LN(2)/35)*DF60+(1-EXP(-LN(2)/35))/(LN(2)/35)*DB61*DC61*VLOOKUP('Données projet'!$B$13,Paramètres!$A$1:$I$89,3,0)*0.475*44/12</f>
        <v>0</v>
      </c>
      <c r="DG61" s="23">
        <f>EXP(-LN(2)/25)*DG60+(1-EXP(-LN(2)/25))/(LN(2)/25)*Calculateur!DB61*Calculateur!DD61*VLOOKUP('Données projet'!$B$13,Paramètres!$A$1:$I$89,3,0)*0.475*44/12</f>
        <v>0</v>
      </c>
      <c r="DH61" s="23">
        <f>EXP(-LN(2)/2)*DH60+(1-EXP(-LN(2)/2))/(LN(2)/2)*DB61*DE61*VLOOKUP('Données projet'!$B$13,Paramètres!$A$1:$I$89,3,0)*0.475*44/12</f>
        <v>0</v>
      </c>
      <c r="DI61" s="24">
        <f t="shared" si="15"/>
        <v>0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7.6</v>
      </c>
      <c r="DO61" s="13">
        <f>IF('Données projet'!$A$166&gt;35,DO60+DN61-DW60,IF(A61&lt;'Données projet'!$A$166,$DL$205^A61,IF(A61='Données projet'!$A$166,'Données projet'!$B$166,DO60+DN61-DW60)))</f>
        <v>219.79999999999998</v>
      </c>
      <c r="DP61" s="18">
        <f>DO61*VLOOKUP('Données projet'!$B$14,Paramètres!$A$1:$I$89,3,0)*VLOOKUP('Données projet'!$B$14,Paramètres!$A$1:$I$89,5,0)</f>
        <v>185.15951999999999</v>
      </c>
      <c r="DQ61" s="14">
        <f t="shared" si="43"/>
        <v>46.468189455290606</v>
      </c>
      <c r="DR61" s="22">
        <f t="shared" si="16"/>
        <v>403.41826063463105</v>
      </c>
      <c r="DS61" s="62">
        <f t="shared" si="17"/>
        <v>696.75159396796437</v>
      </c>
      <c r="DT61" s="62">
        <f ca="1">AVERAGE(OFFSET($DS$3,0,0,'Données projet'!$E$14+1,1))-AVERAGE(OFFSET($H$3,0,0,'Données projet'!$E$14+1,1))</f>
        <v>402.15128814037058</v>
      </c>
      <c r="DU61" s="62">
        <f t="shared" si="44"/>
        <v>232.85411068442738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>
        <f>EXP(-LN(2)/35)*EA60+(1-EXP(-LN(2)/35))/(LN(2)/35)*DW61*DX61*VLOOKUP('Données projet'!$B$14,Paramètres!$A$1:$I$89,3,0)*0.475*44/12</f>
        <v>0</v>
      </c>
      <c r="EB61" s="23">
        <f>EXP(-LN(2)/25)*EB60+(1-EXP(-LN(2)/25))/(LN(2)/25)*Calculateur!DW61*Calculateur!DY61*VLOOKUP('Données projet'!$B$14,Paramètres!$A$1:$I$89,3,0)*0.475*44/12</f>
        <v>0</v>
      </c>
      <c r="EC61" s="23">
        <f>EXP(-LN(2)/2)*EC60+(1-EXP(-LN(2)/2))/(LN(2)/2)*DW61*DZ61*VLOOKUP('Données projet'!$B$14,Paramètres!$A$1:$I$89,3,0)*0.475*44/12</f>
        <v>0</v>
      </c>
      <c r="ED61" s="24">
        <f t="shared" si="18"/>
        <v>0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6.4102564102564088</v>
      </c>
      <c r="EJ61" s="13">
        <f>IF('Données projet'!$A$192&gt;35,EJ60+EI61-ER60,IF(A61&lt;'Données projet'!$A$192,$EG$205^A61,IF(A61='Données projet'!$A$192,'Données projet'!$B$192,EJ60+EI61-ER60)))</f>
        <v>278.20512820512835</v>
      </c>
      <c r="EK61" s="18">
        <f>EJ61*VLOOKUP('Données projet'!$B$15,Paramètres!$A$1:$I$89,3,0)*VLOOKUP('Données projet'!$B$15,Paramètres!$A$1:$I$89,5,0)</f>
        <v>290.78000000000014</v>
      </c>
      <c r="EL61" s="14">
        <f t="shared" si="45"/>
        <v>69.240099856469072</v>
      </c>
      <c r="EM61" s="22">
        <f t="shared" si="19"/>
        <v>627.0350072500172</v>
      </c>
      <c r="EN61" s="62">
        <f t="shared" si="20"/>
        <v>920.36834058335057</v>
      </c>
      <c r="EO61" s="62">
        <f ca="1">AVERAGE(OFFSET($EN$3,0,0,'Données projet'!$E$15+1,1))-AVERAGE(OFFSET($H$3,0,0,'Données projet'!$E$15+1,1))</f>
        <v>595.89992279024398</v>
      </c>
      <c r="EP61" s="62">
        <f t="shared" si="46"/>
        <v>378.16197659288338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>
        <f>EXP(-LN(2)/35)*EV60+(1-EXP(-LN(2)/35))/(LN(2)/35)*ER61*ES61*VLOOKUP('Données projet'!$B$15,Paramètres!$A$1:$I$89,3,0)*0.475*44/12</f>
        <v>0</v>
      </c>
      <c r="EW61" s="23">
        <f>EXP(-LN(2)/25)*EW60+(1-EXP(-LN(2)/25))/(LN(2)/25)*Calculateur!ER61*Calculateur!ET61*VLOOKUP('Données projet'!$B$15,Paramètres!$A$1:$I$89,3,0)*0.475*44/12</f>
        <v>0</v>
      </c>
      <c r="EX61" s="23">
        <f>EXP(-LN(2)/2)*EX60+(1-EXP(-LN(2)/2))/(LN(2)/2)*ER61*EU61*VLOOKUP('Données projet'!$B$15,Paramètres!$A$1:$I$89,3,0)*0.475*44/12</f>
        <v>0</v>
      </c>
      <c r="EY61" s="24">
        <f t="shared" si="21"/>
        <v>0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10.092929864253392</v>
      </c>
      <c r="FE61" s="13">
        <f>IF('Données projet'!$A$218&gt;35,FE60+FD61-FM60,IF(A61&lt;'Données projet'!$A$218,$FB$205^A61,IF(A61='Données projet'!$A$218,'Données projet'!$B$218,FE60+FD61-FM60)))</f>
        <v>333.31414027149299</v>
      </c>
      <c r="FF61" s="18">
        <f>FE61*VLOOKUP('Données projet'!$B$16,Paramètres!$A$1:$I$89,3,0)*VLOOKUP('Données projet'!$B$16,Paramètres!$A$1:$I$89,5,0)</f>
        <v>199.32185588235282</v>
      </c>
      <c r="FG61" s="14">
        <f t="shared" si="47"/>
        <v>49.595102725861402</v>
      </c>
      <c r="FH61" s="22">
        <f t="shared" si="22"/>
        <v>433.53036957597305</v>
      </c>
      <c r="FI61" s="62">
        <f t="shared" si="23"/>
        <v>726.86370290930631</v>
      </c>
      <c r="FJ61" s="62">
        <f ca="1">AVERAGE(OFFSET($FI$3,0,0,'Données projet'!$E$16+1,1))-AVERAGE(OFFSET($H$3,0,0,'Données projet'!$E$16+1,1))</f>
        <v>257.56116197646924</v>
      </c>
      <c r="FK61" s="62">
        <f t="shared" si="48"/>
        <v>269.95556918835888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>
        <f>EXP(-LN(2)/35)*FQ60+(1-EXP(-LN(2)/35))/(LN(2)/35)*FM61*FN61*VLOOKUP('Données projet'!$B$16,Paramètres!$A$1:$I$89,3,0)*0.475*44/12</f>
        <v>8.3748391672919613</v>
      </c>
      <c r="FR61" s="23">
        <f>EXP(-LN(2)/25)*FR60+(1-EXP(-LN(2)/25))/(LN(2)/25)*Calculateur!FM61*Calculateur!FO61*VLOOKUP('Données projet'!$B$16,Paramètres!$A$1:$I$89,3,0)*0.475*44/12</f>
        <v>7.4273282299222494</v>
      </c>
      <c r="FS61" s="23">
        <f>EXP(-LN(2)/2)*FS60+(1-EXP(-LN(2)/2))/(LN(2)/2)*FM61*FP61*VLOOKUP('Données projet'!$B$16,Paramètres!$A$1:$I$89,3,0)*0.475*44/12</f>
        <v>5.2209981823577779E-4</v>
      </c>
      <c r="FT61" s="24">
        <f t="shared" si="24"/>
        <v>15.802689497032446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10.66307692307692</v>
      </c>
      <c r="FZ61" s="13">
        <f>IF('Données projet'!$A$244&gt;35,FZ60+FY61-GH60,IF(A61&lt;'Données projet'!$A$244,$FW$205^A61,IF(A61='Données projet'!$A$244,'Données projet'!$B$244,FZ60+FY61-GH60)))</f>
        <v>321.09692307692302</v>
      </c>
      <c r="GA61" s="18">
        <f>FZ61*VLOOKUP('Données projet'!$B$17,Paramètres!$A$1:$I$89,3,0)*VLOOKUP('Données projet'!$B$17,Paramètres!$A$1:$I$89,5,0)</f>
        <v>192.01595999999998</v>
      </c>
      <c r="GB61" s="14">
        <f t="shared" si="49"/>
        <v>47.985378835949042</v>
      </c>
      <c r="GC61" s="22">
        <f t="shared" si="25"/>
        <v>418.00233180594455</v>
      </c>
      <c r="GD61" s="62">
        <f t="shared" si="26"/>
        <v>711.33566513927781</v>
      </c>
      <c r="GE61" s="62">
        <f ca="1">AVERAGE(OFFSET($GD$3,0,0,'Données projet'!$E$17+1,1))-AVERAGE(OFFSET($H$3,0,0,'Données projet'!$E$17+1,1))</f>
        <v>289.12367833861299</v>
      </c>
      <c r="GF61" s="62">
        <f t="shared" si="50"/>
        <v>229.06617320689003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>
        <f>EXP(-LN(2)/35)*GL60+(1-EXP(-LN(2)/35))/(LN(2)/35)*GH61*GI61*VLOOKUP('Données projet'!$B$17,Paramètres!$A$1:$I$89,3,0)*0.475*44/12</f>
        <v>0</v>
      </c>
      <c r="GM61" s="23">
        <f>EXP(-LN(2)/25)*GM60+(1-EXP(-LN(2)/25))/(LN(2)/25)*Calculateur!GH61*Calculateur!GJ61*VLOOKUP('Données projet'!$B$17,Paramètres!$A$1:$I$89,3,0)*0.475*44/12</f>
        <v>0</v>
      </c>
      <c r="GN61" s="23">
        <f>EXP(-LN(2)/2)*GN60+(1-EXP(-LN(2)/2))/(LN(2)/2)*GH61*GK61*VLOOKUP('Données projet'!$B$17,Paramètres!$A$1:$I$89,3,0)*0.475*44/12</f>
        <v>2.5310272693026425E-4</v>
      </c>
      <c r="GO61" s="23">
        <f t="shared" si="27"/>
        <v>2.5310272693026425E-4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11.076923076923084</v>
      </c>
      <c r="GU61" s="13">
        <f>IF('Données projet'!$A$270&gt;35,GU60+GT61-HC60,IF(A61&lt;'Données projet'!$A$270,$GR$205^A61,IF(A61='Données projet'!$A$270,'Données projet'!$B$270,GU60+GT61-HC60)))</f>
        <v>295.88461538461542</v>
      </c>
      <c r="GV61" s="18">
        <f>GU61*VLOOKUP('Données projet'!$B$18,Paramètres!$A$1:$I$89,3,0)*VLOOKUP('Données projet'!$B$18,Paramètres!$A$1:$I$89,5,0)</f>
        <v>138.47400000000002</v>
      </c>
      <c r="GW61" s="14">
        <f t="shared" si="51"/>
        <v>35.947197649185291</v>
      </c>
      <c r="GX61" s="22">
        <f t="shared" si="28"/>
        <v>303.78358590566432</v>
      </c>
      <c r="GY61" s="62">
        <f t="shared" si="29"/>
        <v>597.11691923899764</v>
      </c>
      <c r="GZ61" s="62">
        <f ca="1">AVERAGE(OFFSET($GY$3,0,0,'Données projet'!$E$18+1,1))-AVERAGE(OFFSET($H$3,0,0,'Données projet'!$E$18+1,1))</f>
        <v>284.88646502866419</v>
      </c>
      <c r="HA61" s="62">
        <f t="shared" si="52"/>
        <v>190.4880882944471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>
        <f>EXP(-LN(2)/35)*HG60+(1-EXP(-LN(2)/35))/(LN(2)/35)*HC61*HD61*VLOOKUP('Données projet'!$B$18,Paramètres!$A$1:$I$89,3,0)*0.475*44/12</f>
        <v>0</v>
      </c>
      <c r="HH61" s="23">
        <f>EXP(-LN(2)/25)*HH60+(1-EXP(-LN(2)/25))/(LN(2)/25)*Calculateur!HC61*Calculateur!HE61*VLOOKUP('Données projet'!$B$18,Paramètres!$A$1:$I$89,3,0)*0.475*44/12</f>
        <v>0</v>
      </c>
      <c r="HI61" s="23">
        <f>EXP(-LN(2)/2)*HI60+(1-EXP(-LN(2)/2))/(LN(2)/2)*HC61*HF61*VLOOKUP('Données projet'!$B$18,Paramètres!$A$1:$I$89,3,0)*0.475*44/12</f>
        <v>0</v>
      </c>
      <c r="HJ61" s="24">
        <f t="shared" si="30"/>
        <v>0</v>
      </c>
    </row>
    <row r="62" spans="1:218" s="5" customFormat="1" x14ac:dyDescent="0.25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2">
        <f t="shared" si="32"/>
        <v>0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0</v>
      </c>
      <c r="H62" s="70">
        <f t="shared" si="1"/>
        <v>256.66666666666669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4.8717948717948731</v>
      </c>
      <c r="N62" s="14">
        <f>IF('Données projet'!$A$36&gt;35,N61+M62-V61,IF(A62&lt;'Données projet'!$A$36,$K$205^A62,IF(A62='Données projet'!$A$36,'Données projet'!$B$36,N61+M62-V61)))</f>
        <v>195.12820512820505</v>
      </c>
      <c r="O62" s="14">
        <f>N62*VLOOKUP('Données projet'!$B$9,Paramètres!$A$1:$I$89,3,0)*VLOOKUP('Données projet'!$B$9,Paramètres!$A$1:$I$89,5,0)</f>
        <v>185.68399999999991</v>
      </c>
      <c r="P62" s="14">
        <f t="shared" si="33"/>
        <v>46.584474219718061</v>
      </c>
      <c r="Q62" s="22">
        <f t="shared" si="53"/>
        <v>404.5342592660088</v>
      </c>
      <c r="R62" s="62">
        <f t="shared" si="0"/>
        <v>697.86759259934206</v>
      </c>
      <c r="S62" s="62">
        <f ca="1">AVERAGE(OFFSET($R$3,0,0,'Données projet'!$E$9+1,1))-AVERAGE(OFFSET($H$3,0,0,'Données projet'!$E$9+1,1))</f>
        <v>367.11183928586667</v>
      </c>
      <c r="T62" s="62">
        <f t="shared" si="34"/>
        <v>281.52963027844595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0</v>
      </c>
      <c r="AA62" s="23">
        <f>EXP(-LN(2)/25)*AA61+(1-EXP(-LN(2)/25))/(LN(2)/25)*Calculateur!V62*Calculateur!X62*VLOOKUP('Données projet'!$B$9,Paramètres!$A$1:$I$89,3,0)*0.475*44/12</f>
        <v>0</v>
      </c>
      <c r="AB62" s="23">
        <f>EXP(-LN(2)/2)*AB61+(1-EXP(-LN(2)/2))/(LN(2)/2)*V62*Y62*VLOOKUP('Données projet'!$B$9,Paramètres!$A$1:$I$89,3,0)*0.475*44/12</f>
        <v>0</v>
      </c>
      <c r="AC62" s="24">
        <f t="shared" si="3"/>
        <v>0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7.6</v>
      </c>
      <c r="AI62" s="14">
        <f>IF('Données projet'!$A$62&gt;35,AI61+AH62-AQ61,IF(A62&lt;'Données projet'!$A$62,$AF$205^A62,IF(A62='Données projet'!$A$62,'Données projet'!$B$62,AI61+AH62-AQ61)))</f>
        <v>227.39999999999998</v>
      </c>
      <c r="AJ62" s="14">
        <f>AI62*VLOOKUP('Données projet'!$B$10,Paramètres!$A$1:$I$89,3,0)*VLOOKUP('Données projet'!$B$10,Paramètres!$A$1:$I$89,5,0)</f>
        <v>205.75151999999994</v>
      </c>
      <c r="AK62" s="14">
        <f t="shared" si="35"/>
        <v>51.006084477955554</v>
      </c>
      <c r="AL62" s="22">
        <f t="shared" si="4"/>
        <v>447.18616113243911</v>
      </c>
      <c r="AM62" s="62">
        <f t="shared" si="5"/>
        <v>740.51949446577237</v>
      </c>
      <c r="AN62" s="62">
        <f ca="1">AVERAGE(OFFSET($AM$3,0,0,'Données projet'!$E$10+1,1))-AVERAGE(OFFSET($H$3,0,0,'Données projet'!$E$10+1,1))</f>
        <v>428.8489304403459</v>
      </c>
      <c r="AO62" s="62">
        <f t="shared" si="36"/>
        <v>247.01165577562966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0</v>
      </c>
      <c r="AV62" s="23">
        <f>EXP(-LN(2)/25)*AV61+(1-EXP(-LN(2)/25))/(LN(2)/25)*Calculateur!AQ62*Calculateur!AS62*VLOOKUP('Données projet'!$B$10,Paramètres!$A$1:$I$89,3,0)*0.475*44/12</f>
        <v>0</v>
      </c>
      <c r="AW62" s="23">
        <f>EXP(-LN(2)/2)*AW61+(1-EXP(-LN(2)/2))/(LN(2)/2)*AQ62*AT62*VLOOKUP('Données projet'!$B$10,Paramètres!$A$1:$I$89,3,0)*0.475*44/12</f>
        <v>0</v>
      </c>
      <c r="AX62" s="23">
        <f t="shared" si="6"/>
        <v>0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7.6</v>
      </c>
      <c r="BD62" s="13">
        <f>IF('Données projet'!$A$88&gt;35,BD61+BC62-BL61,IF(A62&lt;'Données projet'!$A$88,$BA$205^A62,IF(A62='Données projet'!$A$88,'Données projet'!$B$88,BD61+BC62-BL61)))</f>
        <v>227.39999999999998</v>
      </c>
      <c r="BE62" s="14">
        <f>BD62*VLOOKUP('Données projet'!$B$11,Paramètres!$A$1:$I$89,3,0)*VLOOKUP('Données projet'!$B$11,Paramètres!$A$1:$I$89,5,0)</f>
        <v>230.58360000000002</v>
      </c>
      <c r="BF62" s="14">
        <f t="shared" si="37"/>
        <v>56.408850878327968</v>
      </c>
      <c r="BG62" s="22">
        <f t="shared" si="7"/>
        <v>499.8451852797545</v>
      </c>
      <c r="BH62" s="62">
        <f t="shared" si="8"/>
        <v>793.17851861308782</v>
      </c>
      <c r="BI62" s="62">
        <f ca="1">AVERAGE(OFFSET($BH$3,0,0,'Données projet'!$E$11+1,1))-AVERAGE(OFFSET($H$3,0,0,'Données projet'!$E$11+1,1))</f>
        <v>475.47920969424894</v>
      </c>
      <c r="BJ62" s="62">
        <f t="shared" si="38"/>
        <v>271.73544012419364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>
        <f>EXP(-LN(2)/35)*BP61+(1-EXP(-LN(2)/35))/(LN(2)/35)*BL62*BM62*VLOOKUP('Données projet'!$B$11,Paramètres!$A$1:$I$89,3,0)*0.475*44/12</f>
        <v>0</v>
      </c>
      <c r="BQ62" s="23">
        <f>EXP(-LN(2)/25)*BQ61+(1-EXP(-LN(2)/25))/(LN(2)/25)*Calculateur!BL62*Calculateur!BN62*VLOOKUP('Données projet'!$B$11,Paramètres!$A$1:$I$89,3,0)*0.475*44/12</f>
        <v>0</v>
      </c>
      <c r="BR62" s="23">
        <f>EXP(-LN(2)/2)*BR61+(1-EXP(-LN(2)/2))/(LN(2)/2)*BL62*BO62*VLOOKUP('Données projet'!$B$11,Paramètres!$A$1:$I$89,3,0)*0.475*44/12</f>
        <v>0</v>
      </c>
      <c r="BS62" s="24">
        <f t="shared" si="9"/>
        <v>0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14.839560439560435</v>
      </c>
      <c r="BY62" s="13">
        <f>IF('Données projet'!$A$114&gt;35,BY61+BX62-CG61,IF(A62&lt;'Données projet'!$A$114,$BV$205^A62,IF(A62='Données projet'!$A$114,'Données projet'!$B$114,BY61+BX62-CG61)))</f>
        <v>396.35714285714289</v>
      </c>
      <c r="BZ62" s="14">
        <f>BY62*VLOOKUP('Données projet'!$B$12,Paramètres!$A$1:$I$89,3,0)*VLOOKUP('Données projet'!$B$12,Paramètres!$A$1:$I$89,5,0)</f>
        <v>221.56364285714287</v>
      </c>
      <c r="CA62" s="14">
        <f t="shared" si="39"/>
        <v>54.45459555983345</v>
      </c>
      <c r="CB62" s="22">
        <f t="shared" si="10"/>
        <v>480.73176524290039</v>
      </c>
      <c r="CC62" s="62">
        <f t="shared" si="11"/>
        <v>774.06509857623371</v>
      </c>
      <c r="CD62" s="62">
        <f ca="1">AVERAGE(OFFSET($CC$3,0,0,'Données projet'!$E$12+1,1))-AVERAGE(OFFSET($H$3,0,0,'Données projet'!$E$12+1,1))</f>
        <v>323.98185264074681</v>
      </c>
      <c r="CE62" s="62">
        <f t="shared" si="40"/>
        <v>301.22207291854005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>
        <f>EXP(-LN(2)/35)*CK61+(1-EXP(-LN(2)/35))/(LN(2)/35)*CG62*CH62*VLOOKUP('Données projet'!$B$12,Paramètres!$A$1:$I$89,3,0)*0.475*44/12</f>
        <v>2.512672906564323</v>
      </c>
      <c r="CL62" s="23">
        <f>EXP(-LN(2)/25)*CL61+(1-EXP(-LN(2)/25))/(LN(2)/25)*Calculateur!CG62*Calculateur!CI62*VLOOKUP('Données projet'!$B$12,Paramètres!$A$1:$I$89,3,0)*0.475*44/12</f>
        <v>3.6907699731117138</v>
      </c>
      <c r="CM62" s="23">
        <f>EXP(-LN(2)/2)*CM61+(1-EXP(-LN(2)/2))/(LN(2)/2)*CG62*CJ62*VLOOKUP('Données projet'!$B$12,Paramètres!$A$1:$I$89,3,0)*0.475*44/12</f>
        <v>2.6273985225000321E-4</v>
      </c>
      <c r="CN62" s="24">
        <f t="shared" si="12"/>
        <v>6.2037056195282867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5.4</v>
      </c>
      <c r="CT62" s="13">
        <f>IF('Données projet'!$A$140&gt;35,CT61+CS62-DB61,IF(A62&lt;'Données projet'!$A$140,$CQ$205^A62,IF(A62='Données projet'!$A$140,'Données projet'!$B$140,CT61+CS62-DB61)))</f>
        <v>156.59999999999997</v>
      </c>
      <c r="CU62" s="18">
        <f>CT62*VLOOKUP('Données projet'!$B$13,Paramètres!$A$1:$I$89,3,0)*VLOOKUP('Données projet'!$B$13,Paramètres!$A$1:$I$89,5,0)</f>
        <v>178.33607999999995</v>
      </c>
      <c r="CV62" s="14">
        <f t="shared" si="41"/>
        <v>44.951794770631757</v>
      </c>
      <c r="CW62" s="22">
        <f t="shared" si="13"/>
        <v>388.89304855885024</v>
      </c>
      <c r="CX62" s="62">
        <f t="shared" si="14"/>
        <v>682.22638189218355</v>
      </c>
      <c r="CY62" s="62">
        <f ca="1">AVERAGE(OFFSET($CX$3,0,0,'Données projet'!$E$13+1,1))-AVERAGE(OFFSET($H$3,0,0,'Données projet'!$E$13+1,1))</f>
        <v>399.78832690250164</v>
      </c>
      <c r="CZ62" s="62">
        <f t="shared" si="42"/>
        <v>174.32967064896343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>
        <f>EXP(-LN(2)/35)*DF61+(1-EXP(-LN(2)/35))/(LN(2)/35)*DB62*DC62*VLOOKUP('Données projet'!$B$13,Paramètres!$A$1:$I$89,3,0)*0.475*44/12</f>
        <v>0</v>
      </c>
      <c r="DG62" s="23">
        <f>EXP(-LN(2)/25)*DG61+(1-EXP(-LN(2)/25))/(LN(2)/25)*Calculateur!DB62*Calculateur!DD62*VLOOKUP('Données projet'!$B$13,Paramètres!$A$1:$I$89,3,0)*0.475*44/12</f>
        <v>0</v>
      </c>
      <c r="DH62" s="23">
        <f>EXP(-LN(2)/2)*DH61+(1-EXP(-LN(2)/2))/(LN(2)/2)*DB62*DE62*VLOOKUP('Données projet'!$B$13,Paramètres!$A$1:$I$89,3,0)*0.475*44/12</f>
        <v>0</v>
      </c>
      <c r="DI62" s="24">
        <f t="shared" si="15"/>
        <v>0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7.6</v>
      </c>
      <c r="DO62" s="13">
        <f>IF('Données projet'!$A$166&gt;35,DO61+DN62-DW61,IF(A62&lt;'Données projet'!$A$166,$DL$205^A62,IF(A62='Données projet'!$A$166,'Données projet'!$B$166,DO61+DN62-DW61)))</f>
        <v>227.39999999999998</v>
      </c>
      <c r="DP62" s="18">
        <f>DO62*VLOOKUP('Données projet'!$B$14,Paramètres!$A$1:$I$89,3,0)*VLOOKUP('Données projet'!$B$14,Paramètres!$A$1:$I$89,5,0)</f>
        <v>191.56175999999999</v>
      </c>
      <c r="DQ62" s="14">
        <f t="shared" si="43"/>
        <v>47.885071135583438</v>
      </c>
      <c r="DR62" s="22">
        <f t="shared" si="16"/>
        <v>417.03656422780779</v>
      </c>
      <c r="DS62" s="62">
        <f t="shared" si="17"/>
        <v>710.3698975611411</v>
      </c>
      <c r="DT62" s="62">
        <f ca="1">AVERAGE(OFFSET($DS$3,0,0,'Données projet'!$E$14+1,1))-AVERAGE(OFFSET($H$3,0,0,'Données projet'!$E$14+1,1))</f>
        <v>402.15128814037058</v>
      </c>
      <c r="DU62" s="62">
        <f t="shared" si="44"/>
        <v>232.85411068442738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>
        <f>EXP(-LN(2)/35)*EA61+(1-EXP(-LN(2)/35))/(LN(2)/35)*DW62*DX62*VLOOKUP('Données projet'!$B$14,Paramètres!$A$1:$I$89,3,0)*0.475*44/12</f>
        <v>0</v>
      </c>
      <c r="EB62" s="23">
        <f>EXP(-LN(2)/25)*EB61+(1-EXP(-LN(2)/25))/(LN(2)/25)*Calculateur!DW62*Calculateur!DY62*VLOOKUP('Données projet'!$B$14,Paramètres!$A$1:$I$89,3,0)*0.475*44/12</f>
        <v>0</v>
      </c>
      <c r="EC62" s="23">
        <f>EXP(-LN(2)/2)*EC61+(1-EXP(-LN(2)/2))/(LN(2)/2)*DW62*DZ62*VLOOKUP('Données projet'!$B$14,Paramètres!$A$1:$I$89,3,0)*0.475*44/12</f>
        <v>0</v>
      </c>
      <c r="ED62" s="24">
        <f t="shared" si="18"/>
        <v>0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6.4102564102564088</v>
      </c>
      <c r="EJ62" s="13">
        <f>IF('Données projet'!$A$192&gt;35,EJ61+EI62-ER61,IF(A62&lt;'Données projet'!$A$192,$EG$205^A62,IF(A62='Données projet'!$A$192,'Données projet'!$B$192,EJ61+EI62-ER61)))</f>
        <v>284.61538461538476</v>
      </c>
      <c r="EK62" s="18">
        <f>EJ62*VLOOKUP('Données projet'!$B$15,Paramètres!$A$1:$I$89,3,0)*VLOOKUP('Données projet'!$B$15,Paramètres!$A$1:$I$89,5,0)</f>
        <v>297.48000000000019</v>
      </c>
      <c r="EL62" s="14">
        <f t="shared" si="45"/>
        <v>70.647915600656972</v>
      </c>
      <c r="EM62" s="22">
        <f t="shared" si="19"/>
        <v>641.15611967114455</v>
      </c>
      <c r="EN62" s="62">
        <f t="shared" si="20"/>
        <v>934.48945300447781</v>
      </c>
      <c r="EO62" s="62">
        <f ca="1">AVERAGE(OFFSET($EN$3,0,0,'Données projet'!$E$15+1,1))-AVERAGE(OFFSET($H$3,0,0,'Données projet'!$E$15+1,1))</f>
        <v>595.89992279024398</v>
      </c>
      <c r="EP62" s="62">
        <f t="shared" si="46"/>
        <v>378.16197659288338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>
        <f>EXP(-LN(2)/35)*EV61+(1-EXP(-LN(2)/35))/(LN(2)/35)*ER62*ES62*VLOOKUP('Données projet'!$B$15,Paramètres!$A$1:$I$89,3,0)*0.475*44/12</f>
        <v>0</v>
      </c>
      <c r="EW62" s="23">
        <f>EXP(-LN(2)/25)*EW61+(1-EXP(-LN(2)/25))/(LN(2)/25)*Calculateur!ER62*Calculateur!ET62*VLOOKUP('Données projet'!$B$15,Paramètres!$A$1:$I$89,3,0)*0.475*44/12</f>
        <v>0</v>
      </c>
      <c r="EX62" s="23">
        <f>EXP(-LN(2)/2)*EX61+(1-EXP(-LN(2)/2))/(LN(2)/2)*ER62*EU62*VLOOKUP('Données projet'!$B$15,Paramètres!$A$1:$I$89,3,0)*0.475*44/12</f>
        <v>0</v>
      </c>
      <c r="EY62" s="24">
        <f t="shared" si="21"/>
        <v>0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10.092929864253392</v>
      </c>
      <c r="FE62" s="13">
        <f>IF('Données projet'!$A$218&gt;35,FE61+FD62-FM61,IF(A62&lt;'Données projet'!$A$218,$FB$205^A62,IF(A62='Données projet'!$A$218,'Données projet'!$B$218,FE61+FD62-FM61)))</f>
        <v>343.40707013574638</v>
      </c>
      <c r="FF62" s="18">
        <f>FE62*VLOOKUP('Données projet'!$B$16,Paramètres!$A$1:$I$89,3,0)*VLOOKUP('Données projet'!$B$16,Paramètres!$A$1:$I$89,5,0)</f>
        <v>205.35742794117635</v>
      </c>
      <c r="FG62" s="14">
        <f t="shared" si="47"/>
        <v>50.919750695369451</v>
      </c>
      <c r="FH62" s="22">
        <f t="shared" si="22"/>
        <v>446.34941945865057</v>
      </c>
      <c r="FI62" s="62">
        <f t="shared" si="23"/>
        <v>739.68275279198383</v>
      </c>
      <c r="FJ62" s="62">
        <f ca="1">AVERAGE(OFFSET($FI$3,0,0,'Données projet'!$E$16+1,1))-AVERAGE(OFFSET($H$3,0,0,'Données projet'!$E$16+1,1))</f>
        <v>257.56116197646924</v>
      </c>
      <c r="FK62" s="62">
        <f t="shared" si="48"/>
        <v>269.95556918835888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>
        <f>EXP(-LN(2)/35)*FQ61+(1-EXP(-LN(2)/35))/(LN(2)/35)*FM62*FN62*VLOOKUP('Données projet'!$B$16,Paramètres!$A$1:$I$89,3,0)*0.475*44/12</f>
        <v>8.2106136793688709</v>
      </c>
      <c r="FR62" s="23">
        <f>EXP(-LN(2)/25)*FR61+(1-EXP(-LN(2)/25))/(LN(2)/25)*Calculateur!FM62*Calculateur!FO62*VLOOKUP('Données projet'!$B$16,Paramètres!$A$1:$I$89,3,0)*0.475*44/12</f>
        <v>7.224227548888809</v>
      </c>
      <c r="FS62" s="23">
        <f>EXP(-LN(2)/2)*FS61+(1-EXP(-LN(2)/2))/(LN(2)/2)*FM62*FP62*VLOOKUP('Données projet'!$B$16,Paramètres!$A$1:$I$89,3,0)*0.475*44/12</f>
        <v>3.6918032193078236E-4</v>
      </c>
      <c r="FT62" s="24">
        <f t="shared" si="24"/>
        <v>15.435210408579611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10.66307692307692</v>
      </c>
      <c r="FZ62" s="13">
        <f>IF('Données projet'!$A$244&gt;35,FZ61+FY62-GH61,IF(A62&lt;'Données projet'!$A$244,$FW$205^A62,IF(A62='Données projet'!$A$244,'Données projet'!$B$244,FZ61+FY62-GH61)))</f>
        <v>331.75999999999993</v>
      </c>
      <c r="GA62" s="18">
        <f>FZ62*VLOOKUP('Données projet'!$B$17,Paramètres!$A$1:$I$89,3,0)*VLOOKUP('Données projet'!$B$17,Paramètres!$A$1:$I$89,5,0)</f>
        <v>198.39247999999998</v>
      </c>
      <c r="GB62" s="14">
        <f t="shared" si="49"/>
        <v>49.39071772551025</v>
      </c>
      <c r="GC62" s="22">
        <f t="shared" si="25"/>
        <v>431.55573603859693</v>
      </c>
      <c r="GD62" s="62">
        <f t="shared" si="26"/>
        <v>724.88906937193019</v>
      </c>
      <c r="GE62" s="62">
        <f ca="1">AVERAGE(OFFSET($GD$3,0,0,'Données projet'!$E$17+1,1))-AVERAGE(OFFSET($H$3,0,0,'Données projet'!$E$17+1,1))</f>
        <v>289.12367833861299</v>
      </c>
      <c r="GF62" s="62">
        <f t="shared" si="50"/>
        <v>229.06617320689003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>
        <f>EXP(-LN(2)/35)*GL61+(1-EXP(-LN(2)/35))/(LN(2)/35)*GH62*GI62*VLOOKUP('Données projet'!$B$17,Paramètres!$A$1:$I$89,3,0)*0.475*44/12</f>
        <v>0</v>
      </c>
      <c r="GM62" s="23">
        <f>EXP(-LN(2)/25)*GM61+(1-EXP(-LN(2)/25))/(LN(2)/25)*Calculateur!GH62*Calculateur!GJ62*VLOOKUP('Données projet'!$B$17,Paramètres!$A$1:$I$89,3,0)*0.475*44/12</f>
        <v>0</v>
      </c>
      <c r="GN62" s="23">
        <f>EXP(-LN(2)/2)*GN61+(1-EXP(-LN(2)/2))/(LN(2)/2)*GH62*GK62*VLOOKUP('Données projet'!$B$17,Paramètres!$A$1:$I$89,3,0)*0.475*44/12</f>
        <v>1.7897065454919686E-4</v>
      </c>
      <c r="GO62" s="23">
        <f t="shared" si="27"/>
        <v>1.7897065454919686E-4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11.076923076923084</v>
      </c>
      <c r="GU62" s="13">
        <f>IF('Données projet'!$A$270&gt;35,GU61+GT62-HC61,IF(A62&lt;'Données projet'!$A$270,$GR$205^A62,IF(A62='Données projet'!$A$270,'Données projet'!$B$270,GU61+GT62-HC61)))</f>
        <v>306.96153846153851</v>
      </c>
      <c r="GV62" s="18">
        <f>GU62*VLOOKUP('Données projet'!$B$18,Paramètres!$A$1:$I$89,3,0)*VLOOKUP('Données projet'!$B$18,Paramètres!$A$1:$I$89,5,0)</f>
        <v>143.65800000000002</v>
      </c>
      <c r="GW62" s="14">
        <f t="shared" si="51"/>
        <v>37.133739822996013</v>
      </c>
      <c r="GX62" s="22">
        <f t="shared" si="28"/>
        <v>314.87894685838472</v>
      </c>
      <c r="GY62" s="62">
        <f t="shared" si="29"/>
        <v>608.21228019171804</v>
      </c>
      <c r="GZ62" s="62">
        <f ca="1">AVERAGE(OFFSET($GY$3,0,0,'Données projet'!$E$18+1,1))-AVERAGE(OFFSET($H$3,0,0,'Données projet'!$E$18+1,1))</f>
        <v>284.88646502866419</v>
      </c>
      <c r="HA62" s="62">
        <f t="shared" si="52"/>
        <v>190.4880882944471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>
        <f>EXP(-LN(2)/35)*HG61+(1-EXP(-LN(2)/35))/(LN(2)/35)*HC62*HD62*VLOOKUP('Données projet'!$B$18,Paramètres!$A$1:$I$89,3,0)*0.475*44/12</f>
        <v>0</v>
      </c>
      <c r="HH62" s="23">
        <f>EXP(-LN(2)/25)*HH61+(1-EXP(-LN(2)/25))/(LN(2)/25)*Calculateur!HC62*Calculateur!HE62*VLOOKUP('Données projet'!$B$18,Paramètres!$A$1:$I$89,3,0)*0.475*44/12</f>
        <v>0</v>
      </c>
      <c r="HI62" s="23">
        <f>EXP(-LN(2)/2)*HI61+(1-EXP(-LN(2)/2))/(LN(2)/2)*HC62*HF62*VLOOKUP('Données projet'!$B$18,Paramètres!$A$1:$I$89,3,0)*0.475*44/12</f>
        <v>0</v>
      </c>
      <c r="HJ62" s="24">
        <f t="shared" si="30"/>
        <v>0</v>
      </c>
    </row>
    <row r="63" spans="1:218" s="5" customFormat="1" x14ac:dyDescent="0.25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2">
        <f t="shared" si="32"/>
        <v>0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0</v>
      </c>
      <c r="H63" s="70">
        <f t="shared" si="1"/>
        <v>256.66666666666669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>
        <f>VLOOKUP(A63,'Données projet'!$A$35:$I$55,2,0)</f>
        <v>200</v>
      </c>
      <c r="L63" s="13">
        <f>VLOOKUP(A63,'Données projet'!$A$35:$I$55,9,0)</f>
        <v>4.8717948717948731</v>
      </c>
      <c r="M63" s="13">
        <f t="array" ref="M63">INDEX(L:L,MIN(IF(ISNUMBER(L63:L259),ROW(L63:L259),"")))</f>
        <v>4.8717948717948731</v>
      </c>
      <c r="N63" s="14">
        <f>IF('Données projet'!$A$36&gt;35,N62+M63-V62,IF(A63&lt;'Données projet'!$A$36,$K$205^A63,IF(A63='Données projet'!$A$36,'Données projet'!$B$36,N62+M63-V62)))</f>
        <v>199.99999999999991</v>
      </c>
      <c r="O63" s="14">
        <f>N63*VLOOKUP('Données projet'!$B$9,Paramètres!$A$1:$I$89,3,0)*VLOOKUP('Données projet'!$B$9,Paramètres!$A$1:$I$89,5,0)</f>
        <v>190.31999999999991</v>
      </c>
      <c r="P63" s="14">
        <f t="shared" si="33"/>
        <v>47.61069337740188</v>
      </c>
      <c r="Q63" s="22">
        <f t="shared" si="53"/>
        <v>414.39595763230813</v>
      </c>
      <c r="R63" s="62">
        <f t="shared" si="0"/>
        <v>707.72929096564144</v>
      </c>
      <c r="S63" s="62">
        <f ca="1">AVERAGE(OFFSET($R$3,0,0,'Données projet'!$E$9+1,1))-AVERAGE(OFFSET($H$3,0,0,'Données projet'!$E$9+1,1))</f>
        <v>367.11183928586667</v>
      </c>
      <c r="T63" s="62">
        <f t="shared" si="34"/>
        <v>281.52963027844595</v>
      </c>
      <c r="U63" s="16">
        <f>IF(ISNA(VLOOKUP(A63,'Données projet'!$A$35:$I$55,3,0)),0,VLOOKUP(A63,'Données projet'!$A$35:$I$55,3,0))</f>
        <v>5</v>
      </c>
      <c r="V63" s="16">
        <f>IF(ISNA(VLOOKUP(A63,'Données projet'!$A$35:$I$55,4,0)),0,VLOOKUP(A63,'Données projet'!$A$35:$I$55,4,0))</f>
        <v>29.487179487179485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0</v>
      </c>
      <c r="AA63" s="23">
        <f>EXP(-LN(2)/25)*AA62+(1-EXP(-LN(2)/25))/(LN(2)/25)*Calculateur!V63*Calculateur!X63*VLOOKUP('Données projet'!$B$9,Paramètres!$A$1:$I$89,3,0)*0.475*44/12</f>
        <v>0</v>
      </c>
      <c r="AB63" s="23">
        <f>EXP(-LN(2)/2)*AB62+(1-EXP(-LN(2)/2))/(LN(2)/2)*V63*Y63*VLOOKUP('Données projet'!$B$9,Paramètres!$A$1:$I$89,3,0)*0.475*44/12</f>
        <v>0</v>
      </c>
      <c r="AC63" s="24">
        <f t="shared" si="3"/>
        <v>0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>
        <f>VLOOKUP(A63,'Données projet'!$A$61:$I$81,2,0)</f>
        <v>235</v>
      </c>
      <c r="AG63" s="13">
        <f>VLOOKUP(A63,'Données projet'!$A$61:$I$81,9,0)</f>
        <v>7.6</v>
      </c>
      <c r="AH63" s="13">
        <f t="array" ref="AH63">INDEX(AG:AG,MIN(IF(ISNUMBER(AG63:AG259),ROW(AG63:AG259),"")))</f>
        <v>7.6</v>
      </c>
      <c r="AI63" s="14">
        <f>IF('Données projet'!$A$62&gt;35,AI62+AH63-AQ62,IF(A63&lt;'Données projet'!$A$62,$AF$205^A63,IF(A63='Données projet'!$A$62,'Données projet'!$B$62,AI62+AH63-AQ62)))</f>
        <v>234.99999999999997</v>
      </c>
      <c r="AJ63" s="14">
        <f>AI63*VLOOKUP('Données projet'!$B$10,Paramètres!$A$1:$I$89,3,0)*VLOOKUP('Données projet'!$B$10,Paramètres!$A$1:$I$89,5,0)</f>
        <v>212.62799999999999</v>
      </c>
      <c r="AK63" s="14">
        <f t="shared" si="35"/>
        <v>52.509453483719035</v>
      </c>
      <c r="AL63" s="22">
        <f t="shared" si="4"/>
        <v>461.78106481747727</v>
      </c>
      <c r="AM63" s="62">
        <f t="shared" si="5"/>
        <v>755.11439815081053</v>
      </c>
      <c r="AN63" s="62">
        <f ca="1">AVERAGE(OFFSET($AM$3,0,0,'Données projet'!$E$10+1,1))-AVERAGE(OFFSET($H$3,0,0,'Données projet'!$E$10+1,1))</f>
        <v>428.8489304403459</v>
      </c>
      <c r="AO63" s="62">
        <f t="shared" si="36"/>
        <v>247.01165577562966</v>
      </c>
      <c r="AP63" s="16">
        <f>IF(ISNA(VLOOKUP(A63,'Données projet'!$A$61:$I$81,3,0)),0,VLOOKUP(A63,'Données projet'!$A$61:$I$81,3,0))</f>
        <v>4</v>
      </c>
      <c r="AQ63" s="16">
        <f>IF(ISNA(VLOOKUP(A63,'Données projet'!$A$61:$I$81,4,0)),0,VLOOKUP(A63,'Données projet'!$A$61:$I$81,4,0))</f>
        <v>42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projet'!$B$10,Paramètres!$A$1:$I$89,3,0)*0.475*44/12</f>
        <v>0</v>
      </c>
      <c r="AV63" s="23">
        <f>EXP(-LN(2)/25)*AV62+(1-EXP(-LN(2)/25))/(LN(2)/25)*Calculateur!AQ63*Calculateur!AS63*VLOOKUP('Données projet'!$B$10,Paramètres!$A$1:$I$89,3,0)*0.475*44/12</f>
        <v>0</v>
      </c>
      <c r="AW63" s="23">
        <f>EXP(-LN(2)/2)*AW62+(1-EXP(-LN(2)/2))/(LN(2)/2)*AQ63*AT63*VLOOKUP('Données projet'!$B$10,Paramètres!$A$1:$I$89,3,0)*0.475*44/12</f>
        <v>0</v>
      </c>
      <c r="AX63" s="23">
        <f t="shared" si="6"/>
        <v>0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>
        <f>VLOOKUP(A63,'Données projet'!$A$87:$I$107,2,0)</f>
        <v>235</v>
      </c>
      <c r="BB63" s="13">
        <f>VLOOKUP(A63,'Données projet'!$A$87:$I$107,9,0)</f>
        <v>7.6</v>
      </c>
      <c r="BC63" s="13">
        <f t="array" ref="BC63">INDEX(BB:BB,MIN(IF(ISNUMBER(BB63:BB259),ROW(BB63:BB259),"")))</f>
        <v>7.6</v>
      </c>
      <c r="BD63" s="13">
        <f>IF('Données projet'!$A$88&gt;35,BD62+BC63-BL62,IF(A63&lt;'Données projet'!$A$88,$BA$205^A63,IF(A63='Données projet'!$A$88,'Données projet'!$B$88,BD62+BC63-BL62)))</f>
        <v>234.99999999999997</v>
      </c>
      <c r="BE63" s="14">
        <f>BD63*VLOOKUP('Données projet'!$B$11,Paramètres!$A$1:$I$89,3,0)*VLOOKUP('Données projet'!$B$11,Paramètres!$A$1:$I$89,5,0)</f>
        <v>238.29000000000002</v>
      </c>
      <c r="BF63" s="14">
        <f t="shared" si="37"/>
        <v>58.071462681001513</v>
      </c>
      <c r="BG63" s="22">
        <f t="shared" si="7"/>
        <v>516.16288083607753</v>
      </c>
      <c r="BH63" s="62">
        <f t="shared" si="8"/>
        <v>809.49621416941091</v>
      </c>
      <c r="BI63" s="62">
        <f ca="1">AVERAGE(OFFSET($BH$3,0,0,'Données projet'!$E$11+1,1))-AVERAGE(OFFSET($H$3,0,0,'Données projet'!$E$11+1,1))</f>
        <v>475.47920969424894</v>
      </c>
      <c r="BJ63" s="62">
        <f t="shared" si="38"/>
        <v>271.73544012419364</v>
      </c>
      <c r="BK63" s="16">
        <f>IF(ISNA(VLOOKUP(A63,'Données projet'!$A$87:$I$107,3,0)),0,VLOOKUP(A63,'Données projet'!$A$87:$I$107,3,0))</f>
        <v>4</v>
      </c>
      <c r="BL63" s="16">
        <f>IF(ISNA(VLOOKUP(A63,'Données projet'!$A$87:$I$107,4,0)),0,VLOOKUP(A63,'Données projet'!$A$87:$I$107,4,0))</f>
        <v>42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>
        <f>EXP(-LN(2)/35)*BP62+(1-EXP(-LN(2)/35))/(LN(2)/35)*BL63*BM63*VLOOKUP('Données projet'!$B$11,Paramètres!$A$1:$I$89,3,0)*0.475*44/12</f>
        <v>0</v>
      </c>
      <c r="BQ63" s="23">
        <f>EXP(-LN(2)/25)*BQ62+(1-EXP(-LN(2)/25))/(LN(2)/25)*Calculateur!BL63*Calculateur!BN63*VLOOKUP('Données projet'!$B$11,Paramètres!$A$1:$I$89,3,0)*0.475*44/12</f>
        <v>0</v>
      </c>
      <c r="BR63" s="23">
        <f>EXP(-LN(2)/2)*BR62+(1-EXP(-LN(2)/2))/(LN(2)/2)*BL63*BO63*VLOOKUP('Données projet'!$B$11,Paramètres!$A$1:$I$89,3,0)*0.475*44/12</f>
        <v>0</v>
      </c>
      <c r="BS63" s="24">
        <f t="shared" si="9"/>
        <v>0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14.839560439560435</v>
      </c>
      <c r="BY63" s="13">
        <f>IF('Données projet'!$A$114&gt;35,BY62+BX63-CG62,IF(A63&lt;'Données projet'!$A$114,$BV$205^A63,IF(A63='Données projet'!$A$114,'Données projet'!$B$114,BY62+BX63-CG62)))</f>
        <v>411.19670329670333</v>
      </c>
      <c r="BZ63" s="14">
        <f>BY63*VLOOKUP('Données projet'!$B$12,Paramètres!$A$1:$I$89,3,0)*VLOOKUP('Données projet'!$B$12,Paramètres!$A$1:$I$89,5,0)</f>
        <v>229.85895714285718</v>
      </c>
      <c r="CA63" s="14">
        <f t="shared" si="39"/>
        <v>56.252183679167004</v>
      </c>
      <c r="CB63" s="22">
        <f t="shared" si="10"/>
        <v>498.31023693169209</v>
      </c>
      <c r="CC63" s="62">
        <f t="shared" si="11"/>
        <v>791.64357026502535</v>
      </c>
      <c r="CD63" s="62">
        <f ca="1">AVERAGE(OFFSET($CC$3,0,0,'Données projet'!$E$12+1,1))-AVERAGE(OFFSET($H$3,0,0,'Données projet'!$E$12+1,1))</f>
        <v>323.98185264074681</v>
      </c>
      <c r="CE63" s="62">
        <f t="shared" si="40"/>
        <v>301.22207291854005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>
        <f>EXP(-LN(2)/35)*CK62+(1-EXP(-LN(2)/35))/(LN(2)/35)*CG63*CH63*VLOOKUP('Données projet'!$B$12,Paramètres!$A$1:$I$89,3,0)*0.475*44/12</f>
        <v>2.4634009234457399</v>
      </c>
      <c r="CL63" s="23">
        <f>EXP(-LN(2)/25)*CL62+(1-EXP(-LN(2)/25))/(LN(2)/25)*Calculateur!CG63*Calculateur!CI63*VLOOKUP('Données projet'!$B$12,Paramètres!$A$1:$I$89,3,0)*0.475*44/12</f>
        <v>3.5898456741078166</v>
      </c>
      <c r="CM63" s="23">
        <f>EXP(-LN(2)/2)*CM62+(1-EXP(-LN(2)/2))/(LN(2)/2)*CG63*CJ63*VLOOKUP('Données projet'!$B$12,Paramètres!$A$1:$I$89,3,0)*0.475*44/12</f>
        <v>1.8578513121392885E-4</v>
      </c>
      <c r="CN63" s="24">
        <f t="shared" si="12"/>
        <v>6.0534323826847709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>
        <f>VLOOKUP(A63,'Données projet'!$A$139:$I$159,2,0)</f>
        <v>162</v>
      </c>
      <c r="CR63" s="13">
        <f>VLOOKUP(A63,'Données projet'!$A$139:$I$159,9,0)</f>
        <v>5.4</v>
      </c>
      <c r="CS63" s="13">
        <f t="array" ref="CS63">INDEX(CR:CR,MIN(IF(ISNUMBER(CR63:CR259),ROW(CR63:CR259),"")))</f>
        <v>5.4</v>
      </c>
      <c r="CT63" s="13">
        <f>IF('Données projet'!$A$140&gt;35,CT62+CS63-DB62,IF(A63&lt;'Données projet'!$A$140,$CQ$205^A63,IF(A63='Données projet'!$A$140,'Données projet'!$B$140,CT62+CS63-DB62)))</f>
        <v>161.99999999999997</v>
      </c>
      <c r="CU63" s="18">
        <f>CT63*VLOOKUP('Données projet'!$B$13,Paramètres!$A$1:$I$89,3,0)*VLOOKUP('Données projet'!$B$13,Paramètres!$A$1:$I$89,5,0)</f>
        <v>184.48559999999998</v>
      </c>
      <c r="CV63" s="14">
        <f t="shared" si="41"/>
        <v>46.318715382308191</v>
      </c>
      <c r="CW63" s="22">
        <f t="shared" si="13"/>
        <v>401.98418262418676</v>
      </c>
      <c r="CX63" s="62">
        <f t="shared" si="14"/>
        <v>695.31751595752007</v>
      </c>
      <c r="CY63" s="62">
        <f ca="1">AVERAGE(OFFSET($CX$3,0,0,'Données projet'!$E$13+1,1))-AVERAGE(OFFSET($H$3,0,0,'Données projet'!$E$13+1,1))</f>
        <v>399.78832690250164</v>
      </c>
      <c r="CZ63" s="62">
        <f t="shared" si="42"/>
        <v>174.32967064896343</v>
      </c>
      <c r="DA63" s="16">
        <f>IF(ISNA(VLOOKUP(A63,'Données projet'!$A$139:$I$159,3,0)),0,VLOOKUP(A63,'Données projet'!$A$139:$I$159,3,0))</f>
        <v>3</v>
      </c>
      <c r="DB63" s="16">
        <f>IF(ISNA(VLOOKUP(A63,'Données projet'!$A$139:$I$159,4,0)),0,VLOOKUP(A63,'Données projet'!$A$139:$I$159,4,0))</f>
        <v>28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>
        <f>EXP(-LN(2)/35)*DF62+(1-EXP(-LN(2)/35))/(LN(2)/35)*DB63*DC63*VLOOKUP('Données projet'!$B$13,Paramètres!$A$1:$I$89,3,0)*0.475*44/12</f>
        <v>0</v>
      </c>
      <c r="DG63" s="23">
        <f>EXP(-LN(2)/25)*DG62+(1-EXP(-LN(2)/25))/(LN(2)/25)*Calculateur!DB63*Calculateur!DD63*VLOOKUP('Données projet'!$B$13,Paramètres!$A$1:$I$89,3,0)*0.475*44/12</f>
        <v>0</v>
      </c>
      <c r="DH63" s="23">
        <f>EXP(-LN(2)/2)*DH62+(1-EXP(-LN(2)/2))/(LN(2)/2)*DB63*DE63*VLOOKUP('Données projet'!$B$13,Paramètres!$A$1:$I$89,3,0)*0.475*44/12</f>
        <v>0</v>
      </c>
      <c r="DI63" s="24">
        <f t="shared" si="15"/>
        <v>0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>
        <f>VLOOKUP(A63,'Données projet'!$A$165:$I$185,2,0)</f>
        <v>235</v>
      </c>
      <c r="DM63" s="13">
        <f>VLOOKUP(A63,'Données projet'!$A$165:$I$185,9,0)</f>
        <v>7.6</v>
      </c>
      <c r="DN63" s="13">
        <f t="array" ref="DN63">INDEX(DM:DM,MIN(IF(ISNUMBER(DM63:DM259),ROW(DM63:DM259),"")))</f>
        <v>7.6</v>
      </c>
      <c r="DO63" s="13">
        <f>IF('Données projet'!$A$166&gt;35,DO62+DN63-DW62,IF(A63&lt;'Données projet'!$A$166,$DL$205^A63,IF(A63='Données projet'!$A$166,'Données projet'!$B$166,DO62+DN63-DW62)))</f>
        <v>234.99999999999997</v>
      </c>
      <c r="DP63" s="18">
        <f>DO63*VLOOKUP('Données projet'!$B$14,Paramètres!$A$1:$I$89,3,0)*VLOOKUP('Données projet'!$B$14,Paramètres!$A$1:$I$89,5,0)</f>
        <v>197.964</v>
      </c>
      <c r="DQ63" s="14">
        <f t="shared" si="43"/>
        <v>49.296450435147761</v>
      </c>
      <c r="DR63" s="22">
        <f t="shared" si="16"/>
        <v>430.64528450788231</v>
      </c>
      <c r="DS63" s="62">
        <f t="shared" si="17"/>
        <v>723.97861784121562</v>
      </c>
      <c r="DT63" s="62">
        <f ca="1">AVERAGE(OFFSET($DS$3,0,0,'Données projet'!$E$14+1,1))-AVERAGE(OFFSET($H$3,0,0,'Données projet'!$E$14+1,1))</f>
        <v>402.15128814037058</v>
      </c>
      <c r="DU63" s="62">
        <f t="shared" si="44"/>
        <v>232.85411068442738</v>
      </c>
      <c r="DV63" s="16">
        <f>IF(ISNA(VLOOKUP(A63,'Données projet'!$A$165:$I$185,3,0)),0,VLOOKUP(A63,'Données projet'!$A$165:$I$185,3,0))</f>
        <v>4</v>
      </c>
      <c r="DW63" s="16">
        <f>IF(ISNA(VLOOKUP(A63,'Données projet'!$A$165:$I$185,4,0)),0,VLOOKUP(A63,'Données projet'!$A$165:$I$185,4,0))</f>
        <v>42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>
        <f>EXP(-LN(2)/35)*EA62+(1-EXP(-LN(2)/35))/(LN(2)/35)*DW63*DX63*VLOOKUP('Données projet'!$B$14,Paramètres!$A$1:$I$89,3,0)*0.475*44/12</f>
        <v>0</v>
      </c>
      <c r="EB63" s="23">
        <f>EXP(-LN(2)/25)*EB62+(1-EXP(-LN(2)/25))/(LN(2)/25)*Calculateur!DW63*Calculateur!DY63*VLOOKUP('Données projet'!$B$14,Paramètres!$A$1:$I$89,3,0)*0.475*44/12</f>
        <v>0</v>
      </c>
      <c r="EC63" s="23">
        <f>EXP(-LN(2)/2)*EC62+(1-EXP(-LN(2)/2))/(LN(2)/2)*DW63*DZ63*VLOOKUP('Données projet'!$B$14,Paramètres!$A$1:$I$89,3,0)*0.475*44/12</f>
        <v>0</v>
      </c>
      <c r="ED63" s="24">
        <f t="shared" si="18"/>
        <v>0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>
        <f>VLOOKUP(A63,'Données projet'!$A$191:$I$211,2,0)</f>
        <v>291.02564102564099</v>
      </c>
      <c r="EH63" s="13">
        <f>VLOOKUP(A63,'Données projet'!$A$191:$I$211,9,0)</f>
        <v>6.4102564102564088</v>
      </c>
      <c r="EI63" s="13">
        <f t="array" ref="EI63">INDEX(EH:EH,MIN(IF(ISNUMBER(EH63:EH259),ROW(EH63:EH259),"")))</f>
        <v>6.4102564102564088</v>
      </c>
      <c r="EJ63" s="13">
        <f>IF('Données projet'!$A$192&gt;35,EJ62+EI63-ER62,IF(A63&lt;'Données projet'!$A$192,$EG$205^A63,IF(A63='Données projet'!$A$192,'Données projet'!$B$192,EJ62+EI63-ER62)))</f>
        <v>291.02564102564116</v>
      </c>
      <c r="EK63" s="18">
        <f>EJ63*VLOOKUP('Données projet'!$B$15,Paramètres!$A$1:$I$89,3,0)*VLOOKUP('Données projet'!$B$15,Paramètres!$A$1:$I$89,5,0)</f>
        <v>304.18000000000018</v>
      </c>
      <c r="EL63" s="14">
        <f t="shared" si="45"/>
        <v>72.052045088916685</v>
      </c>
      <c r="EM63" s="22">
        <f t="shared" si="19"/>
        <v>655.27081186319685</v>
      </c>
      <c r="EN63" s="62">
        <f t="shared" si="20"/>
        <v>948.60414519653023</v>
      </c>
      <c r="EO63" s="62">
        <f ca="1">AVERAGE(OFFSET($EN$3,0,0,'Données projet'!$E$15+1,1))-AVERAGE(OFFSET($H$3,0,0,'Données projet'!$E$15+1,1))</f>
        <v>595.89992279024398</v>
      </c>
      <c r="EP63" s="62">
        <f t="shared" si="46"/>
        <v>378.16197659288338</v>
      </c>
      <c r="EQ63" s="16">
        <f>IF(ISNA(VLOOKUP(A63,'Données projet'!$A$191:$I$211,3,0)),0,VLOOKUP(A63,'Données projet'!$A$191:$I$211,3,0))</f>
        <v>5</v>
      </c>
      <c r="ER63" s="16">
        <f>IF(ISNA(VLOOKUP(A63,'Données projet'!$A$191:$I$211,4,0)),0,VLOOKUP(A63,'Données projet'!$A$191:$I$211,4,0))</f>
        <v>29.487179487179485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>
        <f>EXP(-LN(2)/35)*EV62+(1-EXP(-LN(2)/35))/(LN(2)/35)*ER63*ES63*VLOOKUP('Données projet'!$B$15,Paramètres!$A$1:$I$89,3,0)*0.475*44/12</f>
        <v>0</v>
      </c>
      <c r="EW63" s="23">
        <f>EXP(-LN(2)/25)*EW62+(1-EXP(-LN(2)/25))/(LN(2)/25)*Calculateur!ER63*Calculateur!ET63*VLOOKUP('Données projet'!$B$15,Paramètres!$A$1:$I$89,3,0)*0.475*44/12</f>
        <v>0</v>
      </c>
      <c r="EX63" s="23">
        <f>EXP(-LN(2)/2)*EX62+(1-EXP(-LN(2)/2))/(LN(2)/2)*ER63*EU63*VLOOKUP('Données projet'!$B$15,Paramètres!$A$1:$I$89,3,0)*0.475*44/12</f>
        <v>0</v>
      </c>
      <c r="EY63" s="24">
        <f t="shared" si="21"/>
        <v>0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>
        <f>VLOOKUP(A63,'Données projet'!$A$217:$I$237,2,0)</f>
        <v>353.5</v>
      </c>
      <c r="FC63" s="13">
        <f>VLOOKUP(A63,'Données projet'!$A$217:$I$237,9,0)</f>
        <v>10.092929864253392</v>
      </c>
      <c r="FD63" s="13">
        <f t="array" ref="FD63">INDEX(FC:FC,MIN(IF(ISNUMBER(FC63:FC259),ROW(FC63:FC259),"")))</f>
        <v>10.092929864253392</v>
      </c>
      <c r="FE63" s="13">
        <f>IF('Données projet'!$A$218&gt;35,FE62+FD63-FM62,IF(A63&lt;'Données projet'!$A$218,$FB$205^A63,IF(A63='Données projet'!$A$218,'Données projet'!$B$218,FE62+FD63-FM62)))</f>
        <v>353.49999999999977</v>
      </c>
      <c r="FF63" s="18">
        <f>FE63*VLOOKUP('Données projet'!$B$16,Paramètres!$A$1:$I$89,3,0)*VLOOKUP('Données projet'!$B$16,Paramètres!$A$1:$I$89,5,0)</f>
        <v>211.39299999999989</v>
      </c>
      <c r="FG63" s="14">
        <f t="shared" si="47"/>
        <v>52.239874015944039</v>
      </c>
      <c r="FH63" s="22">
        <f t="shared" si="22"/>
        <v>459.16058891110237</v>
      </c>
      <c r="FI63" s="62">
        <f t="shared" si="23"/>
        <v>752.49392224443568</v>
      </c>
      <c r="FJ63" s="62">
        <f ca="1">AVERAGE(OFFSET($FI$3,0,0,'Données projet'!$E$16+1,1))-AVERAGE(OFFSET($H$3,0,0,'Données projet'!$E$16+1,1))</f>
        <v>257.56116197646924</v>
      </c>
      <c r="FK63" s="62">
        <f t="shared" si="48"/>
        <v>269.95556918835888</v>
      </c>
      <c r="FL63" s="16">
        <f>IF(ISNA(VLOOKUP(A63,'Données projet'!$A$217:$I$237,3,0)),0,VLOOKUP(A63,'Données projet'!$A$217:$I$237,3,0))</f>
        <v>7</v>
      </c>
      <c r="FM63" s="16">
        <f>IF(ISNA(VLOOKUP(A63,'Données projet'!$A$217:$I$237,4,0)),0,VLOOKUP(A63,'Données projet'!$A$217:$I$237,4,0))</f>
        <v>353.5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>
        <f>EXP(-LN(2)/35)*FQ62+(1-EXP(-LN(2)/35))/(LN(2)/35)*FM63*FN63*VLOOKUP('Données projet'!$B$16,Paramètres!$A$1:$I$89,3,0)*0.475*44/12</f>
        <v>8.0496085530962951</v>
      </c>
      <c r="FR63" s="23">
        <f>EXP(-LN(2)/25)*FR62+(1-EXP(-LN(2)/25))/(LN(2)/25)*Calculateur!FM63*Calculateur!FO63*VLOOKUP('Données projet'!$B$16,Paramètres!$A$1:$I$89,3,0)*0.475*44/12</f>
        <v>7.0266806666588293</v>
      </c>
      <c r="FS63" s="23">
        <f>EXP(-LN(2)/2)*FS62+(1-EXP(-LN(2)/2))/(LN(2)/2)*FM63*FP63*VLOOKUP('Données projet'!$B$16,Paramètres!$A$1:$I$89,3,0)*0.475*44/12</f>
        <v>2.6104990911788889E-4</v>
      </c>
      <c r="FT63" s="24">
        <f t="shared" si="24"/>
        <v>15.076550269664244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>
        <f>VLOOKUP(A63,'Données projet'!$A$243:$I$263,2,0)</f>
        <v>342.42307692307691</v>
      </c>
      <c r="FX63" s="13">
        <f>VLOOKUP(A63,'Données projet'!$A$243:$I$263,9,0)</f>
        <v>10.66307692307692</v>
      </c>
      <c r="FY63" s="13">
        <f t="array" ref="FY63">INDEX(FX:FX,MIN(IF(ISNUMBER(FX63:FX259),ROW(FX63:FX259),"")))</f>
        <v>10.66307692307692</v>
      </c>
      <c r="FZ63" s="13">
        <f>IF('Données projet'!$A$244&gt;35,FZ62+FY63-GH62,IF(A63&lt;'Données projet'!$A$244,$FW$205^A63,IF(A63='Données projet'!$A$244,'Données projet'!$B$244,FZ62+FY63-GH62)))</f>
        <v>342.42307692307685</v>
      </c>
      <c r="GA63" s="18">
        <f>FZ63*VLOOKUP('Données projet'!$B$17,Paramètres!$A$1:$I$89,3,0)*VLOOKUP('Données projet'!$B$17,Paramètres!$A$1:$I$89,5,0)</f>
        <v>204.76899999999998</v>
      </c>
      <c r="GB63" s="14">
        <f t="shared" si="49"/>
        <v>50.790807822253974</v>
      </c>
      <c r="GC63" s="22">
        <f t="shared" si="25"/>
        <v>445.09999862375895</v>
      </c>
      <c r="GD63" s="62">
        <f t="shared" si="26"/>
        <v>738.43333195709226</v>
      </c>
      <c r="GE63" s="62">
        <f ca="1">AVERAGE(OFFSET($GD$3,0,0,'Données projet'!$E$17+1,1))-AVERAGE(OFFSET($H$3,0,0,'Données projet'!$E$17+1,1))</f>
        <v>289.12367833861299</v>
      </c>
      <c r="GF63" s="62">
        <f t="shared" si="50"/>
        <v>229.06617320689003</v>
      </c>
      <c r="GG63" s="16">
        <f>IF(ISNA(VLOOKUP(A63,'Données projet'!$A$243:$I$263,3,0)),0,VLOOKUP(A63,'Données projet'!$A$243:$I$263,3,0))</f>
        <v>6</v>
      </c>
      <c r="GH63" s="16">
        <f>IF(ISNA(VLOOKUP(A63,'Données projet'!$A$243:$I$263,4,0)),0,VLOOKUP(A63,'Données projet'!$A$243:$I$263,4,0))</f>
        <v>54.261538461538464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>
        <f>EXP(-LN(2)/35)*GL62+(1-EXP(-LN(2)/35))/(LN(2)/35)*GH63*GI63*VLOOKUP('Données projet'!$B$17,Paramètres!$A$1:$I$89,3,0)*0.475*44/12</f>
        <v>0</v>
      </c>
      <c r="GM63" s="23">
        <f>EXP(-LN(2)/25)*GM62+(1-EXP(-LN(2)/25))/(LN(2)/25)*Calculateur!GH63*Calculateur!GJ63*VLOOKUP('Données projet'!$B$17,Paramètres!$A$1:$I$89,3,0)*0.475*44/12</f>
        <v>0</v>
      </c>
      <c r="GN63" s="23">
        <f>EXP(-LN(2)/2)*GN62+(1-EXP(-LN(2)/2))/(LN(2)/2)*GH63*GK63*VLOOKUP('Données projet'!$B$17,Paramètres!$A$1:$I$89,3,0)*0.475*44/12</f>
        <v>1.2655136346513213E-4</v>
      </c>
      <c r="GO63" s="23">
        <f t="shared" si="27"/>
        <v>1.2655136346513213E-4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11.076923076923084</v>
      </c>
      <c r="GU63" s="13">
        <f>IF('Données projet'!$A$270&gt;35,GU62+GT63-HC62,IF(A63&lt;'Données projet'!$A$270,$GR$205^A63,IF(A63='Données projet'!$A$270,'Données projet'!$B$270,GU62+GT63-HC62)))</f>
        <v>318.0384615384616</v>
      </c>
      <c r="GV63" s="18">
        <f>GU63*VLOOKUP('Données projet'!$B$18,Paramètres!$A$1:$I$89,3,0)*VLOOKUP('Données projet'!$B$18,Paramètres!$A$1:$I$89,5,0)</f>
        <v>148.84200000000004</v>
      </c>
      <c r="GW63" s="14">
        <f t="shared" si="51"/>
        <v>38.315307385764029</v>
      </c>
      <c r="GX63" s="22">
        <f t="shared" si="28"/>
        <v>325.96564369687235</v>
      </c>
      <c r="GY63" s="62">
        <f t="shared" si="29"/>
        <v>619.29897703020561</v>
      </c>
      <c r="GZ63" s="62">
        <f ca="1">AVERAGE(OFFSET($GY$3,0,0,'Données projet'!$E$18+1,1))-AVERAGE(OFFSET($H$3,0,0,'Données projet'!$E$18+1,1))</f>
        <v>284.88646502866419</v>
      </c>
      <c r="HA63" s="62">
        <f t="shared" si="52"/>
        <v>190.4880882944471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>
        <f>EXP(-LN(2)/35)*HG62+(1-EXP(-LN(2)/35))/(LN(2)/35)*HC63*HD63*VLOOKUP('Données projet'!$B$18,Paramètres!$A$1:$I$89,3,0)*0.475*44/12</f>
        <v>0</v>
      </c>
      <c r="HH63" s="23">
        <f>EXP(-LN(2)/25)*HH62+(1-EXP(-LN(2)/25))/(LN(2)/25)*Calculateur!HC63*Calculateur!HE63*VLOOKUP('Données projet'!$B$18,Paramètres!$A$1:$I$89,3,0)*0.475*44/12</f>
        <v>0</v>
      </c>
      <c r="HI63" s="23">
        <f>EXP(-LN(2)/2)*HI62+(1-EXP(-LN(2)/2))/(LN(2)/2)*HC63*HF63*VLOOKUP('Données projet'!$B$18,Paramètres!$A$1:$I$89,3,0)*0.475*44/12</f>
        <v>0</v>
      </c>
      <c r="HJ63" s="24">
        <f t="shared" si="30"/>
        <v>0</v>
      </c>
    </row>
    <row r="64" spans="1:218" s="5" customFormat="1" x14ac:dyDescent="0.25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2">
        <f t="shared" si="32"/>
        <v>0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0</v>
      </c>
      <c r="H64" s="70">
        <f t="shared" si="1"/>
        <v>256.66666666666669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4.6153846153846132</v>
      </c>
      <c r="N64" s="14">
        <f>IF('Données projet'!$A$36&gt;35,N63+M64-V63,IF(A64&lt;'Données projet'!$A$36,$K$205^A64,IF(A64='Données projet'!$A$36,'Données projet'!$B$36,N63+M64-V63)))</f>
        <v>175.12820512820505</v>
      </c>
      <c r="O64" s="14">
        <f>N64*VLOOKUP('Données projet'!$B$9,Paramètres!$A$1:$I$89,3,0)*VLOOKUP('Données projet'!$B$9,Paramètres!$A$1:$I$89,5,0)</f>
        <v>166.65199999999993</v>
      </c>
      <c r="P64" s="14">
        <f t="shared" si="33"/>
        <v>42.339317127801309</v>
      </c>
      <c r="Q64" s="22">
        <f t="shared" si="53"/>
        <v>363.99321066425381</v>
      </c>
      <c r="R64" s="62">
        <f t="shared" si="0"/>
        <v>657.32654399758712</v>
      </c>
      <c r="S64" s="62">
        <f ca="1">AVERAGE(OFFSET($R$3,0,0,'Données projet'!$E$9+1,1))-AVERAGE(OFFSET($H$3,0,0,'Données projet'!$E$9+1,1))</f>
        <v>367.11183928586667</v>
      </c>
      <c r="T64" s="62">
        <f t="shared" si="34"/>
        <v>281.52963027844595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0</v>
      </c>
      <c r="AA64" s="23">
        <f>EXP(-LN(2)/25)*AA63+(1-EXP(-LN(2)/25))/(LN(2)/25)*Calculateur!V64*Calculateur!X64*VLOOKUP('Données projet'!$B$9,Paramètres!$A$1:$I$89,3,0)*0.475*44/12</f>
        <v>0</v>
      </c>
      <c r="AB64" s="23">
        <f>EXP(-LN(2)/2)*AB63+(1-EXP(-LN(2)/2))/(LN(2)/2)*V64*Y64*VLOOKUP('Données projet'!$B$9,Paramètres!$A$1:$I$89,3,0)*0.475*44/12</f>
        <v>0</v>
      </c>
      <c r="AC64" s="24">
        <f t="shared" si="3"/>
        <v>0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7.2</v>
      </c>
      <c r="AI64" s="14">
        <f>IF('Données projet'!$A$62&gt;35,AI63+AH64-AQ63,IF(A64&lt;'Données projet'!$A$62,$AF$205^A64,IF(A64='Données projet'!$A$62,'Données projet'!$B$62,AI63+AH64-AQ63)))</f>
        <v>200.19999999999996</v>
      </c>
      <c r="AJ64" s="14">
        <f>AI64*VLOOKUP('Données projet'!$B$10,Paramètres!$A$1:$I$89,3,0)*VLOOKUP('Données projet'!$B$10,Paramètres!$A$1:$I$89,5,0)</f>
        <v>181.14095999999995</v>
      </c>
      <c r="AK64" s="14">
        <f t="shared" si="35"/>
        <v>45.575935320610945</v>
      </c>
      <c r="AL64" s="22">
        <f t="shared" si="4"/>
        <v>394.86525935006392</v>
      </c>
      <c r="AM64" s="62">
        <f t="shared" si="5"/>
        <v>688.19859268339724</v>
      </c>
      <c r="AN64" s="62">
        <f ca="1">AVERAGE(OFFSET($AM$3,0,0,'Données projet'!$E$10+1,1))-AVERAGE(OFFSET($H$3,0,0,'Données projet'!$E$10+1,1))</f>
        <v>428.8489304403459</v>
      </c>
      <c r="AO64" s="62">
        <f t="shared" si="36"/>
        <v>247.01165577562966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0</v>
      </c>
      <c r="AV64" s="23">
        <f>EXP(-LN(2)/25)*AV63+(1-EXP(-LN(2)/25))/(LN(2)/25)*Calculateur!AQ64*Calculateur!AS64*VLOOKUP('Données projet'!$B$10,Paramètres!$A$1:$I$89,3,0)*0.475*44/12</f>
        <v>0</v>
      </c>
      <c r="AW64" s="23">
        <f>EXP(-LN(2)/2)*AW63+(1-EXP(-LN(2)/2))/(LN(2)/2)*AQ64*AT64*VLOOKUP('Données projet'!$B$10,Paramètres!$A$1:$I$89,3,0)*0.475*44/12</f>
        <v>0</v>
      </c>
      <c r="AX64" s="23">
        <f t="shared" si="6"/>
        <v>0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7.2</v>
      </c>
      <c r="BD64" s="13">
        <f>IF('Données projet'!$A$88&gt;35,BD63+BC64-BL63,IF(A64&lt;'Données projet'!$A$88,$BA$205^A64,IF(A64='Données projet'!$A$88,'Données projet'!$B$88,BD63+BC64-BL63)))</f>
        <v>200.19999999999996</v>
      </c>
      <c r="BE64" s="14">
        <f>BD64*VLOOKUP('Données projet'!$B$11,Paramètres!$A$1:$I$89,3,0)*VLOOKUP('Données projet'!$B$11,Paramètres!$A$1:$I$89,5,0)</f>
        <v>203.00279999999995</v>
      </c>
      <c r="BF64" s="14">
        <f t="shared" si="37"/>
        <v>50.403518824343074</v>
      </c>
      <c r="BG64" s="22">
        <f t="shared" si="7"/>
        <v>441.3493386190641</v>
      </c>
      <c r="BH64" s="62">
        <f t="shared" si="8"/>
        <v>734.68267195239741</v>
      </c>
      <c r="BI64" s="62">
        <f ca="1">AVERAGE(OFFSET($BH$3,0,0,'Données projet'!$E$11+1,1))-AVERAGE(OFFSET($H$3,0,0,'Données projet'!$E$11+1,1))</f>
        <v>475.47920969424894</v>
      </c>
      <c r="BJ64" s="62">
        <f t="shared" si="38"/>
        <v>271.73544012419364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>
        <f>EXP(-LN(2)/35)*BP63+(1-EXP(-LN(2)/35))/(LN(2)/35)*BL64*BM64*VLOOKUP('Données projet'!$B$11,Paramètres!$A$1:$I$89,3,0)*0.475*44/12</f>
        <v>0</v>
      </c>
      <c r="BQ64" s="23">
        <f>EXP(-LN(2)/25)*BQ63+(1-EXP(-LN(2)/25))/(LN(2)/25)*Calculateur!BL64*Calculateur!BN64*VLOOKUP('Données projet'!$B$11,Paramètres!$A$1:$I$89,3,0)*0.475*44/12</f>
        <v>0</v>
      </c>
      <c r="BR64" s="23">
        <f>EXP(-LN(2)/2)*BR63+(1-EXP(-LN(2)/2))/(LN(2)/2)*BL64*BO64*VLOOKUP('Données projet'!$B$11,Paramètres!$A$1:$I$89,3,0)*0.475*44/12</f>
        <v>0</v>
      </c>
      <c r="BS64" s="24">
        <f t="shared" si="9"/>
        <v>0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14.839560439560435</v>
      </c>
      <c r="BY64" s="13">
        <f>IF('Données projet'!$A$114&gt;35,BY63+BX64-CG63,IF(A64&lt;'Données projet'!$A$114,$BV$205^A64,IF(A64='Données projet'!$A$114,'Données projet'!$B$114,BY63+BX64-CG63)))</f>
        <v>426.03626373626378</v>
      </c>
      <c r="BZ64" s="14">
        <f>BY64*VLOOKUP('Données projet'!$B$12,Paramètres!$A$1:$I$89,3,0)*VLOOKUP('Données projet'!$B$12,Paramètres!$A$1:$I$89,5,0)</f>
        <v>238.15427142857146</v>
      </c>
      <c r="CA64" s="14">
        <f t="shared" si="39"/>
        <v>58.042234732541061</v>
      </c>
      <c r="CB64" s="22">
        <f t="shared" si="10"/>
        <v>515.87558156393777</v>
      </c>
      <c r="CC64" s="62">
        <f t="shared" si="11"/>
        <v>809.20891489727114</v>
      </c>
      <c r="CD64" s="62">
        <f ca="1">AVERAGE(OFFSET($CC$3,0,0,'Données projet'!$E$12+1,1))-AVERAGE(OFFSET($H$3,0,0,'Données projet'!$E$12+1,1))</f>
        <v>323.98185264074681</v>
      </c>
      <c r="CE64" s="62">
        <f t="shared" si="40"/>
        <v>301.22207291854005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>
        <f>EXP(-LN(2)/35)*CK63+(1-EXP(-LN(2)/35))/(LN(2)/35)*CG64*CH64*VLOOKUP('Données projet'!$B$12,Paramètres!$A$1:$I$89,3,0)*0.475*44/12</f>
        <v>2.4150951338631703</v>
      </c>
      <c r="CL64" s="23">
        <f>EXP(-LN(2)/25)*CL63+(1-EXP(-LN(2)/25))/(LN(2)/25)*Calculateur!CG64*Calculateur!CI64*VLOOKUP('Données projet'!$B$12,Paramètres!$A$1:$I$89,3,0)*0.475*44/12</f>
        <v>3.4916811553675591</v>
      </c>
      <c r="CM64" s="23">
        <f>EXP(-LN(2)/2)*CM63+(1-EXP(-LN(2)/2))/(LN(2)/2)*CG64*CJ64*VLOOKUP('Données projet'!$B$12,Paramètres!$A$1:$I$89,3,0)*0.475*44/12</f>
        <v>1.3136992612500161E-4</v>
      </c>
      <c r="CN64" s="24">
        <f t="shared" si="12"/>
        <v>5.9069076591568539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5.4</v>
      </c>
      <c r="CT64" s="13">
        <f>IF('Données projet'!$A$140&gt;35,CT63+CS64-DB63,IF(A64&lt;'Données projet'!$A$140,$CQ$205^A64,IF(A64='Données projet'!$A$140,'Données projet'!$B$140,CT63+CS64-DB63)))</f>
        <v>139.39999999999998</v>
      </c>
      <c r="CU64" s="18">
        <f>CT64*VLOOKUP('Données projet'!$B$13,Paramètres!$A$1:$I$89,3,0)*VLOOKUP('Données projet'!$B$13,Paramètres!$A$1:$I$89,5,0)</f>
        <v>158.74871999999999</v>
      </c>
      <c r="CV64" s="14">
        <f t="shared" si="41"/>
        <v>40.560156876833695</v>
      </c>
      <c r="CW64" s="22">
        <f t="shared" si="13"/>
        <v>347.12962722715201</v>
      </c>
      <c r="CX64" s="62">
        <f t="shared" si="14"/>
        <v>640.46296056048527</v>
      </c>
      <c r="CY64" s="62">
        <f ca="1">AVERAGE(OFFSET($CX$3,0,0,'Données projet'!$E$13+1,1))-AVERAGE(OFFSET($H$3,0,0,'Données projet'!$E$13+1,1))</f>
        <v>399.78832690250164</v>
      </c>
      <c r="CZ64" s="62">
        <f t="shared" si="42"/>
        <v>174.32967064896343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>
        <f>EXP(-LN(2)/35)*DF63+(1-EXP(-LN(2)/35))/(LN(2)/35)*DB64*DC64*VLOOKUP('Données projet'!$B$13,Paramètres!$A$1:$I$89,3,0)*0.475*44/12</f>
        <v>0</v>
      </c>
      <c r="DG64" s="23">
        <f>EXP(-LN(2)/25)*DG63+(1-EXP(-LN(2)/25))/(LN(2)/25)*Calculateur!DB64*Calculateur!DD64*VLOOKUP('Données projet'!$B$13,Paramètres!$A$1:$I$89,3,0)*0.475*44/12</f>
        <v>0</v>
      </c>
      <c r="DH64" s="23">
        <f>EXP(-LN(2)/2)*DH63+(1-EXP(-LN(2)/2))/(LN(2)/2)*DB64*DE64*VLOOKUP('Données projet'!$B$13,Paramètres!$A$1:$I$89,3,0)*0.475*44/12</f>
        <v>0</v>
      </c>
      <c r="DI64" s="24">
        <f t="shared" si="15"/>
        <v>0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7.2</v>
      </c>
      <c r="DO64" s="13">
        <f>IF('Données projet'!$A$166&gt;35,DO63+DN64-DW63,IF(A64&lt;'Données projet'!$A$166,$DL$205^A64,IF(A64='Données projet'!$A$166,'Données projet'!$B$166,DO63+DN64-DW63)))</f>
        <v>200.19999999999996</v>
      </c>
      <c r="DP64" s="18">
        <f>DO64*VLOOKUP('Données projet'!$B$14,Paramètres!$A$1:$I$89,3,0)*VLOOKUP('Données projet'!$B$14,Paramètres!$A$1:$I$89,5,0)</f>
        <v>168.64847999999998</v>
      </c>
      <c r="DQ64" s="14">
        <f t="shared" si="43"/>
        <v>42.78718759212785</v>
      </c>
      <c r="DR64" s="22">
        <f t="shared" si="16"/>
        <v>368.25045438962269</v>
      </c>
      <c r="DS64" s="62">
        <f t="shared" si="17"/>
        <v>661.583787722956</v>
      </c>
      <c r="DT64" s="62">
        <f ca="1">AVERAGE(OFFSET($DS$3,0,0,'Données projet'!$E$14+1,1))-AVERAGE(OFFSET($H$3,0,0,'Données projet'!$E$14+1,1))</f>
        <v>402.15128814037058</v>
      </c>
      <c r="DU64" s="62">
        <f t="shared" si="44"/>
        <v>232.85411068442738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>
        <f>EXP(-LN(2)/35)*EA63+(1-EXP(-LN(2)/35))/(LN(2)/35)*DW64*DX64*VLOOKUP('Données projet'!$B$14,Paramètres!$A$1:$I$89,3,0)*0.475*44/12</f>
        <v>0</v>
      </c>
      <c r="EB64" s="23">
        <f>EXP(-LN(2)/25)*EB63+(1-EXP(-LN(2)/25))/(LN(2)/25)*Calculateur!DW64*Calculateur!DY64*VLOOKUP('Données projet'!$B$14,Paramètres!$A$1:$I$89,3,0)*0.475*44/12</f>
        <v>0</v>
      </c>
      <c r="EC64" s="23">
        <f>EXP(-LN(2)/2)*EC63+(1-EXP(-LN(2)/2))/(LN(2)/2)*DW64*DZ64*VLOOKUP('Données projet'!$B$14,Paramètres!$A$1:$I$89,3,0)*0.475*44/12</f>
        <v>0</v>
      </c>
      <c r="ED64" s="24">
        <f t="shared" si="18"/>
        <v>0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6.0256410256410273</v>
      </c>
      <c r="EJ64" s="13">
        <f>IF('Données projet'!$A$192&gt;35,EJ63+EI64-ER63,IF(A64&lt;'Données projet'!$A$192,$EG$205^A64,IF(A64='Données projet'!$A$192,'Données projet'!$B$192,EJ63+EI64-ER63)))</f>
        <v>267.56410256410271</v>
      </c>
      <c r="EK64" s="18">
        <f>EJ64*VLOOKUP('Données projet'!$B$15,Paramètres!$A$1:$I$89,3,0)*VLOOKUP('Données projet'!$B$15,Paramètres!$A$1:$I$89,5,0)</f>
        <v>279.65800000000019</v>
      </c>
      <c r="EL64" s="14">
        <f t="shared" si="45"/>
        <v>66.894729309652021</v>
      </c>
      <c r="EM64" s="22">
        <f t="shared" si="19"/>
        <v>603.57933688097762</v>
      </c>
      <c r="EN64" s="62">
        <f t="shared" si="20"/>
        <v>896.91267021431099</v>
      </c>
      <c r="EO64" s="62">
        <f ca="1">AVERAGE(OFFSET($EN$3,0,0,'Données projet'!$E$15+1,1))-AVERAGE(OFFSET($H$3,0,0,'Données projet'!$E$15+1,1))</f>
        <v>595.89992279024398</v>
      </c>
      <c r="EP64" s="62">
        <f t="shared" si="46"/>
        <v>378.16197659288338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>
        <f>EXP(-LN(2)/35)*EV63+(1-EXP(-LN(2)/35))/(LN(2)/35)*ER64*ES64*VLOOKUP('Données projet'!$B$15,Paramètres!$A$1:$I$89,3,0)*0.475*44/12</f>
        <v>0</v>
      </c>
      <c r="EW64" s="23">
        <f>EXP(-LN(2)/25)*EW63+(1-EXP(-LN(2)/25))/(LN(2)/25)*Calculateur!ER64*Calculateur!ET64*VLOOKUP('Données projet'!$B$15,Paramètres!$A$1:$I$89,3,0)*0.475*44/12</f>
        <v>0</v>
      </c>
      <c r="EX64" s="23">
        <f>EXP(-LN(2)/2)*EX63+(1-EXP(-LN(2)/2))/(LN(2)/2)*ER64*EU64*VLOOKUP('Données projet'!$B$15,Paramètres!$A$1:$I$89,3,0)*0.475*44/12</f>
        <v>0</v>
      </c>
      <c r="EY64" s="24">
        <f t="shared" si="21"/>
        <v>0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-2.2737367544323206E-13</v>
      </c>
      <c r="FF64" s="18">
        <f>FE64*VLOOKUP('Données projet'!$B$16,Paramètres!$A$1:$I$89,3,0)*VLOOKUP('Données projet'!$B$16,Paramètres!$A$1:$I$89,5,0)</f>
        <v>-1.3596945791505279E-13</v>
      </c>
      <c r="FG64" s="14" t="e">
        <f t="shared" si="47"/>
        <v>#NUM!</v>
      </c>
      <c r="FH64" s="22" t="e">
        <f t="shared" si="22"/>
        <v>#NUM!</v>
      </c>
      <c r="FI64" s="62" t="e">
        <f t="shared" si="23"/>
        <v>#NUM!</v>
      </c>
      <c r="FJ64" s="62">
        <f ca="1">AVERAGE(OFFSET($FI$3,0,0,'Données projet'!$E$16+1,1))-AVERAGE(OFFSET($H$3,0,0,'Données projet'!$E$16+1,1))</f>
        <v>257.56116197646924</v>
      </c>
      <c r="FK64" s="62">
        <f t="shared" si="48"/>
        <v>269.95556918835888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>
        <f>EXP(-LN(2)/35)*FQ63+(1-EXP(-LN(2)/35))/(LN(2)/35)*FM64*FN64*VLOOKUP('Données projet'!$B$16,Paramètres!$A$1:$I$89,3,0)*0.475*44/12</f>
        <v>7.8917606391464936</v>
      </c>
      <c r="FR64" s="23">
        <f>EXP(-LN(2)/25)*FR63+(1-EXP(-LN(2)/25))/(LN(2)/25)*Calculateur!FM64*Calculateur!FO64*VLOOKUP('Données projet'!$B$16,Paramètres!$A$1:$I$89,3,0)*0.475*44/12</f>
        <v>6.8345357143119667</v>
      </c>
      <c r="FS64" s="23">
        <f>EXP(-LN(2)/2)*FS63+(1-EXP(-LN(2)/2))/(LN(2)/2)*FM64*FP64*VLOOKUP('Données projet'!$B$16,Paramètres!$A$1:$I$89,3,0)*0.475*44/12</f>
        <v>1.8459016096539118E-4</v>
      </c>
      <c r="FT64" s="24">
        <f t="shared" si="24"/>
        <v>14.726480943619425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9.1830769230769249</v>
      </c>
      <c r="FZ64" s="13">
        <f>IF('Données projet'!$A$244&gt;35,FZ63+FY64-GH63,IF(A64&lt;'Données projet'!$A$244,$FW$205^A64,IF(A64='Données projet'!$A$244,'Données projet'!$B$244,FZ63+FY64-GH63)))</f>
        <v>297.34461538461534</v>
      </c>
      <c r="GA64" s="18">
        <f>FZ64*VLOOKUP('Données projet'!$B$17,Paramètres!$A$1:$I$89,3,0)*VLOOKUP('Données projet'!$B$17,Paramètres!$A$1:$I$89,5,0)</f>
        <v>177.81207999999998</v>
      </c>
      <c r="GB64" s="14">
        <f t="shared" si="49"/>
        <v>44.835068353066951</v>
      </c>
      <c r="GC64" s="22">
        <f t="shared" si="25"/>
        <v>387.77711671492489</v>
      </c>
      <c r="GD64" s="62">
        <f t="shared" si="26"/>
        <v>681.11045004825814</v>
      </c>
      <c r="GE64" s="62">
        <f ca="1">AVERAGE(OFFSET($GD$3,0,0,'Données projet'!$E$17+1,1))-AVERAGE(OFFSET($H$3,0,0,'Données projet'!$E$17+1,1))</f>
        <v>289.12367833861299</v>
      </c>
      <c r="GF64" s="62">
        <f t="shared" si="50"/>
        <v>229.06617320689003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>
        <f>EXP(-LN(2)/35)*GL63+(1-EXP(-LN(2)/35))/(LN(2)/35)*GH64*GI64*VLOOKUP('Données projet'!$B$17,Paramètres!$A$1:$I$89,3,0)*0.475*44/12</f>
        <v>0</v>
      </c>
      <c r="GM64" s="23">
        <f>EXP(-LN(2)/25)*GM63+(1-EXP(-LN(2)/25))/(LN(2)/25)*Calculateur!GH64*Calculateur!GJ64*VLOOKUP('Données projet'!$B$17,Paramètres!$A$1:$I$89,3,0)*0.475*44/12</f>
        <v>0</v>
      </c>
      <c r="GN64" s="23">
        <f>EXP(-LN(2)/2)*GN63+(1-EXP(-LN(2)/2))/(LN(2)/2)*GH64*GK64*VLOOKUP('Données projet'!$B$17,Paramètres!$A$1:$I$89,3,0)*0.475*44/12</f>
        <v>8.9485327274598428E-5</v>
      </c>
      <c r="GO64" s="23">
        <f t="shared" si="27"/>
        <v>8.9485327274598428E-5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>
        <f>VLOOKUP(A64,'Données projet'!$A$269:$I$289,2,0)</f>
        <v>329.11538461538464</v>
      </c>
      <c r="GS64" s="13">
        <f>VLOOKUP(A64,'Données projet'!$A$269:$I$289,9,0)</f>
        <v>11.076923076923084</v>
      </c>
      <c r="GT64" s="13">
        <f t="array" ref="GT64">INDEX(GS:GS,MIN(IF(ISNUMBER(GS64:GS260),ROW(GS64:GS260),"")))</f>
        <v>11.076923076923084</v>
      </c>
      <c r="GU64" s="13">
        <f>IF('Données projet'!$A$270&gt;35,GU63+GT64-HC63,IF(A64&lt;'Données projet'!$A$270,$GR$205^A64,IF(A64='Données projet'!$A$270,'Données projet'!$B$270,GU63+GT64-HC63)))</f>
        <v>329.1153846153847</v>
      </c>
      <c r="GV64" s="18">
        <f>GU64*VLOOKUP('Données projet'!$B$18,Paramètres!$A$1:$I$89,3,0)*VLOOKUP('Données projet'!$B$18,Paramètres!$A$1:$I$89,5,0)</f>
        <v>154.02600000000004</v>
      </c>
      <c r="GW64" s="14">
        <f t="shared" si="51"/>
        <v>39.492093452898274</v>
      </c>
      <c r="GX64" s="22">
        <f t="shared" si="28"/>
        <v>337.04401276379787</v>
      </c>
      <c r="GY64" s="62">
        <f t="shared" si="29"/>
        <v>630.37734609713118</v>
      </c>
      <c r="GZ64" s="62">
        <f ca="1">AVERAGE(OFFSET($GY$3,0,0,'Données projet'!$E$18+1,1))-AVERAGE(OFFSET($H$3,0,0,'Données projet'!$E$18+1,1))</f>
        <v>284.88646502866419</v>
      </c>
      <c r="HA64" s="62">
        <f t="shared" si="52"/>
        <v>190.4880882944471</v>
      </c>
      <c r="HB64" s="16">
        <f>IF(ISNA(VLOOKUP(A64,'Données projet'!$A$269:$I$289,3,0)),0,VLOOKUP(A64,'Données projet'!$A$269:$I$289,3,0))</f>
        <v>2</v>
      </c>
      <c r="HC64" s="16">
        <f>IF(ISNA(VLOOKUP(A64,'Données projet'!$A$269:$I$289,4,0)),0,VLOOKUP(A64,'Données projet'!$A$269:$I$289,4,0))</f>
        <v>94.76153846153845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>
        <f>EXP(-LN(2)/35)*HG63+(1-EXP(-LN(2)/35))/(LN(2)/35)*HC64*HD64*VLOOKUP('Données projet'!$B$18,Paramètres!$A$1:$I$89,3,0)*0.475*44/12</f>
        <v>0</v>
      </c>
      <c r="HH64" s="23">
        <f>EXP(-LN(2)/25)*HH63+(1-EXP(-LN(2)/25))/(LN(2)/25)*Calculateur!HC64*Calculateur!HE64*VLOOKUP('Données projet'!$B$18,Paramètres!$A$1:$I$89,3,0)*0.475*44/12</f>
        <v>0</v>
      </c>
      <c r="HI64" s="23">
        <f>EXP(-LN(2)/2)*HI63+(1-EXP(-LN(2)/2))/(LN(2)/2)*HC64*HF64*VLOOKUP('Données projet'!$B$18,Paramètres!$A$1:$I$89,3,0)*0.475*44/12</f>
        <v>0</v>
      </c>
      <c r="HJ64" s="24">
        <f t="shared" si="30"/>
        <v>0</v>
      </c>
    </row>
    <row r="65" spans="1:218" s="5" customFormat="1" x14ac:dyDescent="0.25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2">
        <f t="shared" si="32"/>
        <v>0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0</v>
      </c>
      <c r="H65" s="70">
        <f t="shared" si="1"/>
        <v>256.66666666666669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4.6153846153846132</v>
      </c>
      <c r="N65" s="14">
        <f>IF('Données projet'!$A$36&gt;35,N64+M65-V64,IF(A65&lt;'Données projet'!$A$36,$K$205^A65,IF(A65='Données projet'!$A$36,'Données projet'!$B$36,N64+M65-V64)))</f>
        <v>179.74358974358967</v>
      </c>
      <c r="O65" s="14">
        <f>N65*VLOOKUP('Données projet'!$B$9,Paramètres!$A$1:$I$89,3,0)*VLOOKUP('Données projet'!$B$9,Paramètres!$A$1:$I$89,5,0)</f>
        <v>171.04399999999993</v>
      </c>
      <c r="P65" s="14">
        <f t="shared" si="33"/>
        <v>43.32376147477413</v>
      </c>
      <c r="Q65" s="22">
        <f t="shared" si="53"/>
        <v>373.35718456856483</v>
      </c>
      <c r="R65" s="62">
        <f t="shared" si="0"/>
        <v>666.69051790189815</v>
      </c>
      <c r="S65" s="62">
        <f ca="1">AVERAGE(OFFSET($R$3,0,0,'Données projet'!$E$9+1,1))-AVERAGE(OFFSET($H$3,0,0,'Données projet'!$E$9+1,1))</f>
        <v>367.11183928586667</v>
      </c>
      <c r="T65" s="62">
        <f t="shared" si="34"/>
        <v>281.52963027844595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0</v>
      </c>
      <c r="AA65" s="23">
        <f>EXP(-LN(2)/25)*AA64+(1-EXP(-LN(2)/25))/(LN(2)/25)*Calculateur!V65*Calculateur!X65*VLOOKUP('Données projet'!$B$9,Paramètres!$A$1:$I$89,3,0)*0.475*44/12</f>
        <v>0</v>
      </c>
      <c r="AB65" s="23">
        <f>EXP(-LN(2)/2)*AB64+(1-EXP(-LN(2)/2))/(LN(2)/2)*V65*Y65*VLOOKUP('Données projet'!$B$9,Paramètres!$A$1:$I$89,3,0)*0.475*44/12</f>
        <v>0</v>
      </c>
      <c r="AC65" s="24">
        <f t="shared" si="3"/>
        <v>0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7.2</v>
      </c>
      <c r="AI65" s="14">
        <f>IF('Données projet'!$A$62&gt;35,AI64+AH65-AQ64,IF(A65&lt;'Données projet'!$A$62,$AF$205^A65,IF(A65='Données projet'!$A$62,'Données projet'!$B$62,AI64+AH65-AQ64)))</f>
        <v>207.39999999999995</v>
      </c>
      <c r="AJ65" s="14">
        <f>AI65*VLOOKUP('Données projet'!$B$10,Paramètres!$A$1:$I$89,3,0)*VLOOKUP('Données projet'!$B$10,Paramètres!$A$1:$I$89,5,0)</f>
        <v>187.65551999999994</v>
      </c>
      <c r="AK65" s="14">
        <f t="shared" si="35"/>
        <v>47.021247649900147</v>
      </c>
      <c r="AL65" s="22">
        <f t="shared" si="4"/>
        <v>408.72870365690932</v>
      </c>
      <c r="AM65" s="62">
        <f t="shared" si="5"/>
        <v>702.06203699024263</v>
      </c>
      <c r="AN65" s="62">
        <f ca="1">AVERAGE(OFFSET($AM$3,0,0,'Données projet'!$E$10+1,1))-AVERAGE(OFFSET($H$3,0,0,'Données projet'!$E$10+1,1))</f>
        <v>428.8489304403459</v>
      </c>
      <c r="AO65" s="62">
        <f t="shared" si="36"/>
        <v>247.01165577562966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0</v>
      </c>
      <c r="AV65" s="23">
        <f>EXP(-LN(2)/25)*AV64+(1-EXP(-LN(2)/25))/(LN(2)/25)*Calculateur!AQ65*Calculateur!AS65*VLOOKUP('Données projet'!$B$10,Paramètres!$A$1:$I$89,3,0)*0.475*44/12</f>
        <v>0</v>
      </c>
      <c r="AW65" s="23">
        <f>EXP(-LN(2)/2)*AW64+(1-EXP(-LN(2)/2))/(LN(2)/2)*AQ65*AT65*VLOOKUP('Données projet'!$B$10,Paramètres!$A$1:$I$89,3,0)*0.475*44/12</f>
        <v>0</v>
      </c>
      <c r="AX65" s="23">
        <f t="shared" si="6"/>
        <v>0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7.2</v>
      </c>
      <c r="BD65" s="13">
        <f>IF('Données projet'!$A$88&gt;35,BD64+BC65-BL64,IF(A65&lt;'Données projet'!$A$88,$BA$205^A65,IF(A65='Données projet'!$A$88,'Données projet'!$B$88,BD64+BC65-BL64)))</f>
        <v>207.39999999999995</v>
      </c>
      <c r="BE65" s="14">
        <f>BD65*VLOOKUP('Données projet'!$B$11,Paramètres!$A$1:$I$89,3,0)*VLOOKUP('Données projet'!$B$11,Paramètres!$A$1:$I$89,5,0)</f>
        <v>210.30359999999996</v>
      </c>
      <c r="BF65" s="14">
        <f t="shared" si="37"/>
        <v>52.001924357524459</v>
      </c>
      <c r="BG65" s="22">
        <f t="shared" si="7"/>
        <v>456.84878825602163</v>
      </c>
      <c r="BH65" s="62">
        <f t="shared" si="8"/>
        <v>750.18212158935489</v>
      </c>
      <c r="BI65" s="62">
        <f ca="1">AVERAGE(OFFSET($BH$3,0,0,'Données projet'!$E$11+1,1))-AVERAGE(OFFSET($H$3,0,0,'Données projet'!$E$11+1,1))</f>
        <v>475.47920969424894</v>
      </c>
      <c r="BJ65" s="62">
        <f t="shared" si="38"/>
        <v>271.73544012419364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>
        <f>EXP(-LN(2)/35)*BP64+(1-EXP(-LN(2)/35))/(LN(2)/35)*BL65*BM65*VLOOKUP('Données projet'!$B$11,Paramètres!$A$1:$I$89,3,0)*0.475*44/12</f>
        <v>0</v>
      </c>
      <c r="BQ65" s="23">
        <f>EXP(-LN(2)/25)*BQ64+(1-EXP(-LN(2)/25))/(LN(2)/25)*Calculateur!BL65*Calculateur!BN65*VLOOKUP('Données projet'!$B$11,Paramètres!$A$1:$I$89,3,0)*0.475*44/12</f>
        <v>0</v>
      </c>
      <c r="BR65" s="23">
        <f>EXP(-LN(2)/2)*BR64+(1-EXP(-LN(2)/2))/(LN(2)/2)*BL65*BO65*VLOOKUP('Données projet'!$B$11,Paramètres!$A$1:$I$89,3,0)*0.475*44/12</f>
        <v>0</v>
      </c>
      <c r="BS65" s="24">
        <f t="shared" si="9"/>
        <v>0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14.839560439560435</v>
      </c>
      <c r="BY65" s="13">
        <f>IF('Données projet'!$A$114&gt;35,BY64+BX65-CG64,IF(A65&lt;'Données projet'!$A$114,$BV$205^A65,IF(A65='Données projet'!$A$114,'Données projet'!$B$114,BY64+BX65-CG64)))</f>
        <v>440.87582417582422</v>
      </c>
      <c r="BZ65" s="14">
        <f>BY65*VLOOKUP('Données projet'!$B$12,Paramètres!$A$1:$I$89,3,0)*VLOOKUP('Données projet'!$B$12,Paramètres!$A$1:$I$89,5,0)</f>
        <v>246.44958571428575</v>
      </c>
      <c r="CA65" s="14">
        <f t="shared" si="39"/>
        <v>59.825041333918982</v>
      </c>
      <c r="CB65" s="22">
        <f t="shared" si="10"/>
        <v>533.42830877562324</v>
      </c>
      <c r="CC65" s="62">
        <f t="shared" si="11"/>
        <v>826.76164210895649</v>
      </c>
      <c r="CD65" s="62">
        <f ca="1">AVERAGE(OFFSET($CC$3,0,0,'Données projet'!$E$12+1,1))-AVERAGE(OFFSET($H$3,0,0,'Données projet'!$E$12+1,1))</f>
        <v>323.98185264074681</v>
      </c>
      <c r="CE65" s="62">
        <f t="shared" si="40"/>
        <v>301.22207291854005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>
        <f>EXP(-LN(2)/35)*CK64+(1-EXP(-LN(2)/35))/(LN(2)/35)*CG65*CH65*VLOOKUP('Données projet'!$B$12,Paramètres!$A$1:$I$89,3,0)*0.475*44/12</f>
        <v>2.3677365913506923</v>
      </c>
      <c r="CL65" s="23">
        <f>EXP(-LN(2)/25)*CL64+(1-EXP(-LN(2)/25))/(LN(2)/25)*Calculateur!CG65*Calculateur!CI65*VLOOKUP('Données projet'!$B$12,Paramètres!$A$1:$I$89,3,0)*0.475*44/12</f>
        <v>3.3962009505545017</v>
      </c>
      <c r="CM65" s="23">
        <f>EXP(-LN(2)/2)*CM64+(1-EXP(-LN(2)/2))/(LN(2)/2)*CG65*CJ65*VLOOKUP('Données projet'!$B$12,Paramètres!$A$1:$I$89,3,0)*0.475*44/12</f>
        <v>9.2892565606964426E-5</v>
      </c>
      <c r="CN65" s="24">
        <f t="shared" si="12"/>
        <v>5.7640304344708007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5.4</v>
      </c>
      <c r="CT65" s="13">
        <f>IF('Données projet'!$A$140&gt;35,CT64+CS65-DB64,IF(A65&lt;'Données projet'!$A$140,$CQ$205^A65,IF(A65='Données projet'!$A$140,'Données projet'!$B$140,CT64+CS65-DB64)))</f>
        <v>144.79999999999998</v>
      </c>
      <c r="CU65" s="18">
        <f>CT65*VLOOKUP('Données projet'!$B$13,Paramètres!$A$1:$I$89,3,0)*VLOOKUP('Données projet'!$B$13,Paramètres!$A$1:$I$89,5,0)</f>
        <v>164.89823999999999</v>
      </c>
      <c r="CV65" s="14">
        <f t="shared" si="41"/>
        <v>41.945380699297679</v>
      </c>
      <c r="CW65" s="22">
        <f t="shared" si="13"/>
        <v>360.25263938461012</v>
      </c>
      <c r="CX65" s="62">
        <f t="shared" si="14"/>
        <v>653.58597271794338</v>
      </c>
      <c r="CY65" s="62">
        <f ca="1">AVERAGE(OFFSET($CX$3,0,0,'Données projet'!$E$13+1,1))-AVERAGE(OFFSET($H$3,0,0,'Données projet'!$E$13+1,1))</f>
        <v>399.78832690250164</v>
      </c>
      <c r="CZ65" s="62">
        <f t="shared" si="42"/>
        <v>174.32967064896343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>
        <f>EXP(-LN(2)/35)*DF64+(1-EXP(-LN(2)/35))/(LN(2)/35)*DB65*DC65*VLOOKUP('Données projet'!$B$13,Paramètres!$A$1:$I$89,3,0)*0.475*44/12</f>
        <v>0</v>
      </c>
      <c r="DG65" s="23">
        <f>EXP(-LN(2)/25)*DG64+(1-EXP(-LN(2)/25))/(LN(2)/25)*Calculateur!DB65*Calculateur!DD65*VLOOKUP('Données projet'!$B$13,Paramètres!$A$1:$I$89,3,0)*0.475*44/12</f>
        <v>0</v>
      </c>
      <c r="DH65" s="23">
        <f>EXP(-LN(2)/2)*DH64+(1-EXP(-LN(2)/2))/(LN(2)/2)*DB65*DE65*VLOOKUP('Données projet'!$B$13,Paramètres!$A$1:$I$89,3,0)*0.475*44/12</f>
        <v>0</v>
      </c>
      <c r="DI65" s="24">
        <f t="shared" si="15"/>
        <v>0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7.2</v>
      </c>
      <c r="DO65" s="13">
        <f>IF('Données projet'!$A$166&gt;35,DO64+DN65-DW64,IF(A65&lt;'Données projet'!$A$166,$DL$205^A65,IF(A65='Données projet'!$A$166,'Données projet'!$B$166,DO64+DN65-DW64)))</f>
        <v>207.39999999999995</v>
      </c>
      <c r="DP65" s="18">
        <f>DO65*VLOOKUP('Données projet'!$B$14,Paramètres!$A$1:$I$89,3,0)*VLOOKUP('Données projet'!$B$14,Paramètres!$A$1:$I$89,5,0)</f>
        <v>174.71375999999998</v>
      </c>
      <c r="DQ65" s="14">
        <f t="shared" si="43"/>
        <v>44.144062647515817</v>
      </c>
      <c r="DR65" s="22">
        <f t="shared" si="16"/>
        <v>381.17737444442332</v>
      </c>
      <c r="DS65" s="62">
        <f t="shared" si="17"/>
        <v>674.51070777775658</v>
      </c>
      <c r="DT65" s="62">
        <f ca="1">AVERAGE(OFFSET($DS$3,0,0,'Données projet'!$E$14+1,1))-AVERAGE(OFFSET($H$3,0,0,'Données projet'!$E$14+1,1))</f>
        <v>402.15128814037058</v>
      </c>
      <c r="DU65" s="62">
        <f t="shared" si="44"/>
        <v>232.85411068442738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>
        <f>EXP(-LN(2)/35)*EA64+(1-EXP(-LN(2)/35))/(LN(2)/35)*DW65*DX65*VLOOKUP('Données projet'!$B$14,Paramètres!$A$1:$I$89,3,0)*0.475*44/12</f>
        <v>0</v>
      </c>
      <c r="EB65" s="23">
        <f>EXP(-LN(2)/25)*EB64+(1-EXP(-LN(2)/25))/(LN(2)/25)*Calculateur!DW65*Calculateur!DY65*VLOOKUP('Données projet'!$B$14,Paramètres!$A$1:$I$89,3,0)*0.475*44/12</f>
        <v>0</v>
      </c>
      <c r="EC65" s="23">
        <f>EXP(-LN(2)/2)*EC64+(1-EXP(-LN(2)/2))/(LN(2)/2)*DW65*DZ65*VLOOKUP('Données projet'!$B$14,Paramètres!$A$1:$I$89,3,0)*0.475*44/12</f>
        <v>0</v>
      </c>
      <c r="ED65" s="24">
        <f t="shared" si="18"/>
        <v>0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6.0256410256410273</v>
      </c>
      <c r="EJ65" s="13">
        <f>IF('Données projet'!$A$192&gt;35,EJ64+EI65-ER64,IF(A65&lt;'Données projet'!$A$192,$EG$205^A65,IF(A65='Données projet'!$A$192,'Données projet'!$B$192,EJ64+EI65-ER64)))</f>
        <v>273.58974358974376</v>
      </c>
      <c r="EK65" s="18">
        <f>EJ65*VLOOKUP('Données projet'!$B$15,Paramètres!$A$1:$I$89,3,0)*VLOOKUP('Données projet'!$B$15,Paramètres!$A$1:$I$89,5,0)</f>
        <v>285.95600000000024</v>
      </c>
      <c r="EL65" s="14">
        <f t="shared" si="45"/>
        <v>68.224136858687629</v>
      </c>
      <c r="EM65" s="22">
        <f t="shared" si="19"/>
        <v>616.8637383622148</v>
      </c>
      <c r="EN65" s="62">
        <f t="shared" si="20"/>
        <v>910.19707169554817</v>
      </c>
      <c r="EO65" s="62">
        <f ca="1">AVERAGE(OFFSET($EN$3,0,0,'Données projet'!$E$15+1,1))-AVERAGE(OFFSET($H$3,0,0,'Données projet'!$E$15+1,1))</f>
        <v>595.89992279024398</v>
      </c>
      <c r="EP65" s="62">
        <f t="shared" si="46"/>
        <v>378.16197659288338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>
        <f>EXP(-LN(2)/35)*EV64+(1-EXP(-LN(2)/35))/(LN(2)/35)*ER65*ES65*VLOOKUP('Données projet'!$B$15,Paramètres!$A$1:$I$89,3,0)*0.475*44/12</f>
        <v>0</v>
      </c>
      <c r="EW65" s="23">
        <f>EXP(-LN(2)/25)*EW64+(1-EXP(-LN(2)/25))/(LN(2)/25)*Calculateur!ER65*Calculateur!ET65*VLOOKUP('Données projet'!$B$15,Paramètres!$A$1:$I$89,3,0)*0.475*44/12</f>
        <v>0</v>
      </c>
      <c r="EX65" s="23">
        <f>EXP(-LN(2)/2)*EX64+(1-EXP(-LN(2)/2))/(LN(2)/2)*ER65*EU65*VLOOKUP('Données projet'!$B$15,Paramètres!$A$1:$I$89,3,0)*0.475*44/12</f>
        <v>0</v>
      </c>
      <c r="EY65" s="24">
        <f t="shared" si="21"/>
        <v>0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-2.2737367544323206E-13</v>
      </c>
      <c r="FF65" s="18">
        <f>FE65*VLOOKUP('Données projet'!$B$16,Paramètres!$A$1:$I$89,3,0)*VLOOKUP('Données projet'!$B$16,Paramètres!$A$1:$I$89,5,0)</f>
        <v>-1.3596945791505279E-13</v>
      </c>
      <c r="FG65" s="14" t="e">
        <f t="shared" si="47"/>
        <v>#NUM!</v>
      </c>
      <c r="FH65" s="22" t="e">
        <f t="shared" si="22"/>
        <v>#NUM!</v>
      </c>
      <c r="FI65" s="62" t="e">
        <f t="shared" si="23"/>
        <v>#NUM!</v>
      </c>
      <c r="FJ65" s="62">
        <f ca="1">AVERAGE(OFFSET($FI$3,0,0,'Données projet'!$E$16+1,1))-AVERAGE(OFFSET($H$3,0,0,'Données projet'!$E$16+1,1))</f>
        <v>257.56116197646924</v>
      </c>
      <c r="FK65" s="62">
        <f t="shared" si="48"/>
        <v>269.95556918835888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>
        <f>EXP(-LN(2)/35)*FQ64+(1-EXP(-LN(2)/35))/(LN(2)/35)*FM65*FN65*VLOOKUP('Données projet'!$B$16,Paramètres!$A$1:$I$89,3,0)*0.475*44/12</f>
        <v>7.7370080265115275</v>
      </c>
      <c r="FR65" s="23">
        <f>EXP(-LN(2)/25)*FR64+(1-EXP(-LN(2)/25))/(LN(2)/25)*Calculateur!FM65*Calculateur!FO65*VLOOKUP('Données projet'!$B$16,Paramètres!$A$1:$I$89,3,0)*0.475*44/12</f>
        <v>6.6476449757914935</v>
      </c>
      <c r="FS65" s="23">
        <f>EXP(-LN(2)/2)*FS64+(1-EXP(-LN(2)/2))/(LN(2)/2)*FM65*FP65*VLOOKUP('Données projet'!$B$16,Paramètres!$A$1:$I$89,3,0)*0.475*44/12</f>
        <v>1.3052495455894445E-4</v>
      </c>
      <c r="FT65" s="24">
        <f t="shared" si="24"/>
        <v>14.38478352725758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9.1830769230769249</v>
      </c>
      <c r="FZ65" s="13">
        <f>IF('Données projet'!$A$244&gt;35,FZ64+FY65-GH64,IF(A65&lt;'Données projet'!$A$244,$FW$205^A65,IF(A65='Données projet'!$A$244,'Données projet'!$B$244,FZ64+FY65-GH64)))</f>
        <v>306.52769230769229</v>
      </c>
      <c r="GA65" s="18">
        <f>FZ65*VLOOKUP('Données projet'!$B$17,Paramètres!$A$1:$I$89,3,0)*VLOOKUP('Données projet'!$B$17,Paramètres!$A$1:$I$89,5,0)</f>
        <v>183.30356</v>
      </c>
      <c r="GB65" s="14">
        <f t="shared" si="49"/>
        <v>46.056387641494027</v>
      </c>
      <c r="GC65" s="22">
        <f t="shared" si="25"/>
        <v>399.46857547560211</v>
      </c>
      <c r="GD65" s="62">
        <f t="shared" si="26"/>
        <v>692.80190880893542</v>
      </c>
      <c r="GE65" s="62">
        <f ca="1">AVERAGE(OFFSET($GD$3,0,0,'Données projet'!$E$17+1,1))-AVERAGE(OFFSET($H$3,0,0,'Données projet'!$E$17+1,1))</f>
        <v>289.12367833861299</v>
      </c>
      <c r="GF65" s="62">
        <f t="shared" si="50"/>
        <v>229.06617320689003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>
        <f>EXP(-LN(2)/35)*GL64+(1-EXP(-LN(2)/35))/(LN(2)/35)*GH65*GI65*VLOOKUP('Données projet'!$B$17,Paramètres!$A$1:$I$89,3,0)*0.475*44/12</f>
        <v>0</v>
      </c>
      <c r="GM65" s="23">
        <f>EXP(-LN(2)/25)*GM64+(1-EXP(-LN(2)/25))/(LN(2)/25)*Calculateur!GH65*Calculateur!GJ65*VLOOKUP('Données projet'!$B$17,Paramètres!$A$1:$I$89,3,0)*0.475*44/12</f>
        <v>0</v>
      </c>
      <c r="GN65" s="23">
        <f>EXP(-LN(2)/2)*GN64+(1-EXP(-LN(2)/2))/(LN(2)/2)*GH65*GK65*VLOOKUP('Données projet'!$B$17,Paramètres!$A$1:$I$89,3,0)*0.475*44/12</f>
        <v>6.3275681732566063E-5</v>
      </c>
      <c r="GO65" s="23">
        <f t="shared" si="27"/>
        <v>6.3275681732566063E-5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10.171794871794864</v>
      </c>
      <c r="GU65" s="13">
        <f>IF('Données projet'!$A$270&gt;35,GU64+GT65-HC64,IF(A65&lt;'Données projet'!$A$270,$GR$205^A65,IF(A65='Données projet'!$A$270,'Données projet'!$B$270,GU64+GT65-HC64)))</f>
        <v>244.52564102564111</v>
      </c>
      <c r="GV65" s="18">
        <f>GU65*VLOOKUP('Données projet'!$B$18,Paramètres!$A$1:$I$89,3,0)*VLOOKUP('Données projet'!$B$18,Paramètres!$A$1:$I$89,5,0)</f>
        <v>114.43800000000003</v>
      </c>
      <c r="GW65" s="14">
        <f t="shared" si="51"/>
        <v>30.374192839349661</v>
      </c>
      <c r="GX65" s="22">
        <f t="shared" si="28"/>
        <v>252.21456919520065</v>
      </c>
      <c r="GY65" s="62">
        <f t="shared" si="29"/>
        <v>545.547902528534</v>
      </c>
      <c r="GZ65" s="62">
        <f ca="1">AVERAGE(OFFSET($GY$3,0,0,'Données projet'!$E$18+1,1))-AVERAGE(OFFSET($H$3,0,0,'Données projet'!$E$18+1,1))</f>
        <v>284.88646502866419</v>
      </c>
      <c r="HA65" s="62">
        <f t="shared" si="52"/>
        <v>190.4880882944471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>
        <f>EXP(-LN(2)/35)*HG64+(1-EXP(-LN(2)/35))/(LN(2)/35)*HC65*HD65*VLOOKUP('Données projet'!$B$18,Paramètres!$A$1:$I$89,3,0)*0.475*44/12</f>
        <v>0</v>
      </c>
      <c r="HH65" s="23">
        <f>EXP(-LN(2)/25)*HH64+(1-EXP(-LN(2)/25))/(LN(2)/25)*Calculateur!HC65*Calculateur!HE65*VLOOKUP('Données projet'!$B$18,Paramètres!$A$1:$I$89,3,0)*0.475*44/12</f>
        <v>0</v>
      </c>
      <c r="HI65" s="23">
        <f>EXP(-LN(2)/2)*HI64+(1-EXP(-LN(2)/2))/(LN(2)/2)*HC65*HF65*VLOOKUP('Données projet'!$B$18,Paramètres!$A$1:$I$89,3,0)*0.475*44/12</f>
        <v>0</v>
      </c>
      <c r="HJ65" s="24">
        <f t="shared" si="30"/>
        <v>0</v>
      </c>
    </row>
    <row r="66" spans="1:218" s="5" customFormat="1" x14ac:dyDescent="0.25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2">
        <f t="shared" si="32"/>
        <v>0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0</v>
      </c>
      <c r="H66" s="70">
        <f t="shared" si="1"/>
        <v>256.66666666666669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4.6153846153846132</v>
      </c>
      <c r="N66" s="14">
        <f>IF('Données projet'!$A$36&gt;35,N65+M66-V65,IF(A66&lt;'Données projet'!$A$36,$K$205^A66,IF(A66='Données projet'!$A$36,'Données projet'!$B$36,N65+M66-V65)))</f>
        <v>184.35897435897428</v>
      </c>
      <c r="O66" s="14">
        <f>N66*VLOOKUP('Données projet'!$B$9,Paramètres!$A$1:$I$89,3,0)*VLOOKUP('Données projet'!$B$9,Paramètres!$A$1:$I$89,5,0)</f>
        <v>175.43599999999992</v>
      </c>
      <c r="P66" s="14">
        <f t="shared" si="33"/>
        <v>44.305267494172632</v>
      </c>
      <c r="Q66" s="22">
        <f t="shared" si="53"/>
        <v>382.71604088568387</v>
      </c>
      <c r="R66" s="62">
        <f t="shared" si="0"/>
        <v>676.04937421901718</v>
      </c>
      <c r="S66" s="62">
        <f ca="1">AVERAGE(OFFSET($R$3,0,0,'Données projet'!$E$9+1,1))-AVERAGE(OFFSET($H$3,0,0,'Données projet'!$E$9+1,1))</f>
        <v>367.11183928586667</v>
      </c>
      <c r="T66" s="62">
        <f t="shared" si="34"/>
        <v>281.52963027844595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0</v>
      </c>
      <c r="AA66" s="23">
        <f>EXP(-LN(2)/25)*AA65+(1-EXP(-LN(2)/25))/(LN(2)/25)*Calculateur!V66*Calculateur!X66*VLOOKUP('Données projet'!$B$9,Paramètres!$A$1:$I$89,3,0)*0.475*44/12</f>
        <v>0</v>
      </c>
      <c r="AB66" s="23">
        <f>EXP(-LN(2)/2)*AB65+(1-EXP(-LN(2)/2))/(LN(2)/2)*V66*Y66*VLOOKUP('Données projet'!$B$9,Paramètres!$A$1:$I$89,3,0)*0.475*44/12</f>
        <v>0</v>
      </c>
      <c r="AC66" s="24">
        <f t="shared" si="3"/>
        <v>0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7.2</v>
      </c>
      <c r="AI66" s="14">
        <f>IF('Données projet'!$A$62&gt;35,AI65+AH66-AQ65,IF(A66&lt;'Données projet'!$A$62,$AF$205^A66,IF(A66='Données projet'!$A$62,'Données projet'!$B$62,AI65+AH66-AQ65)))</f>
        <v>214.59999999999994</v>
      </c>
      <c r="AJ66" s="14">
        <f>AI66*VLOOKUP('Données projet'!$B$10,Paramètres!$A$1:$I$89,3,0)*VLOOKUP('Données projet'!$B$10,Paramètres!$A$1:$I$89,5,0)</f>
        <v>194.17007999999996</v>
      </c>
      <c r="AK66" s="14">
        <f t="shared" si="35"/>
        <v>48.460730182351035</v>
      </c>
      <c r="AL66" s="22">
        <f t="shared" si="4"/>
        <v>422.5819944009279</v>
      </c>
      <c r="AM66" s="62">
        <f t="shared" si="5"/>
        <v>715.91532773426115</v>
      </c>
      <c r="AN66" s="62">
        <f ca="1">AVERAGE(OFFSET($AM$3,0,0,'Données projet'!$E$10+1,1))-AVERAGE(OFFSET($H$3,0,0,'Données projet'!$E$10+1,1))</f>
        <v>428.8489304403459</v>
      </c>
      <c r="AO66" s="62">
        <f t="shared" si="36"/>
        <v>247.01165577562966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0</v>
      </c>
      <c r="AV66" s="23">
        <f>EXP(-LN(2)/25)*AV65+(1-EXP(-LN(2)/25))/(LN(2)/25)*Calculateur!AQ66*Calculateur!AS66*VLOOKUP('Données projet'!$B$10,Paramètres!$A$1:$I$89,3,0)*0.475*44/12</f>
        <v>0</v>
      </c>
      <c r="AW66" s="23">
        <f>EXP(-LN(2)/2)*AW65+(1-EXP(-LN(2)/2))/(LN(2)/2)*AQ66*AT66*VLOOKUP('Données projet'!$B$10,Paramètres!$A$1:$I$89,3,0)*0.475*44/12</f>
        <v>0</v>
      </c>
      <c r="AX66" s="23">
        <f t="shared" si="6"/>
        <v>0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7.2</v>
      </c>
      <c r="BD66" s="13">
        <f>IF('Données projet'!$A$88&gt;35,BD65+BC66-BL65,IF(A66&lt;'Données projet'!$A$88,$BA$205^A66,IF(A66='Données projet'!$A$88,'Données projet'!$B$88,BD65+BC66-BL65)))</f>
        <v>214.59999999999994</v>
      </c>
      <c r="BE66" s="14">
        <f>BD66*VLOOKUP('Données projet'!$B$11,Paramètres!$A$1:$I$89,3,0)*VLOOKUP('Données projet'!$B$11,Paramètres!$A$1:$I$89,5,0)</f>
        <v>217.60439999999994</v>
      </c>
      <c r="BF66" s="14">
        <f t="shared" si="37"/>
        <v>53.593882578706356</v>
      </c>
      <c r="BG66" s="22">
        <f t="shared" si="7"/>
        <v>472.33700882458015</v>
      </c>
      <c r="BH66" s="62">
        <f t="shared" si="8"/>
        <v>765.67034215791341</v>
      </c>
      <c r="BI66" s="62">
        <f ca="1">AVERAGE(OFFSET($BH$3,0,0,'Données projet'!$E$11+1,1))-AVERAGE(OFFSET($H$3,0,0,'Données projet'!$E$11+1,1))</f>
        <v>475.47920969424894</v>
      </c>
      <c r="BJ66" s="62">
        <f t="shared" si="38"/>
        <v>271.73544012419364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>
        <f>EXP(-LN(2)/35)*BP65+(1-EXP(-LN(2)/35))/(LN(2)/35)*BL66*BM66*VLOOKUP('Données projet'!$B$11,Paramètres!$A$1:$I$89,3,0)*0.475*44/12</f>
        <v>0</v>
      </c>
      <c r="BQ66" s="23">
        <f>EXP(-LN(2)/25)*BQ65+(1-EXP(-LN(2)/25))/(LN(2)/25)*Calculateur!BL66*Calculateur!BN66*VLOOKUP('Données projet'!$B$11,Paramètres!$A$1:$I$89,3,0)*0.475*44/12</f>
        <v>0</v>
      </c>
      <c r="BR66" s="23">
        <f>EXP(-LN(2)/2)*BR65+(1-EXP(-LN(2)/2))/(LN(2)/2)*BL66*BO66*VLOOKUP('Données projet'!$B$11,Paramètres!$A$1:$I$89,3,0)*0.475*44/12</f>
        <v>0</v>
      </c>
      <c r="BS66" s="24">
        <f t="shared" si="9"/>
        <v>0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>
        <f>VLOOKUP(A66,'Données projet'!$A$113:$I$133,2,0)</f>
        <v>455.71538461538455</v>
      </c>
      <c r="BW66" s="13">
        <f>VLOOKUP(A66,'Données projet'!$A$113:$I$133,9,0)</f>
        <v>14.839560439560435</v>
      </c>
      <c r="BX66" s="13">
        <f t="array" ref="BX66">INDEX(BW:BW,MIN(IF(ISNUMBER(BW66:BW262),ROW(BW66:BW262),"")))</f>
        <v>14.839560439560435</v>
      </c>
      <c r="BY66" s="13">
        <f>IF('Données projet'!$A$114&gt;35,BY65+BX66-CG65,IF(A66&lt;'Données projet'!$A$114,$BV$205^A66,IF(A66='Données projet'!$A$114,'Données projet'!$B$114,BY65+BX66-CG65)))</f>
        <v>455.71538461538466</v>
      </c>
      <c r="BZ66" s="14">
        <f>BY66*VLOOKUP('Données projet'!$B$12,Paramètres!$A$1:$I$89,3,0)*VLOOKUP('Données projet'!$B$12,Paramètres!$A$1:$I$89,5,0)</f>
        <v>254.74490000000003</v>
      </c>
      <c r="CA66" s="14">
        <f t="shared" si="39"/>
        <v>61.600875281297732</v>
      </c>
      <c r="CB66" s="22">
        <f t="shared" si="10"/>
        <v>550.96889194826019</v>
      </c>
      <c r="CC66" s="62">
        <f t="shared" si="11"/>
        <v>844.30222528159356</v>
      </c>
      <c r="CD66" s="62">
        <f ca="1">AVERAGE(OFFSET($CC$3,0,0,'Données projet'!$E$12+1,1))-AVERAGE(OFFSET($H$3,0,0,'Données projet'!$E$12+1,1))</f>
        <v>323.98185264074681</v>
      </c>
      <c r="CE66" s="62">
        <f t="shared" si="40"/>
        <v>301.22207291854005</v>
      </c>
      <c r="CF66" s="16">
        <f>IF(ISNA(VLOOKUP(A66,'Données projet'!$A$113:$I$133,3,0)),0,VLOOKUP(A66,'Données projet'!$A$113:$I$133,3,0))</f>
        <v>7</v>
      </c>
      <c r="CG66" s="16">
        <f>IF(ISNA(VLOOKUP(A66,'Données projet'!$A$113:$I$133,4,0)),0,VLOOKUP(A66,'Données projet'!$A$113:$I$133,4,0))</f>
        <v>79.723076923076917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>
        <f>EXP(-LN(2)/35)*CK65+(1-EXP(-LN(2)/35))/(LN(2)/35)*CG66*CH66*VLOOKUP('Données projet'!$B$12,Paramètres!$A$1:$I$89,3,0)*0.475*44/12</f>
        <v>2.3213067209710254</v>
      </c>
      <c r="CL66" s="23">
        <f>EXP(-LN(2)/25)*CL65+(1-EXP(-LN(2)/25))/(LN(2)/25)*Calculateur!CG66*Calculateur!CI66*VLOOKUP('Données projet'!$B$12,Paramètres!$A$1:$I$89,3,0)*0.475*44/12</f>
        <v>3.303331656963143</v>
      </c>
      <c r="CM66" s="23">
        <f>EXP(-LN(2)/2)*CM65+(1-EXP(-LN(2)/2))/(LN(2)/2)*CG66*CJ66*VLOOKUP('Données projet'!$B$12,Paramètres!$A$1:$I$89,3,0)*0.475*44/12</f>
        <v>6.5684963062500804E-5</v>
      </c>
      <c r="CN66" s="24">
        <f t="shared" si="12"/>
        <v>5.6247040628972309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5.4</v>
      </c>
      <c r="CT66" s="13">
        <f>IF('Données projet'!$A$140&gt;35,CT65+CS66-DB65,IF(A66&lt;'Données projet'!$A$140,$CQ$205^A66,IF(A66='Données projet'!$A$140,'Données projet'!$B$140,CT65+CS66-DB65)))</f>
        <v>150.19999999999999</v>
      </c>
      <c r="CU66" s="18">
        <f>CT66*VLOOKUP('Données projet'!$B$13,Paramètres!$A$1:$I$89,3,0)*VLOOKUP('Données projet'!$B$13,Paramètres!$A$1:$I$89,5,0)</f>
        <v>171.04775999999998</v>
      </c>
      <c r="CV66" s="14">
        <f t="shared" si="41"/>
        <v>43.324602988701869</v>
      </c>
      <c r="CW66" s="22">
        <f t="shared" si="13"/>
        <v>373.36519887198909</v>
      </c>
      <c r="CX66" s="62">
        <f t="shared" si="14"/>
        <v>666.69853220532241</v>
      </c>
      <c r="CY66" s="62">
        <f ca="1">AVERAGE(OFFSET($CX$3,0,0,'Données projet'!$E$13+1,1))-AVERAGE(OFFSET($H$3,0,0,'Données projet'!$E$13+1,1))</f>
        <v>399.78832690250164</v>
      </c>
      <c r="CZ66" s="62">
        <f t="shared" si="42"/>
        <v>174.32967064896343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>
        <f>EXP(-LN(2)/35)*DF65+(1-EXP(-LN(2)/35))/(LN(2)/35)*DB66*DC66*VLOOKUP('Données projet'!$B$13,Paramètres!$A$1:$I$89,3,0)*0.475*44/12</f>
        <v>0</v>
      </c>
      <c r="DG66" s="23">
        <f>EXP(-LN(2)/25)*DG65+(1-EXP(-LN(2)/25))/(LN(2)/25)*Calculateur!DB66*Calculateur!DD66*VLOOKUP('Données projet'!$B$13,Paramètres!$A$1:$I$89,3,0)*0.475*44/12</f>
        <v>0</v>
      </c>
      <c r="DH66" s="23">
        <f>EXP(-LN(2)/2)*DH65+(1-EXP(-LN(2)/2))/(LN(2)/2)*DB66*DE66*VLOOKUP('Données projet'!$B$13,Paramètres!$A$1:$I$89,3,0)*0.475*44/12</f>
        <v>0</v>
      </c>
      <c r="DI66" s="24">
        <f t="shared" si="15"/>
        <v>0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7.2</v>
      </c>
      <c r="DO66" s="13">
        <f>IF('Données projet'!$A$166&gt;35,DO65+DN66-DW65,IF(A66&lt;'Données projet'!$A$166,$DL$205^A66,IF(A66='Données projet'!$A$166,'Données projet'!$B$166,DO65+DN66-DW65)))</f>
        <v>214.59999999999994</v>
      </c>
      <c r="DP66" s="18">
        <f>DO66*VLOOKUP('Données projet'!$B$14,Paramètres!$A$1:$I$89,3,0)*VLOOKUP('Données projet'!$B$14,Paramètres!$A$1:$I$89,5,0)</f>
        <v>180.77903999999995</v>
      </c>
      <c r="DQ66" s="14">
        <f t="shared" si="43"/>
        <v>45.495464625737284</v>
      </c>
      <c r="DR66" s="22">
        <f t="shared" si="16"/>
        <v>394.09476222315897</v>
      </c>
      <c r="DS66" s="62">
        <f t="shared" si="17"/>
        <v>687.42809555649228</v>
      </c>
      <c r="DT66" s="62">
        <f ca="1">AVERAGE(OFFSET($DS$3,0,0,'Données projet'!$E$14+1,1))-AVERAGE(OFFSET($H$3,0,0,'Données projet'!$E$14+1,1))</f>
        <v>402.15128814037058</v>
      </c>
      <c r="DU66" s="62">
        <f t="shared" si="44"/>
        <v>232.85411068442738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>
        <f>EXP(-LN(2)/35)*EA65+(1-EXP(-LN(2)/35))/(LN(2)/35)*DW66*DX66*VLOOKUP('Données projet'!$B$14,Paramètres!$A$1:$I$89,3,0)*0.475*44/12</f>
        <v>0</v>
      </c>
      <c r="EB66" s="23">
        <f>EXP(-LN(2)/25)*EB65+(1-EXP(-LN(2)/25))/(LN(2)/25)*Calculateur!DW66*Calculateur!DY66*VLOOKUP('Données projet'!$B$14,Paramètres!$A$1:$I$89,3,0)*0.475*44/12</f>
        <v>0</v>
      </c>
      <c r="EC66" s="23">
        <f>EXP(-LN(2)/2)*EC65+(1-EXP(-LN(2)/2))/(LN(2)/2)*DW66*DZ66*VLOOKUP('Données projet'!$B$14,Paramètres!$A$1:$I$89,3,0)*0.475*44/12</f>
        <v>0</v>
      </c>
      <c r="ED66" s="24">
        <f t="shared" si="18"/>
        <v>0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6.0256410256410273</v>
      </c>
      <c r="EJ66" s="13">
        <f>IF('Données projet'!$A$192&gt;35,EJ65+EI66-ER65,IF(A66&lt;'Données projet'!$A$192,$EG$205^A66,IF(A66='Données projet'!$A$192,'Données projet'!$B$192,EJ65+EI66-ER65)))</f>
        <v>279.61538461538481</v>
      </c>
      <c r="EK66" s="18">
        <f>EJ66*VLOOKUP('Données projet'!$B$15,Paramètres!$A$1:$I$89,3,0)*VLOOKUP('Données projet'!$B$15,Paramètres!$A$1:$I$89,5,0)</f>
        <v>292.25400000000025</v>
      </c>
      <c r="EL66" s="14">
        <f t="shared" si="45"/>
        <v>69.550140364165401</v>
      </c>
      <c r="EM66" s="22">
        <f t="shared" si="19"/>
        <v>630.14221113425515</v>
      </c>
      <c r="EN66" s="62">
        <f t="shared" si="20"/>
        <v>923.47554446758841</v>
      </c>
      <c r="EO66" s="62">
        <f ca="1">AVERAGE(OFFSET($EN$3,0,0,'Données projet'!$E$15+1,1))-AVERAGE(OFFSET($H$3,0,0,'Données projet'!$E$15+1,1))</f>
        <v>595.89992279024398</v>
      </c>
      <c r="EP66" s="62">
        <f t="shared" si="46"/>
        <v>378.16197659288338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>
        <f>EXP(-LN(2)/35)*EV65+(1-EXP(-LN(2)/35))/(LN(2)/35)*ER66*ES66*VLOOKUP('Données projet'!$B$15,Paramètres!$A$1:$I$89,3,0)*0.475*44/12</f>
        <v>0</v>
      </c>
      <c r="EW66" s="23">
        <f>EXP(-LN(2)/25)*EW65+(1-EXP(-LN(2)/25))/(LN(2)/25)*Calculateur!ER66*Calculateur!ET66*VLOOKUP('Données projet'!$B$15,Paramètres!$A$1:$I$89,3,0)*0.475*44/12</f>
        <v>0</v>
      </c>
      <c r="EX66" s="23">
        <f>EXP(-LN(2)/2)*EX65+(1-EXP(-LN(2)/2))/(LN(2)/2)*ER66*EU66*VLOOKUP('Données projet'!$B$15,Paramètres!$A$1:$I$89,3,0)*0.475*44/12</f>
        <v>0</v>
      </c>
      <c r="EY66" s="24">
        <f t="shared" si="21"/>
        <v>0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-2.2737367544323206E-13</v>
      </c>
      <c r="FF66" s="18">
        <f>FE66*VLOOKUP('Données projet'!$B$16,Paramètres!$A$1:$I$89,3,0)*VLOOKUP('Données projet'!$B$16,Paramètres!$A$1:$I$89,5,0)</f>
        <v>-1.3596945791505279E-13</v>
      </c>
      <c r="FG66" s="14" t="e">
        <f t="shared" si="47"/>
        <v>#NUM!</v>
      </c>
      <c r="FH66" s="22" t="e">
        <f t="shared" si="22"/>
        <v>#NUM!</v>
      </c>
      <c r="FI66" s="62" t="e">
        <f t="shared" si="23"/>
        <v>#NUM!</v>
      </c>
      <c r="FJ66" s="62">
        <f ca="1">AVERAGE(OFFSET($FI$3,0,0,'Données projet'!$E$16+1,1))-AVERAGE(OFFSET($H$3,0,0,'Données projet'!$E$16+1,1))</f>
        <v>257.56116197646924</v>
      </c>
      <c r="FK66" s="62">
        <f t="shared" si="48"/>
        <v>269.95556918835888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>
        <f>EXP(-LN(2)/35)*FQ65+(1-EXP(-LN(2)/35))/(LN(2)/35)*FM66*FN66*VLOOKUP('Données projet'!$B$16,Paramètres!$A$1:$I$89,3,0)*0.475*44/12</f>
        <v>7.5852900182205589</v>
      </c>
      <c r="FR66" s="23">
        <f>EXP(-LN(2)/25)*FR65+(1-EXP(-LN(2)/25))/(LN(2)/25)*Calculateur!FM66*Calculateur!FO66*VLOOKUP('Données projet'!$B$16,Paramètres!$A$1:$I$89,3,0)*0.475*44/12</f>
        <v>6.465864774344019</v>
      </c>
      <c r="FS66" s="23">
        <f>EXP(-LN(2)/2)*FS65+(1-EXP(-LN(2)/2))/(LN(2)/2)*FM66*FP66*VLOOKUP('Données projet'!$B$16,Paramètres!$A$1:$I$89,3,0)*0.475*44/12</f>
        <v>9.2295080482695591E-5</v>
      </c>
      <c r="FT66" s="24">
        <f t="shared" si="24"/>
        <v>14.051247087645061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9.1830769230769249</v>
      </c>
      <c r="FZ66" s="13">
        <f>IF('Données projet'!$A$244&gt;35,FZ65+FY66-GH65,IF(A66&lt;'Données projet'!$A$244,$FW$205^A66,IF(A66='Données projet'!$A$244,'Données projet'!$B$244,FZ65+FY66-GH65)))</f>
        <v>315.71076923076919</v>
      </c>
      <c r="GA66" s="18">
        <f>FZ66*VLOOKUP('Données projet'!$B$17,Paramètres!$A$1:$I$89,3,0)*VLOOKUP('Données projet'!$B$17,Paramètres!$A$1:$I$89,5,0)</f>
        <v>188.79504</v>
      </c>
      <c r="GB66" s="14">
        <f t="shared" si="49"/>
        <v>47.273454743056831</v>
      </c>
      <c r="GC66" s="22">
        <f t="shared" si="25"/>
        <v>411.15262834415722</v>
      </c>
      <c r="GD66" s="62">
        <f t="shared" si="26"/>
        <v>704.48596167749054</v>
      </c>
      <c r="GE66" s="62">
        <f ca="1">AVERAGE(OFFSET($GD$3,0,0,'Données projet'!$E$17+1,1))-AVERAGE(OFFSET($H$3,0,0,'Données projet'!$E$17+1,1))</f>
        <v>289.12367833861299</v>
      </c>
      <c r="GF66" s="62">
        <f t="shared" si="50"/>
        <v>229.06617320689003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>
        <f>EXP(-LN(2)/35)*GL65+(1-EXP(-LN(2)/35))/(LN(2)/35)*GH66*GI66*VLOOKUP('Données projet'!$B$17,Paramètres!$A$1:$I$89,3,0)*0.475*44/12</f>
        <v>0</v>
      </c>
      <c r="GM66" s="23">
        <f>EXP(-LN(2)/25)*GM65+(1-EXP(-LN(2)/25))/(LN(2)/25)*Calculateur!GH66*Calculateur!GJ66*VLOOKUP('Données projet'!$B$17,Paramètres!$A$1:$I$89,3,0)*0.475*44/12</f>
        <v>0</v>
      </c>
      <c r="GN66" s="23">
        <f>EXP(-LN(2)/2)*GN65+(1-EXP(-LN(2)/2))/(LN(2)/2)*GH66*GK66*VLOOKUP('Données projet'!$B$17,Paramètres!$A$1:$I$89,3,0)*0.475*44/12</f>
        <v>4.4742663637299214E-5</v>
      </c>
      <c r="GO66" s="23">
        <f t="shared" si="27"/>
        <v>4.4742663637299214E-5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10.171794871794864</v>
      </c>
      <c r="GU66" s="13">
        <f>IF('Données projet'!$A$270&gt;35,GU65+GT66-HC65,IF(A66&lt;'Données projet'!$A$270,$GR$205^A66,IF(A66='Données projet'!$A$270,'Données projet'!$B$270,GU65+GT66-HC65)))</f>
        <v>254.69743589743598</v>
      </c>
      <c r="GV66" s="18">
        <f>GU66*VLOOKUP('Données projet'!$B$18,Paramètres!$A$1:$I$89,3,0)*VLOOKUP('Données projet'!$B$18,Paramètres!$A$1:$I$89,5,0)</f>
        <v>119.19840000000003</v>
      </c>
      <c r="GW66" s="14">
        <f t="shared" si="51"/>
        <v>31.48796639098763</v>
      </c>
      <c r="GX66" s="22">
        <f t="shared" si="28"/>
        <v>262.44542146430354</v>
      </c>
      <c r="GY66" s="62">
        <f t="shared" si="29"/>
        <v>555.77875479763679</v>
      </c>
      <c r="GZ66" s="62">
        <f ca="1">AVERAGE(OFFSET($GY$3,0,0,'Données projet'!$E$18+1,1))-AVERAGE(OFFSET($H$3,0,0,'Données projet'!$E$18+1,1))</f>
        <v>284.88646502866419</v>
      </c>
      <c r="HA66" s="62">
        <f t="shared" si="52"/>
        <v>190.4880882944471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>
        <f>EXP(-LN(2)/35)*HG65+(1-EXP(-LN(2)/35))/(LN(2)/35)*HC66*HD66*VLOOKUP('Données projet'!$B$18,Paramètres!$A$1:$I$89,3,0)*0.475*44/12</f>
        <v>0</v>
      </c>
      <c r="HH66" s="23">
        <f>EXP(-LN(2)/25)*HH65+(1-EXP(-LN(2)/25))/(LN(2)/25)*Calculateur!HC66*Calculateur!HE66*VLOOKUP('Données projet'!$B$18,Paramètres!$A$1:$I$89,3,0)*0.475*44/12</f>
        <v>0</v>
      </c>
      <c r="HI66" s="23">
        <f>EXP(-LN(2)/2)*HI65+(1-EXP(-LN(2)/2))/(LN(2)/2)*HC66*HF66*VLOOKUP('Données projet'!$B$18,Paramètres!$A$1:$I$89,3,0)*0.475*44/12</f>
        <v>0</v>
      </c>
      <c r="HJ66" s="24">
        <f t="shared" si="30"/>
        <v>0</v>
      </c>
    </row>
    <row r="67" spans="1:218" s="5" customFormat="1" x14ac:dyDescent="0.25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2">
        <f t="shared" si="32"/>
        <v>0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0</v>
      </c>
      <c r="H67" s="70">
        <f t="shared" si="1"/>
        <v>256.66666666666669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4.6153846153846132</v>
      </c>
      <c r="N67" s="14">
        <f>IF('Données projet'!$A$36&gt;35,N66+M67-V66,IF(A67&lt;'Données projet'!$A$36,$K$205^A67,IF(A67='Données projet'!$A$36,'Données projet'!$B$36,N66+M67-V66)))</f>
        <v>188.97435897435889</v>
      </c>
      <c r="O67" s="14">
        <f>N67*VLOOKUP('Données projet'!$B$9,Paramètres!$A$1:$I$89,3,0)*VLOOKUP('Données projet'!$B$9,Paramètres!$A$1:$I$89,5,0)</f>
        <v>179.82799999999992</v>
      </c>
      <c r="P67" s="14">
        <f t="shared" si="33"/>
        <v>45.283917206572795</v>
      </c>
      <c r="Q67" s="22">
        <f t="shared" ref="Q67:Q98" si="54">(O67+P67)*0.475*44/12</f>
        <v>392.0699224681141</v>
      </c>
      <c r="R67" s="62">
        <f t="shared" ref="R67:R130" si="55">Q67+(I67+J67)*44/12</f>
        <v>685.40325580144736</v>
      </c>
      <c r="S67" s="62">
        <f ca="1">AVERAGE(OFFSET($R$3,0,0,'Données projet'!$E$9+1,1))-AVERAGE(OFFSET($H$3,0,0,'Données projet'!$E$9+1,1))</f>
        <v>367.11183928586667</v>
      </c>
      <c r="T67" s="62">
        <f t="shared" si="34"/>
        <v>281.52963027844595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0</v>
      </c>
      <c r="AA67" s="23">
        <f>EXP(-LN(2)/25)*AA66+(1-EXP(-LN(2)/25))/(LN(2)/25)*Calculateur!V67*Calculateur!X67*VLOOKUP('Données projet'!$B$9,Paramètres!$A$1:$I$89,3,0)*0.475*44/12</f>
        <v>0</v>
      </c>
      <c r="AB67" s="23">
        <f>EXP(-LN(2)/2)*AB66+(1-EXP(-LN(2)/2))/(LN(2)/2)*V67*Y67*VLOOKUP('Données projet'!$B$9,Paramètres!$A$1:$I$89,3,0)*0.475*44/12</f>
        <v>0</v>
      </c>
      <c r="AC67" s="24">
        <f t="shared" si="3"/>
        <v>0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7.2</v>
      </c>
      <c r="AI67" s="14">
        <f>IF('Données projet'!$A$62&gt;35,AI66+AH67-AQ66,IF(A67&lt;'Données projet'!$A$62,$AF$205^A67,IF(A67='Données projet'!$A$62,'Données projet'!$B$62,AI66+AH67-AQ66)))</f>
        <v>221.79999999999993</v>
      </c>
      <c r="AJ67" s="14">
        <f>AI67*VLOOKUP('Données projet'!$B$10,Paramètres!$A$1:$I$89,3,0)*VLOOKUP('Données projet'!$B$10,Paramètres!$A$1:$I$89,5,0)</f>
        <v>200.68463999999992</v>
      </c>
      <c r="AK67" s="14">
        <f t="shared" si="35"/>
        <v>49.894600936700193</v>
      </c>
      <c r="AL67" s="22">
        <f t="shared" si="4"/>
        <v>436.42551129808606</v>
      </c>
      <c r="AM67" s="62">
        <f t="shared" si="5"/>
        <v>729.75884463141938</v>
      </c>
      <c r="AN67" s="62">
        <f ca="1">AVERAGE(OFFSET($AM$3,0,0,'Données projet'!$E$10+1,1))-AVERAGE(OFFSET($H$3,0,0,'Données projet'!$E$10+1,1))</f>
        <v>428.8489304403459</v>
      </c>
      <c r="AO67" s="62">
        <f t="shared" si="36"/>
        <v>247.01165577562966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0</v>
      </c>
      <c r="AV67" s="23">
        <f>EXP(-LN(2)/25)*AV66+(1-EXP(-LN(2)/25))/(LN(2)/25)*Calculateur!AQ67*Calculateur!AS67*VLOOKUP('Données projet'!$B$10,Paramètres!$A$1:$I$89,3,0)*0.475*44/12</f>
        <v>0</v>
      </c>
      <c r="AW67" s="23">
        <f>EXP(-LN(2)/2)*AW66+(1-EXP(-LN(2)/2))/(LN(2)/2)*AQ67*AT67*VLOOKUP('Données projet'!$B$10,Paramètres!$A$1:$I$89,3,0)*0.475*44/12</f>
        <v>0</v>
      </c>
      <c r="AX67" s="23">
        <f t="shared" si="6"/>
        <v>0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7.2</v>
      </c>
      <c r="BD67" s="13">
        <f>IF('Données projet'!$A$88&gt;35,BD66+BC67-BL66,IF(A67&lt;'Données projet'!$A$88,$BA$205^A67,IF(A67='Données projet'!$A$88,'Données projet'!$B$88,BD66+BC67-BL66)))</f>
        <v>221.79999999999993</v>
      </c>
      <c r="BE67" s="14">
        <f>BD67*VLOOKUP('Données projet'!$B$11,Paramètres!$A$1:$I$89,3,0)*VLOOKUP('Données projet'!$B$11,Paramètres!$A$1:$I$89,5,0)</f>
        <v>224.90519999999995</v>
      </c>
      <c r="BF67" s="14">
        <f t="shared" si="37"/>
        <v>55.17963460003309</v>
      </c>
      <c r="BG67" s="22">
        <f t="shared" si="7"/>
        <v>487.81442026172425</v>
      </c>
      <c r="BH67" s="62">
        <f t="shared" si="8"/>
        <v>781.14775359505757</v>
      </c>
      <c r="BI67" s="62">
        <f ca="1">AVERAGE(OFFSET($BH$3,0,0,'Données projet'!$E$11+1,1))-AVERAGE(OFFSET($H$3,0,0,'Données projet'!$E$11+1,1))</f>
        <v>475.47920969424894</v>
      </c>
      <c r="BJ67" s="62">
        <f t="shared" si="38"/>
        <v>271.73544012419364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>
        <f>EXP(-LN(2)/35)*BP66+(1-EXP(-LN(2)/35))/(LN(2)/35)*BL67*BM67*VLOOKUP('Données projet'!$B$11,Paramètres!$A$1:$I$89,3,0)*0.475*44/12</f>
        <v>0</v>
      </c>
      <c r="BQ67" s="23">
        <f>EXP(-LN(2)/25)*BQ66+(1-EXP(-LN(2)/25))/(LN(2)/25)*Calculateur!BL67*Calculateur!BN67*VLOOKUP('Données projet'!$B$11,Paramètres!$A$1:$I$89,3,0)*0.475*44/12</f>
        <v>0</v>
      </c>
      <c r="BR67" s="23">
        <f>EXP(-LN(2)/2)*BR66+(1-EXP(-LN(2)/2))/(LN(2)/2)*BL67*BO67*VLOOKUP('Données projet'!$B$11,Paramètres!$A$1:$I$89,3,0)*0.475*44/12</f>
        <v>0</v>
      </c>
      <c r="BS67" s="24">
        <f t="shared" si="9"/>
        <v>0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13.373076923076932</v>
      </c>
      <c r="BY67" s="13">
        <f>IF('Données projet'!$A$114&gt;35,BY66+BX67-CG66,IF(A67&lt;'Données projet'!$A$114,$BV$205^A67,IF(A67='Données projet'!$A$114,'Données projet'!$B$114,BY66+BX67-CG66)))</f>
        <v>389.3653846153847</v>
      </c>
      <c r="BZ67" s="14">
        <f>BY67*VLOOKUP('Données projet'!$B$12,Paramètres!$A$1:$I$89,3,0)*VLOOKUP('Données projet'!$B$12,Paramètres!$A$1:$I$89,5,0)</f>
        <v>217.65525000000002</v>
      </c>
      <c r="CA67" s="14">
        <f t="shared" si="39"/>
        <v>53.604948518581054</v>
      </c>
      <c r="CB67" s="22">
        <f t="shared" si="10"/>
        <v>472.44484575319535</v>
      </c>
      <c r="CC67" s="62">
        <f t="shared" si="11"/>
        <v>765.77817908652867</v>
      </c>
      <c r="CD67" s="62">
        <f ca="1">AVERAGE(OFFSET($CC$3,0,0,'Données projet'!$E$12+1,1))-AVERAGE(OFFSET($H$3,0,0,'Données projet'!$E$12+1,1))</f>
        <v>323.98185264074681</v>
      </c>
      <c r="CE67" s="62">
        <f t="shared" si="40"/>
        <v>301.22207291854005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>
        <f>EXP(-LN(2)/35)*CK66+(1-EXP(-LN(2)/35))/(LN(2)/35)*CG67*CH67*VLOOKUP('Données projet'!$B$12,Paramètres!$A$1:$I$89,3,0)*0.475*44/12</f>
        <v>2.2757873120300789</v>
      </c>
      <c r="CL67" s="23">
        <f>EXP(-LN(2)/25)*CL66+(1-EXP(-LN(2)/25))/(LN(2)/25)*Calculateur!CG67*Calculateur!CI67*VLOOKUP('Données projet'!$B$12,Paramètres!$A$1:$I$89,3,0)*0.475*44/12</f>
        <v>3.2130018790888237</v>
      </c>
      <c r="CM67" s="23">
        <f>EXP(-LN(2)/2)*CM66+(1-EXP(-LN(2)/2))/(LN(2)/2)*CG67*CJ67*VLOOKUP('Données projet'!$B$12,Paramètres!$A$1:$I$89,3,0)*0.475*44/12</f>
        <v>4.6446282803482213E-5</v>
      </c>
      <c r="CN67" s="24">
        <f t="shared" si="12"/>
        <v>5.4888356374017064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5.4</v>
      </c>
      <c r="CT67" s="13">
        <f>IF('Données projet'!$A$140&gt;35,CT66+CS67-DB66,IF(A67&lt;'Données projet'!$A$140,$CQ$205^A67,IF(A67='Données projet'!$A$140,'Données projet'!$B$140,CT66+CS67-DB66)))</f>
        <v>155.6</v>
      </c>
      <c r="CU67" s="18">
        <f>CT67*VLOOKUP('Données projet'!$B$13,Paramètres!$A$1:$I$89,3,0)*VLOOKUP('Données projet'!$B$13,Paramètres!$A$1:$I$89,5,0)</f>
        <v>177.19728000000001</v>
      </c>
      <c r="CV67" s="14">
        <f t="shared" si="41"/>
        <v>44.69806422992248</v>
      </c>
      <c r="CW67" s="22">
        <f t="shared" si="13"/>
        <v>386.46772453378168</v>
      </c>
      <c r="CX67" s="62">
        <f t="shared" si="14"/>
        <v>679.80105786711499</v>
      </c>
      <c r="CY67" s="62">
        <f ca="1">AVERAGE(OFFSET($CX$3,0,0,'Données projet'!$E$13+1,1))-AVERAGE(OFFSET($H$3,0,0,'Données projet'!$E$13+1,1))</f>
        <v>399.78832690250164</v>
      </c>
      <c r="CZ67" s="62">
        <f t="shared" si="42"/>
        <v>174.32967064896343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>
        <f>EXP(-LN(2)/35)*DF66+(1-EXP(-LN(2)/35))/(LN(2)/35)*DB67*DC67*VLOOKUP('Données projet'!$B$13,Paramètres!$A$1:$I$89,3,0)*0.475*44/12</f>
        <v>0</v>
      </c>
      <c r="DG67" s="23">
        <f>EXP(-LN(2)/25)*DG66+(1-EXP(-LN(2)/25))/(LN(2)/25)*Calculateur!DB67*Calculateur!DD67*VLOOKUP('Données projet'!$B$13,Paramètres!$A$1:$I$89,3,0)*0.475*44/12</f>
        <v>0</v>
      </c>
      <c r="DH67" s="23">
        <f>EXP(-LN(2)/2)*DH66+(1-EXP(-LN(2)/2))/(LN(2)/2)*DB67*DE67*VLOOKUP('Données projet'!$B$13,Paramètres!$A$1:$I$89,3,0)*0.475*44/12</f>
        <v>0</v>
      </c>
      <c r="DI67" s="24">
        <f t="shared" si="15"/>
        <v>0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7.2</v>
      </c>
      <c r="DO67" s="13">
        <f>IF('Données projet'!$A$166&gt;35,DO66+DN67-DW66,IF(A67&lt;'Données projet'!$A$166,$DL$205^A67,IF(A67='Données projet'!$A$166,'Données projet'!$B$166,DO66+DN67-DW66)))</f>
        <v>221.79999999999993</v>
      </c>
      <c r="DP67" s="18">
        <f>DO67*VLOOKUP('Données projet'!$B$14,Paramètres!$A$1:$I$89,3,0)*VLOOKUP('Données projet'!$B$14,Paramètres!$A$1:$I$89,5,0)</f>
        <v>186.84431999999995</v>
      </c>
      <c r="DQ67" s="14">
        <f t="shared" si="43"/>
        <v>46.841598205171657</v>
      </c>
      <c r="DR67" s="22">
        <f t="shared" si="16"/>
        <v>407.00297420734051</v>
      </c>
      <c r="DS67" s="62">
        <f t="shared" si="17"/>
        <v>700.33630754067383</v>
      </c>
      <c r="DT67" s="62">
        <f ca="1">AVERAGE(OFFSET($DS$3,0,0,'Données projet'!$E$14+1,1))-AVERAGE(OFFSET($H$3,0,0,'Données projet'!$E$14+1,1))</f>
        <v>402.15128814037058</v>
      </c>
      <c r="DU67" s="62">
        <f t="shared" si="44"/>
        <v>232.85411068442738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>
        <f>EXP(-LN(2)/35)*EA66+(1-EXP(-LN(2)/35))/(LN(2)/35)*DW67*DX67*VLOOKUP('Données projet'!$B$14,Paramètres!$A$1:$I$89,3,0)*0.475*44/12</f>
        <v>0</v>
      </c>
      <c r="EB67" s="23">
        <f>EXP(-LN(2)/25)*EB66+(1-EXP(-LN(2)/25))/(LN(2)/25)*Calculateur!DW67*Calculateur!DY67*VLOOKUP('Données projet'!$B$14,Paramètres!$A$1:$I$89,3,0)*0.475*44/12</f>
        <v>0</v>
      </c>
      <c r="EC67" s="23">
        <f>EXP(-LN(2)/2)*EC66+(1-EXP(-LN(2)/2))/(LN(2)/2)*DW67*DZ67*VLOOKUP('Données projet'!$B$14,Paramètres!$A$1:$I$89,3,0)*0.475*44/12</f>
        <v>0</v>
      </c>
      <c r="ED67" s="24">
        <f t="shared" si="18"/>
        <v>0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6.0256410256410273</v>
      </c>
      <c r="EJ67" s="13">
        <f>IF('Données projet'!$A$192&gt;35,EJ66+EI67-ER66,IF(A67&lt;'Données projet'!$A$192,$EG$205^A67,IF(A67='Données projet'!$A$192,'Données projet'!$B$192,EJ66+EI67-ER66)))</f>
        <v>285.64102564102586</v>
      </c>
      <c r="EK67" s="18">
        <f>EJ67*VLOOKUP('Données projet'!$B$15,Paramètres!$A$1:$I$89,3,0)*VLOOKUP('Données projet'!$B$15,Paramètres!$A$1:$I$89,5,0)</f>
        <v>298.55200000000025</v>
      </c>
      <c r="EL67" s="14">
        <f t="shared" si="45"/>
        <v>70.872821631198264</v>
      </c>
      <c r="EM67" s="22">
        <f t="shared" si="19"/>
        <v>643.41489767433734</v>
      </c>
      <c r="EN67" s="62">
        <f t="shared" si="20"/>
        <v>936.74823100767071</v>
      </c>
      <c r="EO67" s="62">
        <f ca="1">AVERAGE(OFFSET($EN$3,0,0,'Données projet'!$E$15+1,1))-AVERAGE(OFFSET($H$3,0,0,'Données projet'!$E$15+1,1))</f>
        <v>595.89992279024398</v>
      </c>
      <c r="EP67" s="62">
        <f t="shared" si="46"/>
        <v>378.16197659288338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>
        <f>EXP(-LN(2)/35)*EV66+(1-EXP(-LN(2)/35))/(LN(2)/35)*ER67*ES67*VLOOKUP('Données projet'!$B$15,Paramètres!$A$1:$I$89,3,0)*0.475*44/12</f>
        <v>0</v>
      </c>
      <c r="EW67" s="23">
        <f>EXP(-LN(2)/25)*EW66+(1-EXP(-LN(2)/25))/(LN(2)/25)*Calculateur!ER67*Calculateur!ET67*VLOOKUP('Données projet'!$B$15,Paramètres!$A$1:$I$89,3,0)*0.475*44/12</f>
        <v>0</v>
      </c>
      <c r="EX67" s="23">
        <f>EXP(-LN(2)/2)*EX66+(1-EXP(-LN(2)/2))/(LN(2)/2)*ER67*EU67*VLOOKUP('Données projet'!$B$15,Paramètres!$A$1:$I$89,3,0)*0.475*44/12</f>
        <v>0</v>
      </c>
      <c r="EY67" s="24">
        <f t="shared" si="21"/>
        <v>0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-2.2737367544323206E-13</v>
      </c>
      <c r="FF67" s="18">
        <f>FE67*VLOOKUP('Données projet'!$B$16,Paramètres!$A$1:$I$89,3,0)*VLOOKUP('Données projet'!$B$16,Paramètres!$A$1:$I$89,5,0)</f>
        <v>-1.3596945791505279E-13</v>
      </c>
      <c r="FG67" s="14" t="e">
        <f t="shared" si="47"/>
        <v>#NUM!</v>
      </c>
      <c r="FH67" s="22" t="e">
        <f t="shared" si="22"/>
        <v>#NUM!</v>
      </c>
      <c r="FI67" s="62" t="e">
        <f t="shared" si="23"/>
        <v>#NUM!</v>
      </c>
      <c r="FJ67" s="62">
        <f ca="1">AVERAGE(OFFSET($FI$3,0,0,'Données projet'!$E$16+1,1))-AVERAGE(OFFSET($H$3,0,0,'Données projet'!$E$16+1,1))</f>
        <v>257.56116197646924</v>
      </c>
      <c r="FK67" s="62">
        <f t="shared" si="48"/>
        <v>269.95556918835888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>
        <f>EXP(-LN(2)/35)*FQ66+(1-EXP(-LN(2)/35))/(LN(2)/35)*FM67*FN67*VLOOKUP('Données projet'!$B$16,Paramètres!$A$1:$I$89,3,0)*0.475*44/12</f>
        <v>7.4365471075333289</v>
      </c>
      <c r="FR67" s="23">
        <f>EXP(-LN(2)/25)*FR66+(1-EXP(-LN(2)/25))/(LN(2)/25)*Calculateur!FM67*Calculateur!FO67*VLOOKUP('Données projet'!$B$16,Paramètres!$A$1:$I$89,3,0)*0.475*44/12</f>
        <v>6.2890553620645315</v>
      </c>
      <c r="FS67" s="23">
        <f>EXP(-LN(2)/2)*FS66+(1-EXP(-LN(2)/2))/(LN(2)/2)*FM67*FP67*VLOOKUP('Données projet'!$B$16,Paramètres!$A$1:$I$89,3,0)*0.475*44/12</f>
        <v>6.5262477279472224E-5</v>
      </c>
      <c r="FT67" s="24">
        <f t="shared" si="24"/>
        <v>13.72566773207514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9.1830769230769249</v>
      </c>
      <c r="FZ67" s="13">
        <f>IF('Données projet'!$A$244&gt;35,FZ66+FY67-GH66,IF(A67&lt;'Données projet'!$A$244,$FW$205^A67,IF(A67='Données projet'!$A$244,'Données projet'!$B$244,FZ66+FY67-GH66)))</f>
        <v>324.89384615384608</v>
      </c>
      <c r="GA67" s="18">
        <f>FZ67*VLOOKUP('Données projet'!$B$17,Paramètres!$A$1:$I$89,3,0)*VLOOKUP('Données projet'!$B$17,Paramètres!$A$1:$I$89,5,0)</f>
        <v>194.28651999999997</v>
      </c>
      <c r="GB67" s="14">
        <f t="shared" si="49"/>
        <v>48.486407543748122</v>
      </c>
      <c r="GC67" s="22">
        <f t="shared" si="25"/>
        <v>422.82951547202788</v>
      </c>
      <c r="GD67" s="62">
        <f t="shared" si="26"/>
        <v>716.16284880536114</v>
      </c>
      <c r="GE67" s="62">
        <f ca="1">AVERAGE(OFFSET($GD$3,0,0,'Données projet'!$E$17+1,1))-AVERAGE(OFFSET($H$3,0,0,'Données projet'!$E$17+1,1))</f>
        <v>289.12367833861299</v>
      </c>
      <c r="GF67" s="62">
        <f t="shared" si="50"/>
        <v>229.06617320689003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>
        <f>EXP(-LN(2)/35)*GL66+(1-EXP(-LN(2)/35))/(LN(2)/35)*GH67*GI67*VLOOKUP('Données projet'!$B$17,Paramètres!$A$1:$I$89,3,0)*0.475*44/12</f>
        <v>0</v>
      </c>
      <c r="GM67" s="23">
        <f>EXP(-LN(2)/25)*GM66+(1-EXP(-LN(2)/25))/(LN(2)/25)*Calculateur!GH67*Calculateur!GJ67*VLOOKUP('Données projet'!$B$17,Paramètres!$A$1:$I$89,3,0)*0.475*44/12</f>
        <v>0</v>
      </c>
      <c r="GN67" s="23">
        <f>EXP(-LN(2)/2)*GN66+(1-EXP(-LN(2)/2))/(LN(2)/2)*GH67*GK67*VLOOKUP('Données projet'!$B$17,Paramètres!$A$1:$I$89,3,0)*0.475*44/12</f>
        <v>3.1637840866283031E-5</v>
      </c>
      <c r="GO67" s="23">
        <f t="shared" si="27"/>
        <v>3.1637840866283031E-5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10.171794871794864</v>
      </c>
      <c r="GU67" s="13">
        <f>IF('Données projet'!$A$270&gt;35,GU66+GT67-HC66,IF(A67&lt;'Données projet'!$A$270,$GR$205^A67,IF(A67='Données projet'!$A$270,'Données projet'!$B$270,GU66+GT67-HC66)))</f>
        <v>264.86923076923085</v>
      </c>
      <c r="GV67" s="18">
        <f>GU67*VLOOKUP('Données projet'!$B$18,Paramètres!$A$1:$I$89,3,0)*VLOOKUP('Données projet'!$B$18,Paramètres!$A$1:$I$89,5,0)</f>
        <v>123.95880000000004</v>
      </c>
      <c r="GW67" s="14">
        <f t="shared" si="51"/>
        <v>32.596572974307513</v>
      </c>
      <c r="GX67" s="22">
        <f t="shared" si="28"/>
        <v>272.66727459691896</v>
      </c>
      <c r="GY67" s="62">
        <f t="shared" si="29"/>
        <v>566.00060793025227</v>
      </c>
      <c r="GZ67" s="62">
        <f ca="1">AVERAGE(OFFSET($GY$3,0,0,'Données projet'!$E$18+1,1))-AVERAGE(OFFSET($H$3,0,0,'Données projet'!$E$18+1,1))</f>
        <v>284.88646502866419</v>
      </c>
      <c r="HA67" s="62">
        <f t="shared" si="52"/>
        <v>190.4880882944471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>
        <f>EXP(-LN(2)/35)*HG66+(1-EXP(-LN(2)/35))/(LN(2)/35)*HC67*HD67*VLOOKUP('Données projet'!$B$18,Paramètres!$A$1:$I$89,3,0)*0.475*44/12</f>
        <v>0</v>
      </c>
      <c r="HH67" s="23">
        <f>EXP(-LN(2)/25)*HH66+(1-EXP(-LN(2)/25))/(LN(2)/25)*Calculateur!HC67*Calculateur!HE67*VLOOKUP('Données projet'!$B$18,Paramètres!$A$1:$I$89,3,0)*0.475*44/12</f>
        <v>0</v>
      </c>
      <c r="HI67" s="23">
        <f>EXP(-LN(2)/2)*HI66+(1-EXP(-LN(2)/2))/(LN(2)/2)*HC67*HF67*VLOOKUP('Données projet'!$B$18,Paramètres!$A$1:$I$89,3,0)*0.475*44/12</f>
        <v>0</v>
      </c>
      <c r="HJ67" s="24">
        <f t="shared" si="30"/>
        <v>0</v>
      </c>
    </row>
    <row r="68" spans="1:218" s="5" customFormat="1" x14ac:dyDescent="0.25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2">
        <f t="shared" si="32"/>
        <v>0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0</v>
      </c>
      <c r="H68" s="70">
        <f t="shared" ref="H68:H131" si="56">(B68+E68+F68)*44/12+(C68+D68)*0.475*44/12</f>
        <v>256.66666666666669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>
        <f>VLOOKUP(A68,'Données projet'!$A$35:$I$55,2,0)</f>
        <v>193.58974358974359</v>
      </c>
      <c r="L68" s="13">
        <f>VLOOKUP(A68,'Données projet'!$A$35:$I$55,9,0)</f>
        <v>4.6153846153846132</v>
      </c>
      <c r="M68" s="13">
        <f t="array" ref="M68">INDEX(L:L,MIN(IF(ISNUMBER(L68:L264),ROW(L68:L264),"")))</f>
        <v>4.6153846153846132</v>
      </c>
      <c r="N68" s="14">
        <f>IF('Données projet'!$A$36&gt;35,N67+M68-V67,IF(A68&lt;'Données projet'!$A$36,$K$205^A68,IF(A68='Données projet'!$A$36,'Données projet'!$B$36,N67+M68-V67)))</f>
        <v>193.58974358974351</v>
      </c>
      <c r="O68" s="14">
        <f>N68*VLOOKUP('Données projet'!$B$9,Paramètres!$A$1:$I$89,3,0)*VLOOKUP('Données projet'!$B$9,Paramètres!$A$1:$I$89,5,0)</f>
        <v>184.21999999999991</v>
      </c>
      <c r="P68" s="14">
        <f t="shared" si="33"/>
        <v>46.259788397695985</v>
      </c>
      <c r="Q68" s="22">
        <f t="shared" si="54"/>
        <v>401.4189647926537</v>
      </c>
      <c r="R68" s="62">
        <f t="shared" si="55"/>
        <v>694.75229812598695</v>
      </c>
      <c r="S68" s="62">
        <f ca="1">AVERAGE(OFFSET($R$3,0,0,'Données projet'!$E$9+1,1))-AVERAGE(OFFSET($H$3,0,0,'Données projet'!$E$9+1,1))</f>
        <v>367.11183928586667</v>
      </c>
      <c r="T68" s="62">
        <f t="shared" si="34"/>
        <v>281.52963027844595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0</v>
      </c>
      <c r="AA68" s="23">
        <f>EXP(-LN(2)/25)*AA67+(1-EXP(-LN(2)/25))/(LN(2)/25)*Calculateur!V68*Calculateur!X68*VLOOKUP('Données projet'!$B$9,Paramètres!$A$1:$I$89,3,0)*0.475*44/12</f>
        <v>0</v>
      </c>
      <c r="AB68" s="23">
        <f>EXP(-LN(2)/2)*AB67+(1-EXP(-LN(2)/2))/(LN(2)/2)*V68*Y68*VLOOKUP('Données projet'!$B$9,Paramètres!$A$1:$I$89,3,0)*0.475*44/12</f>
        <v>0</v>
      </c>
      <c r="AC68" s="24">
        <f t="shared" ref="AC68:AC131" si="57">SUM(Z68:AB68)</f>
        <v>0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>
        <f>VLOOKUP(A68,'Données projet'!$A$61:$I$81,2,0)</f>
        <v>229</v>
      </c>
      <c r="AG68" s="13">
        <f>VLOOKUP(A68,'Données projet'!$A$61:$I$81,9,0)</f>
        <v>7.2</v>
      </c>
      <c r="AH68" s="13">
        <f t="array" ref="AH68">INDEX(AG:AG,MIN(IF(ISNUMBER(AG68:AG264),ROW(AG68:AG264),"")))</f>
        <v>7.2</v>
      </c>
      <c r="AI68" s="14">
        <f>IF('Données projet'!$A$62&gt;35,AI67+AH68-AQ67,IF(A68&lt;'Données projet'!$A$62,$AF$205^A68,IF(A68='Données projet'!$A$62,'Données projet'!$B$62,AI67+AH68-AQ67)))</f>
        <v>228.99999999999991</v>
      </c>
      <c r="AJ68" s="14">
        <f>AI68*VLOOKUP('Données projet'!$B$10,Paramètres!$A$1:$I$89,3,0)*VLOOKUP('Données projet'!$B$10,Paramètres!$A$1:$I$89,5,0)</f>
        <v>207.19919999999991</v>
      </c>
      <c r="AK68" s="14">
        <f t="shared" si="35"/>
        <v>51.3230629736655</v>
      </c>
      <c r="AL68" s="22">
        <f t="shared" ref="AL68:AL131" si="58">(AJ68+AK68)*0.475*44/12</f>
        <v>450.25960801246725</v>
      </c>
      <c r="AM68" s="62">
        <f t="shared" ref="AM68:AM131" si="59">AL68+(AD68+AE68)*44/12</f>
        <v>743.59294134580057</v>
      </c>
      <c r="AN68" s="62">
        <f ca="1">AVERAGE(OFFSET($AM$3,0,0,'Données projet'!$E$10+1,1))-AVERAGE(OFFSET($H$3,0,0,'Données projet'!$E$10+1,1))</f>
        <v>428.8489304403459</v>
      </c>
      <c r="AO68" s="62">
        <f t="shared" si="36"/>
        <v>247.01165577562966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projet'!$B$10,Paramètres!$A$1:$I$89,3,0)*0.475*44/12</f>
        <v>0</v>
      </c>
      <c r="AV68" s="23">
        <f>EXP(-LN(2)/25)*AV67+(1-EXP(-LN(2)/25))/(LN(2)/25)*Calculateur!AQ68*Calculateur!AS68*VLOOKUP('Données projet'!$B$10,Paramètres!$A$1:$I$89,3,0)*0.475*44/12</f>
        <v>0</v>
      </c>
      <c r="AW68" s="23">
        <f>EXP(-LN(2)/2)*AW67+(1-EXP(-LN(2)/2))/(LN(2)/2)*AQ68*AT68*VLOOKUP('Données projet'!$B$10,Paramètres!$A$1:$I$89,3,0)*0.475*44/12</f>
        <v>0</v>
      </c>
      <c r="AX68" s="23">
        <f t="shared" ref="AX68:AX131" si="60">SUM(AU68:AW68)</f>
        <v>0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>
        <f>VLOOKUP(A68,'Données projet'!$A$87:$I$107,2,0)</f>
        <v>229</v>
      </c>
      <c r="BB68" s="13">
        <f>VLOOKUP(A68,'Données projet'!$A$87:$I$107,9,0)</f>
        <v>7.2</v>
      </c>
      <c r="BC68" s="13">
        <f t="array" ref="BC68">INDEX(BB:BB,MIN(IF(ISNUMBER(BB68:BB264),ROW(BB68:BB264),"")))</f>
        <v>7.2</v>
      </c>
      <c r="BD68" s="13">
        <f>IF('Données projet'!$A$88&gt;35,BD67+BC68-BL67,IF(A68&lt;'Données projet'!$A$88,$BA$205^A68,IF(A68='Données projet'!$A$88,'Données projet'!$B$88,BD67+BC68-BL67)))</f>
        <v>228.99999999999991</v>
      </c>
      <c r="BE68" s="14">
        <f>BD68*VLOOKUP('Données projet'!$B$11,Paramètres!$A$1:$I$89,3,0)*VLOOKUP('Données projet'!$B$11,Paramètres!$A$1:$I$89,5,0)</f>
        <v>232.2059999999999</v>
      </c>
      <c r="BF68" s="14">
        <f t="shared" si="37"/>
        <v>56.759404991217522</v>
      </c>
      <c r="BG68" s="22">
        <f t="shared" ref="BG68:BG131" si="61">(BE68+BF68)*0.475*44/12</f>
        <v>503.281413693037</v>
      </c>
      <c r="BH68" s="62">
        <f t="shared" ref="BH68:BH131" si="62">BG68+(AY68+AZ68)*44/12</f>
        <v>796.61474702637031</v>
      </c>
      <c r="BI68" s="62">
        <f ca="1">AVERAGE(OFFSET($BH$3,0,0,'Données projet'!$E$11+1,1))-AVERAGE(OFFSET($H$3,0,0,'Données projet'!$E$11+1,1))</f>
        <v>475.47920969424894</v>
      </c>
      <c r="BJ68" s="62">
        <f t="shared" si="38"/>
        <v>271.73544012419364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>
        <f>EXP(-LN(2)/35)*BP67+(1-EXP(-LN(2)/35))/(LN(2)/35)*BL68*BM68*VLOOKUP('Données projet'!$B$11,Paramètres!$A$1:$I$89,3,0)*0.475*44/12</f>
        <v>0</v>
      </c>
      <c r="BQ68" s="23">
        <f>EXP(-LN(2)/25)*BQ67+(1-EXP(-LN(2)/25))/(LN(2)/25)*Calculateur!BL68*Calculateur!BN68*VLOOKUP('Données projet'!$B$11,Paramètres!$A$1:$I$89,3,0)*0.475*44/12</f>
        <v>0</v>
      </c>
      <c r="BR68" s="23">
        <f>EXP(-LN(2)/2)*BR67+(1-EXP(-LN(2)/2))/(LN(2)/2)*BL68*BO68*VLOOKUP('Données projet'!$B$11,Paramètres!$A$1:$I$89,3,0)*0.475*44/12</f>
        <v>0</v>
      </c>
      <c r="BS68" s="24">
        <f t="shared" ref="BS68:BS131" si="63">SUM(BP68:BR68)</f>
        <v>0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13.373076923076932</v>
      </c>
      <c r="BY68" s="13">
        <f>IF('Données projet'!$A$114&gt;35,BY67+BX68-CG67,IF(A68&lt;'Données projet'!$A$114,$BV$205^A68,IF(A68='Données projet'!$A$114,'Données projet'!$B$114,BY67+BX68-CG67)))</f>
        <v>402.73846153846165</v>
      </c>
      <c r="BZ68" s="14">
        <f>BY68*VLOOKUP('Données projet'!$B$12,Paramètres!$A$1:$I$89,3,0)*VLOOKUP('Données projet'!$B$12,Paramètres!$A$1:$I$89,5,0)</f>
        <v>225.13080000000008</v>
      </c>
      <c r="CA68" s="14">
        <f t="shared" si="39"/>
        <v>55.228539095259954</v>
      </c>
      <c r="CB68" s="22">
        <f t="shared" ref="CB68:CB131" si="64">(BZ68+CA68)*0.475*44/12</f>
        <v>488.29251559091125</v>
      </c>
      <c r="CC68" s="62">
        <f t="shared" ref="CC68:CC131" si="65">CB68+(BT68+BU68)*44/12</f>
        <v>781.62584892424456</v>
      </c>
      <c r="CD68" s="62">
        <f ca="1">AVERAGE(OFFSET($CC$3,0,0,'Données projet'!$E$12+1,1))-AVERAGE(OFFSET($H$3,0,0,'Données projet'!$E$12+1,1))</f>
        <v>323.98185264074681</v>
      </c>
      <c r="CE68" s="62">
        <f t="shared" si="40"/>
        <v>301.22207291854005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>
        <f>EXP(-LN(2)/35)*CK67+(1-EXP(-LN(2)/35))/(LN(2)/35)*CG68*CH68*VLOOKUP('Données projet'!$B$12,Paramètres!$A$1:$I$89,3,0)*0.475*44/12</f>
        <v>2.2311605109343664</v>
      </c>
      <c r="CL68" s="23">
        <f>EXP(-LN(2)/25)*CL67+(1-EXP(-LN(2)/25))/(LN(2)/25)*Calculateur!CG68*Calculateur!CI68*VLOOKUP('Données projet'!$B$12,Paramètres!$A$1:$I$89,3,0)*0.475*44/12</f>
        <v>3.1251421737407146</v>
      </c>
      <c r="CM68" s="23">
        <f>EXP(-LN(2)/2)*CM67+(1-EXP(-LN(2)/2))/(LN(2)/2)*CG68*CJ68*VLOOKUP('Données projet'!$B$12,Paramètres!$A$1:$I$89,3,0)*0.475*44/12</f>
        <v>3.2842481531250402E-5</v>
      </c>
      <c r="CN68" s="24">
        <f t="shared" ref="CN68:CN131" si="66">SUM(CK68:CM68)</f>
        <v>5.3563355271566122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>
        <f>VLOOKUP(A68,'Données projet'!$A$139:$I$159,2,0)</f>
        <v>161</v>
      </c>
      <c r="CR68" s="13">
        <f>VLOOKUP(A68,'Données projet'!$A$139:$I$159,9,0)</f>
        <v>5.4</v>
      </c>
      <c r="CS68" s="13">
        <f t="array" ref="CS68">INDEX(CR:CR,MIN(IF(ISNUMBER(CR68:CR264),ROW(CR68:CR264),"")))</f>
        <v>5.4</v>
      </c>
      <c r="CT68" s="13">
        <f>IF('Données projet'!$A$140&gt;35,CT67+CS68-DB67,IF(A68&lt;'Données projet'!$A$140,$CQ$205^A68,IF(A68='Données projet'!$A$140,'Données projet'!$B$140,CT67+CS68-DB67)))</f>
        <v>161</v>
      </c>
      <c r="CU68" s="18">
        <f>CT68*VLOOKUP('Données projet'!$B$13,Paramètres!$A$1:$I$89,3,0)*VLOOKUP('Données projet'!$B$13,Paramètres!$A$1:$I$89,5,0)</f>
        <v>183.3468</v>
      </c>
      <c r="CV68" s="14">
        <f t="shared" si="41"/>
        <v>46.06598726946973</v>
      </c>
      <c r="CW68" s="22">
        <f t="shared" ref="CW68:CW131" si="67">(CU68+CV68)*0.475*44/12</f>
        <v>399.56060449432636</v>
      </c>
      <c r="CX68" s="62">
        <f t="shared" ref="CX68:CX131" si="68">CW68+(CO68+CP68)*44/12</f>
        <v>692.89393782765967</v>
      </c>
      <c r="CY68" s="62">
        <f ca="1">AVERAGE(OFFSET($CX$3,0,0,'Données projet'!$E$13+1,1))-AVERAGE(OFFSET($H$3,0,0,'Données projet'!$E$13+1,1))</f>
        <v>399.78832690250164</v>
      </c>
      <c r="CZ68" s="62">
        <f t="shared" si="42"/>
        <v>174.32967064896343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>
        <f>EXP(-LN(2)/35)*DF67+(1-EXP(-LN(2)/35))/(LN(2)/35)*DB68*DC68*VLOOKUP('Données projet'!$B$13,Paramètres!$A$1:$I$89,3,0)*0.475*44/12</f>
        <v>0</v>
      </c>
      <c r="DG68" s="23">
        <f>EXP(-LN(2)/25)*DG67+(1-EXP(-LN(2)/25))/(LN(2)/25)*Calculateur!DB68*Calculateur!DD68*VLOOKUP('Données projet'!$B$13,Paramètres!$A$1:$I$89,3,0)*0.475*44/12</f>
        <v>0</v>
      </c>
      <c r="DH68" s="23">
        <f>EXP(-LN(2)/2)*DH67+(1-EXP(-LN(2)/2))/(LN(2)/2)*DB68*DE68*VLOOKUP('Données projet'!$B$13,Paramètres!$A$1:$I$89,3,0)*0.475*44/12</f>
        <v>0</v>
      </c>
      <c r="DI68" s="24">
        <f t="shared" ref="DI68:DI131" si="69">SUM(DF68:DH68)</f>
        <v>0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>
        <f>VLOOKUP(A68,'Données projet'!$A$165:$I$185,2,0)</f>
        <v>229</v>
      </c>
      <c r="DM68" s="13">
        <f>VLOOKUP(A68,'Données projet'!$A$165:$I$185,9,0)</f>
        <v>7.2</v>
      </c>
      <c r="DN68" s="13">
        <f t="array" ref="DN68">INDEX(DM:DM,MIN(IF(ISNUMBER(DM68:DM264),ROW(DM68:DM264),"")))</f>
        <v>7.2</v>
      </c>
      <c r="DO68" s="13">
        <f>IF('Données projet'!$A$166&gt;35,DO67+DN68-DW67,IF(A68&lt;'Données projet'!$A$166,$DL$205^A68,IF(A68='Données projet'!$A$166,'Données projet'!$B$166,DO67+DN68-DW67)))</f>
        <v>228.99999999999991</v>
      </c>
      <c r="DP68" s="18">
        <f>DO68*VLOOKUP('Données projet'!$B$14,Paramètres!$A$1:$I$89,3,0)*VLOOKUP('Données projet'!$B$14,Paramètres!$A$1:$I$89,5,0)</f>
        <v>192.90959999999995</v>
      </c>
      <c r="DQ68" s="14">
        <f t="shared" si="43"/>
        <v>48.182654021446417</v>
      </c>
      <c r="DR68" s="22">
        <f t="shared" ref="DR68:DR131" si="70">(DP68+DQ68)*0.475*44/12</f>
        <v>419.90234242068573</v>
      </c>
      <c r="DS68" s="62">
        <f t="shared" ref="DS68:DS131" si="71">DR68+(DJ68+DK68)*44/12</f>
        <v>713.23567575401898</v>
      </c>
      <c r="DT68" s="62">
        <f ca="1">AVERAGE(OFFSET($DS$3,0,0,'Données projet'!$E$14+1,1))-AVERAGE(OFFSET($H$3,0,0,'Données projet'!$E$14+1,1))</f>
        <v>402.15128814037058</v>
      </c>
      <c r="DU68" s="62">
        <f t="shared" si="44"/>
        <v>232.85411068442738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>
        <f>EXP(-LN(2)/35)*EA67+(1-EXP(-LN(2)/35))/(LN(2)/35)*DW68*DX68*VLOOKUP('Données projet'!$B$14,Paramètres!$A$1:$I$89,3,0)*0.475*44/12</f>
        <v>0</v>
      </c>
      <c r="EB68" s="23">
        <f>EXP(-LN(2)/25)*EB67+(1-EXP(-LN(2)/25))/(LN(2)/25)*Calculateur!DW68*Calculateur!DY68*VLOOKUP('Données projet'!$B$14,Paramètres!$A$1:$I$89,3,0)*0.475*44/12</f>
        <v>0</v>
      </c>
      <c r="EC68" s="23">
        <f>EXP(-LN(2)/2)*EC67+(1-EXP(-LN(2)/2))/(LN(2)/2)*DW68*DZ68*VLOOKUP('Données projet'!$B$14,Paramètres!$A$1:$I$89,3,0)*0.475*44/12</f>
        <v>0</v>
      </c>
      <c r="ED68" s="24">
        <f t="shared" ref="ED68:ED131" si="72">SUM(EA68:EC68)</f>
        <v>0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>
        <f>VLOOKUP(A68,'Données projet'!$A$191:$I$211,2,0)</f>
        <v>291.66666666666663</v>
      </c>
      <c r="EH68" s="13">
        <f>VLOOKUP(A68,'Données projet'!$A$191:$I$211,9,0)</f>
        <v>6.0256410256410273</v>
      </c>
      <c r="EI68" s="13">
        <f t="array" ref="EI68">INDEX(EH:EH,MIN(IF(ISNUMBER(EH68:EH264),ROW(EH68:EH264),"")))</f>
        <v>6.0256410256410273</v>
      </c>
      <c r="EJ68" s="13">
        <f>IF('Données projet'!$A$192&gt;35,EJ67+EI68-ER67,IF(A68&lt;'Données projet'!$A$192,$EG$205^A68,IF(A68='Données projet'!$A$192,'Données projet'!$B$192,EJ67+EI68-ER67)))</f>
        <v>291.66666666666691</v>
      </c>
      <c r="EK68" s="18">
        <f>EJ68*VLOOKUP('Données projet'!$B$15,Paramètres!$A$1:$I$89,3,0)*VLOOKUP('Données projet'!$B$15,Paramètres!$A$1:$I$89,5,0)</f>
        <v>304.85000000000031</v>
      </c>
      <c r="EL68" s="14">
        <f t="shared" si="45"/>
        <v>72.192258816313696</v>
      </c>
      <c r="EM68" s="22">
        <f t="shared" ref="EM68:EM131" si="73">(EK68+EL68)*0.475*44/12</f>
        <v>656.68193410508013</v>
      </c>
      <c r="EN68" s="62">
        <f t="shared" ref="EN68:EN131" si="74">EM68+(EE68+EF68)*44/12</f>
        <v>950.0152674384135</v>
      </c>
      <c r="EO68" s="62">
        <f ca="1">AVERAGE(OFFSET($EN$3,0,0,'Données projet'!$E$15+1,1))-AVERAGE(OFFSET($H$3,0,0,'Données projet'!$E$15+1,1))</f>
        <v>595.89992279024398</v>
      </c>
      <c r="EP68" s="62">
        <f t="shared" si="46"/>
        <v>378.16197659288338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>
        <f>EXP(-LN(2)/35)*EV67+(1-EXP(-LN(2)/35))/(LN(2)/35)*ER68*ES68*VLOOKUP('Données projet'!$B$15,Paramètres!$A$1:$I$89,3,0)*0.475*44/12</f>
        <v>0</v>
      </c>
      <c r="EW68" s="23">
        <f>EXP(-LN(2)/25)*EW67+(1-EXP(-LN(2)/25))/(LN(2)/25)*Calculateur!ER68*Calculateur!ET68*VLOOKUP('Données projet'!$B$15,Paramètres!$A$1:$I$89,3,0)*0.475*44/12</f>
        <v>0</v>
      </c>
      <c r="EX68" s="23">
        <f>EXP(-LN(2)/2)*EX67+(1-EXP(-LN(2)/2))/(LN(2)/2)*ER68*EU68*VLOOKUP('Données projet'!$B$15,Paramètres!$A$1:$I$89,3,0)*0.475*44/12</f>
        <v>0</v>
      </c>
      <c r="EY68" s="24">
        <f t="shared" ref="EY68:EY131" si="75">SUM(EV68:EX68)</f>
        <v>0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-2.2737367544323206E-13</v>
      </c>
      <c r="FF68" s="18">
        <f>FE68*VLOOKUP('Données projet'!$B$16,Paramètres!$A$1:$I$89,3,0)*VLOOKUP('Données projet'!$B$16,Paramètres!$A$1:$I$89,5,0)</f>
        <v>-1.3596945791505279E-13</v>
      </c>
      <c r="FG68" s="14" t="e">
        <f t="shared" si="47"/>
        <v>#NUM!</v>
      </c>
      <c r="FH68" s="22" t="e">
        <f t="shared" ref="FH68:FH131" si="76">(FF68+FG68)*0.475*44/12</f>
        <v>#NUM!</v>
      </c>
      <c r="FI68" s="62" t="e">
        <f t="shared" ref="FI68:FI131" si="77">FH68+(EZ68+FA68)*44/12</f>
        <v>#NUM!</v>
      </c>
      <c r="FJ68" s="62">
        <f ca="1">AVERAGE(OFFSET($FI$3,0,0,'Données projet'!$E$16+1,1))-AVERAGE(OFFSET($H$3,0,0,'Données projet'!$E$16+1,1))</f>
        <v>257.56116197646924</v>
      </c>
      <c r="FK68" s="62">
        <f t="shared" si="48"/>
        <v>269.95556918835888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>
        <f>EXP(-LN(2)/35)*FQ67+(1-EXP(-LN(2)/35))/(LN(2)/35)*FM68*FN68*VLOOKUP('Données projet'!$B$16,Paramètres!$A$1:$I$89,3,0)*0.475*44/12</f>
        <v>7.2907209546004585</v>
      </c>
      <c r="FR68" s="23">
        <f>EXP(-LN(2)/25)*FR67+(1-EXP(-LN(2)/25))/(LN(2)/25)*Calculateur!FM68*Calculateur!FO68*VLOOKUP('Données projet'!$B$16,Paramètres!$A$1:$I$89,3,0)*0.475*44/12</f>
        <v>6.117080812461829</v>
      </c>
      <c r="FS68" s="23">
        <f>EXP(-LN(2)/2)*FS67+(1-EXP(-LN(2)/2))/(LN(2)/2)*FM68*FP68*VLOOKUP('Données projet'!$B$16,Paramètres!$A$1:$I$89,3,0)*0.475*44/12</f>
        <v>4.6147540241347796E-5</v>
      </c>
      <c r="FT68" s="24">
        <f t="shared" ref="FT68:FT131" si="78">SUM(FQ68:FS68)</f>
        <v>13.407847914602529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9.1830769230769249</v>
      </c>
      <c r="FZ68" s="13">
        <f>IF('Données projet'!$A$244&gt;35,FZ67+FY68-GH67,IF(A68&lt;'Données projet'!$A$244,$FW$205^A68,IF(A68='Données projet'!$A$244,'Données projet'!$B$244,FZ67+FY68-GH67)))</f>
        <v>334.07692307692298</v>
      </c>
      <c r="GA68" s="18">
        <f>FZ68*VLOOKUP('Données projet'!$B$17,Paramètres!$A$1:$I$89,3,0)*VLOOKUP('Données projet'!$B$17,Paramètres!$A$1:$I$89,5,0)</f>
        <v>199.77799999999996</v>
      </c>
      <c r="GB68" s="14">
        <f t="shared" si="49"/>
        <v>49.695375691492842</v>
      </c>
      <c r="GC68" s="22">
        <f t="shared" ref="GC68:GC131" si="79">(GA68+GB68)*0.475*44/12</f>
        <v>434.4994626626833</v>
      </c>
      <c r="GD68" s="62">
        <f t="shared" ref="GD68:GD131" si="80">GC68+(FU68+FV68)*44/12</f>
        <v>727.83279599601656</v>
      </c>
      <c r="GE68" s="62">
        <f ca="1">AVERAGE(OFFSET($GD$3,0,0,'Données projet'!$E$17+1,1))-AVERAGE(OFFSET($H$3,0,0,'Données projet'!$E$17+1,1))</f>
        <v>289.12367833861299</v>
      </c>
      <c r="GF68" s="62">
        <f t="shared" si="50"/>
        <v>229.06617320689003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>
        <f>EXP(-LN(2)/35)*GL67+(1-EXP(-LN(2)/35))/(LN(2)/35)*GH68*GI68*VLOOKUP('Données projet'!$B$17,Paramètres!$A$1:$I$89,3,0)*0.475*44/12</f>
        <v>0</v>
      </c>
      <c r="GM68" s="23">
        <f>EXP(-LN(2)/25)*GM67+(1-EXP(-LN(2)/25))/(LN(2)/25)*Calculateur!GH68*Calculateur!GJ68*VLOOKUP('Données projet'!$B$17,Paramètres!$A$1:$I$89,3,0)*0.475*44/12</f>
        <v>0</v>
      </c>
      <c r="GN68" s="23">
        <f>EXP(-LN(2)/2)*GN67+(1-EXP(-LN(2)/2))/(LN(2)/2)*GH68*GK68*VLOOKUP('Données projet'!$B$17,Paramètres!$A$1:$I$89,3,0)*0.475*44/12</f>
        <v>2.2371331818649607E-5</v>
      </c>
      <c r="GO68" s="23">
        <f t="shared" ref="GO68:GO131" si="81">SUM(GL68:GN68)</f>
        <v>2.2371331818649607E-5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10.171794871794864</v>
      </c>
      <c r="GU68" s="13">
        <f>IF('Données projet'!$A$270&gt;35,GU67+GT68-HC67,IF(A68&lt;'Données projet'!$A$270,$GR$205^A68,IF(A68='Données projet'!$A$270,'Données projet'!$B$270,GU67+GT68-HC67)))</f>
        <v>275.04102564102573</v>
      </c>
      <c r="GV68" s="18">
        <f>GU68*VLOOKUP('Données projet'!$B$18,Paramètres!$A$1:$I$89,3,0)*VLOOKUP('Données projet'!$B$18,Paramètres!$A$1:$I$89,5,0)</f>
        <v>128.71920000000006</v>
      </c>
      <c r="GW68" s="14">
        <f t="shared" si="51"/>
        <v>33.700233730079567</v>
      </c>
      <c r="GX68" s="22">
        <f t="shared" ref="GX68:GX131" si="82">(GV68+GW68)*0.475*44/12</f>
        <v>282.88051374655532</v>
      </c>
      <c r="GY68" s="62">
        <f t="shared" ref="GY68:GY131" si="83">GX68+(GP68+GQ68)*44/12</f>
        <v>576.21384707988864</v>
      </c>
      <c r="GZ68" s="62">
        <f ca="1">AVERAGE(OFFSET($GY$3,0,0,'Données projet'!$E$18+1,1))-AVERAGE(OFFSET($H$3,0,0,'Données projet'!$E$18+1,1))</f>
        <v>284.88646502866419</v>
      </c>
      <c r="HA68" s="62">
        <f t="shared" si="52"/>
        <v>190.4880882944471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>
        <f>EXP(-LN(2)/35)*HG67+(1-EXP(-LN(2)/35))/(LN(2)/35)*HC68*HD68*VLOOKUP('Données projet'!$B$18,Paramètres!$A$1:$I$89,3,0)*0.475*44/12</f>
        <v>0</v>
      </c>
      <c r="HH68" s="23">
        <f>EXP(-LN(2)/25)*HH67+(1-EXP(-LN(2)/25))/(LN(2)/25)*Calculateur!HC68*Calculateur!HE68*VLOOKUP('Données projet'!$B$18,Paramètres!$A$1:$I$89,3,0)*0.475*44/12</f>
        <v>0</v>
      </c>
      <c r="HI68" s="23">
        <f>EXP(-LN(2)/2)*HI67+(1-EXP(-LN(2)/2))/(LN(2)/2)*HC68*HF68*VLOOKUP('Données projet'!$B$18,Paramètres!$A$1:$I$89,3,0)*0.475*44/12</f>
        <v>0</v>
      </c>
      <c r="HJ68" s="24">
        <f t="shared" ref="HJ68:HJ131" si="84">SUM(HG68:HI68)</f>
        <v>0</v>
      </c>
    </row>
    <row r="69" spans="1:218" s="5" customFormat="1" x14ac:dyDescent="0.25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2">
        <f t="shared" ref="D69:D132" si="86">IFERROR(EXP(-1.0587+0.8836*LN(C69)+0.284),0)</f>
        <v>0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0</v>
      </c>
      <c r="H69" s="70">
        <f t="shared" si="56"/>
        <v>256.66666666666669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4.3589743589743595</v>
      </c>
      <c r="N69" s="14">
        <f>IF('Données projet'!$A$36&gt;35,N68+M69-V68,IF(A69&lt;'Données projet'!$A$36,$K$205^A69,IF(A69='Données projet'!$A$36,'Données projet'!$B$36,N68+M69-V68)))</f>
        <v>197.94871794871787</v>
      </c>
      <c r="O69" s="14">
        <f>N69*VLOOKUP('Données projet'!$B$9,Paramètres!$A$1:$I$89,3,0)*VLOOKUP('Données projet'!$B$9,Paramètres!$A$1:$I$89,5,0)</f>
        <v>188.36799999999994</v>
      </c>
      <c r="P69" s="14">
        <f t="shared" ref="P69:P132" si="87">EXP(-1.0587+0.8836*LN(O69)+0.284)</f>
        <v>47.17895987093894</v>
      </c>
      <c r="Q69" s="22">
        <f t="shared" si="54"/>
        <v>410.2442884418852</v>
      </c>
      <c r="R69" s="62">
        <f t="shared" si="55"/>
        <v>703.57762177521852</v>
      </c>
      <c r="S69" s="62">
        <f ca="1">AVERAGE(OFFSET($R$3,0,0,'Données projet'!$E$9+1,1))-AVERAGE(OFFSET($H$3,0,0,'Données projet'!$E$9+1,1))</f>
        <v>367.11183928586667</v>
      </c>
      <c r="T69" s="62">
        <f t="shared" ref="T69:T132" si="88">$T$3</f>
        <v>281.52963027844595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0</v>
      </c>
      <c r="AA69" s="23">
        <f>EXP(-LN(2)/25)*AA68+(1-EXP(-LN(2)/25))/(LN(2)/25)*Calculateur!V69*Calculateur!X69*VLOOKUP('Données projet'!$B$9,Paramètres!$A$1:$I$89,3,0)*0.475*44/12</f>
        <v>0</v>
      </c>
      <c r="AB69" s="23">
        <f>EXP(-LN(2)/2)*AB68+(1-EXP(-LN(2)/2))/(LN(2)/2)*V69*Y69*VLOOKUP('Données projet'!$B$9,Paramètres!$A$1:$I$89,3,0)*0.475*44/12</f>
        <v>0</v>
      </c>
      <c r="AC69" s="24">
        <f t="shared" si="57"/>
        <v>0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6.8</v>
      </c>
      <c r="AI69" s="14">
        <f>IF('Données projet'!$A$62&gt;35,AI68+AH69-AQ68,IF(A69&lt;'Données projet'!$A$62,$AF$205^A69,IF(A69='Données projet'!$A$62,'Données projet'!$B$62,AI68+AH69-AQ68)))</f>
        <v>235.79999999999993</v>
      </c>
      <c r="AJ69" s="14">
        <f>AI69*VLOOKUP('Données projet'!$B$10,Paramètres!$A$1:$I$89,3,0)*VLOOKUP('Données projet'!$B$10,Paramètres!$A$1:$I$89,5,0)</f>
        <v>213.35183999999992</v>
      </c>
      <c r="AK69" s="14">
        <f t="shared" ref="AK69:AK132" si="89">EXP(-1.0587+0.8836*LN(AJ69)+0.284)</f>
        <v>52.667370665417188</v>
      </c>
      <c r="AL69" s="22">
        <f t="shared" si="58"/>
        <v>463.31679190893482</v>
      </c>
      <c r="AM69" s="62">
        <f t="shared" si="59"/>
        <v>756.65012524226813</v>
      </c>
      <c r="AN69" s="62">
        <f ca="1">AVERAGE(OFFSET($AM$3,0,0,'Données projet'!$E$10+1,1))-AVERAGE(OFFSET($H$3,0,0,'Données projet'!$E$10+1,1))</f>
        <v>428.8489304403459</v>
      </c>
      <c r="AO69" s="62">
        <f t="shared" ref="AO69:AO132" si="90">$AO$3</f>
        <v>247.01165577562966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0</v>
      </c>
      <c r="AV69" s="23">
        <f>EXP(-LN(2)/25)*AV68+(1-EXP(-LN(2)/25))/(LN(2)/25)*Calculateur!AQ69*Calculateur!AS69*VLOOKUP('Données projet'!$B$10,Paramètres!$A$1:$I$89,3,0)*0.475*44/12</f>
        <v>0</v>
      </c>
      <c r="AW69" s="23">
        <f>EXP(-LN(2)/2)*AW68+(1-EXP(-LN(2)/2))/(LN(2)/2)*AQ69*AT69*VLOOKUP('Données projet'!$B$10,Paramètres!$A$1:$I$89,3,0)*0.475*44/12</f>
        <v>0</v>
      </c>
      <c r="AX69" s="23">
        <f t="shared" si="60"/>
        <v>0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6.8</v>
      </c>
      <c r="BD69" s="13">
        <f>IF('Données projet'!$A$88&gt;35,BD68+BC69-BL68,IF(A69&lt;'Données projet'!$A$88,$BA$205^A69,IF(A69='Données projet'!$A$88,'Données projet'!$B$88,BD68+BC69-BL68)))</f>
        <v>235.79999999999993</v>
      </c>
      <c r="BE69" s="14">
        <f>BD69*VLOOKUP('Données projet'!$B$11,Paramètres!$A$1:$I$89,3,0)*VLOOKUP('Données projet'!$B$11,Paramètres!$A$1:$I$89,5,0)</f>
        <v>239.10119999999995</v>
      </c>
      <c r="BF69" s="14">
        <f t="shared" ref="BF69:BF132" si="91">EXP(-1.0587+0.8836*LN(BE69)+0.284)</f>
        <v>58.246107075777331</v>
      </c>
      <c r="BG69" s="22">
        <f t="shared" si="61"/>
        <v>517.87989315697871</v>
      </c>
      <c r="BH69" s="62">
        <f t="shared" si="62"/>
        <v>811.21322649031208</v>
      </c>
      <c r="BI69" s="62">
        <f ca="1">AVERAGE(OFFSET($BH$3,0,0,'Données projet'!$E$11+1,1))-AVERAGE(OFFSET($H$3,0,0,'Données projet'!$E$11+1,1))</f>
        <v>475.47920969424894</v>
      </c>
      <c r="BJ69" s="62">
        <f t="shared" ref="BJ69:BJ132" si="92">$BJ$3</f>
        <v>271.73544012419364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>
        <f>EXP(-LN(2)/35)*BP68+(1-EXP(-LN(2)/35))/(LN(2)/35)*BL69*BM69*VLOOKUP('Données projet'!$B$11,Paramètres!$A$1:$I$89,3,0)*0.475*44/12</f>
        <v>0</v>
      </c>
      <c r="BQ69" s="23">
        <f>EXP(-LN(2)/25)*BQ68+(1-EXP(-LN(2)/25))/(LN(2)/25)*Calculateur!BL69*Calculateur!BN69*VLOOKUP('Données projet'!$B$11,Paramètres!$A$1:$I$89,3,0)*0.475*44/12</f>
        <v>0</v>
      </c>
      <c r="BR69" s="23">
        <f>EXP(-LN(2)/2)*BR68+(1-EXP(-LN(2)/2))/(LN(2)/2)*BL69*BO69*VLOOKUP('Données projet'!$B$11,Paramètres!$A$1:$I$89,3,0)*0.475*44/12</f>
        <v>0</v>
      </c>
      <c r="BS69" s="24">
        <f t="shared" si="63"/>
        <v>0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13.373076923076932</v>
      </c>
      <c r="BY69" s="13">
        <f>IF('Données projet'!$A$114&gt;35,BY68+BX69-CG68,IF(A69&lt;'Données projet'!$A$114,$BV$205^A69,IF(A69='Données projet'!$A$114,'Données projet'!$B$114,BY68+BX69-CG68)))</f>
        <v>416.1115384615386</v>
      </c>
      <c r="BZ69" s="14">
        <f>BY69*VLOOKUP('Données projet'!$B$12,Paramètres!$A$1:$I$89,3,0)*VLOOKUP('Données projet'!$B$12,Paramètres!$A$1:$I$89,5,0)</f>
        <v>232.60635000000008</v>
      </c>
      <c r="CA69" s="14">
        <f t="shared" ref="CA69:CA132" si="93">EXP(-1.0587+0.8836*LN(BZ69)+0.284)</f>
        <v>56.845865220702599</v>
      </c>
      <c r="CB69" s="22">
        <f t="shared" si="64"/>
        <v>504.12927484272382</v>
      </c>
      <c r="CC69" s="62">
        <f t="shared" si="65"/>
        <v>797.46260817605707</v>
      </c>
      <c r="CD69" s="62">
        <f ca="1">AVERAGE(OFFSET($CC$3,0,0,'Données projet'!$E$12+1,1))-AVERAGE(OFFSET($H$3,0,0,'Données projet'!$E$12+1,1))</f>
        <v>323.98185264074681</v>
      </c>
      <c r="CE69" s="62">
        <f t="shared" ref="CE69:CE132" si="94">$CE$3</f>
        <v>301.22207291854005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>
        <f>EXP(-LN(2)/35)*CK68+(1-EXP(-LN(2)/35))/(LN(2)/35)*CG69*CH69*VLOOKUP('Données projet'!$B$12,Paramètres!$A$1:$I$89,3,0)*0.475*44/12</f>
        <v>2.1874088141884802</v>
      </c>
      <c r="CL69" s="23">
        <f>EXP(-LN(2)/25)*CL68+(1-EXP(-LN(2)/25))/(LN(2)/25)*Calculateur!CG69*Calculateur!CI69*VLOOKUP('Données projet'!$B$12,Paramètres!$A$1:$I$89,3,0)*0.475*44/12</f>
        <v>3.0396849966556903</v>
      </c>
      <c r="CM69" s="23">
        <f>EXP(-LN(2)/2)*CM68+(1-EXP(-LN(2)/2))/(LN(2)/2)*CG69*CJ69*VLOOKUP('Données projet'!$B$12,Paramètres!$A$1:$I$89,3,0)*0.475*44/12</f>
        <v>2.3223141401741107E-5</v>
      </c>
      <c r="CN69" s="24">
        <f t="shared" si="66"/>
        <v>5.2271170339855724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5</v>
      </c>
      <c r="CT69" s="13">
        <f>IF('Données projet'!$A$140&gt;35,CT68+CS69-DB68,IF(A69&lt;'Données projet'!$A$140,$CQ$205^A69,IF(A69='Données projet'!$A$140,'Données projet'!$B$140,CT68+CS69-DB68)))</f>
        <v>166</v>
      </c>
      <c r="CU69" s="18">
        <f>CT69*VLOOKUP('Données projet'!$B$13,Paramètres!$A$1:$I$89,3,0)*VLOOKUP('Données projet'!$B$13,Paramètres!$A$1:$I$89,5,0)</f>
        <v>189.04079999999999</v>
      </c>
      <c r="CV69" s="14">
        <f t="shared" ref="CV69:CV132" si="95">EXP(-1.0587+0.8836*LN(CU69)+0.284)</f>
        <v>47.327824924099076</v>
      </c>
      <c r="CW69" s="22">
        <f t="shared" si="67"/>
        <v>411.67535507613917</v>
      </c>
      <c r="CX69" s="62">
        <f t="shared" si="68"/>
        <v>705.00868840947248</v>
      </c>
      <c r="CY69" s="62">
        <f ca="1">AVERAGE(OFFSET($CX$3,0,0,'Données projet'!$E$13+1,1))-AVERAGE(OFFSET($H$3,0,0,'Données projet'!$E$13+1,1))</f>
        <v>399.78832690250164</v>
      </c>
      <c r="CZ69" s="62">
        <f t="shared" ref="CZ69:CZ132" si="96">$CZ$3</f>
        <v>174.32967064896343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>
        <f>EXP(-LN(2)/35)*DF68+(1-EXP(-LN(2)/35))/(LN(2)/35)*DB69*DC69*VLOOKUP('Données projet'!$B$13,Paramètres!$A$1:$I$89,3,0)*0.475*44/12</f>
        <v>0</v>
      </c>
      <c r="DG69" s="23">
        <f>EXP(-LN(2)/25)*DG68+(1-EXP(-LN(2)/25))/(LN(2)/25)*Calculateur!DB69*Calculateur!DD69*VLOOKUP('Données projet'!$B$13,Paramètres!$A$1:$I$89,3,0)*0.475*44/12</f>
        <v>0</v>
      </c>
      <c r="DH69" s="23">
        <f>EXP(-LN(2)/2)*DH68+(1-EXP(-LN(2)/2))/(LN(2)/2)*DB69*DE69*VLOOKUP('Données projet'!$B$13,Paramètres!$A$1:$I$89,3,0)*0.475*44/12</f>
        <v>0</v>
      </c>
      <c r="DI69" s="24">
        <f t="shared" si="69"/>
        <v>0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6.8</v>
      </c>
      <c r="DO69" s="13">
        <f>IF('Données projet'!$A$166&gt;35,DO68+DN69-DW68,IF(A69&lt;'Données projet'!$A$166,$DL$205^A69,IF(A69='Données projet'!$A$166,'Données projet'!$B$166,DO68+DN69-DW68)))</f>
        <v>235.79999999999993</v>
      </c>
      <c r="DP69" s="18">
        <f>DO69*VLOOKUP('Données projet'!$B$14,Paramètres!$A$1:$I$89,3,0)*VLOOKUP('Données projet'!$B$14,Paramètres!$A$1:$I$89,5,0)</f>
        <v>198.63791999999995</v>
      </c>
      <c r="DQ69" s="14">
        <f t="shared" ref="DQ69:DQ132" si="97">EXP(-1.0587+0.8836*LN(DP69)+0.284)</f>
        <v>49.444704816101329</v>
      </c>
      <c r="DR69" s="22">
        <f t="shared" si="70"/>
        <v>432.07723822137638</v>
      </c>
      <c r="DS69" s="62">
        <f t="shared" si="71"/>
        <v>725.41057155470969</v>
      </c>
      <c r="DT69" s="62">
        <f ca="1">AVERAGE(OFFSET($DS$3,0,0,'Données projet'!$E$14+1,1))-AVERAGE(OFFSET($H$3,0,0,'Données projet'!$E$14+1,1))</f>
        <v>402.15128814037058</v>
      </c>
      <c r="DU69" s="62">
        <f t="shared" ref="DU69:DU132" si="98">$DU$3</f>
        <v>232.85411068442738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>
        <f>EXP(-LN(2)/35)*EA68+(1-EXP(-LN(2)/35))/(LN(2)/35)*DW69*DX69*VLOOKUP('Données projet'!$B$14,Paramètres!$A$1:$I$89,3,0)*0.475*44/12</f>
        <v>0</v>
      </c>
      <c r="EB69" s="23">
        <f>EXP(-LN(2)/25)*EB68+(1-EXP(-LN(2)/25))/(LN(2)/25)*Calculateur!DW69*Calculateur!DY69*VLOOKUP('Données projet'!$B$14,Paramètres!$A$1:$I$89,3,0)*0.475*44/12</f>
        <v>0</v>
      </c>
      <c r="EC69" s="23">
        <f>EXP(-LN(2)/2)*EC68+(1-EXP(-LN(2)/2))/(LN(2)/2)*DW69*DZ69*VLOOKUP('Données projet'!$B$14,Paramètres!$A$1:$I$89,3,0)*0.475*44/12</f>
        <v>0</v>
      </c>
      <c r="ED69" s="24">
        <f t="shared" si="72"/>
        <v>0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5.6410256410256467</v>
      </c>
      <c r="EJ69" s="13">
        <f>IF('Données projet'!$A$192&gt;35,EJ68+EI69-ER68,IF(A69&lt;'Données projet'!$A$192,$EG$205^A69,IF(A69='Données projet'!$A$192,'Données projet'!$B$192,EJ68+EI69-ER68)))</f>
        <v>297.30769230769255</v>
      </c>
      <c r="EK69" s="18">
        <f>EJ69*VLOOKUP('Données projet'!$B$15,Paramètres!$A$1:$I$89,3,0)*VLOOKUP('Données projet'!$B$15,Paramètres!$A$1:$I$89,5,0)</f>
        <v>310.74600000000032</v>
      </c>
      <c r="EL69" s="14">
        <f t="shared" ref="EL69:EL132" si="99">EXP(-1.0587+0.8836*LN(EK69)+0.284)</f>
        <v>73.424602863040889</v>
      </c>
      <c r="EM69" s="22">
        <f t="shared" si="73"/>
        <v>669.09713331979674</v>
      </c>
      <c r="EN69" s="62">
        <f t="shared" si="74"/>
        <v>962.43046665313</v>
      </c>
      <c r="EO69" s="62">
        <f ca="1">AVERAGE(OFFSET($EN$3,0,0,'Données projet'!$E$15+1,1))-AVERAGE(OFFSET($H$3,0,0,'Données projet'!$E$15+1,1))</f>
        <v>595.89992279024398</v>
      </c>
      <c r="EP69" s="62">
        <f t="shared" ref="EP69:EP132" si="100">$EP$3</f>
        <v>378.16197659288338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>
        <f>EXP(-LN(2)/35)*EV68+(1-EXP(-LN(2)/35))/(LN(2)/35)*ER69*ES69*VLOOKUP('Données projet'!$B$15,Paramètres!$A$1:$I$89,3,0)*0.475*44/12</f>
        <v>0</v>
      </c>
      <c r="EW69" s="23">
        <f>EXP(-LN(2)/25)*EW68+(1-EXP(-LN(2)/25))/(LN(2)/25)*Calculateur!ER69*Calculateur!ET69*VLOOKUP('Données projet'!$B$15,Paramètres!$A$1:$I$89,3,0)*0.475*44/12</f>
        <v>0</v>
      </c>
      <c r="EX69" s="23">
        <f>EXP(-LN(2)/2)*EX68+(1-EXP(-LN(2)/2))/(LN(2)/2)*ER69*EU69*VLOOKUP('Données projet'!$B$15,Paramètres!$A$1:$I$89,3,0)*0.475*44/12</f>
        <v>0</v>
      </c>
      <c r="EY69" s="24">
        <f t="shared" si="75"/>
        <v>0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-2.2737367544323206E-13</v>
      </c>
      <c r="FF69" s="18">
        <f>FE69*VLOOKUP('Données projet'!$B$16,Paramètres!$A$1:$I$89,3,0)*VLOOKUP('Données projet'!$B$16,Paramètres!$A$1:$I$89,5,0)</f>
        <v>-1.3596945791505279E-13</v>
      </c>
      <c r="FG69" s="14" t="e">
        <f t="shared" ref="FG69:FG132" si="101">EXP(-1.0587+0.8836*LN(FF69)+0.284)</f>
        <v>#NUM!</v>
      </c>
      <c r="FH69" s="22" t="e">
        <f t="shared" si="76"/>
        <v>#NUM!</v>
      </c>
      <c r="FI69" s="62" t="e">
        <f t="shared" si="77"/>
        <v>#NUM!</v>
      </c>
      <c r="FJ69" s="62">
        <f ca="1">AVERAGE(OFFSET($FI$3,0,0,'Données projet'!$E$16+1,1))-AVERAGE(OFFSET($H$3,0,0,'Données projet'!$E$16+1,1))</f>
        <v>257.56116197646924</v>
      </c>
      <c r="FK69" s="62">
        <f t="shared" ref="FK69:FK132" si="102">$FK$3</f>
        <v>269.95556918835888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>
        <f>EXP(-LN(2)/35)*FQ68+(1-EXP(-LN(2)/35))/(LN(2)/35)*FM69*FN69*VLOOKUP('Données projet'!$B$16,Paramètres!$A$1:$I$89,3,0)*0.475*44/12</f>
        <v>7.1477543635814307</v>
      </c>
      <c r="FR69" s="23">
        <f>EXP(-LN(2)/25)*FR68+(1-EXP(-LN(2)/25))/(LN(2)/25)*Calculateur!FM69*Calculateur!FO69*VLOOKUP('Données projet'!$B$16,Paramètres!$A$1:$I$89,3,0)*0.475*44/12</f>
        <v>5.9498089159617615</v>
      </c>
      <c r="FS69" s="23">
        <f>EXP(-LN(2)/2)*FS68+(1-EXP(-LN(2)/2))/(LN(2)/2)*FM69*FP69*VLOOKUP('Données projet'!$B$16,Paramètres!$A$1:$I$89,3,0)*0.475*44/12</f>
        <v>3.2631238639736112E-5</v>
      </c>
      <c r="FT69" s="24">
        <f t="shared" si="78"/>
        <v>13.09759591078183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9.1830769230769249</v>
      </c>
      <c r="FZ69" s="13">
        <f>IF('Données projet'!$A$244&gt;35,FZ68+FY69-GH68,IF(A69&lt;'Données projet'!$A$244,$FW$205^A69,IF(A69='Données projet'!$A$244,'Données projet'!$B$244,FZ68+FY69-GH68)))</f>
        <v>343.25999999999988</v>
      </c>
      <c r="GA69" s="18">
        <f>FZ69*VLOOKUP('Données projet'!$B$17,Paramètres!$A$1:$I$89,3,0)*VLOOKUP('Données projet'!$B$17,Paramètres!$A$1:$I$89,5,0)</f>
        <v>205.26947999999996</v>
      </c>
      <c r="GB69" s="14">
        <f t="shared" ref="GB69:GB132" si="103">EXP(-1.0587+0.8836*LN(GA69)+0.284)</f>
        <v>50.900481301079942</v>
      </c>
      <c r="GC69" s="22">
        <f t="shared" si="79"/>
        <v>446.16268259938084</v>
      </c>
      <c r="GD69" s="62">
        <f t="shared" si="80"/>
        <v>739.49601593271416</v>
      </c>
      <c r="GE69" s="62">
        <f ca="1">AVERAGE(OFFSET($GD$3,0,0,'Données projet'!$E$17+1,1))-AVERAGE(OFFSET($H$3,0,0,'Données projet'!$E$17+1,1))</f>
        <v>289.12367833861299</v>
      </c>
      <c r="GF69" s="62">
        <f t="shared" ref="GF69:GF132" si="104">$GF$3</f>
        <v>229.06617320689003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>
        <f>EXP(-LN(2)/35)*GL68+(1-EXP(-LN(2)/35))/(LN(2)/35)*GH69*GI69*VLOOKUP('Données projet'!$B$17,Paramètres!$A$1:$I$89,3,0)*0.475*44/12</f>
        <v>0</v>
      </c>
      <c r="GM69" s="23">
        <f>EXP(-LN(2)/25)*GM68+(1-EXP(-LN(2)/25))/(LN(2)/25)*Calculateur!GH69*Calculateur!GJ69*VLOOKUP('Données projet'!$B$17,Paramètres!$A$1:$I$89,3,0)*0.475*44/12</f>
        <v>0</v>
      </c>
      <c r="GN69" s="23">
        <f>EXP(-LN(2)/2)*GN68+(1-EXP(-LN(2)/2))/(LN(2)/2)*GH69*GK69*VLOOKUP('Données projet'!$B$17,Paramètres!$A$1:$I$89,3,0)*0.475*44/12</f>
        <v>1.5818920433141516E-5</v>
      </c>
      <c r="GO69" s="23">
        <f t="shared" si="81"/>
        <v>1.5818920433141516E-5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10.171794871794864</v>
      </c>
      <c r="GU69" s="13">
        <f>IF('Données projet'!$A$270&gt;35,GU68+GT69-HC68,IF(A69&lt;'Données projet'!$A$270,$GR$205^A69,IF(A69='Données projet'!$A$270,'Données projet'!$B$270,GU68+GT69-HC68)))</f>
        <v>285.2128205128206</v>
      </c>
      <c r="GV69" s="18">
        <f>GU69*VLOOKUP('Données projet'!$B$18,Paramètres!$A$1:$I$89,3,0)*VLOOKUP('Données projet'!$B$18,Paramètres!$A$1:$I$89,5,0)</f>
        <v>133.47960000000003</v>
      </c>
      <c r="GW69" s="14">
        <f t="shared" ref="GW69:GW132" si="105">EXP(-1.0587+0.8836*LN(GV69)+0.284)</f>
        <v>34.799152515460499</v>
      </c>
      <c r="GX69" s="22">
        <f t="shared" si="82"/>
        <v>293.08549396442709</v>
      </c>
      <c r="GY69" s="62">
        <f t="shared" si="83"/>
        <v>586.41882729776034</v>
      </c>
      <c r="GZ69" s="62">
        <f ca="1">AVERAGE(OFFSET($GY$3,0,0,'Données projet'!$E$18+1,1))-AVERAGE(OFFSET($H$3,0,0,'Données projet'!$E$18+1,1))</f>
        <v>284.88646502866419</v>
      </c>
      <c r="HA69" s="62">
        <f t="shared" ref="HA69:HA132" si="106">$HA$3</f>
        <v>190.4880882944471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>
        <f>EXP(-LN(2)/35)*HG68+(1-EXP(-LN(2)/35))/(LN(2)/35)*HC69*HD69*VLOOKUP('Données projet'!$B$18,Paramètres!$A$1:$I$89,3,0)*0.475*44/12</f>
        <v>0</v>
      </c>
      <c r="HH69" s="23">
        <f>EXP(-LN(2)/25)*HH68+(1-EXP(-LN(2)/25))/(LN(2)/25)*Calculateur!HC69*Calculateur!HE69*VLOOKUP('Données projet'!$B$18,Paramètres!$A$1:$I$89,3,0)*0.475*44/12</f>
        <v>0</v>
      </c>
      <c r="HI69" s="23">
        <f>EXP(-LN(2)/2)*HI68+(1-EXP(-LN(2)/2))/(LN(2)/2)*HC69*HF69*VLOOKUP('Données projet'!$B$18,Paramètres!$A$1:$I$89,3,0)*0.475*44/12</f>
        <v>0</v>
      </c>
      <c r="HJ69" s="24">
        <f t="shared" si="84"/>
        <v>0</v>
      </c>
    </row>
    <row r="70" spans="1:218" s="5" customFormat="1" x14ac:dyDescent="0.25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2">
        <f t="shared" si="86"/>
        <v>0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0</v>
      </c>
      <c r="H70" s="70">
        <f t="shared" si="56"/>
        <v>256.66666666666669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4.3589743589743595</v>
      </c>
      <c r="N70" s="14">
        <f>IF('Données projet'!$A$36&gt;35,N69+M70-V69,IF(A70&lt;'Données projet'!$A$36,$K$205^A70,IF(A70='Données projet'!$A$36,'Données projet'!$B$36,N69+M70-V69)))</f>
        <v>202.30769230769224</v>
      </c>
      <c r="O70" s="14">
        <f>N70*VLOOKUP('Données projet'!$B$9,Paramètres!$A$1:$I$89,3,0)*VLOOKUP('Données projet'!$B$9,Paramètres!$A$1:$I$89,5,0)</f>
        <v>192.51599999999993</v>
      </c>
      <c r="P70" s="14">
        <f t="shared" si="87"/>
        <v>48.095778128339838</v>
      </c>
      <c r="Q70" s="22">
        <f t="shared" si="54"/>
        <v>419.0655135735251</v>
      </c>
      <c r="R70" s="62">
        <f t="shared" si="55"/>
        <v>712.39884690685835</v>
      </c>
      <c r="S70" s="62">
        <f ca="1">AVERAGE(OFFSET($R$3,0,0,'Données projet'!$E$9+1,1))-AVERAGE(OFFSET($H$3,0,0,'Données projet'!$E$9+1,1))</f>
        <v>367.11183928586667</v>
      </c>
      <c r="T70" s="62">
        <f t="shared" si="88"/>
        <v>281.52963027844595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0</v>
      </c>
      <c r="AA70" s="23">
        <f>EXP(-LN(2)/25)*AA69+(1-EXP(-LN(2)/25))/(LN(2)/25)*Calculateur!V70*Calculateur!X70*VLOOKUP('Données projet'!$B$9,Paramètres!$A$1:$I$89,3,0)*0.475*44/12</f>
        <v>0</v>
      </c>
      <c r="AB70" s="23">
        <f>EXP(-LN(2)/2)*AB69+(1-EXP(-LN(2)/2))/(LN(2)/2)*V70*Y70*VLOOKUP('Données projet'!$B$9,Paramètres!$A$1:$I$89,3,0)*0.475*44/12</f>
        <v>0</v>
      </c>
      <c r="AC70" s="24">
        <f t="shared" si="57"/>
        <v>0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6.8</v>
      </c>
      <c r="AI70" s="14">
        <f>IF('Données projet'!$A$62&gt;35,AI69+AH70-AQ69,IF(A70&lt;'Données projet'!$A$62,$AF$205^A70,IF(A70='Données projet'!$A$62,'Données projet'!$B$62,AI69+AH70-AQ69)))</f>
        <v>242.59999999999994</v>
      </c>
      <c r="AJ70" s="14">
        <f>AI70*VLOOKUP('Données projet'!$B$10,Paramètres!$A$1:$I$89,3,0)*VLOOKUP('Données projet'!$B$10,Paramètres!$A$1:$I$89,5,0)</f>
        <v>219.50447999999992</v>
      </c>
      <c r="AK70" s="14">
        <f t="shared" si="89"/>
        <v>54.007172767040167</v>
      </c>
      <c r="AL70" s="22">
        <f t="shared" si="58"/>
        <v>476.36612856926143</v>
      </c>
      <c r="AM70" s="62">
        <f t="shared" si="59"/>
        <v>769.69946190259475</v>
      </c>
      <c r="AN70" s="62">
        <f ca="1">AVERAGE(OFFSET($AM$3,0,0,'Données projet'!$E$10+1,1))-AVERAGE(OFFSET($H$3,0,0,'Données projet'!$E$10+1,1))</f>
        <v>428.8489304403459</v>
      </c>
      <c r="AO70" s="62">
        <f t="shared" si="90"/>
        <v>247.01165577562966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0</v>
      </c>
      <c r="AV70" s="23">
        <f>EXP(-LN(2)/25)*AV69+(1-EXP(-LN(2)/25))/(LN(2)/25)*Calculateur!AQ70*Calculateur!AS70*VLOOKUP('Données projet'!$B$10,Paramètres!$A$1:$I$89,3,0)*0.475*44/12</f>
        <v>0</v>
      </c>
      <c r="AW70" s="23">
        <f>EXP(-LN(2)/2)*AW69+(1-EXP(-LN(2)/2))/(LN(2)/2)*AQ70*AT70*VLOOKUP('Données projet'!$B$10,Paramètres!$A$1:$I$89,3,0)*0.475*44/12</f>
        <v>0</v>
      </c>
      <c r="AX70" s="23">
        <f t="shared" si="60"/>
        <v>0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6.8</v>
      </c>
      <c r="BD70" s="13">
        <f>IF('Données projet'!$A$88&gt;35,BD69+BC70-BL69,IF(A70&lt;'Données projet'!$A$88,$BA$205^A70,IF(A70='Données projet'!$A$88,'Données projet'!$B$88,BD69+BC70-BL69)))</f>
        <v>242.59999999999994</v>
      </c>
      <c r="BE70" s="14">
        <f>BD70*VLOOKUP('Données projet'!$B$11,Paramètres!$A$1:$I$89,3,0)*VLOOKUP('Données projet'!$B$11,Paramètres!$A$1:$I$89,5,0)</f>
        <v>245.99639999999997</v>
      </c>
      <c r="BF70" s="14">
        <f t="shared" si="91"/>
        <v>59.72782632026442</v>
      </c>
      <c r="BG70" s="22">
        <f t="shared" si="61"/>
        <v>532.46969417446041</v>
      </c>
      <c r="BH70" s="62">
        <f t="shared" si="62"/>
        <v>825.80302750779379</v>
      </c>
      <c r="BI70" s="62">
        <f ca="1">AVERAGE(OFFSET($BH$3,0,0,'Données projet'!$E$11+1,1))-AVERAGE(OFFSET($H$3,0,0,'Données projet'!$E$11+1,1))</f>
        <v>475.47920969424894</v>
      </c>
      <c r="BJ70" s="62">
        <f t="shared" si="92"/>
        <v>271.73544012419364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>
        <f>EXP(-LN(2)/35)*BP69+(1-EXP(-LN(2)/35))/(LN(2)/35)*BL70*BM70*VLOOKUP('Données projet'!$B$11,Paramètres!$A$1:$I$89,3,0)*0.475*44/12</f>
        <v>0</v>
      </c>
      <c r="BQ70" s="23">
        <f>EXP(-LN(2)/25)*BQ69+(1-EXP(-LN(2)/25))/(LN(2)/25)*Calculateur!BL70*Calculateur!BN70*VLOOKUP('Données projet'!$B$11,Paramètres!$A$1:$I$89,3,0)*0.475*44/12</f>
        <v>0</v>
      </c>
      <c r="BR70" s="23">
        <f>EXP(-LN(2)/2)*BR69+(1-EXP(-LN(2)/2))/(LN(2)/2)*BL70*BO70*VLOOKUP('Données projet'!$B$11,Paramètres!$A$1:$I$89,3,0)*0.475*44/12</f>
        <v>0</v>
      </c>
      <c r="BS70" s="24">
        <f t="shared" si="63"/>
        <v>0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13.373076923076932</v>
      </c>
      <c r="BY70" s="13">
        <f>IF('Données projet'!$A$114&gt;35,BY69+BX70-CG69,IF(A70&lt;'Données projet'!$A$114,$BV$205^A70,IF(A70='Données projet'!$A$114,'Données projet'!$B$114,BY69+BX70-CG69)))</f>
        <v>429.48461538461555</v>
      </c>
      <c r="BZ70" s="14">
        <f>BY70*VLOOKUP('Données projet'!$B$12,Paramètres!$A$1:$I$89,3,0)*VLOOKUP('Données projet'!$B$12,Paramètres!$A$1:$I$89,5,0)</f>
        <v>240.0819000000001</v>
      </c>
      <c r="CA70" s="14">
        <f t="shared" si="93"/>
        <v>58.457151316256045</v>
      </c>
      <c r="CB70" s="22">
        <f t="shared" si="64"/>
        <v>519.95551437581287</v>
      </c>
      <c r="CC70" s="62">
        <f t="shared" si="65"/>
        <v>813.28884770914624</v>
      </c>
      <c r="CD70" s="62">
        <f ca="1">AVERAGE(OFFSET($CC$3,0,0,'Données projet'!$E$12+1,1))-AVERAGE(OFFSET($H$3,0,0,'Données projet'!$E$12+1,1))</f>
        <v>323.98185264074681</v>
      </c>
      <c r="CE70" s="62">
        <f t="shared" si="94"/>
        <v>301.22207291854005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>
        <f>EXP(-LN(2)/35)*CK69+(1-EXP(-LN(2)/35))/(LN(2)/35)*CG70*CH70*VLOOKUP('Données projet'!$B$12,Paramètres!$A$1:$I$89,3,0)*0.475*44/12</f>
        <v>2.1445150615298805</v>
      </c>
      <c r="CL70" s="23">
        <f>EXP(-LN(2)/25)*CL69+(1-EXP(-LN(2)/25))/(LN(2)/25)*Calculateur!CG70*Calculateur!CI70*VLOOKUP('Données projet'!$B$12,Paramètres!$A$1:$I$89,3,0)*0.475*44/12</f>
        <v>2.9565646505720538</v>
      </c>
      <c r="CM70" s="23">
        <f>EXP(-LN(2)/2)*CM69+(1-EXP(-LN(2)/2))/(LN(2)/2)*CG70*CJ70*VLOOKUP('Données projet'!$B$12,Paramètres!$A$1:$I$89,3,0)*0.475*44/12</f>
        <v>1.6421240765625201E-5</v>
      </c>
      <c r="CN70" s="24">
        <f t="shared" si="66"/>
        <v>5.1010961333426996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5</v>
      </c>
      <c r="CT70" s="13">
        <f>IF('Données projet'!$A$140&gt;35,CT69+CS70-DB69,IF(A70&lt;'Données projet'!$A$140,$CQ$205^A70,IF(A70='Données projet'!$A$140,'Données projet'!$B$140,CT69+CS70-DB69)))</f>
        <v>171</v>
      </c>
      <c r="CU70" s="18">
        <f>CT70*VLOOKUP('Données projet'!$B$13,Paramètres!$A$1:$I$89,3,0)*VLOOKUP('Données projet'!$B$13,Paramètres!$A$1:$I$89,5,0)</f>
        <v>194.73480000000001</v>
      </c>
      <c r="CV70" s="14">
        <f t="shared" si="95"/>
        <v>48.585245586164582</v>
      </c>
      <c r="CW70" s="22">
        <f t="shared" si="67"/>
        <v>423.78241272923668</v>
      </c>
      <c r="CX70" s="62">
        <f t="shared" si="68"/>
        <v>717.11574606257</v>
      </c>
      <c r="CY70" s="62">
        <f ca="1">AVERAGE(OFFSET($CX$3,0,0,'Données projet'!$E$13+1,1))-AVERAGE(OFFSET($H$3,0,0,'Données projet'!$E$13+1,1))</f>
        <v>399.78832690250164</v>
      </c>
      <c r="CZ70" s="62">
        <f t="shared" si="96"/>
        <v>174.32967064896343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>
        <f>EXP(-LN(2)/35)*DF69+(1-EXP(-LN(2)/35))/(LN(2)/35)*DB70*DC70*VLOOKUP('Données projet'!$B$13,Paramètres!$A$1:$I$89,3,0)*0.475*44/12</f>
        <v>0</v>
      </c>
      <c r="DG70" s="23">
        <f>EXP(-LN(2)/25)*DG69+(1-EXP(-LN(2)/25))/(LN(2)/25)*Calculateur!DB70*Calculateur!DD70*VLOOKUP('Données projet'!$B$13,Paramètres!$A$1:$I$89,3,0)*0.475*44/12</f>
        <v>0</v>
      </c>
      <c r="DH70" s="23">
        <f>EXP(-LN(2)/2)*DH69+(1-EXP(-LN(2)/2))/(LN(2)/2)*DB70*DE70*VLOOKUP('Données projet'!$B$13,Paramètres!$A$1:$I$89,3,0)*0.475*44/12</f>
        <v>0</v>
      </c>
      <c r="DI70" s="24">
        <f t="shared" si="69"/>
        <v>0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6.8</v>
      </c>
      <c r="DO70" s="13">
        <f>IF('Données projet'!$A$166&gt;35,DO69+DN70-DW69,IF(A70&lt;'Données projet'!$A$166,$DL$205^A70,IF(A70='Données projet'!$A$166,'Données projet'!$B$166,DO69+DN70-DW69)))</f>
        <v>242.59999999999994</v>
      </c>
      <c r="DP70" s="18">
        <f>DO70*VLOOKUP('Données projet'!$B$14,Paramètres!$A$1:$I$89,3,0)*VLOOKUP('Données projet'!$B$14,Paramètres!$A$1:$I$89,5,0)</f>
        <v>204.36623999999995</v>
      </c>
      <c r="DQ70" s="14">
        <f t="shared" si="97"/>
        <v>50.702525713362093</v>
      </c>
      <c r="DR70" s="22">
        <f t="shared" si="70"/>
        <v>444.24476695077215</v>
      </c>
      <c r="DS70" s="62">
        <f t="shared" si="71"/>
        <v>737.5781002841054</v>
      </c>
      <c r="DT70" s="62">
        <f ca="1">AVERAGE(OFFSET($DS$3,0,0,'Données projet'!$E$14+1,1))-AVERAGE(OFFSET($H$3,0,0,'Données projet'!$E$14+1,1))</f>
        <v>402.15128814037058</v>
      </c>
      <c r="DU70" s="62">
        <f t="shared" si="98"/>
        <v>232.85411068442738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>
        <f>EXP(-LN(2)/35)*EA69+(1-EXP(-LN(2)/35))/(LN(2)/35)*DW70*DX70*VLOOKUP('Données projet'!$B$14,Paramètres!$A$1:$I$89,3,0)*0.475*44/12</f>
        <v>0</v>
      </c>
      <c r="EB70" s="23">
        <f>EXP(-LN(2)/25)*EB69+(1-EXP(-LN(2)/25))/(LN(2)/25)*Calculateur!DW70*Calculateur!DY70*VLOOKUP('Données projet'!$B$14,Paramètres!$A$1:$I$89,3,0)*0.475*44/12</f>
        <v>0</v>
      </c>
      <c r="EC70" s="23">
        <f>EXP(-LN(2)/2)*EC69+(1-EXP(-LN(2)/2))/(LN(2)/2)*DW70*DZ70*VLOOKUP('Données projet'!$B$14,Paramètres!$A$1:$I$89,3,0)*0.475*44/12</f>
        <v>0</v>
      </c>
      <c r="ED70" s="24">
        <f t="shared" si="72"/>
        <v>0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5.6410256410256467</v>
      </c>
      <c r="EJ70" s="13">
        <f>IF('Données projet'!$A$192&gt;35,EJ69+EI70-ER69,IF(A70&lt;'Données projet'!$A$192,$EG$205^A70,IF(A70='Données projet'!$A$192,'Données projet'!$B$192,EJ69+EI70-ER69)))</f>
        <v>302.94871794871818</v>
      </c>
      <c r="EK70" s="18">
        <f>EJ70*VLOOKUP('Données projet'!$B$15,Paramètres!$A$1:$I$89,3,0)*VLOOKUP('Données projet'!$B$15,Paramètres!$A$1:$I$89,5,0)</f>
        <v>316.64200000000028</v>
      </c>
      <c r="EL70" s="14">
        <f t="shared" si="99"/>
        <v>74.654228061715287</v>
      </c>
      <c r="EM70" s="22">
        <f t="shared" si="73"/>
        <v>681.50759720748795</v>
      </c>
      <c r="EN70" s="62">
        <f t="shared" si="74"/>
        <v>974.84093054082132</v>
      </c>
      <c r="EO70" s="62">
        <f ca="1">AVERAGE(OFFSET($EN$3,0,0,'Données projet'!$E$15+1,1))-AVERAGE(OFFSET($H$3,0,0,'Données projet'!$E$15+1,1))</f>
        <v>595.89992279024398</v>
      </c>
      <c r="EP70" s="62">
        <f t="shared" si="100"/>
        <v>378.16197659288338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>
        <f>EXP(-LN(2)/35)*EV69+(1-EXP(-LN(2)/35))/(LN(2)/35)*ER70*ES70*VLOOKUP('Données projet'!$B$15,Paramètres!$A$1:$I$89,3,0)*0.475*44/12</f>
        <v>0</v>
      </c>
      <c r="EW70" s="23">
        <f>EXP(-LN(2)/25)*EW69+(1-EXP(-LN(2)/25))/(LN(2)/25)*Calculateur!ER70*Calculateur!ET70*VLOOKUP('Données projet'!$B$15,Paramètres!$A$1:$I$89,3,0)*0.475*44/12</f>
        <v>0</v>
      </c>
      <c r="EX70" s="23">
        <f>EXP(-LN(2)/2)*EX69+(1-EXP(-LN(2)/2))/(LN(2)/2)*ER70*EU70*VLOOKUP('Données projet'!$B$15,Paramètres!$A$1:$I$89,3,0)*0.475*44/12</f>
        <v>0</v>
      </c>
      <c r="EY70" s="24">
        <f t="shared" si="75"/>
        <v>0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-2.2737367544323206E-13</v>
      </c>
      <c r="FF70" s="18">
        <f>FE70*VLOOKUP('Données projet'!$B$16,Paramètres!$A$1:$I$89,3,0)*VLOOKUP('Données projet'!$B$16,Paramètres!$A$1:$I$89,5,0)</f>
        <v>-1.3596945791505279E-13</v>
      </c>
      <c r="FG70" s="14" t="e">
        <f t="shared" si="101"/>
        <v>#NUM!</v>
      </c>
      <c r="FH70" s="22" t="e">
        <f t="shared" si="76"/>
        <v>#NUM!</v>
      </c>
      <c r="FI70" s="62" t="e">
        <f t="shared" si="77"/>
        <v>#NUM!</v>
      </c>
      <c r="FJ70" s="62">
        <f ca="1">AVERAGE(OFFSET($FI$3,0,0,'Données projet'!$E$16+1,1))-AVERAGE(OFFSET($H$3,0,0,'Données projet'!$E$16+1,1))</f>
        <v>257.56116197646924</v>
      </c>
      <c r="FK70" s="62">
        <f t="shared" si="102"/>
        <v>269.95556918835888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>
        <f>EXP(-LN(2)/35)*FQ69+(1-EXP(-LN(2)/35))/(LN(2)/35)*FM70*FN70*VLOOKUP('Données projet'!$B$16,Paramètres!$A$1:$I$89,3,0)*0.475*44/12</f>
        <v>7.0075912602112762</v>
      </c>
      <c r="FR70" s="23">
        <f>EXP(-LN(2)/25)*FR69+(1-EXP(-LN(2)/25))/(LN(2)/25)*Calculateur!FM70*Calculateur!FO70*VLOOKUP('Données projet'!$B$16,Paramètres!$A$1:$I$89,3,0)*0.475*44/12</f>
        <v>5.7871110782679347</v>
      </c>
      <c r="FS70" s="23">
        <f>EXP(-LN(2)/2)*FS69+(1-EXP(-LN(2)/2))/(LN(2)/2)*FM70*FP70*VLOOKUP('Données projet'!$B$16,Paramètres!$A$1:$I$89,3,0)*0.475*44/12</f>
        <v>2.3073770120673898E-5</v>
      </c>
      <c r="FT70" s="24">
        <f t="shared" si="78"/>
        <v>12.794725412249333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9.1830769230769249</v>
      </c>
      <c r="FZ70" s="13">
        <f>IF('Données projet'!$A$244&gt;35,FZ69+FY70-GH69,IF(A70&lt;'Données projet'!$A$244,$FW$205^A70,IF(A70='Données projet'!$A$244,'Données projet'!$B$244,FZ69+FY70-GH69)))</f>
        <v>352.44307692307677</v>
      </c>
      <c r="GA70" s="18">
        <f>FZ70*VLOOKUP('Données projet'!$B$17,Paramètres!$A$1:$I$89,3,0)*VLOOKUP('Données projet'!$B$17,Paramètres!$A$1:$I$89,5,0)</f>
        <v>210.76095999999993</v>
      </c>
      <c r="GB70" s="14">
        <f t="shared" si="103"/>
        <v>52.101839581538208</v>
      </c>
      <c r="GC70" s="22">
        <f t="shared" si="79"/>
        <v>457.81937593784551</v>
      </c>
      <c r="GD70" s="62">
        <f t="shared" si="80"/>
        <v>751.15270927117876</v>
      </c>
      <c r="GE70" s="62">
        <f ca="1">AVERAGE(OFFSET($GD$3,0,0,'Données projet'!$E$17+1,1))-AVERAGE(OFFSET($H$3,0,0,'Données projet'!$E$17+1,1))</f>
        <v>289.12367833861299</v>
      </c>
      <c r="GF70" s="62">
        <f t="shared" si="104"/>
        <v>229.06617320689003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>
        <f>EXP(-LN(2)/35)*GL69+(1-EXP(-LN(2)/35))/(LN(2)/35)*GH70*GI70*VLOOKUP('Données projet'!$B$17,Paramètres!$A$1:$I$89,3,0)*0.475*44/12</f>
        <v>0</v>
      </c>
      <c r="GM70" s="23">
        <f>EXP(-LN(2)/25)*GM69+(1-EXP(-LN(2)/25))/(LN(2)/25)*Calculateur!GH70*Calculateur!GJ70*VLOOKUP('Données projet'!$B$17,Paramètres!$A$1:$I$89,3,0)*0.475*44/12</f>
        <v>0</v>
      </c>
      <c r="GN70" s="23">
        <f>EXP(-LN(2)/2)*GN69+(1-EXP(-LN(2)/2))/(LN(2)/2)*GH70*GK70*VLOOKUP('Données projet'!$B$17,Paramètres!$A$1:$I$89,3,0)*0.475*44/12</f>
        <v>1.1185665909324803E-5</v>
      </c>
      <c r="GO70" s="23">
        <f t="shared" si="81"/>
        <v>1.1185665909324803E-5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>
        <f>VLOOKUP(A70,'Données projet'!$A$269:$I$289,2,0)</f>
        <v>295.38461538461536</v>
      </c>
      <c r="GS70" s="13">
        <f>VLOOKUP(A70,'Données projet'!$A$269:$I$289,9,0)</f>
        <v>10.171794871794864</v>
      </c>
      <c r="GT70" s="13">
        <f t="array" ref="GT70">INDEX(GS:GS,MIN(IF(ISNUMBER(GS70:GS266),ROW(GS70:GS266),"")))</f>
        <v>10.171794871794864</v>
      </c>
      <c r="GU70" s="13">
        <f>IF('Données projet'!$A$270&gt;35,GU69+GT70-HC69,IF(A70&lt;'Données projet'!$A$270,$GR$205^A70,IF(A70='Données projet'!$A$270,'Données projet'!$B$270,GU69+GT70-HC69)))</f>
        <v>295.38461538461547</v>
      </c>
      <c r="GV70" s="18">
        <f>GU70*VLOOKUP('Données projet'!$B$18,Paramètres!$A$1:$I$89,3,0)*VLOOKUP('Données projet'!$B$18,Paramètres!$A$1:$I$89,5,0)</f>
        <v>138.24000000000004</v>
      </c>
      <c r="GW70" s="14">
        <f t="shared" si="105"/>
        <v>35.893517822631601</v>
      </c>
      <c r="GX70" s="22">
        <f t="shared" si="82"/>
        <v>303.28254354108338</v>
      </c>
      <c r="GY70" s="62">
        <f t="shared" si="83"/>
        <v>596.6158768744167</v>
      </c>
      <c r="GZ70" s="62">
        <f ca="1">AVERAGE(OFFSET($GY$3,0,0,'Données projet'!$E$18+1,1))-AVERAGE(OFFSET($H$3,0,0,'Données projet'!$E$18+1,1))</f>
        <v>284.88646502866419</v>
      </c>
      <c r="HA70" s="62">
        <f t="shared" si="106"/>
        <v>190.4880882944471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>
        <f>EXP(-LN(2)/35)*HG69+(1-EXP(-LN(2)/35))/(LN(2)/35)*HC70*HD70*VLOOKUP('Données projet'!$B$18,Paramètres!$A$1:$I$89,3,0)*0.475*44/12</f>
        <v>0</v>
      </c>
      <c r="HH70" s="23">
        <f>EXP(-LN(2)/25)*HH69+(1-EXP(-LN(2)/25))/(LN(2)/25)*Calculateur!HC70*Calculateur!HE70*VLOOKUP('Données projet'!$B$18,Paramètres!$A$1:$I$89,3,0)*0.475*44/12</f>
        <v>0</v>
      </c>
      <c r="HI70" s="23">
        <f>EXP(-LN(2)/2)*HI69+(1-EXP(-LN(2)/2))/(LN(2)/2)*HC70*HF70*VLOOKUP('Données projet'!$B$18,Paramètres!$A$1:$I$89,3,0)*0.475*44/12</f>
        <v>0</v>
      </c>
      <c r="HJ70" s="24">
        <f t="shared" si="84"/>
        <v>0</v>
      </c>
    </row>
    <row r="71" spans="1:218" s="5" customFormat="1" x14ac:dyDescent="0.25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2">
        <f t="shared" si="86"/>
        <v>0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0</v>
      </c>
      <c r="H71" s="70">
        <f t="shared" si="56"/>
        <v>256.66666666666669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4.3589743589743595</v>
      </c>
      <c r="N71" s="14">
        <f>IF('Données projet'!$A$36&gt;35,N70+M71-V70,IF(A71&lt;'Données projet'!$A$36,$K$205^A71,IF(A71='Données projet'!$A$36,'Données projet'!$B$36,N70+M71-V70)))</f>
        <v>206.6666666666666</v>
      </c>
      <c r="O71" s="14">
        <f>N71*VLOOKUP('Données projet'!$B$9,Paramètres!$A$1:$I$89,3,0)*VLOOKUP('Données projet'!$B$9,Paramètres!$A$1:$I$89,5,0)</f>
        <v>196.66399999999993</v>
      </c>
      <c r="P71" s="14">
        <f t="shared" si="87"/>
        <v>49.010299712644574</v>
      </c>
      <c r="Q71" s="22">
        <f t="shared" si="54"/>
        <v>427.8827386661892</v>
      </c>
      <c r="R71" s="62">
        <f t="shared" si="55"/>
        <v>721.21607199952246</v>
      </c>
      <c r="S71" s="62">
        <f ca="1">AVERAGE(OFFSET($R$3,0,0,'Données projet'!$E$9+1,1))-AVERAGE(OFFSET($H$3,0,0,'Données projet'!$E$9+1,1))</f>
        <v>367.11183928586667</v>
      </c>
      <c r="T71" s="62">
        <f t="shared" si="88"/>
        <v>281.52963027844595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0</v>
      </c>
      <c r="AA71" s="23">
        <f>EXP(-LN(2)/25)*AA70+(1-EXP(-LN(2)/25))/(LN(2)/25)*Calculateur!V71*Calculateur!X71*VLOOKUP('Données projet'!$B$9,Paramètres!$A$1:$I$89,3,0)*0.475*44/12</f>
        <v>0</v>
      </c>
      <c r="AB71" s="23">
        <f>EXP(-LN(2)/2)*AB70+(1-EXP(-LN(2)/2))/(LN(2)/2)*V71*Y71*VLOOKUP('Données projet'!$B$9,Paramètres!$A$1:$I$89,3,0)*0.475*44/12</f>
        <v>0</v>
      </c>
      <c r="AC71" s="24">
        <f t="shared" si="57"/>
        <v>0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6.8</v>
      </c>
      <c r="AI71" s="14">
        <f>IF('Données projet'!$A$62&gt;35,AI70+AH71-AQ70,IF(A71&lt;'Données projet'!$A$62,$AF$205^A71,IF(A71='Données projet'!$A$62,'Données projet'!$B$62,AI70+AH71-AQ70)))</f>
        <v>249.39999999999995</v>
      </c>
      <c r="AJ71" s="14">
        <f>AI71*VLOOKUP('Données projet'!$B$10,Paramètres!$A$1:$I$89,3,0)*VLOOKUP('Données projet'!$B$10,Paramètres!$A$1:$I$89,5,0)</f>
        <v>225.65711999999994</v>
      </c>
      <c r="AK71" s="14">
        <f t="shared" si="89"/>
        <v>55.342610076561513</v>
      </c>
      <c r="AL71" s="22">
        <f t="shared" si="58"/>
        <v>489.40786321667775</v>
      </c>
      <c r="AM71" s="62">
        <f t="shared" si="59"/>
        <v>782.74119655001107</v>
      </c>
      <c r="AN71" s="62">
        <f ca="1">AVERAGE(OFFSET($AM$3,0,0,'Données projet'!$E$10+1,1))-AVERAGE(OFFSET($H$3,0,0,'Données projet'!$E$10+1,1))</f>
        <v>428.8489304403459</v>
      </c>
      <c r="AO71" s="62">
        <f t="shared" si="90"/>
        <v>247.01165577562966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0</v>
      </c>
      <c r="AV71" s="23">
        <f>EXP(-LN(2)/25)*AV70+(1-EXP(-LN(2)/25))/(LN(2)/25)*Calculateur!AQ71*Calculateur!AS71*VLOOKUP('Données projet'!$B$10,Paramètres!$A$1:$I$89,3,0)*0.475*44/12</f>
        <v>0</v>
      </c>
      <c r="AW71" s="23">
        <f>EXP(-LN(2)/2)*AW70+(1-EXP(-LN(2)/2))/(LN(2)/2)*AQ71*AT71*VLOOKUP('Données projet'!$B$10,Paramètres!$A$1:$I$89,3,0)*0.475*44/12</f>
        <v>0</v>
      </c>
      <c r="AX71" s="23">
        <f t="shared" si="60"/>
        <v>0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6.8</v>
      </c>
      <c r="BD71" s="13">
        <f>IF('Données projet'!$A$88&gt;35,BD70+BC71-BL70,IF(A71&lt;'Données projet'!$A$88,$BA$205^A71,IF(A71='Données projet'!$A$88,'Données projet'!$B$88,BD70+BC71-BL70)))</f>
        <v>249.39999999999995</v>
      </c>
      <c r="BE71" s="14">
        <f>BD71*VLOOKUP('Données projet'!$B$11,Paramètres!$A$1:$I$89,3,0)*VLOOKUP('Données projet'!$B$11,Paramètres!$A$1:$I$89,5,0)</f>
        <v>252.89159999999998</v>
      </c>
      <c r="BF71" s="14">
        <f t="shared" si="91"/>
        <v>61.204718436590312</v>
      </c>
      <c r="BG71" s="22">
        <f t="shared" si="61"/>
        <v>547.05108794372802</v>
      </c>
      <c r="BH71" s="62">
        <f t="shared" si="62"/>
        <v>840.38442127706139</v>
      </c>
      <c r="BI71" s="62">
        <f ca="1">AVERAGE(OFFSET($BH$3,0,0,'Données projet'!$E$11+1,1))-AVERAGE(OFFSET($H$3,0,0,'Données projet'!$E$11+1,1))</f>
        <v>475.47920969424894</v>
      </c>
      <c r="BJ71" s="62">
        <f t="shared" si="92"/>
        <v>271.73544012419364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>
        <f>EXP(-LN(2)/35)*BP70+(1-EXP(-LN(2)/35))/(LN(2)/35)*BL71*BM71*VLOOKUP('Données projet'!$B$11,Paramètres!$A$1:$I$89,3,0)*0.475*44/12</f>
        <v>0</v>
      </c>
      <c r="BQ71" s="23">
        <f>EXP(-LN(2)/25)*BQ70+(1-EXP(-LN(2)/25))/(LN(2)/25)*Calculateur!BL71*Calculateur!BN71*VLOOKUP('Données projet'!$B$11,Paramètres!$A$1:$I$89,3,0)*0.475*44/12</f>
        <v>0</v>
      </c>
      <c r="BR71" s="23">
        <f>EXP(-LN(2)/2)*BR70+(1-EXP(-LN(2)/2))/(LN(2)/2)*BL71*BO71*VLOOKUP('Données projet'!$B$11,Paramètres!$A$1:$I$89,3,0)*0.475*44/12</f>
        <v>0</v>
      </c>
      <c r="BS71" s="24">
        <f t="shared" si="63"/>
        <v>0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13.373076923076932</v>
      </c>
      <c r="BY71" s="13">
        <f>IF('Données projet'!$A$114&gt;35,BY70+BX71-CG70,IF(A71&lt;'Données projet'!$A$114,$BV$205^A71,IF(A71='Données projet'!$A$114,'Données projet'!$B$114,BY70+BX71-CG70)))</f>
        <v>442.8576923076925</v>
      </c>
      <c r="BZ71" s="14">
        <f>BY71*VLOOKUP('Données projet'!$B$12,Paramètres!$A$1:$I$89,3,0)*VLOOKUP('Données projet'!$B$12,Paramètres!$A$1:$I$89,5,0)</f>
        <v>247.5574500000001</v>
      </c>
      <c r="CA71" s="14">
        <f t="shared" si="93"/>
        <v>60.062607033562486</v>
      </c>
      <c r="CB71" s="22">
        <f t="shared" si="64"/>
        <v>535.7715993334549</v>
      </c>
      <c r="CC71" s="62">
        <f t="shared" si="65"/>
        <v>829.10493266678827</v>
      </c>
      <c r="CD71" s="62">
        <f ca="1">AVERAGE(OFFSET($CC$3,0,0,'Données projet'!$E$12+1,1))-AVERAGE(OFFSET($H$3,0,0,'Données projet'!$E$12+1,1))</f>
        <v>323.98185264074681</v>
      </c>
      <c r="CE71" s="62">
        <f t="shared" si="94"/>
        <v>301.22207291854005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>
        <f>EXP(-LN(2)/35)*CK70+(1-EXP(-LN(2)/35))/(LN(2)/35)*CG71*CH71*VLOOKUP('Données projet'!$B$12,Paramètres!$A$1:$I$89,3,0)*0.475*44/12</f>
        <v>2.1024624291983103</v>
      </c>
      <c r="CL71" s="23">
        <f>EXP(-LN(2)/25)*CL70+(1-EXP(-LN(2)/25))/(LN(2)/25)*Calculateur!CG71*Calculateur!CI71*VLOOKUP('Données projet'!$B$12,Paramètres!$A$1:$I$89,3,0)*0.475*44/12</f>
        <v>2.8757172347231834</v>
      </c>
      <c r="CM71" s="23">
        <f>EXP(-LN(2)/2)*CM70+(1-EXP(-LN(2)/2))/(LN(2)/2)*CG71*CJ71*VLOOKUP('Données projet'!$B$12,Paramètres!$A$1:$I$89,3,0)*0.475*44/12</f>
        <v>1.1611570700870553E-5</v>
      </c>
      <c r="CN71" s="24">
        <f t="shared" si="66"/>
        <v>4.9781912754921942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5</v>
      </c>
      <c r="CT71" s="13">
        <f>IF('Données projet'!$A$140&gt;35,CT70+CS71-DB70,IF(A71&lt;'Données projet'!$A$140,$CQ$205^A71,IF(A71='Données projet'!$A$140,'Données projet'!$B$140,CT70+CS71-DB70)))</f>
        <v>176</v>
      </c>
      <c r="CU71" s="18">
        <f>CT71*VLOOKUP('Données projet'!$B$13,Paramètres!$A$1:$I$89,3,0)*VLOOKUP('Données projet'!$B$13,Paramètres!$A$1:$I$89,5,0)</f>
        <v>200.4288</v>
      </c>
      <c r="CV71" s="14">
        <f t="shared" si="95"/>
        <v>49.838393237268654</v>
      </c>
      <c r="CW71" s="22">
        <f t="shared" si="67"/>
        <v>435.88202822157626</v>
      </c>
      <c r="CX71" s="62">
        <f t="shared" si="68"/>
        <v>729.21536155490958</v>
      </c>
      <c r="CY71" s="62">
        <f ca="1">AVERAGE(OFFSET($CX$3,0,0,'Données projet'!$E$13+1,1))-AVERAGE(OFFSET($H$3,0,0,'Données projet'!$E$13+1,1))</f>
        <v>399.78832690250164</v>
      </c>
      <c r="CZ71" s="62">
        <f t="shared" si="96"/>
        <v>174.32967064896343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>
        <f>EXP(-LN(2)/35)*DF70+(1-EXP(-LN(2)/35))/(LN(2)/35)*DB71*DC71*VLOOKUP('Données projet'!$B$13,Paramètres!$A$1:$I$89,3,0)*0.475*44/12</f>
        <v>0</v>
      </c>
      <c r="DG71" s="23">
        <f>EXP(-LN(2)/25)*DG70+(1-EXP(-LN(2)/25))/(LN(2)/25)*Calculateur!DB71*Calculateur!DD71*VLOOKUP('Données projet'!$B$13,Paramètres!$A$1:$I$89,3,0)*0.475*44/12</f>
        <v>0</v>
      </c>
      <c r="DH71" s="23">
        <f>EXP(-LN(2)/2)*DH70+(1-EXP(-LN(2)/2))/(LN(2)/2)*DB71*DE71*VLOOKUP('Données projet'!$B$13,Paramètres!$A$1:$I$89,3,0)*0.475*44/12</f>
        <v>0</v>
      </c>
      <c r="DI71" s="24">
        <f t="shared" si="69"/>
        <v>0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6.8</v>
      </c>
      <c r="DO71" s="13">
        <f>IF('Données projet'!$A$166&gt;35,DO70+DN71-DW70,IF(A71&lt;'Données projet'!$A$166,$DL$205^A71,IF(A71='Données projet'!$A$166,'Données projet'!$B$166,DO70+DN71-DW70)))</f>
        <v>249.39999999999995</v>
      </c>
      <c r="DP71" s="18">
        <f>DO71*VLOOKUP('Données projet'!$B$14,Paramètres!$A$1:$I$89,3,0)*VLOOKUP('Données projet'!$B$14,Paramètres!$A$1:$I$89,5,0)</f>
        <v>210.09456</v>
      </c>
      <c r="DQ71" s="14">
        <f t="shared" si="97"/>
        <v>51.956248895959689</v>
      </c>
      <c r="DR71" s="22">
        <f t="shared" si="70"/>
        <v>456.40515882712975</v>
      </c>
      <c r="DS71" s="62">
        <f t="shared" si="71"/>
        <v>749.73849216046301</v>
      </c>
      <c r="DT71" s="62">
        <f ca="1">AVERAGE(OFFSET($DS$3,0,0,'Données projet'!$E$14+1,1))-AVERAGE(OFFSET($H$3,0,0,'Données projet'!$E$14+1,1))</f>
        <v>402.15128814037058</v>
      </c>
      <c r="DU71" s="62">
        <f t="shared" si="98"/>
        <v>232.85411068442738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>
        <f>EXP(-LN(2)/35)*EA70+(1-EXP(-LN(2)/35))/(LN(2)/35)*DW71*DX71*VLOOKUP('Données projet'!$B$14,Paramètres!$A$1:$I$89,3,0)*0.475*44/12</f>
        <v>0</v>
      </c>
      <c r="EB71" s="23">
        <f>EXP(-LN(2)/25)*EB70+(1-EXP(-LN(2)/25))/(LN(2)/25)*Calculateur!DW71*Calculateur!DY71*VLOOKUP('Données projet'!$B$14,Paramètres!$A$1:$I$89,3,0)*0.475*44/12</f>
        <v>0</v>
      </c>
      <c r="EC71" s="23">
        <f>EXP(-LN(2)/2)*EC70+(1-EXP(-LN(2)/2))/(LN(2)/2)*DW71*DZ71*VLOOKUP('Données projet'!$B$14,Paramètres!$A$1:$I$89,3,0)*0.475*44/12</f>
        <v>0</v>
      </c>
      <c r="ED71" s="24">
        <f t="shared" si="72"/>
        <v>0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5.6410256410256467</v>
      </c>
      <c r="EJ71" s="13">
        <f>IF('Données projet'!$A$192&gt;35,EJ70+EI71-ER70,IF(A71&lt;'Données projet'!$A$192,$EG$205^A71,IF(A71='Données projet'!$A$192,'Données projet'!$B$192,EJ70+EI71-ER70)))</f>
        <v>308.58974358974382</v>
      </c>
      <c r="EK71" s="18">
        <f>EJ71*VLOOKUP('Données projet'!$B$15,Paramètres!$A$1:$I$89,3,0)*VLOOKUP('Données projet'!$B$15,Paramètres!$A$1:$I$89,5,0)</f>
        <v>322.53800000000024</v>
      </c>
      <c r="EL71" s="14">
        <f t="shared" si="99"/>
        <v>75.881190876614681</v>
      </c>
      <c r="EM71" s="22">
        <f t="shared" si="73"/>
        <v>693.9134241101043</v>
      </c>
      <c r="EN71" s="62">
        <f t="shared" si="74"/>
        <v>987.24675744343767</v>
      </c>
      <c r="EO71" s="62">
        <f ca="1">AVERAGE(OFFSET($EN$3,0,0,'Données projet'!$E$15+1,1))-AVERAGE(OFFSET($H$3,0,0,'Données projet'!$E$15+1,1))</f>
        <v>595.89992279024398</v>
      </c>
      <c r="EP71" s="62">
        <f t="shared" si="100"/>
        <v>378.16197659288338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>
        <f>EXP(-LN(2)/35)*EV70+(1-EXP(-LN(2)/35))/(LN(2)/35)*ER71*ES71*VLOOKUP('Données projet'!$B$15,Paramètres!$A$1:$I$89,3,0)*0.475*44/12</f>
        <v>0</v>
      </c>
      <c r="EW71" s="23">
        <f>EXP(-LN(2)/25)*EW70+(1-EXP(-LN(2)/25))/(LN(2)/25)*Calculateur!ER71*Calculateur!ET71*VLOOKUP('Données projet'!$B$15,Paramètres!$A$1:$I$89,3,0)*0.475*44/12</f>
        <v>0</v>
      </c>
      <c r="EX71" s="23">
        <f>EXP(-LN(2)/2)*EX70+(1-EXP(-LN(2)/2))/(LN(2)/2)*ER71*EU71*VLOOKUP('Données projet'!$B$15,Paramètres!$A$1:$I$89,3,0)*0.475*44/12</f>
        <v>0</v>
      </c>
      <c r="EY71" s="24">
        <f t="shared" si="75"/>
        <v>0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-2.2737367544323206E-13</v>
      </c>
      <c r="FF71" s="18">
        <f>FE71*VLOOKUP('Données projet'!$B$16,Paramètres!$A$1:$I$89,3,0)*VLOOKUP('Données projet'!$B$16,Paramètres!$A$1:$I$89,5,0)</f>
        <v>-1.3596945791505279E-13</v>
      </c>
      <c r="FG71" s="14" t="e">
        <f t="shared" si="101"/>
        <v>#NUM!</v>
      </c>
      <c r="FH71" s="22" t="e">
        <f t="shared" si="76"/>
        <v>#NUM!</v>
      </c>
      <c r="FI71" s="62" t="e">
        <f t="shared" si="77"/>
        <v>#NUM!</v>
      </c>
      <c r="FJ71" s="62">
        <f ca="1">AVERAGE(OFFSET($FI$3,0,0,'Données projet'!$E$16+1,1))-AVERAGE(OFFSET($H$3,0,0,'Données projet'!$E$16+1,1))</f>
        <v>257.56116197646924</v>
      </c>
      <c r="FK71" s="62">
        <f t="shared" si="102"/>
        <v>269.95556918835888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>
        <f>EXP(-LN(2)/35)*FQ70+(1-EXP(-LN(2)/35))/(LN(2)/35)*FM71*FN71*VLOOKUP('Données projet'!$B$16,Paramètres!$A$1:$I$89,3,0)*0.475*44/12</f>
        <v>6.8701766698071589</v>
      </c>
      <c r="FR71" s="23">
        <f>EXP(-LN(2)/25)*FR70+(1-EXP(-LN(2)/25))/(LN(2)/25)*Calculateur!FM71*Calculateur!FO71*VLOOKUP('Données projet'!$B$16,Paramètres!$A$1:$I$89,3,0)*0.475*44/12</f>
        <v>5.6288622215017527</v>
      </c>
      <c r="FS71" s="23">
        <f>EXP(-LN(2)/2)*FS70+(1-EXP(-LN(2)/2))/(LN(2)/2)*FM71*FP71*VLOOKUP('Données projet'!$B$16,Paramètres!$A$1:$I$89,3,0)*0.475*44/12</f>
        <v>1.6315619319868056E-5</v>
      </c>
      <c r="FT71" s="24">
        <f t="shared" si="78"/>
        <v>12.499055206928231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9.1830769230769249</v>
      </c>
      <c r="FZ71" s="13">
        <f>IF('Données projet'!$A$244&gt;35,FZ70+FY71-GH70,IF(A71&lt;'Données projet'!$A$244,$FW$205^A71,IF(A71='Données projet'!$A$244,'Données projet'!$B$244,FZ70+FY71-GH70)))</f>
        <v>361.62615384615367</v>
      </c>
      <c r="GA71" s="18">
        <f>FZ71*VLOOKUP('Données projet'!$B$17,Paramètres!$A$1:$I$89,3,0)*VLOOKUP('Données projet'!$B$17,Paramètres!$A$1:$I$89,5,0)</f>
        <v>216.25243999999989</v>
      </c>
      <c r="GB71" s="14">
        <f t="shared" si="103"/>
        <v>53.299559396285737</v>
      </c>
      <c r="GC71" s="22">
        <f t="shared" si="79"/>
        <v>469.46973228186403</v>
      </c>
      <c r="GD71" s="62">
        <f t="shared" si="80"/>
        <v>762.80306561519728</v>
      </c>
      <c r="GE71" s="62">
        <f ca="1">AVERAGE(OFFSET($GD$3,0,0,'Données projet'!$E$17+1,1))-AVERAGE(OFFSET($H$3,0,0,'Données projet'!$E$17+1,1))</f>
        <v>289.12367833861299</v>
      </c>
      <c r="GF71" s="62">
        <f t="shared" si="104"/>
        <v>229.06617320689003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>
        <f>EXP(-LN(2)/35)*GL70+(1-EXP(-LN(2)/35))/(LN(2)/35)*GH71*GI71*VLOOKUP('Données projet'!$B$17,Paramètres!$A$1:$I$89,3,0)*0.475*44/12</f>
        <v>0</v>
      </c>
      <c r="GM71" s="23">
        <f>EXP(-LN(2)/25)*GM70+(1-EXP(-LN(2)/25))/(LN(2)/25)*Calculateur!GH71*Calculateur!GJ71*VLOOKUP('Données projet'!$B$17,Paramètres!$A$1:$I$89,3,0)*0.475*44/12</f>
        <v>0</v>
      </c>
      <c r="GN71" s="23">
        <f>EXP(-LN(2)/2)*GN70+(1-EXP(-LN(2)/2))/(LN(2)/2)*GH71*GK71*VLOOKUP('Données projet'!$B$17,Paramètres!$A$1:$I$89,3,0)*0.475*44/12</f>
        <v>7.9094602165707578E-6</v>
      </c>
      <c r="GO71" s="23">
        <f t="shared" si="81"/>
        <v>7.9094602165707578E-6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10.457692307692307</v>
      </c>
      <c r="GU71" s="13">
        <f>IF('Données projet'!$A$270&gt;35,GU70+GT71-HC70,IF(A71&lt;'Données projet'!$A$270,$GR$205^A71,IF(A71='Données projet'!$A$270,'Données projet'!$B$270,GU70+GT71-HC70)))</f>
        <v>305.84230769230777</v>
      </c>
      <c r="GV71" s="18">
        <f>GU71*VLOOKUP('Données projet'!$B$18,Paramètres!$A$1:$I$89,3,0)*VLOOKUP('Données projet'!$B$18,Paramètres!$A$1:$I$89,5,0)</f>
        <v>143.13420000000002</v>
      </c>
      <c r="GW71" s="14">
        <f t="shared" si="105"/>
        <v>37.014078899239095</v>
      </c>
      <c r="GX71" s="22">
        <f t="shared" si="82"/>
        <v>313.7582524161748</v>
      </c>
      <c r="GY71" s="62">
        <f t="shared" si="83"/>
        <v>607.09158574950811</v>
      </c>
      <c r="GZ71" s="62">
        <f ca="1">AVERAGE(OFFSET($GY$3,0,0,'Données projet'!$E$18+1,1))-AVERAGE(OFFSET($H$3,0,0,'Données projet'!$E$18+1,1))</f>
        <v>284.88646502866419</v>
      </c>
      <c r="HA71" s="62">
        <f t="shared" si="106"/>
        <v>190.4880882944471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>
        <f>EXP(-LN(2)/35)*HG70+(1-EXP(-LN(2)/35))/(LN(2)/35)*HC71*HD71*VLOOKUP('Données projet'!$B$18,Paramètres!$A$1:$I$89,3,0)*0.475*44/12</f>
        <v>0</v>
      </c>
      <c r="HH71" s="23">
        <f>EXP(-LN(2)/25)*HH70+(1-EXP(-LN(2)/25))/(LN(2)/25)*Calculateur!HC71*Calculateur!HE71*VLOOKUP('Données projet'!$B$18,Paramètres!$A$1:$I$89,3,0)*0.475*44/12</f>
        <v>0</v>
      </c>
      <c r="HI71" s="23">
        <f>EXP(-LN(2)/2)*HI70+(1-EXP(-LN(2)/2))/(LN(2)/2)*HC71*HF71*VLOOKUP('Données projet'!$B$18,Paramètres!$A$1:$I$89,3,0)*0.475*44/12</f>
        <v>0</v>
      </c>
      <c r="HJ71" s="24">
        <f t="shared" si="84"/>
        <v>0</v>
      </c>
    </row>
    <row r="72" spans="1:218" s="5" customFormat="1" x14ac:dyDescent="0.25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2">
        <f t="shared" si="86"/>
        <v>0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0</v>
      </c>
      <c r="H72" s="70">
        <f t="shared" si="56"/>
        <v>256.66666666666669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4.3589743589743595</v>
      </c>
      <c r="N72" s="14">
        <f>IF('Données projet'!$A$36&gt;35,N71+M72-V71,IF(A72&lt;'Données projet'!$A$36,$K$205^A72,IF(A72='Données projet'!$A$36,'Données projet'!$B$36,N71+M72-V71)))</f>
        <v>211.02564102564097</v>
      </c>
      <c r="O72" s="14">
        <f>N72*VLOOKUP('Données projet'!$B$9,Paramètres!$A$1:$I$89,3,0)*VLOOKUP('Données projet'!$B$9,Paramètres!$A$1:$I$89,5,0)</f>
        <v>200.81199999999993</v>
      </c>
      <c r="P72" s="14">
        <f t="shared" si="87"/>
        <v>49.922578645138138</v>
      </c>
      <c r="Q72" s="22">
        <f t="shared" si="54"/>
        <v>436.69605780694877</v>
      </c>
      <c r="R72" s="62">
        <f t="shared" si="55"/>
        <v>730.02939114028209</v>
      </c>
      <c r="S72" s="62">
        <f ca="1">AVERAGE(OFFSET($R$3,0,0,'Données projet'!$E$9+1,1))-AVERAGE(OFFSET($H$3,0,0,'Données projet'!$E$9+1,1))</f>
        <v>367.11183928586667</v>
      </c>
      <c r="T72" s="62">
        <f t="shared" si="88"/>
        <v>281.52963027844595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0</v>
      </c>
      <c r="AA72" s="23">
        <f>EXP(-LN(2)/25)*AA71+(1-EXP(-LN(2)/25))/(LN(2)/25)*Calculateur!V72*Calculateur!X72*VLOOKUP('Données projet'!$B$9,Paramètres!$A$1:$I$89,3,0)*0.475*44/12</f>
        <v>0</v>
      </c>
      <c r="AB72" s="23">
        <f>EXP(-LN(2)/2)*AB71+(1-EXP(-LN(2)/2))/(LN(2)/2)*V72*Y72*VLOOKUP('Données projet'!$B$9,Paramètres!$A$1:$I$89,3,0)*0.475*44/12</f>
        <v>0</v>
      </c>
      <c r="AC72" s="24">
        <f t="shared" si="57"/>
        <v>0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6.8</v>
      </c>
      <c r="AI72" s="14">
        <f>IF('Données projet'!$A$62&gt;35,AI71+AH72-AQ71,IF(A72&lt;'Données projet'!$A$62,$AF$205^A72,IF(A72='Données projet'!$A$62,'Données projet'!$B$62,AI71+AH72-AQ71)))</f>
        <v>256.19999999999993</v>
      </c>
      <c r="AJ72" s="14">
        <f>AI72*VLOOKUP('Données projet'!$B$10,Paramètres!$A$1:$I$89,3,0)*VLOOKUP('Données projet'!$B$10,Paramètres!$A$1:$I$89,5,0)</f>
        <v>231.80975999999993</v>
      </c>
      <c r="AK72" s="14">
        <f t="shared" si="89"/>
        <v>56.673815277159328</v>
      </c>
      <c r="AL72" s="22">
        <f t="shared" si="58"/>
        <v>502.44222694105241</v>
      </c>
      <c r="AM72" s="62">
        <f t="shared" si="59"/>
        <v>795.77556027438573</v>
      </c>
      <c r="AN72" s="62">
        <f ca="1">AVERAGE(OFFSET($AM$3,0,0,'Données projet'!$E$10+1,1))-AVERAGE(OFFSET($H$3,0,0,'Données projet'!$E$10+1,1))</f>
        <v>428.8489304403459</v>
      </c>
      <c r="AO72" s="62">
        <f t="shared" si="90"/>
        <v>247.01165577562966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0</v>
      </c>
      <c r="AV72" s="23">
        <f>EXP(-LN(2)/25)*AV71+(1-EXP(-LN(2)/25))/(LN(2)/25)*Calculateur!AQ72*Calculateur!AS72*VLOOKUP('Données projet'!$B$10,Paramètres!$A$1:$I$89,3,0)*0.475*44/12</f>
        <v>0</v>
      </c>
      <c r="AW72" s="23">
        <f>EXP(-LN(2)/2)*AW71+(1-EXP(-LN(2)/2))/(LN(2)/2)*AQ72*AT72*VLOOKUP('Données projet'!$B$10,Paramètres!$A$1:$I$89,3,0)*0.475*44/12</f>
        <v>0</v>
      </c>
      <c r="AX72" s="23">
        <f t="shared" si="60"/>
        <v>0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6.8</v>
      </c>
      <c r="BD72" s="13">
        <f>IF('Données projet'!$A$88&gt;35,BD71+BC72-BL71,IF(A72&lt;'Données projet'!$A$88,$BA$205^A72,IF(A72='Données projet'!$A$88,'Données projet'!$B$88,BD71+BC72-BL71)))</f>
        <v>256.19999999999993</v>
      </c>
      <c r="BE72" s="14">
        <f>BD72*VLOOKUP('Données projet'!$B$11,Paramètres!$A$1:$I$89,3,0)*VLOOKUP('Données projet'!$B$11,Paramètres!$A$1:$I$89,5,0)</f>
        <v>259.78679999999997</v>
      </c>
      <c r="BF72" s="14">
        <f t="shared" si="91"/>
        <v>62.676930162260739</v>
      </c>
      <c r="BG72" s="22">
        <f t="shared" si="61"/>
        <v>561.62433003260401</v>
      </c>
      <c r="BH72" s="62">
        <f t="shared" si="62"/>
        <v>854.95766336593738</v>
      </c>
      <c r="BI72" s="62">
        <f ca="1">AVERAGE(OFFSET($BH$3,0,0,'Données projet'!$E$11+1,1))-AVERAGE(OFFSET($H$3,0,0,'Données projet'!$E$11+1,1))</f>
        <v>475.47920969424894</v>
      </c>
      <c r="BJ72" s="62">
        <f t="shared" si="92"/>
        <v>271.73544012419364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>
        <f>EXP(-LN(2)/35)*BP71+(1-EXP(-LN(2)/35))/(LN(2)/35)*BL72*BM72*VLOOKUP('Données projet'!$B$11,Paramètres!$A$1:$I$89,3,0)*0.475*44/12</f>
        <v>0</v>
      </c>
      <c r="BQ72" s="23">
        <f>EXP(-LN(2)/25)*BQ71+(1-EXP(-LN(2)/25))/(LN(2)/25)*Calculateur!BL72*Calculateur!BN72*VLOOKUP('Données projet'!$B$11,Paramètres!$A$1:$I$89,3,0)*0.475*44/12</f>
        <v>0</v>
      </c>
      <c r="BR72" s="23">
        <f>EXP(-LN(2)/2)*BR71+(1-EXP(-LN(2)/2))/(LN(2)/2)*BL72*BO72*VLOOKUP('Données projet'!$B$11,Paramètres!$A$1:$I$89,3,0)*0.475*44/12</f>
        <v>0</v>
      </c>
      <c r="BS72" s="24">
        <f t="shared" si="63"/>
        <v>0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>
        <f>VLOOKUP(A72,'Données projet'!$A$113:$I$133,2,0)</f>
        <v>456.23076923076923</v>
      </c>
      <c r="BW72" s="13">
        <f>VLOOKUP(A72,'Données projet'!$A$113:$I$133,9,0)</f>
        <v>13.373076923076932</v>
      </c>
      <c r="BX72" s="13">
        <f t="array" ref="BX72">INDEX(BW:BW,MIN(IF(ISNUMBER(BW72:BW268),ROW(BW72:BW268),"")))</f>
        <v>13.373076923076932</v>
      </c>
      <c r="BY72" s="13">
        <f>IF('Données projet'!$A$114&gt;35,BY71+BX72-CG71,IF(A72&lt;'Données projet'!$A$114,$BV$205^A72,IF(A72='Données projet'!$A$114,'Données projet'!$B$114,BY71+BX72-CG71)))</f>
        <v>456.23076923076945</v>
      </c>
      <c r="BZ72" s="14">
        <f>BY72*VLOOKUP('Données projet'!$B$12,Paramètres!$A$1:$I$89,3,0)*VLOOKUP('Données projet'!$B$12,Paramètres!$A$1:$I$89,5,0)</f>
        <v>255.03300000000013</v>
      </c>
      <c r="CA72" s="14">
        <f t="shared" si="93"/>
        <v>61.662428642904949</v>
      </c>
      <c r="CB72" s="22">
        <f t="shared" si="64"/>
        <v>551.57787155305971</v>
      </c>
      <c r="CC72" s="62">
        <f t="shared" si="65"/>
        <v>844.91120488639308</v>
      </c>
      <c r="CD72" s="62">
        <f ca="1">AVERAGE(OFFSET($CC$3,0,0,'Données projet'!$E$12+1,1))-AVERAGE(OFFSET($H$3,0,0,'Données projet'!$E$12+1,1))</f>
        <v>323.98185264074681</v>
      </c>
      <c r="CE72" s="62">
        <f t="shared" si="94"/>
        <v>301.22207291854005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>
        <f>EXP(-LN(2)/35)*CK71+(1-EXP(-LN(2)/35))/(LN(2)/35)*CG72*CH72*VLOOKUP('Données projet'!$B$12,Paramètres!$A$1:$I$89,3,0)*0.475*44/12</f>
        <v>2.0612344233371891</v>
      </c>
      <c r="CL72" s="23">
        <f>EXP(-LN(2)/25)*CL71+(1-EXP(-LN(2)/25))/(LN(2)/25)*Calculateur!CG72*Calculateur!CI72*VLOOKUP('Données projet'!$B$12,Paramètres!$A$1:$I$89,3,0)*0.475*44/12</f>
        <v>2.7970805957122811</v>
      </c>
      <c r="CM72" s="23">
        <f>EXP(-LN(2)/2)*CM71+(1-EXP(-LN(2)/2))/(LN(2)/2)*CG72*CJ72*VLOOKUP('Données projet'!$B$12,Paramètres!$A$1:$I$89,3,0)*0.475*44/12</f>
        <v>8.2106203828126005E-6</v>
      </c>
      <c r="CN72" s="24">
        <f t="shared" si="66"/>
        <v>4.8583232296698533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5</v>
      </c>
      <c r="CT72" s="13">
        <f>IF('Données projet'!$A$140&gt;35,CT71+CS72-DB71,IF(A72&lt;'Données projet'!$A$140,$CQ$205^A72,IF(A72='Données projet'!$A$140,'Données projet'!$B$140,CT71+CS72-DB71)))</f>
        <v>181</v>
      </c>
      <c r="CU72" s="18">
        <f>CT72*VLOOKUP('Données projet'!$B$13,Paramètres!$A$1:$I$89,3,0)*VLOOKUP('Données projet'!$B$13,Paramètres!$A$1:$I$89,5,0)</f>
        <v>206.12280000000001</v>
      </c>
      <c r="CV72" s="14">
        <f t="shared" si="95"/>
        <v>51.087403212899119</v>
      </c>
      <c r="CW72" s="22">
        <f t="shared" si="67"/>
        <v>447.97443726246598</v>
      </c>
      <c r="CX72" s="62">
        <f t="shared" si="68"/>
        <v>741.3077705957993</v>
      </c>
      <c r="CY72" s="62">
        <f ca="1">AVERAGE(OFFSET($CX$3,0,0,'Données projet'!$E$13+1,1))-AVERAGE(OFFSET($H$3,0,0,'Données projet'!$E$13+1,1))</f>
        <v>399.78832690250164</v>
      </c>
      <c r="CZ72" s="62">
        <f t="shared" si="96"/>
        <v>174.32967064896343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>
        <f>EXP(-LN(2)/35)*DF71+(1-EXP(-LN(2)/35))/(LN(2)/35)*DB72*DC72*VLOOKUP('Données projet'!$B$13,Paramètres!$A$1:$I$89,3,0)*0.475*44/12</f>
        <v>0</v>
      </c>
      <c r="DG72" s="23">
        <f>EXP(-LN(2)/25)*DG71+(1-EXP(-LN(2)/25))/(LN(2)/25)*Calculateur!DB72*Calculateur!DD72*VLOOKUP('Données projet'!$B$13,Paramètres!$A$1:$I$89,3,0)*0.475*44/12</f>
        <v>0</v>
      </c>
      <c r="DH72" s="23">
        <f>EXP(-LN(2)/2)*DH71+(1-EXP(-LN(2)/2))/(LN(2)/2)*DB72*DE72*VLOOKUP('Données projet'!$B$13,Paramètres!$A$1:$I$89,3,0)*0.475*44/12</f>
        <v>0</v>
      </c>
      <c r="DI72" s="24">
        <f t="shared" si="69"/>
        <v>0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6.8</v>
      </c>
      <c r="DO72" s="13">
        <f>IF('Données projet'!$A$166&gt;35,DO71+DN72-DW71,IF(A72&lt;'Données projet'!$A$166,$DL$205^A72,IF(A72='Données projet'!$A$166,'Données projet'!$B$166,DO71+DN72-DW71)))</f>
        <v>256.19999999999993</v>
      </c>
      <c r="DP72" s="18">
        <f>DO72*VLOOKUP('Données projet'!$B$14,Paramètres!$A$1:$I$89,3,0)*VLOOKUP('Données projet'!$B$14,Paramètres!$A$1:$I$89,5,0)</f>
        <v>215.82287999999997</v>
      </c>
      <c r="DQ72" s="14">
        <f t="shared" si="97"/>
        <v>53.205998928315829</v>
      </c>
      <c r="DR72" s="22">
        <f t="shared" si="70"/>
        <v>468.55863080015001</v>
      </c>
      <c r="DS72" s="62">
        <f t="shared" si="71"/>
        <v>761.89196413348327</v>
      </c>
      <c r="DT72" s="62">
        <f ca="1">AVERAGE(OFFSET($DS$3,0,0,'Données projet'!$E$14+1,1))-AVERAGE(OFFSET($H$3,0,0,'Données projet'!$E$14+1,1))</f>
        <v>402.15128814037058</v>
      </c>
      <c r="DU72" s="62">
        <f t="shared" si="98"/>
        <v>232.85411068442738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>
        <f>EXP(-LN(2)/35)*EA71+(1-EXP(-LN(2)/35))/(LN(2)/35)*DW72*DX72*VLOOKUP('Données projet'!$B$14,Paramètres!$A$1:$I$89,3,0)*0.475*44/12</f>
        <v>0</v>
      </c>
      <c r="EB72" s="23">
        <f>EXP(-LN(2)/25)*EB71+(1-EXP(-LN(2)/25))/(LN(2)/25)*Calculateur!DW72*Calculateur!DY72*VLOOKUP('Données projet'!$B$14,Paramètres!$A$1:$I$89,3,0)*0.475*44/12</f>
        <v>0</v>
      </c>
      <c r="EC72" s="23">
        <f>EXP(-LN(2)/2)*EC71+(1-EXP(-LN(2)/2))/(LN(2)/2)*DW72*DZ72*VLOOKUP('Données projet'!$B$14,Paramètres!$A$1:$I$89,3,0)*0.475*44/12</f>
        <v>0</v>
      </c>
      <c r="ED72" s="24">
        <f t="shared" si="72"/>
        <v>0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5.6410256410256467</v>
      </c>
      <c r="EJ72" s="13">
        <f>IF('Données projet'!$A$192&gt;35,EJ71+EI72-ER71,IF(A72&lt;'Données projet'!$A$192,$EG$205^A72,IF(A72='Données projet'!$A$192,'Données projet'!$B$192,EJ71+EI72-ER71)))</f>
        <v>314.23076923076945</v>
      </c>
      <c r="EK72" s="18">
        <f>EJ72*VLOOKUP('Données projet'!$B$15,Paramètres!$A$1:$I$89,3,0)*VLOOKUP('Données projet'!$B$15,Paramètres!$A$1:$I$89,5,0)</f>
        <v>328.43400000000025</v>
      </c>
      <c r="EL72" s="14">
        <f t="shared" si="99"/>
        <v>77.105545589495094</v>
      </c>
      <c r="EM72" s="22">
        <f t="shared" si="73"/>
        <v>706.31470856837097</v>
      </c>
      <c r="EN72" s="62">
        <f t="shared" si="74"/>
        <v>999.64804190170435</v>
      </c>
      <c r="EO72" s="62">
        <f ca="1">AVERAGE(OFFSET($EN$3,0,0,'Données projet'!$E$15+1,1))-AVERAGE(OFFSET($H$3,0,0,'Données projet'!$E$15+1,1))</f>
        <v>595.89992279024398</v>
      </c>
      <c r="EP72" s="62">
        <f t="shared" si="100"/>
        <v>378.16197659288338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>
        <f>EXP(-LN(2)/35)*EV71+(1-EXP(-LN(2)/35))/(LN(2)/35)*ER72*ES72*VLOOKUP('Données projet'!$B$15,Paramètres!$A$1:$I$89,3,0)*0.475*44/12</f>
        <v>0</v>
      </c>
      <c r="EW72" s="23">
        <f>EXP(-LN(2)/25)*EW71+(1-EXP(-LN(2)/25))/(LN(2)/25)*Calculateur!ER72*Calculateur!ET72*VLOOKUP('Données projet'!$B$15,Paramètres!$A$1:$I$89,3,0)*0.475*44/12</f>
        <v>0</v>
      </c>
      <c r="EX72" s="23">
        <f>EXP(-LN(2)/2)*EX71+(1-EXP(-LN(2)/2))/(LN(2)/2)*ER72*EU72*VLOOKUP('Données projet'!$B$15,Paramètres!$A$1:$I$89,3,0)*0.475*44/12</f>
        <v>0</v>
      </c>
      <c r="EY72" s="24">
        <f t="shared" si="75"/>
        <v>0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-2.2737367544323206E-13</v>
      </c>
      <c r="FF72" s="18">
        <f>FE72*VLOOKUP('Données projet'!$B$16,Paramètres!$A$1:$I$89,3,0)*VLOOKUP('Données projet'!$B$16,Paramètres!$A$1:$I$89,5,0)</f>
        <v>-1.3596945791505279E-13</v>
      </c>
      <c r="FG72" s="14" t="e">
        <f t="shared" si="101"/>
        <v>#NUM!</v>
      </c>
      <c r="FH72" s="22" t="e">
        <f t="shared" si="76"/>
        <v>#NUM!</v>
      </c>
      <c r="FI72" s="62" t="e">
        <f t="shared" si="77"/>
        <v>#NUM!</v>
      </c>
      <c r="FJ72" s="62">
        <f ca="1">AVERAGE(OFFSET($FI$3,0,0,'Données projet'!$E$16+1,1))-AVERAGE(OFFSET($H$3,0,0,'Données projet'!$E$16+1,1))</f>
        <v>257.56116197646924</v>
      </c>
      <c r="FK72" s="62">
        <f t="shared" si="102"/>
        <v>269.95556918835888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>
        <f>EXP(-LN(2)/35)*FQ71+(1-EXP(-LN(2)/35))/(LN(2)/35)*FM72*FN72*VLOOKUP('Données projet'!$B$16,Paramètres!$A$1:$I$89,3,0)*0.475*44/12</f>
        <v>6.7354566957062421</v>
      </c>
      <c r="FR72" s="23">
        <f>EXP(-LN(2)/25)*FR71+(1-EXP(-LN(2)/25))/(LN(2)/25)*Calculateur!FM72*Calculateur!FO72*VLOOKUP('Données projet'!$B$16,Paramètres!$A$1:$I$89,3,0)*0.475*44/12</f>
        <v>5.4749406880457876</v>
      </c>
      <c r="FS72" s="23">
        <f>EXP(-LN(2)/2)*FS71+(1-EXP(-LN(2)/2))/(LN(2)/2)*FM72*FP72*VLOOKUP('Données projet'!$B$16,Paramètres!$A$1:$I$89,3,0)*0.475*44/12</f>
        <v>1.1536885060336949E-5</v>
      </c>
      <c r="FT72" s="24">
        <f t="shared" si="78"/>
        <v>12.210408920637089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9.1830769230769249</v>
      </c>
      <c r="FZ72" s="13">
        <f>IF('Données projet'!$A$244&gt;35,FZ71+FY72-GH71,IF(A72&lt;'Données projet'!$A$244,$FW$205^A72,IF(A72='Données projet'!$A$244,'Données projet'!$B$244,FZ71+FY72-GH71)))</f>
        <v>370.80923076923057</v>
      </c>
      <c r="GA72" s="18">
        <f>FZ72*VLOOKUP('Données projet'!$B$17,Paramètres!$A$1:$I$89,3,0)*VLOOKUP('Données projet'!$B$17,Paramètres!$A$1:$I$89,5,0)</f>
        <v>221.74391999999989</v>
      </c>
      <c r="GB72" s="14">
        <f t="shared" si="103"/>
        <v>54.493743764780973</v>
      </c>
      <c r="GC72" s="22">
        <f t="shared" si="79"/>
        <v>481.11393105699329</v>
      </c>
      <c r="GD72" s="62">
        <f t="shared" si="80"/>
        <v>774.44726439032661</v>
      </c>
      <c r="GE72" s="62">
        <f ca="1">AVERAGE(OFFSET($GD$3,0,0,'Données projet'!$E$17+1,1))-AVERAGE(OFFSET($H$3,0,0,'Données projet'!$E$17+1,1))</f>
        <v>289.12367833861299</v>
      </c>
      <c r="GF72" s="62">
        <f t="shared" si="104"/>
        <v>229.06617320689003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>
        <f>EXP(-LN(2)/35)*GL71+(1-EXP(-LN(2)/35))/(LN(2)/35)*GH72*GI72*VLOOKUP('Données projet'!$B$17,Paramètres!$A$1:$I$89,3,0)*0.475*44/12</f>
        <v>0</v>
      </c>
      <c r="GM72" s="23">
        <f>EXP(-LN(2)/25)*GM71+(1-EXP(-LN(2)/25))/(LN(2)/25)*Calculateur!GH72*Calculateur!GJ72*VLOOKUP('Données projet'!$B$17,Paramètres!$A$1:$I$89,3,0)*0.475*44/12</f>
        <v>0</v>
      </c>
      <c r="GN72" s="23">
        <f>EXP(-LN(2)/2)*GN71+(1-EXP(-LN(2)/2))/(LN(2)/2)*GH72*GK72*VLOOKUP('Données projet'!$B$17,Paramètres!$A$1:$I$89,3,0)*0.475*44/12</f>
        <v>5.5928329546624017E-6</v>
      </c>
      <c r="GO72" s="23">
        <f t="shared" si="81"/>
        <v>5.5928329546624017E-6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10.457692307692307</v>
      </c>
      <c r="GU72" s="13">
        <f>IF('Données projet'!$A$270&gt;35,GU71+GT72-HC71,IF(A72&lt;'Données projet'!$A$270,$GR$205^A72,IF(A72='Données projet'!$A$270,'Données projet'!$B$270,GU71+GT72-HC71)))</f>
        <v>316.30000000000007</v>
      </c>
      <c r="GV72" s="18">
        <f>GU72*VLOOKUP('Données projet'!$B$18,Paramètres!$A$1:$I$89,3,0)*VLOOKUP('Données projet'!$B$18,Paramètres!$A$1:$I$89,5,0)</f>
        <v>148.02840000000003</v>
      </c>
      <c r="GW72" s="14">
        <f t="shared" si="105"/>
        <v>38.130188005693356</v>
      </c>
      <c r="GX72" s="22">
        <f t="shared" si="82"/>
        <v>324.22620744324928</v>
      </c>
      <c r="GY72" s="62">
        <f t="shared" si="83"/>
        <v>617.55954077658259</v>
      </c>
      <c r="GZ72" s="62">
        <f ca="1">AVERAGE(OFFSET($GY$3,0,0,'Données projet'!$E$18+1,1))-AVERAGE(OFFSET($H$3,0,0,'Données projet'!$E$18+1,1))</f>
        <v>284.88646502866419</v>
      </c>
      <c r="HA72" s="62">
        <f t="shared" si="106"/>
        <v>190.4880882944471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>
        <f>EXP(-LN(2)/35)*HG71+(1-EXP(-LN(2)/35))/(LN(2)/35)*HC72*HD72*VLOOKUP('Données projet'!$B$18,Paramètres!$A$1:$I$89,3,0)*0.475*44/12</f>
        <v>0</v>
      </c>
      <c r="HH72" s="23">
        <f>EXP(-LN(2)/25)*HH71+(1-EXP(-LN(2)/25))/(LN(2)/25)*Calculateur!HC72*Calculateur!HE72*VLOOKUP('Données projet'!$B$18,Paramètres!$A$1:$I$89,3,0)*0.475*44/12</f>
        <v>0</v>
      </c>
      <c r="HI72" s="23">
        <f>EXP(-LN(2)/2)*HI71+(1-EXP(-LN(2)/2))/(LN(2)/2)*HC72*HF72*VLOOKUP('Données projet'!$B$18,Paramètres!$A$1:$I$89,3,0)*0.475*44/12</f>
        <v>0</v>
      </c>
      <c r="HJ72" s="24">
        <f t="shared" si="84"/>
        <v>0</v>
      </c>
    </row>
    <row r="73" spans="1:218" s="5" customFormat="1" x14ac:dyDescent="0.25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2">
        <f t="shared" si="86"/>
        <v>0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0</v>
      </c>
      <c r="H73" s="70">
        <f t="shared" si="56"/>
        <v>256.66666666666669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>
        <f>VLOOKUP(A73,'Données projet'!$A$35:$I$55,2,0)</f>
        <v>215.38461538461539</v>
      </c>
      <c r="L73" s="13">
        <f>VLOOKUP(A73,'Données projet'!$A$35:$I$55,9,0)</f>
        <v>4.3589743589743595</v>
      </c>
      <c r="M73" s="13">
        <f t="array" ref="M73">INDEX(L:L,MIN(IF(ISNUMBER(L73:L269),ROW(L73:L269),"")))</f>
        <v>4.3589743589743595</v>
      </c>
      <c r="N73" s="14">
        <f>IF('Données projet'!$A$36&gt;35,N72+M73-V72,IF(A73&lt;'Données projet'!$A$36,$K$205^A73,IF(A73='Données projet'!$A$36,'Données projet'!$B$36,N72+M73-V72)))</f>
        <v>215.38461538461533</v>
      </c>
      <c r="O73" s="14">
        <f>N73*VLOOKUP('Données projet'!$B$9,Paramètres!$A$1:$I$89,3,0)*VLOOKUP('Données projet'!$B$9,Paramètres!$A$1:$I$89,5,0)</f>
        <v>204.95999999999998</v>
      </c>
      <c r="P73" s="14">
        <f t="shared" si="87"/>
        <v>50.832666587809335</v>
      </c>
      <c r="Q73" s="22">
        <f t="shared" si="54"/>
        <v>445.50556097376784</v>
      </c>
      <c r="R73" s="62">
        <f t="shared" si="55"/>
        <v>738.8388943071011</v>
      </c>
      <c r="S73" s="62">
        <f ca="1">AVERAGE(OFFSET($R$3,0,0,'Données projet'!$E$9+1,1))-AVERAGE(OFFSET($H$3,0,0,'Données projet'!$E$9+1,1))</f>
        <v>367.11183928586667</v>
      </c>
      <c r="T73" s="62">
        <f t="shared" si="88"/>
        <v>281.52963027844595</v>
      </c>
      <c r="U73" s="16">
        <f>IF(ISNA(VLOOKUP(A73,'Données projet'!$A$35:$I$55,3,0)),0,VLOOKUP(A73,'Données projet'!$A$35:$I$55,3,0))</f>
        <v>6</v>
      </c>
      <c r="V73" s="16">
        <f>IF(ISNA(VLOOKUP(A73,'Données projet'!$A$35:$I$55,4,0)),0,VLOOKUP(A73,'Données projet'!$A$35:$I$55,4,0))</f>
        <v>28.846153846153847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0</v>
      </c>
      <c r="AA73" s="23">
        <f>EXP(-LN(2)/25)*AA72+(1-EXP(-LN(2)/25))/(LN(2)/25)*Calculateur!V73*Calculateur!X73*VLOOKUP('Données projet'!$B$9,Paramètres!$A$1:$I$89,3,0)*0.475*44/12</f>
        <v>0</v>
      </c>
      <c r="AB73" s="23">
        <f>EXP(-LN(2)/2)*AB72+(1-EXP(-LN(2)/2))/(LN(2)/2)*V73*Y73*VLOOKUP('Données projet'!$B$9,Paramètres!$A$1:$I$89,3,0)*0.475*44/12</f>
        <v>0</v>
      </c>
      <c r="AC73" s="24">
        <f t="shared" si="57"/>
        <v>0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>
        <f>VLOOKUP(A73,'Données projet'!$A$61:$I$81,2,0)</f>
        <v>263</v>
      </c>
      <c r="AG73" s="13">
        <f>VLOOKUP(A73,'Données projet'!$A$61:$I$81,9,0)</f>
        <v>6.8</v>
      </c>
      <c r="AH73" s="13">
        <f t="array" ref="AH73">INDEX(AG:AG,MIN(IF(ISNUMBER(AG73:AG269),ROW(AG73:AG269),"")))</f>
        <v>6.8</v>
      </c>
      <c r="AI73" s="14">
        <f>IF('Données projet'!$A$62&gt;35,AI72+AH73-AQ72,IF(A73&lt;'Données projet'!$A$62,$AF$205^A73,IF(A73='Données projet'!$A$62,'Données projet'!$B$62,AI72+AH73-AQ72)))</f>
        <v>262.99999999999994</v>
      </c>
      <c r="AJ73" s="14">
        <f>AI73*VLOOKUP('Données projet'!$B$10,Paramètres!$A$1:$I$89,3,0)*VLOOKUP('Données projet'!$B$10,Paramètres!$A$1:$I$89,5,0)</f>
        <v>237.96239999999995</v>
      </c>
      <c r="AK73" s="14">
        <f t="shared" si="89"/>
        <v>58.00091360766335</v>
      </c>
      <c r="AL73" s="22">
        <f t="shared" si="58"/>
        <v>515.4694378666801</v>
      </c>
      <c r="AM73" s="62">
        <f t="shared" si="59"/>
        <v>808.80277120001347</v>
      </c>
      <c r="AN73" s="62">
        <f ca="1">AVERAGE(OFFSET($AM$3,0,0,'Données projet'!$E$10+1,1))-AVERAGE(OFFSET($H$3,0,0,'Données projet'!$E$10+1,1))</f>
        <v>428.8489304403459</v>
      </c>
      <c r="AO73" s="62">
        <f t="shared" si="90"/>
        <v>247.01165577562966</v>
      </c>
      <c r="AP73" s="16">
        <f>IF(ISNA(VLOOKUP(A73,'Données projet'!$A$61:$I$81,3,0)),0,VLOOKUP(A73,'Données projet'!$A$61:$I$81,3,0))</f>
        <v>5</v>
      </c>
      <c r="AQ73" s="16">
        <f>IF(ISNA(VLOOKUP(A73,'Données projet'!$A$61:$I$81,4,0)),0,VLOOKUP(A73,'Données projet'!$A$61:$I$81,4,0))</f>
        <v>42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projet'!$B$10,Paramètres!$A$1:$I$89,3,0)*0.475*44/12</f>
        <v>0</v>
      </c>
      <c r="AV73" s="23">
        <f>EXP(-LN(2)/25)*AV72+(1-EXP(-LN(2)/25))/(LN(2)/25)*Calculateur!AQ73*Calculateur!AS73*VLOOKUP('Données projet'!$B$10,Paramètres!$A$1:$I$89,3,0)*0.475*44/12</f>
        <v>0</v>
      </c>
      <c r="AW73" s="23">
        <f>EXP(-LN(2)/2)*AW72+(1-EXP(-LN(2)/2))/(LN(2)/2)*AQ73*AT73*VLOOKUP('Données projet'!$B$10,Paramètres!$A$1:$I$89,3,0)*0.475*44/12</f>
        <v>0</v>
      </c>
      <c r="AX73" s="23">
        <f t="shared" si="60"/>
        <v>0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>
        <f>VLOOKUP(A73,'Données projet'!$A$87:$I$107,2,0)</f>
        <v>263</v>
      </c>
      <c r="BB73" s="13">
        <f>VLOOKUP(A73,'Données projet'!$A$87:$I$107,9,0)</f>
        <v>6.8</v>
      </c>
      <c r="BC73" s="13">
        <f t="array" ref="BC73">INDEX(BB:BB,MIN(IF(ISNUMBER(BB73:BB269),ROW(BB73:BB269),"")))</f>
        <v>6.8</v>
      </c>
      <c r="BD73" s="13">
        <f>IF('Données projet'!$A$88&gt;35,BD72+BC73-BL72,IF(A73&lt;'Données projet'!$A$88,$BA$205^A73,IF(A73='Données projet'!$A$88,'Données projet'!$B$88,BD72+BC73-BL72)))</f>
        <v>262.99999999999994</v>
      </c>
      <c r="BE73" s="14">
        <f>BD73*VLOOKUP('Données projet'!$B$11,Paramètres!$A$1:$I$89,3,0)*VLOOKUP('Données projet'!$B$11,Paramètres!$A$1:$I$89,5,0)</f>
        <v>266.68199999999996</v>
      </c>
      <c r="BF73" s="14">
        <f t="shared" si="91"/>
        <v>64.144600001897771</v>
      </c>
      <c r="BG73" s="22">
        <f t="shared" si="61"/>
        <v>576.189661669972</v>
      </c>
      <c r="BH73" s="62">
        <f t="shared" si="62"/>
        <v>869.52299500330537</v>
      </c>
      <c r="BI73" s="62">
        <f ca="1">AVERAGE(OFFSET($BH$3,0,0,'Données projet'!$E$11+1,1))-AVERAGE(OFFSET($H$3,0,0,'Données projet'!$E$11+1,1))</f>
        <v>475.47920969424894</v>
      </c>
      <c r="BJ73" s="62">
        <f t="shared" si="92"/>
        <v>271.73544012419364</v>
      </c>
      <c r="BK73" s="16">
        <f>IF(ISNA(VLOOKUP(A73,'Données projet'!$A$87:$I$107,3,0)),0,VLOOKUP(A73,'Données projet'!$A$87:$I$107,3,0))</f>
        <v>5</v>
      </c>
      <c r="BL73" s="16">
        <f>IF(ISNA(VLOOKUP(A73,'Données projet'!$A$87:$I$107,4,0)),0,VLOOKUP(A73,'Données projet'!$A$87:$I$107,4,0))</f>
        <v>42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>
        <f>EXP(-LN(2)/35)*BP72+(1-EXP(-LN(2)/35))/(LN(2)/35)*BL73*BM73*VLOOKUP('Données projet'!$B$11,Paramètres!$A$1:$I$89,3,0)*0.475*44/12</f>
        <v>0</v>
      </c>
      <c r="BQ73" s="23">
        <f>EXP(-LN(2)/25)*BQ72+(1-EXP(-LN(2)/25))/(LN(2)/25)*Calculateur!BL73*Calculateur!BN73*VLOOKUP('Données projet'!$B$11,Paramètres!$A$1:$I$89,3,0)*0.475*44/12</f>
        <v>0</v>
      </c>
      <c r="BR73" s="23">
        <f>EXP(-LN(2)/2)*BR72+(1-EXP(-LN(2)/2))/(LN(2)/2)*BL73*BO73*VLOOKUP('Données projet'!$B$11,Paramètres!$A$1:$I$89,3,0)*0.475*44/12</f>
        <v>0</v>
      </c>
      <c r="BS73" s="24">
        <f t="shared" si="63"/>
        <v>0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>
        <f>VLOOKUP(A73,'Données projet'!$A$113:$I$133,2,0)</f>
        <v>469.06923076923073</v>
      </c>
      <c r="BW73" s="13">
        <f>VLOOKUP(A73,'Données projet'!$A$113:$I$133,9,0)</f>
        <v>12.838461538461502</v>
      </c>
      <c r="BX73" s="13">
        <f t="array" ref="BX73">INDEX(BW:BW,MIN(IF(ISNUMBER(BW73:BW269),ROW(BW73:BW269),"")))</f>
        <v>12.838461538461502</v>
      </c>
      <c r="BY73" s="13">
        <f>IF('Données projet'!$A$114&gt;35,BY72+BX73-CG72,IF(A73&lt;'Données projet'!$A$114,$BV$205^A73,IF(A73='Données projet'!$A$114,'Données projet'!$B$114,BY72+BX73-CG72)))</f>
        <v>469.06923076923096</v>
      </c>
      <c r="BZ73" s="14">
        <f>BY73*VLOOKUP('Données projet'!$B$12,Paramètres!$A$1:$I$89,3,0)*VLOOKUP('Données projet'!$B$12,Paramètres!$A$1:$I$89,5,0)</f>
        <v>262.20970000000011</v>
      </c>
      <c r="CA73" s="14">
        <f t="shared" si="93"/>
        <v>63.193164452376678</v>
      </c>
      <c r="CB73" s="22">
        <f t="shared" si="64"/>
        <v>566.74332225455612</v>
      </c>
      <c r="CC73" s="62">
        <f t="shared" si="65"/>
        <v>860.07665558788949</v>
      </c>
      <c r="CD73" s="62">
        <f ca="1">AVERAGE(OFFSET($CC$3,0,0,'Données projet'!$E$12+1,1))-AVERAGE(OFFSET($H$3,0,0,'Données projet'!$E$12+1,1))</f>
        <v>323.98185264074681</v>
      </c>
      <c r="CE73" s="62">
        <f t="shared" si="94"/>
        <v>301.22207291854005</v>
      </c>
      <c r="CF73" s="16">
        <f>IF(ISNA(VLOOKUP(A73,'Données projet'!$A$113:$I$133,3,0)),0,VLOOKUP(A73,'Données projet'!$A$113:$I$133,3,0))</f>
        <v>8</v>
      </c>
      <c r="CG73" s="16">
        <f>IF(ISNA(VLOOKUP(A73,'Données projet'!$A$113:$I$133,4,0)),0,VLOOKUP(A73,'Données projet'!$A$113:$I$133,4,0))</f>
        <v>469.06923076923073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>
        <f>EXP(-LN(2)/35)*CK72+(1-EXP(-LN(2)/35))/(LN(2)/35)*CG73*CH73*VLOOKUP('Données projet'!$B$12,Paramètres!$A$1:$I$89,3,0)*0.475*44/12</f>
        <v>2.020814873524404</v>
      </c>
      <c r="CL73" s="23">
        <f>EXP(-LN(2)/25)*CL72+(1-EXP(-LN(2)/25))/(LN(2)/25)*Calculateur!CG73*Calculateur!CI73*VLOOKUP('Données projet'!$B$12,Paramètres!$A$1:$I$89,3,0)*0.475*44/12</f>
        <v>2.7205942797304532</v>
      </c>
      <c r="CM73" s="23">
        <f>EXP(-LN(2)/2)*CM72+(1-EXP(-LN(2)/2))/(LN(2)/2)*CG73*CJ73*VLOOKUP('Données projet'!$B$12,Paramètres!$A$1:$I$89,3,0)*0.475*44/12</f>
        <v>5.8057853504352766E-6</v>
      </c>
      <c r="CN73" s="24">
        <f t="shared" si="66"/>
        <v>4.741414959040207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>
        <f>VLOOKUP(A73,'Données projet'!$A$139:$I$159,2,0)</f>
        <v>186</v>
      </c>
      <c r="CR73" s="13">
        <f>VLOOKUP(A73,'Données projet'!$A$139:$I$159,9,0)</f>
        <v>5</v>
      </c>
      <c r="CS73" s="13">
        <f t="array" ref="CS73">INDEX(CR:CR,MIN(IF(ISNUMBER(CR73:CR269),ROW(CR73:CR269),"")))</f>
        <v>5</v>
      </c>
      <c r="CT73" s="13">
        <f>IF('Données projet'!$A$140&gt;35,CT72+CS73-DB72,IF(A73&lt;'Données projet'!$A$140,$CQ$205^A73,IF(A73='Données projet'!$A$140,'Données projet'!$B$140,CT72+CS73-DB72)))</f>
        <v>186</v>
      </c>
      <c r="CU73" s="18">
        <f>CT73*VLOOKUP('Données projet'!$B$13,Paramètres!$A$1:$I$89,3,0)*VLOOKUP('Données projet'!$B$13,Paramètres!$A$1:$I$89,5,0)</f>
        <v>211.8168</v>
      </c>
      <c r="CV73" s="14">
        <f t="shared" si="95"/>
        <v>52.332402945946832</v>
      </c>
      <c r="CW73" s="22">
        <f t="shared" si="67"/>
        <v>460.05986179752409</v>
      </c>
      <c r="CX73" s="62">
        <f t="shared" si="68"/>
        <v>753.39319513085741</v>
      </c>
      <c r="CY73" s="62">
        <f ca="1">AVERAGE(OFFSET($CX$3,0,0,'Données projet'!$E$13+1,1))-AVERAGE(OFFSET($H$3,0,0,'Données projet'!$E$13+1,1))</f>
        <v>399.78832690250164</v>
      </c>
      <c r="CZ73" s="62">
        <f t="shared" si="96"/>
        <v>174.32967064896343</v>
      </c>
      <c r="DA73" s="16">
        <f>IF(ISNA(VLOOKUP(A73,'Données projet'!$A$139:$I$159,3,0)),0,VLOOKUP(A73,'Données projet'!$A$139:$I$159,3,0))</f>
        <v>4</v>
      </c>
      <c r="DB73" s="16">
        <f>IF(ISNA(VLOOKUP(A73,'Données projet'!$A$139:$I$159,4,0)),0,VLOOKUP(A73,'Données projet'!$A$139:$I$159,4,0))</f>
        <v>28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>
        <f>EXP(-LN(2)/35)*DF72+(1-EXP(-LN(2)/35))/(LN(2)/35)*DB73*DC73*VLOOKUP('Données projet'!$B$13,Paramètres!$A$1:$I$89,3,0)*0.475*44/12</f>
        <v>0</v>
      </c>
      <c r="DG73" s="23">
        <f>EXP(-LN(2)/25)*DG72+(1-EXP(-LN(2)/25))/(LN(2)/25)*Calculateur!DB73*Calculateur!DD73*VLOOKUP('Données projet'!$B$13,Paramètres!$A$1:$I$89,3,0)*0.475*44/12</f>
        <v>0</v>
      </c>
      <c r="DH73" s="23">
        <f>EXP(-LN(2)/2)*DH72+(1-EXP(-LN(2)/2))/(LN(2)/2)*DB73*DE73*VLOOKUP('Données projet'!$B$13,Paramètres!$A$1:$I$89,3,0)*0.475*44/12</f>
        <v>0</v>
      </c>
      <c r="DI73" s="24">
        <f t="shared" si="69"/>
        <v>0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>
        <f>VLOOKUP(A73,'Données projet'!$A$165:$I$185,2,0)</f>
        <v>263</v>
      </c>
      <c r="DM73" s="13">
        <f>VLOOKUP(A73,'Données projet'!$A$165:$I$185,9,0)</f>
        <v>6.8</v>
      </c>
      <c r="DN73" s="13">
        <f t="array" ref="DN73">INDEX(DM:DM,MIN(IF(ISNUMBER(DM73:DM269),ROW(DM73:DM269),"")))</f>
        <v>6.8</v>
      </c>
      <c r="DO73" s="13">
        <f>IF('Données projet'!$A$166&gt;35,DO72+DN73-DW72,IF(A73&lt;'Données projet'!$A$166,$DL$205^A73,IF(A73='Données projet'!$A$166,'Données projet'!$B$166,DO72+DN73-DW72)))</f>
        <v>262.99999999999994</v>
      </c>
      <c r="DP73" s="18">
        <f>DO73*VLOOKUP('Données projet'!$B$14,Paramètres!$A$1:$I$89,3,0)*VLOOKUP('Données projet'!$B$14,Paramètres!$A$1:$I$89,5,0)</f>
        <v>221.55119999999997</v>
      </c>
      <c r="DQ73" s="14">
        <f t="shared" si="97"/>
        <v>54.451893386016494</v>
      </c>
      <c r="DR73" s="22">
        <f t="shared" si="70"/>
        <v>480.70538764731208</v>
      </c>
      <c r="DS73" s="62">
        <f t="shared" si="71"/>
        <v>774.03872098064539</v>
      </c>
      <c r="DT73" s="62">
        <f ca="1">AVERAGE(OFFSET($DS$3,0,0,'Données projet'!$E$14+1,1))-AVERAGE(OFFSET($H$3,0,0,'Données projet'!$E$14+1,1))</f>
        <v>402.15128814037058</v>
      </c>
      <c r="DU73" s="62">
        <f t="shared" si="98"/>
        <v>232.85411068442738</v>
      </c>
      <c r="DV73" s="16">
        <f>IF(ISNA(VLOOKUP(A73,'Données projet'!$A$165:$I$185,3,0)),0,VLOOKUP(A73,'Données projet'!$A$165:$I$185,3,0))</f>
        <v>5</v>
      </c>
      <c r="DW73" s="16">
        <f>IF(ISNA(VLOOKUP(A73,'Données projet'!$A$165:$I$185,4,0)),0,VLOOKUP(A73,'Données projet'!$A$165:$I$185,4,0))</f>
        <v>42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>
        <f>EXP(-LN(2)/35)*EA72+(1-EXP(-LN(2)/35))/(LN(2)/35)*DW73*DX73*VLOOKUP('Données projet'!$B$14,Paramètres!$A$1:$I$89,3,0)*0.475*44/12</f>
        <v>0</v>
      </c>
      <c r="EB73" s="23">
        <f>EXP(-LN(2)/25)*EB72+(1-EXP(-LN(2)/25))/(LN(2)/25)*Calculateur!DW73*Calculateur!DY73*VLOOKUP('Données projet'!$B$14,Paramètres!$A$1:$I$89,3,0)*0.475*44/12</f>
        <v>0</v>
      </c>
      <c r="EC73" s="23">
        <f>EXP(-LN(2)/2)*EC72+(1-EXP(-LN(2)/2))/(LN(2)/2)*DW73*DZ73*VLOOKUP('Données projet'!$B$14,Paramètres!$A$1:$I$89,3,0)*0.475*44/12</f>
        <v>0</v>
      </c>
      <c r="ED73" s="24">
        <f t="shared" si="72"/>
        <v>0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>
        <f>VLOOKUP(A73,'Données projet'!$A$191:$I$211,2,0)</f>
        <v>319.87179487179486</v>
      </c>
      <c r="EH73" s="13">
        <f>VLOOKUP(A73,'Données projet'!$A$191:$I$211,9,0)</f>
        <v>5.6410256410256467</v>
      </c>
      <c r="EI73" s="13">
        <f t="array" ref="EI73">INDEX(EH:EH,MIN(IF(ISNUMBER(EH73:EH269),ROW(EH73:EH269),"")))</f>
        <v>5.6410256410256467</v>
      </c>
      <c r="EJ73" s="13">
        <f>IF('Données projet'!$A$192&gt;35,EJ72+EI73-ER72,IF(A73&lt;'Données projet'!$A$192,$EG$205^A73,IF(A73='Données projet'!$A$192,'Données projet'!$B$192,EJ72+EI73-ER72)))</f>
        <v>319.87179487179509</v>
      </c>
      <c r="EK73" s="18">
        <f>EJ73*VLOOKUP('Données projet'!$B$15,Paramètres!$A$1:$I$89,3,0)*VLOOKUP('Données projet'!$B$15,Paramètres!$A$1:$I$89,5,0)</f>
        <v>334.33000000000027</v>
      </c>
      <c r="EL73" s="14">
        <f t="shared" si="99"/>
        <v>78.327344421591008</v>
      </c>
      <c r="EM73" s="22">
        <f t="shared" si="73"/>
        <v>718.71154153427142</v>
      </c>
      <c r="EN73" s="62">
        <f t="shared" si="74"/>
        <v>1012.0448748676047</v>
      </c>
      <c r="EO73" s="62">
        <f ca="1">AVERAGE(OFFSET($EN$3,0,0,'Données projet'!$E$15+1,1))-AVERAGE(OFFSET($H$3,0,0,'Données projet'!$E$15+1,1))</f>
        <v>595.89992279024398</v>
      </c>
      <c r="EP73" s="62">
        <f t="shared" si="100"/>
        <v>378.16197659288338</v>
      </c>
      <c r="EQ73" s="16">
        <f>IF(ISNA(VLOOKUP(A73,'Données projet'!$A$191:$I$211,3,0)),0,VLOOKUP(A73,'Données projet'!$A$191:$I$211,3,0))</f>
        <v>6</v>
      </c>
      <c r="ER73" s="16">
        <f>IF(ISNA(VLOOKUP(A73,'Données projet'!$A$191:$I$211,4,0)),0,VLOOKUP(A73,'Données projet'!$A$191:$I$211,4,0))</f>
        <v>28.846153846153847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>
        <f>EXP(-LN(2)/35)*EV72+(1-EXP(-LN(2)/35))/(LN(2)/35)*ER73*ES73*VLOOKUP('Données projet'!$B$15,Paramètres!$A$1:$I$89,3,0)*0.475*44/12</f>
        <v>0</v>
      </c>
      <c r="EW73" s="23">
        <f>EXP(-LN(2)/25)*EW72+(1-EXP(-LN(2)/25))/(LN(2)/25)*Calculateur!ER73*Calculateur!ET73*VLOOKUP('Données projet'!$B$15,Paramètres!$A$1:$I$89,3,0)*0.475*44/12</f>
        <v>0</v>
      </c>
      <c r="EX73" s="23">
        <f>EXP(-LN(2)/2)*EX72+(1-EXP(-LN(2)/2))/(LN(2)/2)*ER73*EU73*VLOOKUP('Données projet'!$B$15,Paramètres!$A$1:$I$89,3,0)*0.475*44/12</f>
        <v>0</v>
      </c>
      <c r="EY73" s="24">
        <f t="shared" si="75"/>
        <v>0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-2.2737367544323206E-13</v>
      </c>
      <c r="FF73" s="18">
        <f>FE73*VLOOKUP('Données projet'!$B$16,Paramètres!$A$1:$I$89,3,0)*VLOOKUP('Données projet'!$B$16,Paramètres!$A$1:$I$89,5,0)</f>
        <v>-1.3596945791505279E-13</v>
      </c>
      <c r="FG73" s="14" t="e">
        <f t="shared" si="101"/>
        <v>#NUM!</v>
      </c>
      <c r="FH73" s="22" t="e">
        <f t="shared" si="76"/>
        <v>#NUM!</v>
      </c>
      <c r="FI73" s="62" t="e">
        <f t="shared" si="77"/>
        <v>#NUM!</v>
      </c>
      <c r="FJ73" s="62">
        <f ca="1">AVERAGE(OFFSET($FI$3,0,0,'Données projet'!$E$16+1,1))-AVERAGE(OFFSET($H$3,0,0,'Données projet'!$E$16+1,1))</f>
        <v>257.56116197646924</v>
      </c>
      <c r="FK73" s="62">
        <f t="shared" si="102"/>
        <v>269.95556918835888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>
        <f>EXP(-LN(2)/35)*FQ72+(1-EXP(-LN(2)/35))/(LN(2)/35)*FM73*FN73*VLOOKUP('Données projet'!$B$16,Paramètres!$A$1:$I$89,3,0)*0.475*44/12</f>
        <v>6.6033784981263741</v>
      </c>
      <c r="FR73" s="23">
        <f>EXP(-LN(2)/25)*FR72+(1-EXP(-LN(2)/25))/(LN(2)/25)*Calculateur!FM73*Calculateur!FO73*VLOOKUP('Données projet'!$B$16,Paramètres!$A$1:$I$89,3,0)*0.475*44/12</f>
        <v>5.3252281470165581</v>
      </c>
      <c r="FS73" s="23">
        <f>EXP(-LN(2)/2)*FS72+(1-EXP(-LN(2)/2))/(LN(2)/2)*FM73*FP73*VLOOKUP('Données projet'!$B$16,Paramètres!$A$1:$I$89,3,0)*0.475*44/12</f>
        <v>8.1578096599340279E-6</v>
      </c>
      <c r="FT73" s="24">
        <f t="shared" si="78"/>
        <v>11.928614802952591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>
        <f>VLOOKUP(A73,'Données projet'!$A$243:$I$263,2,0)</f>
        <v>379.99230769230769</v>
      </c>
      <c r="FX73" s="13">
        <f>VLOOKUP(A73,'Données projet'!$A$243:$I$263,9,0)</f>
        <v>9.1830769230769249</v>
      </c>
      <c r="FY73" s="13">
        <f t="array" ref="FY73">INDEX(FX:FX,MIN(IF(ISNUMBER(FX73:FX269),ROW(FX73:FX269),"")))</f>
        <v>9.1830769230769249</v>
      </c>
      <c r="FZ73" s="13">
        <f>IF('Données projet'!$A$244&gt;35,FZ72+FY73-GH72,IF(A73&lt;'Données projet'!$A$244,$FW$205^A73,IF(A73='Données projet'!$A$244,'Données projet'!$B$244,FZ72+FY73-GH72)))</f>
        <v>379.99230769230746</v>
      </c>
      <c r="GA73" s="18">
        <f>FZ73*VLOOKUP('Données projet'!$B$17,Paramètres!$A$1:$I$89,3,0)*VLOOKUP('Données projet'!$B$17,Paramètres!$A$1:$I$89,5,0)</f>
        <v>227.23539999999988</v>
      </c>
      <c r="GB73" s="14">
        <f t="shared" si="103"/>
        <v>55.684490313081348</v>
      </c>
      <c r="GC73" s="22">
        <f t="shared" si="79"/>
        <v>492.75214229528314</v>
      </c>
      <c r="GD73" s="62">
        <f t="shared" si="80"/>
        <v>786.08547562861645</v>
      </c>
      <c r="GE73" s="62">
        <f ca="1">AVERAGE(OFFSET($GD$3,0,0,'Données projet'!$E$17+1,1))-AVERAGE(OFFSET($H$3,0,0,'Données projet'!$E$17+1,1))</f>
        <v>289.12367833861299</v>
      </c>
      <c r="GF73" s="62">
        <f t="shared" si="104"/>
        <v>229.06617320689003</v>
      </c>
      <c r="GG73" s="16">
        <f>IF(ISNA(VLOOKUP(A73,'Données projet'!$A$243:$I$263,3,0)),0,VLOOKUP(A73,'Données projet'!$A$243:$I$263,3,0))</f>
        <v>7</v>
      </c>
      <c r="GH73" s="16">
        <f>IF(ISNA(VLOOKUP(A73,'Données projet'!$A$243:$I$263,4,0)),0,VLOOKUP(A73,'Données projet'!$A$243:$I$263,4,0))</f>
        <v>52.669230769230765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>
        <f>EXP(-LN(2)/35)*GL72+(1-EXP(-LN(2)/35))/(LN(2)/35)*GH73*GI73*VLOOKUP('Données projet'!$B$17,Paramètres!$A$1:$I$89,3,0)*0.475*44/12</f>
        <v>0</v>
      </c>
      <c r="GM73" s="23">
        <f>EXP(-LN(2)/25)*GM72+(1-EXP(-LN(2)/25))/(LN(2)/25)*Calculateur!GH73*Calculateur!GJ73*VLOOKUP('Données projet'!$B$17,Paramètres!$A$1:$I$89,3,0)*0.475*44/12</f>
        <v>0</v>
      </c>
      <c r="GN73" s="23">
        <f>EXP(-LN(2)/2)*GN72+(1-EXP(-LN(2)/2))/(LN(2)/2)*GH73*GK73*VLOOKUP('Données projet'!$B$17,Paramètres!$A$1:$I$89,3,0)*0.475*44/12</f>
        <v>3.9547301082853789E-6</v>
      </c>
      <c r="GO73" s="23">
        <f t="shared" si="81"/>
        <v>3.9547301082853789E-6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10.457692307692307</v>
      </c>
      <c r="GU73" s="13">
        <f>IF('Données projet'!$A$270&gt;35,GU72+GT73-HC72,IF(A73&lt;'Données projet'!$A$270,$GR$205^A73,IF(A73='Données projet'!$A$270,'Données projet'!$B$270,GU72+GT73-HC72)))</f>
        <v>326.75769230769237</v>
      </c>
      <c r="GV73" s="18">
        <f>GU73*VLOOKUP('Données projet'!$B$18,Paramètres!$A$1:$I$89,3,0)*VLOOKUP('Données projet'!$B$18,Paramètres!$A$1:$I$89,5,0)</f>
        <v>152.92260000000002</v>
      </c>
      <c r="GW73" s="14">
        <f t="shared" si="105"/>
        <v>39.242009213831587</v>
      </c>
      <c r="GX73" s="22">
        <f t="shared" si="82"/>
        <v>334.68669438075665</v>
      </c>
      <c r="GY73" s="62">
        <f t="shared" si="83"/>
        <v>628.02002771409002</v>
      </c>
      <c r="GZ73" s="62">
        <f ca="1">AVERAGE(OFFSET($GY$3,0,0,'Données projet'!$E$18+1,1))-AVERAGE(OFFSET($H$3,0,0,'Données projet'!$E$18+1,1))</f>
        <v>284.88646502866419</v>
      </c>
      <c r="HA73" s="62">
        <f t="shared" si="106"/>
        <v>190.4880882944471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>
        <f>EXP(-LN(2)/35)*HG72+(1-EXP(-LN(2)/35))/(LN(2)/35)*HC73*HD73*VLOOKUP('Données projet'!$B$18,Paramètres!$A$1:$I$89,3,0)*0.475*44/12</f>
        <v>0</v>
      </c>
      <c r="HH73" s="23">
        <f>EXP(-LN(2)/25)*HH72+(1-EXP(-LN(2)/25))/(LN(2)/25)*Calculateur!HC73*Calculateur!HE73*VLOOKUP('Données projet'!$B$18,Paramètres!$A$1:$I$89,3,0)*0.475*44/12</f>
        <v>0</v>
      </c>
      <c r="HI73" s="23">
        <f>EXP(-LN(2)/2)*HI72+(1-EXP(-LN(2)/2))/(LN(2)/2)*HC73*HF73*VLOOKUP('Données projet'!$B$18,Paramètres!$A$1:$I$89,3,0)*0.475*44/12</f>
        <v>0</v>
      </c>
      <c r="HJ73" s="24">
        <f t="shared" si="84"/>
        <v>0</v>
      </c>
    </row>
    <row r="74" spans="1:218" s="5" customFormat="1" x14ac:dyDescent="0.25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2">
        <f t="shared" si="86"/>
        <v>0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0</v>
      </c>
      <c r="H74" s="70">
        <f t="shared" si="56"/>
        <v>256.66666666666669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4.2307692307692264</v>
      </c>
      <c r="N74" s="14">
        <f>IF('Données projet'!$A$36&gt;35,N73+M74-V73,IF(A74&lt;'Données projet'!$A$36,$K$205^A74,IF(A74='Données projet'!$A$36,'Données projet'!$B$36,N73+M74-V73)))</f>
        <v>190.76923076923072</v>
      </c>
      <c r="O74" s="14">
        <f>N74*VLOOKUP('Données projet'!$B$9,Paramètres!$A$1:$I$89,3,0)*VLOOKUP('Données projet'!$B$9,Paramètres!$A$1:$I$89,5,0)</f>
        <v>181.53599999999997</v>
      </c>
      <c r="P74" s="14">
        <f t="shared" si="87"/>
        <v>45.663748686335545</v>
      </c>
      <c r="Q74" s="22">
        <f t="shared" si="54"/>
        <v>395.70622896203434</v>
      </c>
      <c r="R74" s="62">
        <f t="shared" si="55"/>
        <v>689.03956229536766</v>
      </c>
      <c r="S74" s="62">
        <f ca="1">AVERAGE(OFFSET($R$3,0,0,'Données projet'!$E$9+1,1))-AVERAGE(OFFSET($H$3,0,0,'Données projet'!$E$9+1,1))</f>
        <v>367.11183928586667</v>
      </c>
      <c r="T74" s="62">
        <f t="shared" si="88"/>
        <v>281.52963027844595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0</v>
      </c>
      <c r="AA74" s="23">
        <f>EXP(-LN(2)/25)*AA73+(1-EXP(-LN(2)/25))/(LN(2)/25)*Calculateur!V74*Calculateur!X74*VLOOKUP('Données projet'!$B$9,Paramètres!$A$1:$I$89,3,0)*0.475*44/12</f>
        <v>0</v>
      </c>
      <c r="AB74" s="23">
        <f>EXP(-LN(2)/2)*AB73+(1-EXP(-LN(2)/2))/(LN(2)/2)*V74*Y74*VLOOKUP('Données projet'!$B$9,Paramètres!$A$1:$I$89,3,0)*0.475*44/12</f>
        <v>0</v>
      </c>
      <c r="AC74" s="24">
        <f t="shared" si="57"/>
        <v>0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6.2</v>
      </c>
      <c r="AI74" s="14">
        <f>IF('Données projet'!$A$62&gt;35,AI73+AH74-AQ73,IF(A74&lt;'Données projet'!$A$62,$AF$205^A74,IF(A74='Données projet'!$A$62,'Données projet'!$B$62,AI73+AH74-AQ73)))</f>
        <v>227.19999999999993</v>
      </c>
      <c r="AJ74" s="14">
        <f>AI74*VLOOKUP('Données projet'!$B$10,Paramètres!$A$1:$I$89,3,0)*VLOOKUP('Données projet'!$B$10,Paramètres!$A$1:$I$89,5,0)</f>
        <v>205.57055999999994</v>
      </c>
      <c r="AK74" s="14">
        <f t="shared" si="89"/>
        <v>50.966443946767392</v>
      </c>
      <c r="AL74" s="22">
        <f t="shared" si="58"/>
        <v>446.80194854061978</v>
      </c>
      <c r="AM74" s="62">
        <f t="shared" si="59"/>
        <v>740.13528187395309</v>
      </c>
      <c r="AN74" s="62">
        <f ca="1">AVERAGE(OFFSET($AM$3,0,0,'Données projet'!$E$10+1,1))-AVERAGE(OFFSET($H$3,0,0,'Données projet'!$E$10+1,1))</f>
        <v>428.8489304403459</v>
      </c>
      <c r="AO74" s="62">
        <f t="shared" si="90"/>
        <v>247.01165577562966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0</v>
      </c>
      <c r="AV74" s="23">
        <f>EXP(-LN(2)/25)*AV73+(1-EXP(-LN(2)/25))/(LN(2)/25)*Calculateur!AQ74*Calculateur!AS74*VLOOKUP('Données projet'!$B$10,Paramètres!$A$1:$I$89,3,0)*0.475*44/12</f>
        <v>0</v>
      </c>
      <c r="AW74" s="23">
        <f>EXP(-LN(2)/2)*AW73+(1-EXP(-LN(2)/2))/(LN(2)/2)*AQ74*AT74*VLOOKUP('Données projet'!$B$10,Paramètres!$A$1:$I$89,3,0)*0.475*44/12</f>
        <v>0</v>
      </c>
      <c r="AX74" s="23">
        <f t="shared" si="60"/>
        <v>0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6.2</v>
      </c>
      <c r="BD74" s="13">
        <f>IF('Données projet'!$A$88&gt;35,BD73+BC74-BL73,IF(A74&lt;'Données projet'!$A$88,$BA$205^A74,IF(A74='Données projet'!$A$88,'Données projet'!$B$88,BD73+BC74-BL73)))</f>
        <v>227.19999999999993</v>
      </c>
      <c r="BE74" s="14">
        <f>BD74*VLOOKUP('Données projet'!$B$11,Paramètres!$A$1:$I$89,3,0)*VLOOKUP('Données projet'!$B$11,Paramètres!$A$1:$I$89,5,0)</f>
        <v>230.38079999999994</v>
      </c>
      <c r="BF74" s="14">
        <f t="shared" si="91"/>
        <v>56.365011465139979</v>
      </c>
      <c r="BG74" s="22">
        <f t="shared" si="61"/>
        <v>499.41562163511867</v>
      </c>
      <c r="BH74" s="62">
        <f t="shared" si="62"/>
        <v>792.74895496845193</v>
      </c>
      <c r="BI74" s="62">
        <f ca="1">AVERAGE(OFFSET($BH$3,0,0,'Données projet'!$E$11+1,1))-AVERAGE(OFFSET($H$3,0,0,'Données projet'!$E$11+1,1))</f>
        <v>475.47920969424894</v>
      </c>
      <c r="BJ74" s="62">
        <f t="shared" si="92"/>
        <v>271.73544012419364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>
        <f>EXP(-LN(2)/35)*BP73+(1-EXP(-LN(2)/35))/(LN(2)/35)*BL74*BM74*VLOOKUP('Données projet'!$B$11,Paramètres!$A$1:$I$89,3,0)*0.475*44/12</f>
        <v>0</v>
      </c>
      <c r="BQ74" s="23">
        <f>EXP(-LN(2)/25)*BQ73+(1-EXP(-LN(2)/25))/(LN(2)/25)*Calculateur!BL74*Calculateur!BN74*VLOOKUP('Données projet'!$B$11,Paramètres!$A$1:$I$89,3,0)*0.475*44/12</f>
        <v>0</v>
      </c>
      <c r="BR74" s="23">
        <f>EXP(-LN(2)/2)*BR73+(1-EXP(-LN(2)/2))/(LN(2)/2)*BL74*BO74*VLOOKUP('Données projet'!$B$11,Paramètres!$A$1:$I$89,3,0)*0.475*44/12</f>
        <v>0</v>
      </c>
      <c r="BS74" s="24">
        <f t="shared" si="63"/>
        <v>0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2.2737367544323206E-13</v>
      </c>
      <c r="BZ74" s="14">
        <f>BY74*VLOOKUP('Données projet'!$B$12,Paramètres!$A$1:$I$89,3,0)*VLOOKUP('Données projet'!$B$12,Paramètres!$A$1:$I$89,5,0)</f>
        <v>1.2710188457276673E-13</v>
      </c>
      <c r="CA74" s="14">
        <f t="shared" si="93"/>
        <v>1.856866851063998E-12</v>
      </c>
      <c r="CB74" s="22">
        <f t="shared" si="64"/>
        <v>3.4554122145673649E-12</v>
      </c>
      <c r="CC74" s="62">
        <f t="shared" si="65"/>
        <v>293.33333333333678</v>
      </c>
      <c r="CD74" s="62">
        <f ca="1">AVERAGE(OFFSET($CC$3,0,0,'Données projet'!$E$12+1,1))-AVERAGE(OFFSET($H$3,0,0,'Données projet'!$E$12+1,1))</f>
        <v>323.98185264074681</v>
      </c>
      <c r="CE74" s="62">
        <f t="shared" si="94"/>
        <v>301.22207291854005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>
        <f>EXP(-LN(2)/35)*CK73+(1-EXP(-LN(2)/35))/(LN(2)/35)*CG74*CH74*VLOOKUP('Données projet'!$B$12,Paramètres!$A$1:$I$89,3,0)*0.475*44/12</f>
        <v>1.9811879264299566</v>
      </c>
      <c r="CL74" s="23">
        <f>EXP(-LN(2)/25)*CL73+(1-EXP(-LN(2)/25))/(LN(2)/25)*Calculateur!CG74*Calculateur!CI74*VLOOKUP('Données projet'!$B$12,Paramètres!$A$1:$I$89,3,0)*0.475*44/12</f>
        <v>2.6461994860813887</v>
      </c>
      <c r="CM74" s="23">
        <f>EXP(-LN(2)/2)*CM73+(1-EXP(-LN(2)/2))/(LN(2)/2)*CG74*CJ74*VLOOKUP('Données projet'!$B$12,Paramètres!$A$1:$I$89,3,0)*0.475*44/12</f>
        <v>4.1053101914063002E-6</v>
      </c>
      <c r="CN74" s="24">
        <f t="shared" si="66"/>
        <v>4.6273915178215361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5</v>
      </c>
      <c r="CT74" s="13">
        <f>IF('Données projet'!$A$140&gt;35,CT73+CS74-DB73,IF(A74&lt;'Données projet'!$A$140,$CQ$205^A74,IF(A74='Données projet'!$A$140,'Données projet'!$B$140,CT73+CS74-DB73)))</f>
        <v>163</v>
      </c>
      <c r="CU74" s="18">
        <f>CT74*VLOOKUP('Données projet'!$B$13,Paramètres!$A$1:$I$89,3,0)*VLOOKUP('Données projet'!$B$13,Paramètres!$A$1:$I$89,5,0)</f>
        <v>185.62440000000001</v>
      </c>
      <c r="CV74" s="14">
        <f t="shared" si="95"/>
        <v>46.571261969320169</v>
      </c>
      <c r="CW74" s="22">
        <f t="shared" si="67"/>
        <v>404.40744459656599</v>
      </c>
      <c r="CX74" s="62">
        <f t="shared" si="68"/>
        <v>697.74077792989931</v>
      </c>
      <c r="CY74" s="62">
        <f ca="1">AVERAGE(OFFSET($CX$3,0,0,'Données projet'!$E$13+1,1))-AVERAGE(OFFSET($H$3,0,0,'Données projet'!$E$13+1,1))</f>
        <v>399.78832690250164</v>
      </c>
      <c r="CZ74" s="62">
        <f t="shared" si="96"/>
        <v>174.32967064896343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>
        <f>EXP(-LN(2)/35)*DF73+(1-EXP(-LN(2)/35))/(LN(2)/35)*DB74*DC74*VLOOKUP('Données projet'!$B$13,Paramètres!$A$1:$I$89,3,0)*0.475*44/12</f>
        <v>0</v>
      </c>
      <c r="DG74" s="23">
        <f>EXP(-LN(2)/25)*DG73+(1-EXP(-LN(2)/25))/(LN(2)/25)*Calculateur!DB74*Calculateur!DD74*VLOOKUP('Données projet'!$B$13,Paramètres!$A$1:$I$89,3,0)*0.475*44/12</f>
        <v>0</v>
      </c>
      <c r="DH74" s="23">
        <f>EXP(-LN(2)/2)*DH73+(1-EXP(-LN(2)/2))/(LN(2)/2)*DB74*DE74*VLOOKUP('Données projet'!$B$13,Paramètres!$A$1:$I$89,3,0)*0.475*44/12</f>
        <v>0</v>
      </c>
      <c r="DI74" s="24">
        <f t="shared" si="69"/>
        <v>0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6.2</v>
      </c>
      <c r="DO74" s="13">
        <f>IF('Données projet'!$A$166&gt;35,DO73+DN74-DW73,IF(A74&lt;'Données projet'!$A$166,$DL$205^A74,IF(A74='Données projet'!$A$166,'Données projet'!$B$166,DO73+DN74-DW73)))</f>
        <v>227.19999999999993</v>
      </c>
      <c r="DP74" s="18">
        <f>DO74*VLOOKUP('Données projet'!$B$14,Paramètres!$A$1:$I$89,3,0)*VLOOKUP('Données projet'!$B$14,Paramètres!$A$1:$I$89,5,0)</f>
        <v>191.39327999999998</v>
      </c>
      <c r="DQ74" s="14">
        <f t="shared" si="97"/>
        <v>47.847856170442952</v>
      </c>
      <c r="DR74" s="22">
        <f t="shared" si="70"/>
        <v>416.67831216352141</v>
      </c>
      <c r="DS74" s="62">
        <f t="shared" si="71"/>
        <v>710.01164549685473</v>
      </c>
      <c r="DT74" s="62">
        <f ca="1">AVERAGE(OFFSET($DS$3,0,0,'Données projet'!$E$14+1,1))-AVERAGE(OFFSET($H$3,0,0,'Données projet'!$E$14+1,1))</f>
        <v>402.15128814037058</v>
      </c>
      <c r="DU74" s="62">
        <f t="shared" si="98"/>
        <v>232.85411068442738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>
        <f>EXP(-LN(2)/35)*EA73+(1-EXP(-LN(2)/35))/(LN(2)/35)*DW74*DX74*VLOOKUP('Données projet'!$B$14,Paramètres!$A$1:$I$89,3,0)*0.475*44/12</f>
        <v>0</v>
      </c>
      <c r="EB74" s="23">
        <f>EXP(-LN(2)/25)*EB73+(1-EXP(-LN(2)/25))/(LN(2)/25)*Calculateur!DW74*Calculateur!DY74*VLOOKUP('Données projet'!$B$14,Paramètres!$A$1:$I$89,3,0)*0.475*44/12</f>
        <v>0</v>
      </c>
      <c r="EC74" s="23">
        <f>EXP(-LN(2)/2)*EC73+(1-EXP(-LN(2)/2))/(LN(2)/2)*DW74*DZ74*VLOOKUP('Données projet'!$B$14,Paramètres!$A$1:$I$89,3,0)*0.475*44/12</f>
        <v>0</v>
      </c>
      <c r="ED74" s="24">
        <f t="shared" si="72"/>
        <v>0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5.2564102564102653</v>
      </c>
      <c r="EJ74" s="13">
        <f>IF('Données projet'!$A$192&gt;35,EJ73+EI74-ER73,IF(A74&lt;'Données projet'!$A$192,$EG$205^A74,IF(A74='Données projet'!$A$192,'Données projet'!$B$192,EJ73+EI74-ER73)))</f>
        <v>296.2820512820515</v>
      </c>
      <c r="EK74" s="18">
        <f>EJ74*VLOOKUP('Données projet'!$B$15,Paramètres!$A$1:$I$89,3,0)*VLOOKUP('Données projet'!$B$15,Paramètres!$A$1:$I$89,5,0)</f>
        <v>309.67400000000026</v>
      </c>
      <c r="EL74" s="14">
        <f t="shared" si="99"/>
        <v>73.200744228123753</v>
      </c>
      <c r="EM74" s="22">
        <f t="shared" si="73"/>
        <v>666.84017953064927</v>
      </c>
      <c r="EN74" s="62">
        <f t="shared" si="74"/>
        <v>960.17351286398252</v>
      </c>
      <c r="EO74" s="62">
        <f ca="1">AVERAGE(OFFSET($EN$3,0,0,'Données projet'!$E$15+1,1))-AVERAGE(OFFSET($H$3,0,0,'Données projet'!$E$15+1,1))</f>
        <v>595.89992279024398</v>
      </c>
      <c r="EP74" s="62">
        <f t="shared" si="100"/>
        <v>378.16197659288338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>
        <f>EXP(-LN(2)/35)*EV73+(1-EXP(-LN(2)/35))/(LN(2)/35)*ER74*ES74*VLOOKUP('Données projet'!$B$15,Paramètres!$A$1:$I$89,3,0)*0.475*44/12</f>
        <v>0</v>
      </c>
      <c r="EW74" s="23">
        <f>EXP(-LN(2)/25)*EW73+(1-EXP(-LN(2)/25))/(LN(2)/25)*Calculateur!ER74*Calculateur!ET74*VLOOKUP('Données projet'!$B$15,Paramètres!$A$1:$I$89,3,0)*0.475*44/12</f>
        <v>0</v>
      </c>
      <c r="EX74" s="23">
        <f>EXP(-LN(2)/2)*EX73+(1-EXP(-LN(2)/2))/(LN(2)/2)*ER74*EU74*VLOOKUP('Données projet'!$B$15,Paramètres!$A$1:$I$89,3,0)*0.475*44/12</f>
        <v>0</v>
      </c>
      <c r="EY74" s="24">
        <f t="shared" si="75"/>
        <v>0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-2.2737367544323206E-13</v>
      </c>
      <c r="FF74" s="18">
        <f>FE74*VLOOKUP('Données projet'!$B$16,Paramètres!$A$1:$I$89,3,0)*VLOOKUP('Données projet'!$B$16,Paramètres!$A$1:$I$89,5,0)</f>
        <v>-1.3596945791505279E-13</v>
      </c>
      <c r="FG74" s="14" t="e">
        <f t="shared" si="101"/>
        <v>#NUM!</v>
      </c>
      <c r="FH74" s="22" t="e">
        <f t="shared" si="76"/>
        <v>#NUM!</v>
      </c>
      <c r="FI74" s="62" t="e">
        <f t="shared" si="77"/>
        <v>#NUM!</v>
      </c>
      <c r="FJ74" s="62">
        <f ca="1">AVERAGE(OFFSET($FI$3,0,0,'Données projet'!$E$16+1,1))-AVERAGE(OFFSET($H$3,0,0,'Données projet'!$E$16+1,1))</f>
        <v>257.56116197646924</v>
      </c>
      <c r="FK74" s="62">
        <f t="shared" si="102"/>
        <v>269.95556918835888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>
        <f>EXP(-LN(2)/35)*FQ73+(1-EXP(-LN(2)/35))/(LN(2)/35)*FM74*FN74*VLOOKUP('Données projet'!$B$16,Paramètres!$A$1:$I$89,3,0)*0.475*44/12</f>
        <v>6.4738902734413006</v>
      </c>
      <c r="FR74" s="23">
        <f>EXP(-LN(2)/25)*FR73+(1-EXP(-LN(2)/25))/(LN(2)/25)*Calculateur!FM74*Calculateur!FO74*VLOOKUP('Données projet'!$B$16,Paramètres!$A$1:$I$89,3,0)*0.475*44/12</f>
        <v>5.1796095032948131</v>
      </c>
      <c r="FS74" s="23">
        <f>EXP(-LN(2)/2)*FS73+(1-EXP(-LN(2)/2))/(LN(2)/2)*FM74*FP74*VLOOKUP('Données projet'!$B$16,Paramètres!$A$1:$I$89,3,0)*0.475*44/12</f>
        <v>5.7684425301684745E-6</v>
      </c>
      <c r="FT74" s="24">
        <f t="shared" si="78"/>
        <v>11.653505545178644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7.5584615384615343</v>
      </c>
      <c r="FZ74" s="13">
        <f>IF('Données projet'!$A$244&gt;35,FZ73+FY74-GH73,IF(A74&lt;'Données projet'!$A$244,$FW$205^A74,IF(A74='Données projet'!$A$244,'Données projet'!$B$244,FZ73+FY74-GH73)))</f>
        <v>334.88153846153824</v>
      </c>
      <c r="GA74" s="18">
        <f>FZ74*VLOOKUP('Données projet'!$B$17,Paramètres!$A$1:$I$89,3,0)*VLOOKUP('Données projet'!$B$17,Paramètres!$A$1:$I$89,5,0)</f>
        <v>200.25915999999989</v>
      </c>
      <c r="GB74" s="14">
        <f t="shared" si="103"/>
        <v>49.801118956127333</v>
      </c>
      <c r="GC74" s="22">
        <f t="shared" si="79"/>
        <v>435.52165251525486</v>
      </c>
      <c r="GD74" s="62">
        <f t="shared" si="80"/>
        <v>728.85498584858817</v>
      </c>
      <c r="GE74" s="62">
        <f ca="1">AVERAGE(OFFSET($GD$3,0,0,'Données projet'!$E$17+1,1))-AVERAGE(OFFSET($H$3,0,0,'Données projet'!$E$17+1,1))</f>
        <v>289.12367833861299</v>
      </c>
      <c r="GF74" s="62">
        <f t="shared" si="104"/>
        <v>229.06617320689003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>
        <f>EXP(-LN(2)/35)*GL73+(1-EXP(-LN(2)/35))/(LN(2)/35)*GH74*GI74*VLOOKUP('Données projet'!$B$17,Paramètres!$A$1:$I$89,3,0)*0.475*44/12</f>
        <v>0</v>
      </c>
      <c r="GM74" s="23">
        <f>EXP(-LN(2)/25)*GM73+(1-EXP(-LN(2)/25))/(LN(2)/25)*Calculateur!GH74*Calculateur!GJ74*VLOOKUP('Données projet'!$B$17,Paramètres!$A$1:$I$89,3,0)*0.475*44/12</f>
        <v>0</v>
      </c>
      <c r="GN74" s="23">
        <f>EXP(-LN(2)/2)*GN73+(1-EXP(-LN(2)/2))/(LN(2)/2)*GH74*GK74*VLOOKUP('Données projet'!$B$17,Paramètres!$A$1:$I$89,3,0)*0.475*44/12</f>
        <v>2.7964164773312009E-6</v>
      </c>
      <c r="GO74" s="23">
        <f t="shared" si="81"/>
        <v>2.7964164773312009E-6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10.457692307692307</v>
      </c>
      <c r="GU74" s="13">
        <f>IF('Données projet'!$A$270&gt;35,GU73+GT74-HC73,IF(A74&lt;'Données projet'!$A$270,$GR$205^A74,IF(A74='Données projet'!$A$270,'Données projet'!$B$270,GU73+GT74-HC73)))</f>
        <v>337.21538461538466</v>
      </c>
      <c r="GV74" s="18">
        <f>GU74*VLOOKUP('Données projet'!$B$18,Paramètres!$A$1:$I$89,3,0)*VLOOKUP('Données projet'!$B$18,Paramètres!$A$1:$I$89,5,0)</f>
        <v>157.81680000000003</v>
      </c>
      <c r="GW74" s="14">
        <f t="shared" si="105"/>
        <v>40.34969549714323</v>
      </c>
      <c r="GX74" s="22">
        <f t="shared" si="82"/>
        <v>345.13997965752452</v>
      </c>
      <c r="GY74" s="62">
        <f t="shared" si="83"/>
        <v>638.47331299085783</v>
      </c>
      <c r="GZ74" s="62">
        <f ca="1">AVERAGE(OFFSET($GY$3,0,0,'Données projet'!$E$18+1,1))-AVERAGE(OFFSET($H$3,0,0,'Données projet'!$E$18+1,1))</f>
        <v>284.88646502866419</v>
      </c>
      <c r="HA74" s="62">
        <f t="shared" si="106"/>
        <v>190.4880882944471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>
        <f>EXP(-LN(2)/35)*HG73+(1-EXP(-LN(2)/35))/(LN(2)/35)*HC74*HD74*VLOOKUP('Données projet'!$B$18,Paramètres!$A$1:$I$89,3,0)*0.475*44/12</f>
        <v>0</v>
      </c>
      <c r="HH74" s="23">
        <f>EXP(-LN(2)/25)*HH73+(1-EXP(-LN(2)/25))/(LN(2)/25)*Calculateur!HC74*Calculateur!HE74*VLOOKUP('Données projet'!$B$18,Paramètres!$A$1:$I$89,3,0)*0.475*44/12</f>
        <v>0</v>
      </c>
      <c r="HI74" s="23">
        <f>EXP(-LN(2)/2)*HI73+(1-EXP(-LN(2)/2))/(LN(2)/2)*HC74*HF74*VLOOKUP('Données projet'!$B$18,Paramètres!$A$1:$I$89,3,0)*0.475*44/12</f>
        <v>0</v>
      </c>
      <c r="HJ74" s="24">
        <f t="shared" si="84"/>
        <v>0</v>
      </c>
    </row>
    <row r="75" spans="1:218" s="5" customFormat="1" x14ac:dyDescent="0.25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2">
        <f t="shared" si="86"/>
        <v>0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0</v>
      </c>
      <c r="H75" s="70">
        <f t="shared" si="56"/>
        <v>256.66666666666669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4.2307692307692264</v>
      </c>
      <c r="N75" s="14">
        <f>IF('Données projet'!$A$36&gt;35,N74+M75-V74,IF(A75&lt;'Données projet'!$A$36,$K$205^A75,IF(A75='Données projet'!$A$36,'Données projet'!$B$36,N74+M75-V74)))</f>
        <v>194.99999999999994</v>
      </c>
      <c r="O75" s="14">
        <f>N75*VLOOKUP('Données projet'!$B$9,Paramètres!$A$1:$I$89,3,0)*VLOOKUP('Données projet'!$B$9,Paramètres!$A$1:$I$89,5,0)</f>
        <v>185.56199999999995</v>
      </c>
      <c r="P75" s="14">
        <f t="shared" si="87"/>
        <v>46.557428480028591</v>
      </c>
      <c r="Q75" s="22">
        <f t="shared" si="54"/>
        <v>404.27467126938308</v>
      </c>
      <c r="R75" s="62">
        <f t="shared" si="55"/>
        <v>697.60800460271639</v>
      </c>
      <c r="S75" s="62">
        <f ca="1">AVERAGE(OFFSET($R$3,0,0,'Données projet'!$E$9+1,1))-AVERAGE(OFFSET($H$3,0,0,'Données projet'!$E$9+1,1))</f>
        <v>367.11183928586667</v>
      </c>
      <c r="T75" s="62">
        <f t="shared" si="88"/>
        <v>281.52963027844595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0</v>
      </c>
      <c r="AA75" s="23">
        <f>EXP(-LN(2)/25)*AA74+(1-EXP(-LN(2)/25))/(LN(2)/25)*Calculateur!V75*Calculateur!X75*VLOOKUP('Données projet'!$B$9,Paramètres!$A$1:$I$89,3,0)*0.475*44/12</f>
        <v>0</v>
      </c>
      <c r="AB75" s="23">
        <f>EXP(-LN(2)/2)*AB74+(1-EXP(-LN(2)/2))/(LN(2)/2)*V75*Y75*VLOOKUP('Données projet'!$B$9,Paramètres!$A$1:$I$89,3,0)*0.475*44/12</f>
        <v>0</v>
      </c>
      <c r="AC75" s="24">
        <f t="shared" si="57"/>
        <v>0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6.2</v>
      </c>
      <c r="AI75" s="14">
        <f>IF('Données projet'!$A$62&gt;35,AI74+AH75-AQ74,IF(A75&lt;'Données projet'!$A$62,$AF$205^A75,IF(A75='Données projet'!$A$62,'Données projet'!$B$62,AI74+AH75-AQ74)))</f>
        <v>233.39999999999992</v>
      </c>
      <c r="AJ75" s="14">
        <f>AI75*VLOOKUP('Données projet'!$B$10,Paramètres!$A$1:$I$89,3,0)*VLOOKUP('Données projet'!$B$10,Paramètres!$A$1:$I$89,5,0)</f>
        <v>211.18031999999994</v>
      </c>
      <c r="AK75" s="14">
        <f t="shared" si="89"/>
        <v>52.193431117443019</v>
      </c>
      <c r="AL75" s="22">
        <f t="shared" si="58"/>
        <v>458.70928319621316</v>
      </c>
      <c r="AM75" s="62">
        <f t="shared" si="59"/>
        <v>752.04261652954642</v>
      </c>
      <c r="AN75" s="62">
        <f ca="1">AVERAGE(OFFSET($AM$3,0,0,'Données projet'!$E$10+1,1))-AVERAGE(OFFSET($H$3,0,0,'Données projet'!$E$10+1,1))</f>
        <v>428.8489304403459</v>
      </c>
      <c r="AO75" s="62">
        <f t="shared" si="90"/>
        <v>247.01165577562966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0</v>
      </c>
      <c r="AV75" s="23">
        <f>EXP(-LN(2)/25)*AV74+(1-EXP(-LN(2)/25))/(LN(2)/25)*Calculateur!AQ75*Calculateur!AS75*VLOOKUP('Données projet'!$B$10,Paramètres!$A$1:$I$89,3,0)*0.475*44/12</f>
        <v>0</v>
      </c>
      <c r="AW75" s="23">
        <f>EXP(-LN(2)/2)*AW74+(1-EXP(-LN(2)/2))/(LN(2)/2)*AQ75*AT75*VLOOKUP('Données projet'!$B$10,Paramètres!$A$1:$I$89,3,0)*0.475*44/12</f>
        <v>0</v>
      </c>
      <c r="AX75" s="23">
        <f t="shared" si="60"/>
        <v>0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6.2</v>
      </c>
      <c r="BD75" s="13">
        <f>IF('Données projet'!$A$88&gt;35,BD74+BC75-BL74,IF(A75&lt;'Données projet'!$A$88,$BA$205^A75,IF(A75='Données projet'!$A$88,'Données projet'!$B$88,BD74+BC75-BL74)))</f>
        <v>233.39999999999992</v>
      </c>
      <c r="BE75" s="14">
        <f>BD75*VLOOKUP('Données projet'!$B$11,Paramètres!$A$1:$I$89,3,0)*VLOOKUP('Données projet'!$B$11,Paramètres!$A$1:$I$89,5,0)</f>
        <v>236.66759999999994</v>
      </c>
      <c r="BF75" s="14">
        <f t="shared" si="91"/>
        <v>57.721965974560838</v>
      </c>
      <c r="BG75" s="22">
        <f t="shared" si="61"/>
        <v>512.72849407235992</v>
      </c>
      <c r="BH75" s="62">
        <f t="shared" si="62"/>
        <v>806.06182740569329</v>
      </c>
      <c r="BI75" s="62">
        <f ca="1">AVERAGE(OFFSET($BH$3,0,0,'Données projet'!$E$11+1,1))-AVERAGE(OFFSET($H$3,0,0,'Données projet'!$E$11+1,1))</f>
        <v>475.47920969424894</v>
      </c>
      <c r="BJ75" s="62">
        <f t="shared" si="92"/>
        <v>271.73544012419364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>
        <f>EXP(-LN(2)/35)*BP74+(1-EXP(-LN(2)/35))/(LN(2)/35)*BL75*BM75*VLOOKUP('Données projet'!$B$11,Paramètres!$A$1:$I$89,3,0)*0.475*44/12</f>
        <v>0</v>
      </c>
      <c r="BQ75" s="23">
        <f>EXP(-LN(2)/25)*BQ74+(1-EXP(-LN(2)/25))/(LN(2)/25)*Calculateur!BL75*Calculateur!BN75*VLOOKUP('Données projet'!$B$11,Paramètres!$A$1:$I$89,3,0)*0.475*44/12</f>
        <v>0</v>
      </c>
      <c r="BR75" s="23">
        <f>EXP(-LN(2)/2)*BR74+(1-EXP(-LN(2)/2))/(LN(2)/2)*BL75*BO75*VLOOKUP('Données projet'!$B$11,Paramètres!$A$1:$I$89,3,0)*0.475*44/12</f>
        <v>0</v>
      </c>
      <c r="BS75" s="24">
        <f t="shared" si="63"/>
        <v>0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2.2737367544323206E-13</v>
      </c>
      <c r="BZ75" s="14">
        <f>BY75*VLOOKUP('Données projet'!$B$12,Paramètres!$A$1:$I$89,3,0)*VLOOKUP('Données projet'!$B$12,Paramètres!$A$1:$I$89,5,0)</f>
        <v>1.2710188457276673E-13</v>
      </c>
      <c r="CA75" s="14">
        <f t="shared" si="93"/>
        <v>1.856866851063998E-12</v>
      </c>
      <c r="CB75" s="22">
        <f t="shared" si="64"/>
        <v>3.4554122145673649E-12</v>
      </c>
      <c r="CC75" s="62">
        <f t="shared" si="65"/>
        <v>293.33333333333678</v>
      </c>
      <c r="CD75" s="62">
        <f ca="1">AVERAGE(OFFSET($CC$3,0,0,'Données projet'!$E$12+1,1))-AVERAGE(OFFSET($H$3,0,0,'Données projet'!$E$12+1,1))</f>
        <v>323.98185264074681</v>
      </c>
      <c r="CE75" s="62">
        <f t="shared" si="94"/>
        <v>301.22207291854005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>
        <f>EXP(-LN(2)/35)*CK74+(1-EXP(-LN(2)/35))/(LN(2)/35)*CG75*CH75*VLOOKUP('Données projet'!$B$12,Paramètres!$A$1:$I$89,3,0)*0.475*44/12</f>
        <v>1.9423380395979801</v>
      </c>
      <c r="CL75" s="23">
        <f>EXP(-LN(2)/25)*CL74+(1-EXP(-LN(2)/25))/(LN(2)/25)*Calculateur!CG75*Calculateur!CI75*VLOOKUP('Données projet'!$B$12,Paramètres!$A$1:$I$89,3,0)*0.475*44/12</f>
        <v>2.5738390219769101</v>
      </c>
      <c r="CM75" s="23">
        <f>EXP(-LN(2)/2)*CM74+(1-EXP(-LN(2)/2))/(LN(2)/2)*CG75*CJ75*VLOOKUP('Données projet'!$B$12,Paramètres!$A$1:$I$89,3,0)*0.475*44/12</f>
        <v>2.9028926752176383E-6</v>
      </c>
      <c r="CN75" s="24">
        <f t="shared" si="66"/>
        <v>4.5161799644675655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5</v>
      </c>
      <c r="CT75" s="13">
        <f>IF('Données projet'!$A$140&gt;35,CT74+CS75-DB74,IF(A75&lt;'Données projet'!$A$140,$CQ$205^A75,IF(A75='Données projet'!$A$140,'Données projet'!$B$140,CT74+CS75-DB74)))</f>
        <v>168</v>
      </c>
      <c r="CU75" s="18">
        <f>CT75*VLOOKUP('Données projet'!$B$13,Paramètres!$A$1:$I$89,3,0)*VLOOKUP('Données projet'!$B$13,Paramètres!$A$1:$I$89,5,0)</f>
        <v>191.3184</v>
      </c>
      <c r="CV75" s="14">
        <f t="shared" si="95"/>
        <v>47.831314962098354</v>
      </c>
      <c r="CW75" s="22">
        <f t="shared" si="67"/>
        <v>416.51908689232135</v>
      </c>
      <c r="CX75" s="62">
        <f t="shared" si="68"/>
        <v>709.85242022565467</v>
      </c>
      <c r="CY75" s="62">
        <f ca="1">AVERAGE(OFFSET($CX$3,0,0,'Données projet'!$E$13+1,1))-AVERAGE(OFFSET($H$3,0,0,'Données projet'!$E$13+1,1))</f>
        <v>399.78832690250164</v>
      </c>
      <c r="CZ75" s="62">
        <f t="shared" si="96"/>
        <v>174.32967064896343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>
        <f>EXP(-LN(2)/35)*DF74+(1-EXP(-LN(2)/35))/(LN(2)/35)*DB75*DC75*VLOOKUP('Données projet'!$B$13,Paramètres!$A$1:$I$89,3,0)*0.475*44/12</f>
        <v>0</v>
      </c>
      <c r="DG75" s="23">
        <f>EXP(-LN(2)/25)*DG74+(1-EXP(-LN(2)/25))/(LN(2)/25)*Calculateur!DB75*Calculateur!DD75*VLOOKUP('Données projet'!$B$13,Paramètres!$A$1:$I$89,3,0)*0.475*44/12</f>
        <v>0</v>
      </c>
      <c r="DH75" s="23">
        <f>EXP(-LN(2)/2)*DH74+(1-EXP(-LN(2)/2))/(LN(2)/2)*DB75*DE75*VLOOKUP('Données projet'!$B$13,Paramètres!$A$1:$I$89,3,0)*0.475*44/12</f>
        <v>0</v>
      </c>
      <c r="DI75" s="24">
        <f t="shared" si="69"/>
        <v>0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6.2</v>
      </c>
      <c r="DO75" s="13">
        <f>IF('Données projet'!$A$166&gt;35,DO74+DN75-DW74,IF(A75&lt;'Données projet'!$A$166,$DL$205^A75,IF(A75='Données projet'!$A$166,'Données projet'!$B$166,DO74+DN75-DW74)))</f>
        <v>233.39999999999992</v>
      </c>
      <c r="DP75" s="18">
        <f>DO75*VLOOKUP('Données projet'!$B$14,Paramètres!$A$1:$I$89,3,0)*VLOOKUP('Données projet'!$B$14,Paramètres!$A$1:$I$89,5,0)</f>
        <v>196.61615999999995</v>
      </c>
      <c r="DQ75" s="14">
        <f t="shared" si="97"/>
        <v>48.999765174076551</v>
      </c>
      <c r="DR75" s="22">
        <f t="shared" si="70"/>
        <v>427.7810696781832</v>
      </c>
      <c r="DS75" s="62">
        <f t="shared" si="71"/>
        <v>721.11440301151652</v>
      </c>
      <c r="DT75" s="62">
        <f ca="1">AVERAGE(OFFSET($DS$3,0,0,'Données projet'!$E$14+1,1))-AVERAGE(OFFSET($H$3,0,0,'Données projet'!$E$14+1,1))</f>
        <v>402.15128814037058</v>
      </c>
      <c r="DU75" s="62">
        <f t="shared" si="98"/>
        <v>232.85411068442738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>
        <f>EXP(-LN(2)/35)*EA74+(1-EXP(-LN(2)/35))/(LN(2)/35)*DW75*DX75*VLOOKUP('Données projet'!$B$14,Paramètres!$A$1:$I$89,3,0)*0.475*44/12</f>
        <v>0</v>
      </c>
      <c r="EB75" s="23">
        <f>EXP(-LN(2)/25)*EB74+(1-EXP(-LN(2)/25))/(LN(2)/25)*Calculateur!DW75*Calculateur!DY75*VLOOKUP('Données projet'!$B$14,Paramètres!$A$1:$I$89,3,0)*0.475*44/12</f>
        <v>0</v>
      </c>
      <c r="EC75" s="23">
        <f>EXP(-LN(2)/2)*EC74+(1-EXP(-LN(2)/2))/(LN(2)/2)*DW75*DZ75*VLOOKUP('Données projet'!$B$14,Paramètres!$A$1:$I$89,3,0)*0.475*44/12</f>
        <v>0</v>
      </c>
      <c r="ED75" s="24">
        <f t="shared" si="72"/>
        <v>0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5.2564102564102653</v>
      </c>
      <c r="EJ75" s="13">
        <f>IF('Données projet'!$A$192&gt;35,EJ74+EI75-ER74,IF(A75&lt;'Données projet'!$A$192,$EG$205^A75,IF(A75='Données projet'!$A$192,'Données projet'!$B$192,EJ74+EI75-ER74)))</f>
        <v>301.53846153846177</v>
      </c>
      <c r="EK75" s="18">
        <f>EJ75*VLOOKUP('Données projet'!$B$15,Paramètres!$A$1:$I$89,3,0)*VLOOKUP('Données projet'!$B$15,Paramètres!$A$1:$I$89,5,0)</f>
        <v>315.16800000000029</v>
      </c>
      <c r="EL75" s="14">
        <f t="shared" si="99"/>
        <v>74.3470735278853</v>
      </c>
      <c r="EM75" s="22">
        <f t="shared" si="73"/>
        <v>678.40541972773406</v>
      </c>
      <c r="EN75" s="62">
        <f t="shared" si="74"/>
        <v>971.73875306106743</v>
      </c>
      <c r="EO75" s="62">
        <f ca="1">AVERAGE(OFFSET($EN$3,0,0,'Données projet'!$E$15+1,1))-AVERAGE(OFFSET($H$3,0,0,'Données projet'!$E$15+1,1))</f>
        <v>595.89992279024398</v>
      </c>
      <c r="EP75" s="62">
        <f t="shared" si="100"/>
        <v>378.16197659288338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>
        <f>EXP(-LN(2)/35)*EV74+(1-EXP(-LN(2)/35))/(LN(2)/35)*ER75*ES75*VLOOKUP('Données projet'!$B$15,Paramètres!$A$1:$I$89,3,0)*0.475*44/12</f>
        <v>0</v>
      </c>
      <c r="EW75" s="23">
        <f>EXP(-LN(2)/25)*EW74+(1-EXP(-LN(2)/25))/(LN(2)/25)*Calculateur!ER75*Calculateur!ET75*VLOOKUP('Données projet'!$B$15,Paramètres!$A$1:$I$89,3,0)*0.475*44/12</f>
        <v>0</v>
      </c>
      <c r="EX75" s="23">
        <f>EXP(-LN(2)/2)*EX74+(1-EXP(-LN(2)/2))/(LN(2)/2)*ER75*EU75*VLOOKUP('Données projet'!$B$15,Paramètres!$A$1:$I$89,3,0)*0.475*44/12</f>
        <v>0</v>
      </c>
      <c r="EY75" s="24">
        <f t="shared" si="75"/>
        <v>0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-2.2737367544323206E-13</v>
      </c>
      <c r="FF75" s="18">
        <f>FE75*VLOOKUP('Données projet'!$B$16,Paramètres!$A$1:$I$89,3,0)*VLOOKUP('Données projet'!$B$16,Paramètres!$A$1:$I$89,5,0)</f>
        <v>-1.3596945791505279E-13</v>
      </c>
      <c r="FG75" s="14" t="e">
        <f t="shared" si="101"/>
        <v>#NUM!</v>
      </c>
      <c r="FH75" s="22" t="e">
        <f t="shared" si="76"/>
        <v>#NUM!</v>
      </c>
      <c r="FI75" s="62" t="e">
        <f t="shared" si="77"/>
        <v>#NUM!</v>
      </c>
      <c r="FJ75" s="62">
        <f ca="1">AVERAGE(OFFSET($FI$3,0,0,'Données projet'!$E$16+1,1))-AVERAGE(OFFSET($H$3,0,0,'Données projet'!$E$16+1,1))</f>
        <v>257.56116197646924</v>
      </c>
      <c r="FK75" s="62">
        <f t="shared" si="102"/>
        <v>269.95556918835888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>
        <f>EXP(-LN(2)/35)*FQ74+(1-EXP(-LN(2)/35))/(LN(2)/35)*FM75*FN75*VLOOKUP('Données projet'!$B$16,Paramètres!$A$1:$I$89,3,0)*0.475*44/12</f>
        <v>6.3469412338622835</v>
      </c>
      <c r="FR75" s="23">
        <f>EXP(-LN(2)/25)*FR74+(1-EXP(-LN(2)/25))/(LN(2)/25)*Calculateur!FM75*Calculateur!FO75*VLOOKUP('Données projet'!$B$16,Paramètres!$A$1:$I$89,3,0)*0.475*44/12</f>
        <v>5.0379728090433904</v>
      </c>
      <c r="FS75" s="23">
        <f>EXP(-LN(2)/2)*FS74+(1-EXP(-LN(2)/2))/(LN(2)/2)*FM75*FP75*VLOOKUP('Données projet'!$B$16,Paramètres!$A$1:$I$89,3,0)*0.475*44/12</f>
        <v>4.078904829967014E-6</v>
      </c>
      <c r="FT75" s="24">
        <f t="shared" si="78"/>
        <v>11.384918121810504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7.5584615384615343</v>
      </c>
      <c r="FZ75" s="13">
        <f>IF('Données projet'!$A$244&gt;35,FZ74+FY75-GH74,IF(A75&lt;'Données projet'!$A$244,$FW$205^A75,IF(A75='Données projet'!$A$244,'Données projet'!$B$244,FZ74+FY75-GH74)))</f>
        <v>342.43999999999977</v>
      </c>
      <c r="GA75" s="18">
        <f>FZ75*VLOOKUP('Données projet'!$B$17,Paramètres!$A$1:$I$89,3,0)*VLOOKUP('Données projet'!$B$17,Paramètres!$A$1:$I$89,5,0)</f>
        <v>204.77911999999986</v>
      </c>
      <c r="GB75" s="14">
        <f t="shared" si="103"/>
        <v>50.79302579334589</v>
      </c>
      <c r="GC75" s="22">
        <f t="shared" si="79"/>
        <v>445.12148725674388</v>
      </c>
      <c r="GD75" s="62">
        <f t="shared" si="80"/>
        <v>738.45482059007713</v>
      </c>
      <c r="GE75" s="62">
        <f ca="1">AVERAGE(OFFSET($GD$3,0,0,'Données projet'!$E$17+1,1))-AVERAGE(OFFSET($H$3,0,0,'Données projet'!$E$17+1,1))</f>
        <v>289.12367833861299</v>
      </c>
      <c r="GF75" s="62">
        <f t="shared" si="104"/>
        <v>229.06617320689003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>
        <f>EXP(-LN(2)/35)*GL74+(1-EXP(-LN(2)/35))/(LN(2)/35)*GH75*GI75*VLOOKUP('Données projet'!$B$17,Paramètres!$A$1:$I$89,3,0)*0.475*44/12</f>
        <v>0</v>
      </c>
      <c r="GM75" s="23">
        <f>EXP(-LN(2)/25)*GM74+(1-EXP(-LN(2)/25))/(LN(2)/25)*Calculateur!GH75*Calculateur!GJ75*VLOOKUP('Données projet'!$B$17,Paramètres!$A$1:$I$89,3,0)*0.475*44/12</f>
        <v>0</v>
      </c>
      <c r="GN75" s="23">
        <f>EXP(-LN(2)/2)*GN74+(1-EXP(-LN(2)/2))/(LN(2)/2)*GH75*GK75*VLOOKUP('Données projet'!$B$17,Paramètres!$A$1:$I$89,3,0)*0.475*44/12</f>
        <v>1.9773650541426895E-6</v>
      </c>
      <c r="GO75" s="23">
        <f t="shared" si="81"/>
        <v>1.9773650541426895E-6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10.457692307692307</v>
      </c>
      <c r="GU75" s="13">
        <f>IF('Données projet'!$A$270&gt;35,GU74+GT75-HC74,IF(A75&lt;'Données projet'!$A$270,$GR$205^A75,IF(A75='Données projet'!$A$270,'Données projet'!$B$270,GU74+GT75-HC74)))</f>
        <v>347.67307692307696</v>
      </c>
      <c r="GV75" s="18">
        <f>GU75*VLOOKUP('Données projet'!$B$18,Paramètres!$A$1:$I$89,3,0)*VLOOKUP('Données projet'!$B$18,Paramètres!$A$1:$I$89,5,0)</f>
        <v>162.71100000000001</v>
      </c>
      <c r="GW75" s="14">
        <f t="shared" si="105"/>
        <v>41.453389802140954</v>
      </c>
      <c r="GX75" s="22">
        <f t="shared" si="82"/>
        <v>355.58631223872879</v>
      </c>
      <c r="GY75" s="62">
        <f t="shared" si="83"/>
        <v>648.91964557206211</v>
      </c>
      <c r="GZ75" s="62">
        <f ca="1">AVERAGE(OFFSET($GY$3,0,0,'Données projet'!$E$18+1,1))-AVERAGE(OFFSET($H$3,0,0,'Données projet'!$E$18+1,1))</f>
        <v>284.88646502866419</v>
      </c>
      <c r="HA75" s="62">
        <f t="shared" si="106"/>
        <v>190.4880882944471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>
        <f>EXP(-LN(2)/35)*HG74+(1-EXP(-LN(2)/35))/(LN(2)/35)*HC75*HD75*VLOOKUP('Données projet'!$B$18,Paramètres!$A$1:$I$89,3,0)*0.475*44/12</f>
        <v>0</v>
      </c>
      <c r="HH75" s="23">
        <f>EXP(-LN(2)/25)*HH74+(1-EXP(-LN(2)/25))/(LN(2)/25)*Calculateur!HC75*Calculateur!HE75*VLOOKUP('Données projet'!$B$18,Paramètres!$A$1:$I$89,3,0)*0.475*44/12</f>
        <v>0</v>
      </c>
      <c r="HI75" s="23">
        <f>EXP(-LN(2)/2)*HI74+(1-EXP(-LN(2)/2))/(LN(2)/2)*HC75*HF75*VLOOKUP('Données projet'!$B$18,Paramètres!$A$1:$I$89,3,0)*0.475*44/12</f>
        <v>0</v>
      </c>
      <c r="HJ75" s="24">
        <f t="shared" si="84"/>
        <v>0</v>
      </c>
    </row>
    <row r="76" spans="1:218" s="5" customFormat="1" x14ac:dyDescent="0.25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2">
        <f t="shared" si="86"/>
        <v>0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0</v>
      </c>
      <c r="H76" s="70">
        <f t="shared" si="56"/>
        <v>256.66666666666669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4.2307692307692264</v>
      </c>
      <c r="N76" s="14">
        <f>IF('Données projet'!$A$36&gt;35,N75+M76-V75,IF(A76&lt;'Données projet'!$A$36,$K$205^A76,IF(A76='Données projet'!$A$36,'Données projet'!$B$36,N75+M76-V75)))</f>
        <v>199.23076923076917</v>
      </c>
      <c r="O76" s="14">
        <f>N76*VLOOKUP('Données projet'!$B$9,Paramètres!$A$1:$I$89,3,0)*VLOOKUP('Données projet'!$B$9,Paramètres!$A$1:$I$89,5,0)</f>
        <v>189.58799999999994</v>
      </c>
      <c r="P76" s="14">
        <f t="shared" si="87"/>
        <v>47.44885399619001</v>
      </c>
      <c r="Q76" s="22">
        <f t="shared" si="54"/>
        <v>412.83918737669751</v>
      </c>
      <c r="R76" s="62">
        <f t="shared" si="55"/>
        <v>706.17252071003077</v>
      </c>
      <c r="S76" s="62">
        <f ca="1">AVERAGE(OFFSET($R$3,0,0,'Données projet'!$E$9+1,1))-AVERAGE(OFFSET($H$3,0,0,'Données projet'!$E$9+1,1))</f>
        <v>367.11183928586667</v>
      </c>
      <c r="T76" s="62">
        <f t="shared" si="88"/>
        <v>281.52963027844595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0</v>
      </c>
      <c r="AA76" s="23">
        <f>EXP(-LN(2)/25)*AA75+(1-EXP(-LN(2)/25))/(LN(2)/25)*Calculateur!V76*Calculateur!X76*VLOOKUP('Données projet'!$B$9,Paramètres!$A$1:$I$89,3,0)*0.475*44/12</f>
        <v>0</v>
      </c>
      <c r="AB76" s="23">
        <f>EXP(-LN(2)/2)*AB75+(1-EXP(-LN(2)/2))/(LN(2)/2)*V76*Y76*VLOOKUP('Données projet'!$B$9,Paramètres!$A$1:$I$89,3,0)*0.475*44/12</f>
        <v>0</v>
      </c>
      <c r="AC76" s="24">
        <f t="shared" si="57"/>
        <v>0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6.2</v>
      </c>
      <c r="AI76" s="14">
        <f>IF('Données projet'!$A$62&gt;35,AI75+AH76-AQ75,IF(A76&lt;'Données projet'!$A$62,$AF$205^A76,IF(A76='Données projet'!$A$62,'Données projet'!$B$62,AI75+AH76-AQ75)))</f>
        <v>239.59999999999991</v>
      </c>
      <c r="AJ76" s="14">
        <f>AI76*VLOOKUP('Données projet'!$B$10,Paramètres!$A$1:$I$89,3,0)*VLOOKUP('Données projet'!$B$10,Paramètres!$A$1:$I$89,5,0)</f>
        <v>216.7900799999999</v>
      </c>
      <c r="AK76" s="14">
        <f t="shared" si="89"/>
        <v>53.416629794462551</v>
      </c>
      <c r="AL76" s="22">
        <f t="shared" si="58"/>
        <v>470.61001955868869</v>
      </c>
      <c r="AM76" s="62">
        <f t="shared" si="59"/>
        <v>763.94335289202195</v>
      </c>
      <c r="AN76" s="62">
        <f ca="1">AVERAGE(OFFSET($AM$3,0,0,'Données projet'!$E$10+1,1))-AVERAGE(OFFSET($H$3,0,0,'Données projet'!$E$10+1,1))</f>
        <v>428.8489304403459</v>
      </c>
      <c r="AO76" s="62">
        <f t="shared" si="90"/>
        <v>247.01165577562966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0</v>
      </c>
      <c r="AV76" s="23">
        <f>EXP(-LN(2)/25)*AV75+(1-EXP(-LN(2)/25))/(LN(2)/25)*Calculateur!AQ76*Calculateur!AS76*VLOOKUP('Données projet'!$B$10,Paramètres!$A$1:$I$89,3,0)*0.475*44/12</f>
        <v>0</v>
      </c>
      <c r="AW76" s="23">
        <f>EXP(-LN(2)/2)*AW75+(1-EXP(-LN(2)/2))/(LN(2)/2)*AQ76*AT76*VLOOKUP('Données projet'!$B$10,Paramètres!$A$1:$I$89,3,0)*0.475*44/12</f>
        <v>0</v>
      </c>
      <c r="AX76" s="23">
        <f t="shared" si="60"/>
        <v>0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6.2</v>
      </c>
      <c r="BD76" s="13">
        <f>IF('Données projet'!$A$88&gt;35,BD75+BC76-BL75,IF(A76&lt;'Données projet'!$A$88,$BA$205^A76,IF(A76='Données projet'!$A$88,'Données projet'!$B$88,BD75+BC76-BL75)))</f>
        <v>239.59999999999991</v>
      </c>
      <c r="BE76" s="14">
        <f>BD76*VLOOKUP('Données projet'!$B$11,Paramètres!$A$1:$I$89,3,0)*VLOOKUP('Données projet'!$B$11,Paramètres!$A$1:$I$89,5,0)</f>
        <v>242.95439999999994</v>
      </c>
      <c r="BF76" s="14">
        <f t="shared" si="91"/>
        <v>59.074730698078945</v>
      </c>
      <c r="BG76" s="22">
        <f t="shared" si="61"/>
        <v>526.034069299154</v>
      </c>
      <c r="BH76" s="62">
        <f t="shared" si="62"/>
        <v>819.36740263248726</v>
      </c>
      <c r="BI76" s="62">
        <f ca="1">AVERAGE(OFFSET($BH$3,0,0,'Données projet'!$E$11+1,1))-AVERAGE(OFFSET($H$3,0,0,'Données projet'!$E$11+1,1))</f>
        <v>475.47920969424894</v>
      </c>
      <c r="BJ76" s="62">
        <f t="shared" si="92"/>
        <v>271.73544012419364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>
        <f>EXP(-LN(2)/35)*BP75+(1-EXP(-LN(2)/35))/(LN(2)/35)*BL76*BM76*VLOOKUP('Données projet'!$B$11,Paramètres!$A$1:$I$89,3,0)*0.475*44/12</f>
        <v>0</v>
      </c>
      <c r="BQ76" s="23">
        <f>EXP(-LN(2)/25)*BQ75+(1-EXP(-LN(2)/25))/(LN(2)/25)*Calculateur!BL76*Calculateur!BN76*VLOOKUP('Données projet'!$B$11,Paramètres!$A$1:$I$89,3,0)*0.475*44/12</f>
        <v>0</v>
      </c>
      <c r="BR76" s="23">
        <f>EXP(-LN(2)/2)*BR75+(1-EXP(-LN(2)/2))/(LN(2)/2)*BL76*BO76*VLOOKUP('Données projet'!$B$11,Paramètres!$A$1:$I$89,3,0)*0.475*44/12</f>
        <v>0</v>
      </c>
      <c r="BS76" s="24">
        <f t="shared" si="63"/>
        <v>0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2.2737367544323206E-13</v>
      </c>
      <c r="BZ76" s="14">
        <f>BY76*VLOOKUP('Données projet'!$B$12,Paramètres!$A$1:$I$89,3,0)*VLOOKUP('Données projet'!$B$12,Paramètres!$A$1:$I$89,5,0)</f>
        <v>1.2710188457276673E-13</v>
      </c>
      <c r="CA76" s="14">
        <f t="shared" si="93"/>
        <v>1.856866851063998E-12</v>
      </c>
      <c r="CB76" s="22">
        <f t="shared" si="64"/>
        <v>3.4554122145673649E-12</v>
      </c>
      <c r="CC76" s="62">
        <f t="shared" si="65"/>
        <v>293.33333333333678</v>
      </c>
      <c r="CD76" s="62">
        <f ca="1">AVERAGE(OFFSET($CC$3,0,0,'Données projet'!$E$12+1,1))-AVERAGE(OFFSET($H$3,0,0,'Données projet'!$E$12+1,1))</f>
        <v>323.98185264074681</v>
      </c>
      <c r="CE76" s="62">
        <f t="shared" si="94"/>
        <v>301.22207291854005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>
        <f>EXP(-LN(2)/35)*CK75+(1-EXP(-LN(2)/35))/(LN(2)/35)*CG76*CH76*VLOOKUP('Données projet'!$B$12,Paramètres!$A$1:$I$89,3,0)*0.475*44/12</f>
        <v>1.9042499753506876</v>
      </c>
      <c r="CL76" s="23">
        <f>EXP(-LN(2)/25)*CL75+(1-EXP(-LN(2)/25))/(LN(2)/25)*Calculateur!CG76*Calculateur!CI76*VLOOKUP('Données projet'!$B$12,Paramètres!$A$1:$I$89,3,0)*0.475*44/12</f>
        <v>2.5034572585686399</v>
      </c>
      <c r="CM76" s="23">
        <f>EXP(-LN(2)/2)*CM75+(1-EXP(-LN(2)/2))/(LN(2)/2)*CG76*CJ76*VLOOKUP('Données projet'!$B$12,Paramètres!$A$1:$I$89,3,0)*0.475*44/12</f>
        <v>2.0526550957031501E-6</v>
      </c>
      <c r="CN76" s="24">
        <f t="shared" si="66"/>
        <v>4.4077092865744234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5</v>
      </c>
      <c r="CT76" s="13">
        <f>IF('Données projet'!$A$140&gt;35,CT75+CS76-DB75,IF(A76&lt;'Données projet'!$A$140,$CQ$205^A76,IF(A76='Données projet'!$A$140,'Données projet'!$B$140,CT75+CS76-DB75)))</f>
        <v>173</v>
      </c>
      <c r="CU76" s="18">
        <f>CT76*VLOOKUP('Données projet'!$B$13,Paramètres!$A$1:$I$89,3,0)*VLOOKUP('Données projet'!$B$13,Paramètres!$A$1:$I$89,5,0)</f>
        <v>197.01239999999999</v>
      </c>
      <c r="CV76" s="14">
        <f t="shared" si="95"/>
        <v>49.087009643867567</v>
      </c>
      <c r="CW76" s="22">
        <f t="shared" si="67"/>
        <v>428.62313846306932</v>
      </c>
      <c r="CX76" s="62">
        <f t="shared" si="68"/>
        <v>721.95647179640264</v>
      </c>
      <c r="CY76" s="62">
        <f ca="1">AVERAGE(OFFSET($CX$3,0,0,'Données projet'!$E$13+1,1))-AVERAGE(OFFSET($H$3,0,0,'Données projet'!$E$13+1,1))</f>
        <v>399.78832690250164</v>
      </c>
      <c r="CZ76" s="62">
        <f t="shared" si="96"/>
        <v>174.32967064896343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>
        <f>EXP(-LN(2)/35)*DF75+(1-EXP(-LN(2)/35))/(LN(2)/35)*DB76*DC76*VLOOKUP('Données projet'!$B$13,Paramètres!$A$1:$I$89,3,0)*0.475*44/12</f>
        <v>0</v>
      </c>
      <c r="DG76" s="23">
        <f>EXP(-LN(2)/25)*DG75+(1-EXP(-LN(2)/25))/(LN(2)/25)*Calculateur!DB76*Calculateur!DD76*VLOOKUP('Données projet'!$B$13,Paramètres!$A$1:$I$89,3,0)*0.475*44/12</f>
        <v>0</v>
      </c>
      <c r="DH76" s="23">
        <f>EXP(-LN(2)/2)*DH75+(1-EXP(-LN(2)/2))/(LN(2)/2)*DB76*DE76*VLOOKUP('Données projet'!$B$13,Paramètres!$A$1:$I$89,3,0)*0.475*44/12</f>
        <v>0</v>
      </c>
      <c r="DI76" s="24">
        <f t="shared" si="69"/>
        <v>0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6.2</v>
      </c>
      <c r="DO76" s="13">
        <f>IF('Données projet'!$A$166&gt;35,DO75+DN76-DW75,IF(A76&lt;'Données projet'!$A$166,$DL$205^A76,IF(A76='Données projet'!$A$166,'Données projet'!$B$166,DO75+DN76-DW75)))</f>
        <v>239.59999999999991</v>
      </c>
      <c r="DP76" s="18">
        <f>DO76*VLOOKUP('Données projet'!$B$14,Paramètres!$A$1:$I$89,3,0)*VLOOKUP('Données projet'!$B$14,Paramètres!$A$1:$I$89,5,0)</f>
        <v>201.83903999999995</v>
      </c>
      <c r="DQ76" s="14">
        <f t="shared" si="97"/>
        <v>50.148117498343801</v>
      </c>
      <c r="DR76" s="22">
        <f t="shared" si="70"/>
        <v>438.87763264294864</v>
      </c>
      <c r="DS76" s="62">
        <f t="shared" si="71"/>
        <v>732.21096597628195</v>
      </c>
      <c r="DT76" s="62">
        <f ca="1">AVERAGE(OFFSET($DS$3,0,0,'Données projet'!$E$14+1,1))-AVERAGE(OFFSET($H$3,0,0,'Données projet'!$E$14+1,1))</f>
        <v>402.15128814037058</v>
      </c>
      <c r="DU76" s="62">
        <f t="shared" si="98"/>
        <v>232.85411068442738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>
        <f>EXP(-LN(2)/35)*EA75+(1-EXP(-LN(2)/35))/(LN(2)/35)*DW76*DX76*VLOOKUP('Données projet'!$B$14,Paramètres!$A$1:$I$89,3,0)*0.475*44/12</f>
        <v>0</v>
      </c>
      <c r="EB76" s="23">
        <f>EXP(-LN(2)/25)*EB75+(1-EXP(-LN(2)/25))/(LN(2)/25)*Calculateur!DW76*Calculateur!DY76*VLOOKUP('Données projet'!$B$14,Paramètres!$A$1:$I$89,3,0)*0.475*44/12</f>
        <v>0</v>
      </c>
      <c r="EC76" s="23">
        <f>EXP(-LN(2)/2)*EC75+(1-EXP(-LN(2)/2))/(LN(2)/2)*DW76*DZ76*VLOOKUP('Données projet'!$B$14,Paramètres!$A$1:$I$89,3,0)*0.475*44/12</f>
        <v>0</v>
      </c>
      <c r="ED76" s="24">
        <f t="shared" si="72"/>
        <v>0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5.2564102564102653</v>
      </c>
      <c r="EJ76" s="13">
        <f>IF('Données projet'!$A$192&gt;35,EJ75+EI76-ER75,IF(A76&lt;'Données projet'!$A$192,$EG$205^A76,IF(A76='Données projet'!$A$192,'Données projet'!$B$192,EJ75+EI76-ER75)))</f>
        <v>306.79487179487205</v>
      </c>
      <c r="EK76" s="18">
        <f>EJ76*VLOOKUP('Données projet'!$B$15,Paramètres!$A$1:$I$89,3,0)*VLOOKUP('Données projet'!$B$15,Paramètres!$A$1:$I$89,5,0)</f>
        <v>320.66200000000026</v>
      </c>
      <c r="EL76" s="14">
        <f t="shared" si="99"/>
        <v>75.491079065721337</v>
      </c>
      <c r="EM76" s="22">
        <f t="shared" si="73"/>
        <v>689.96661270613185</v>
      </c>
      <c r="EN76" s="62">
        <f t="shared" si="74"/>
        <v>983.29994603946511</v>
      </c>
      <c r="EO76" s="62">
        <f ca="1">AVERAGE(OFFSET($EN$3,0,0,'Données projet'!$E$15+1,1))-AVERAGE(OFFSET($H$3,0,0,'Données projet'!$E$15+1,1))</f>
        <v>595.89992279024398</v>
      </c>
      <c r="EP76" s="62">
        <f t="shared" si="100"/>
        <v>378.16197659288338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>
        <f>EXP(-LN(2)/35)*EV75+(1-EXP(-LN(2)/35))/(LN(2)/35)*ER76*ES76*VLOOKUP('Données projet'!$B$15,Paramètres!$A$1:$I$89,3,0)*0.475*44/12</f>
        <v>0</v>
      </c>
      <c r="EW76" s="23">
        <f>EXP(-LN(2)/25)*EW75+(1-EXP(-LN(2)/25))/(LN(2)/25)*Calculateur!ER76*Calculateur!ET76*VLOOKUP('Données projet'!$B$15,Paramètres!$A$1:$I$89,3,0)*0.475*44/12</f>
        <v>0</v>
      </c>
      <c r="EX76" s="23">
        <f>EXP(-LN(2)/2)*EX75+(1-EXP(-LN(2)/2))/(LN(2)/2)*ER76*EU76*VLOOKUP('Données projet'!$B$15,Paramètres!$A$1:$I$89,3,0)*0.475*44/12</f>
        <v>0</v>
      </c>
      <c r="EY76" s="24">
        <f t="shared" si="75"/>
        <v>0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-2.2737367544323206E-13</v>
      </c>
      <c r="FF76" s="18">
        <f>FE76*VLOOKUP('Données projet'!$B$16,Paramètres!$A$1:$I$89,3,0)*VLOOKUP('Données projet'!$B$16,Paramètres!$A$1:$I$89,5,0)</f>
        <v>-1.3596945791505279E-13</v>
      </c>
      <c r="FG76" s="14" t="e">
        <f t="shared" si="101"/>
        <v>#NUM!</v>
      </c>
      <c r="FH76" s="22" t="e">
        <f t="shared" si="76"/>
        <v>#NUM!</v>
      </c>
      <c r="FI76" s="62" t="e">
        <f t="shared" si="77"/>
        <v>#NUM!</v>
      </c>
      <c r="FJ76" s="62">
        <f ca="1">AVERAGE(OFFSET($FI$3,0,0,'Données projet'!$E$16+1,1))-AVERAGE(OFFSET($H$3,0,0,'Données projet'!$E$16+1,1))</f>
        <v>257.56116197646924</v>
      </c>
      <c r="FK76" s="62">
        <f t="shared" si="102"/>
        <v>269.95556918835888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>
        <f>EXP(-LN(2)/35)*FQ75+(1-EXP(-LN(2)/35))/(LN(2)/35)*FM76*FN76*VLOOKUP('Données projet'!$B$16,Paramètres!$A$1:$I$89,3,0)*0.475*44/12</f>
        <v>6.2224815875181427</v>
      </c>
      <c r="FR76" s="23">
        <f>EXP(-LN(2)/25)*FR75+(1-EXP(-LN(2)/25))/(LN(2)/25)*Calculateur!FM76*Calculateur!FO76*VLOOKUP('Données projet'!$B$16,Paramètres!$A$1:$I$89,3,0)*0.475*44/12</f>
        <v>4.9002091776446237</v>
      </c>
      <c r="FS76" s="23">
        <f>EXP(-LN(2)/2)*FS75+(1-EXP(-LN(2)/2))/(LN(2)/2)*FM76*FP76*VLOOKUP('Données projet'!$B$16,Paramètres!$A$1:$I$89,3,0)*0.475*44/12</f>
        <v>2.8842212650842372E-6</v>
      </c>
      <c r="FT76" s="24">
        <f t="shared" si="78"/>
        <v>11.122693649384031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7.5584615384615343</v>
      </c>
      <c r="FZ76" s="13">
        <f>IF('Données projet'!$A$244&gt;35,FZ75+FY76-GH75,IF(A76&lt;'Données projet'!$A$244,$FW$205^A76,IF(A76='Données projet'!$A$244,'Données projet'!$B$244,FZ75+FY76-GH75)))</f>
        <v>349.9984615384613</v>
      </c>
      <c r="GA76" s="18">
        <f>FZ76*VLOOKUP('Données projet'!$B$17,Paramètres!$A$1:$I$89,3,0)*VLOOKUP('Données projet'!$B$17,Paramètres!$A$1:$I$89,5,0)</f>
        <v>209.29907999999986</v>
      </c>
      <c r="GB76" s="14">
        <f t="shared" si="103"/>
        <v>51.782387252616175</v>
      </c>
      <c r="GC76" s="22">
        <f t="shared" si="79"/>
        <v>454.71688879830623</v>
      </c>
      <c r="GD76" s="62">
        <f t="shared" si="80"/>
        <v>748.05022213163954</v>
      </c>
      <c r="GE76" s="62">
        <f ca="1">AVERAGE(OFFSET($GD$3,0,0,'Données projet'!$E$17+1,1))-AVERAGE(OFFSET($H$3,0,0,'Données projet'!$E$17+1,1))</f>
        <v>289.12367833861299</v>
      </c>
      <c r="GF76" s="62">
        <f t="shared" si="104"/>
        <v>229.06617320689003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>
        <f>EXP(-LN(2)/35)*GL75+(1-EXP(-LN(2)/35))/(LN(2)/35)*GH76*GI76*VLOOKUP('Données projet'!$B$17,Paramètres!$A$1:$I$89,3,0)*0.475*44/12</f>
        <v>0</v>
      </c>
      <c r="GM76" s="23">
        <f>EXP(-LN(2)/25)*GM75+(1-EXP(-LN(2)/25))/(LN(2)/25)*Calculateur!GH76*Calculateur!GJ76*VLOOKUP('Données projet'!$B$17,Paramètres!$A$1:$I$89,3,0)*0.475*44/12</f>
        <v>0</v>
      </c>
      <c r="GN76" s="23">
        <f>EXP(-LN(2)/2)*GN75+(1-EXP(-LN(2)/2))/(LN(2)/2)*GH76*GK76*VLOOKUP('Données projet'!$B$17,Paramètres!$A$1:$I$89,3,0)*0.475*44/12</f>
        <v>1.3982082386656004E-6</v>
      </c>
      <c r="GO76" s="23">
        <f t="shared" si="81"/>
        <v>1.3982082386656004E-6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>
        <f>VLOOKUP(A76,'Données projet'!$A$269:$I$289,2,0)</f>
        <v>358.1307692307692</v>
      </c>
      <c r="GS76" s="13">
        <f>VLOOKUP(A76,'Données projet'!$A$269:$I$289,9,0)</f>
        <v>10.457692307692307</v>
      </c>
      <c r="GT76" s="13">
        <f t="array" ref="GT76">INDEX(GS:GS,MIN(IF(ISNUMBER(GS76:GS272),ROW(GS76:GS272),"")))</f>
        <v>10.457692307692307</v>
      </c>
      <c r="GU76" s="13">
        <f>IF('Données projet'!$A$270&gt;35,GU75+GT76-HC75,IF(A76&lt;'Données projet'!$A$270,$GR$205^A76,IF(A76='Données projet'!$A$270,'Données projet'!$B$270,GU75+GT76-HC75)))</f>
        <v>358.13076923076926</v>
      </c>
      <c r="GV76" s="18">
        <f>GU76*VLOOKUP('Données projet'!$B$18,Paramètres!$A$1:$I$89,3,0)*VLOOKUP('Données projet'!$B$18,Paramètres!$A$1:$I$89,5,0)</f>
        <v>167.6052</v>
      </c>
      <c r="GW76" s="14">
        <f t="shared" si="105"/>
        <v>42.553225987206737</v>
      </c>
      <c r="GX76" s="22">
        <f t="shared" si="82"/>
        <v>366.02592526105173</v>
      </c>
      <c r="GY76" s="62">
        <f t="shared" si="83"/>
        <v>659.35925859438498</v>
      </c>
      <c r="GZ76" s="62">
        <f ca="1">AVERAGE(OFFSET($GY$3,0,0,'Données projet'!$E$18+1,1))-AVERAGE(OFFSET($H$3,0,0,'Données projet'!$E$18+1,1))</f>
        <v>284.88646502866419</v>
      </c>
      <c r="HA76" s="62">
        <f t="shared" si="106"/>
        <v>190.4880882944471</v>
      </c>
      <c r="HB76" s="16">
        <f>IF(ISNA(VLOOKUP(A76,'Données projet'!$A$269:$I$289,3,0)),0,VLOOKUP(A76,'Données projet'!$A$269:$I$289,3,0))</f>
        <v>3</v>
      </c>
      <c r="HC76" s="16">
        <f>IF(ISNA(VLOOKUP(A76,'Données projet'!$A$269:$I$289,4,0)),0,VLOOKUP(A76,'Données projet'!$A$269:$I$289,4,0))</f>
        <v>93.584615384615375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>
        <f>EXP(-LN(2)/35)*HG75+(1-EXP(-LN(2)/35))/(LN(2)/35)*HC76*HD76*VLOOKUP('Données projet'!$B$18,Paramètres!$A$1:$I$89,3,0)*0.475*44/12</f>
        <v>0</v>
      </c>
      <c r="HH76" s="23">
        <f>EXP(-LN(2)/25)*HH75+(1-EXP(-LN(2)/25))/(LN(2)/25)*Calculateur!HC76*Calculateur!HE76*VLOOKUP('Données projet'!$B$18,Paramètres!$A$1:$I$89,3,0)*0.475*44/12</f>
        <v>0</v>
      </c>
      <c r="HI76" s="23">
        <f>EXP(-LN(2)/2)*HI75+(1-EXP(-LN(2)/2))/(LN(2)/2)*HC76*HF76*VLOOKUP('Données projet'!$B$18,Paramètres!$A$1:$I$89,3,0)*0.475*44/12</f>
        <v>0</v>
      </c>
      <c r="HJ76" s="24">
        <f t="shared" si="84"/>
        <v>0</v>
      </c>
    </row>
    <row r="77" spans="1:218" s="5" customFormat="1" x14ac:dyDescent="0.25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2">
        <f t="shared" si="86"/>
        <v>0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0</v>
      </c>
      <c r="H77" s="70">
        <f t="shared" si="56"/>
        <v>256.66666666666669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4.2307692307692264</v>
      </c>
      <c r="N77" s="14">
        <f>IF('Données projet'!$A$36&gt;35,N76+M77-V76,IF(A77&lt;'Données projet'!$A$36,$K$205^A77,IF(A77='Données projet'!$A$36,'Données projet'!$B$36,N76+M77-V76)))</f>
        <v>203.4615384615384</v>
      </c>
      <c r="O77" s="14">
        <f>N77*VLOOKUP('Données projet'!$B$9,Paramètres!$A$1:$I$89,3,0)*VLOOKUP('Données projet'!$B$9,Paramètres!$A$1:$I$89,5,0)</f>
        <v>193.61399999999995</v>
      </c>
      <c r="P77" s="14">
        <f t="shared" si="87"/>
        <v>48.338078619840999</v>
      </c>
      <c r="Q77" s="22">
        <f t="shared" si="54"/>
        <v>421.39987026288964</v>
      </c>
      <c r="R77" s="62">
        <f t="shared" si="55"/>
        <v>714.73320359622289</v>
      </c>
      <c r="S77" s="62">
        <f ca="1">AVERAGE(OFFSET($R$3,0,0,'Données projet'!$E$9+1,1))-AVERAGE(OFFSET($H$3,0,0,'Données projet'!$E$9+1,1))</f>
        <v>367.11183928586667</v>
      </c>
      <c r="T77" s="62">
        <f t="shared" si="88"/>
        <v>281.52963027844595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0</v>
      </c>
      <c r="AA77" s="23">
        <f>EXP(-LN(2)/25)*AA76+(1-EXP(-LN(2)/25))/(LN(2)/25)*Calculateur!V77*Calculateur!X77*VLOOKUP('Données projet'!$B$9,Paramètres!$A$1:$I$89,3,0)*0.475*44/12</f>
        <v>0</v>
      </c>
      <c r="AB77" s="23">
        <f>EXP(-LN(2)/2)*AB76+(1-EXP(-LN(2)/2))/(LN(2)/2)*V77*Y77*VLOOKUP('Données projet'!$B$9,Paramètres!$A$1:$I$89,3,0)*0.475*44/12</f>
        <v>0</v>
      </c>
      <c r="AC77" s="24">
        <f t="shared" si="57"/>
        <v>0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6.2</v>
      </c>
      <c r="AI77" s="14">
        <f>IF('Données projet'!$A$62&gt;35,AI76+AH77-AQ76,IF(A77&lt;'Données projet'!$A$62,$AF$205^A77,IF(A77='Données projet'!$A$62,'Données projet'!$B$62,AI76+AH77-AQ76)))</f>
        <v>245.7999999999999</v>
      </c>
      <c r="AJ77" s="14">
        <f>AI77*VLOOKUP('Données projet'!$B$10,Paramètres!$A$1:$I$89,3,0)*VLOOKUP('Données projet'!$B$10,Paramètres!$A$1:$I$89,5,0)</f>
        <v>222.3998399999999</v>
      </c>
      <c r="AK77" s="14">
        <f t="shared" si="89"/>
        <v>54.636149281681448</v>
      </c>
      <c r="AL77" s="22">
        <f t="shared" si="58"/>
        <v>482.50434799892832</v>
      </c>
      <c r="AM77" s="62">
        <f t="shared" si="59"/>
        <v>775.83768133226158</v>
      </c>
      <c r="AN77" s="62">
        <f ca="1">AVERAGE(OFFSET($AM$3,0,0,'Données projet'!$E$10+1,1))-AVERAGE(OFFSET($H$3,0,0,'Données projet'!$E$10+1,1))</f>
        <v>428.8489304403459</v>
      </c>
      <c r="AO77" s="62">
        <f t="shared" si="90"/>
        <v>247.01165577562966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0</v>
      </c>
      <c r="AV77" s="23">
        <f>EXP(-LN(2)/25)*AV76+(1-EXP(-LN(2)/25))/(LN(2)/25)*Calculateur!AQ77*Calculateur!AS77*VLOOKUP('Données projet'!$B$10,Paramètres!$A$1:$I$89,3,0)*0.475*44/12</f>
        <v>0</v>
      </c>
      <c r="AW77" s="23">
        <f>EXP(-LN(2)/2)*AW76+(1-EXP(-LN(2)/2))/(LN(2)/2)*AQ77*AT77*VLOOKUP('Données projet'!$B$10,Paramètres!$A$1:$I$89,3,0)*0.475*44/12</f>
        <v>0</v>
      </c>
      <c r="AX77" s="23">
        <f t="shared" si="60"/>
        <v>0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6.2</v>
      </c>
      <c r="BD77" s="13">
        <f>IF('Données projet'!$A$88&gt;35,BD76+BC77-BL76,IF(A77&lt;'Données projet'!$A$88,$BA$205^A77,IF(A77='Données projet'!$A$88,'Données projet'!$B$88,BD76+BC77-BL76)))</f>
        <v>245.7999999999999</v>
      </c>
      <c r="BE77" s="14">
        <f>BD77*VLOOKUP('Données projet'!$B$11,Paramètres!$A$1:$I$89,3,0)*VLOOKUP('Données projet'!$B$11,Paramètres!$A$1:$I$89,5,0)</f>
        <v>249.24119999999988</v>
      </c>
      <c r="BF77" s="14">
        <f t="shared" si="91"/>
        <v>60.42342651744687</v>
      </c>
      <c r="BG77" s="22">
        <f t="shared" si="61"/>
        <v>539.3325578512198</v>
      </c>
      <c r="BH77" s="62">
        <f t="shared" si="62"/>
        <v>832.66589118455317</v>
      </c>
      <c r="BI77" s="62">
        <f ca="1">AVERAGE(OFFSET($BH$3,0,0,'Données projet'!$E$11+1,1))-AVERAGE(OFFSET($H$3,0,0,'Données projet'!$E$11+1,1))</f>
        <v>475.47920969424894</v>
      </c>
      <c r="BJ77" s="62">
        <f t="shared" si="92"/>
        <v>271.73544012419364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>
        <f>EXP(-LN(2)/35)*BP76+(1-EXP(-LN(2)/35))/(LN(2)/35)*BL77*BM77*VLOOKUP('Données projet'!$B$11,Paramètres!$A$1:$I$89,3,0)*0.475*44/12</f>
        <v>0</v>
      </c>
      <c r="BQ77" s="23">
        <f>EXP(-LN(2)/25)*BQ76+(1-EXP(-LN(2)/25))/(LN(2)/25)*Calculateur!BL77*Calculateur!BN77*VLOOKUP('Données projet'!$B$11,Paramètres!$A$1:$I$89,3,0)*0.475*44/12</f>
        <v>0</v>
      </c>
      <c r="BR77" s="23">
        <f>EXP(-LN(2)/2)*BR76+(1-EXP(-LN(2)/2))/(LN(2)/2)*BL77*BO77*VLOOKUP('Données projet'!$B$11,Paramètres!$A$1:$I$89,3,0)*0.475*44/12</f>
        <v>0</v>
      </c>
      <c r="BS77" s="24">
        <f t="shared" si="63"/>
        <v>0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2.2737367544323206E-13</v>
      </c>
      <c r="BZ77" s="14">
        <f>BY77*VLOOKUP('Données projet'!$B$12,Paramètres!$A$1:$I$89,3,0)*VLOOKUP('Données projet'!$B$12,Paramètres!$A$1:$I$89,5,0)</f>
        <v>1.2710188457276673E-13</v>
      </c>
      <c r="CA77" s="14">
        <f t="shared" si="93"/>
        <v>1.856866851063998E-12</v>
      </c>
      <c r="CB77" s="22">
        <f t="shared" si="64"/>
        <v>3.4554122145673649E-12</v>
      </c>
      <c r="CC77" s="62">
        <f t="shared" si="65"/>
        <v>293.33333333333678</v>
      </c>
      <c r="CD77" s="62">
        <f ca="1">AVERAGE(OFFSET($CC$3,0,0,'Données projet'!$E$12+1,1))-AVERAGE(OFFSET($H$3,0,0,'Données projet'!$E$12+1,1))</f>
        <v>323.98185264074681</v>
      </c>
      <c r="CE77" s="62">
        <f t="shared" si="94"/>
        <v>301.22207291854005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>
        <f>EXP(-LN(2)/35)*CK76+(1-EXP(-LN(2)/35))/(LN(2)/35)*CG77*CH77*VLOOKUP('Données projet'!$B$12,Paramètres!$A$1:$I$89,3,0)*0.475*44/12</f>
        <v>1.8669087948118592</v>
      </c>
      <c r="CL77" s="23">
        <f>EXP(-LN(2)/25)*CL76+(1-EXP(-LN(2)/25))/(LN(2)/25)*Calculateur!CG77*Calculateur!CI77*VLOOKUP('Données projet'!$B$12,Paramètres!$A$1:$I$89,3,0)*0.475*44/12</f>
        <v>2.4350000881819849</v>
      </c>
      <c r="CM77" s="23">
        <f>EXP(-LN(2)/2)*CM76+(1-EXP(-LN(2)/2))/(LN(2)/2)*CG77*CJ77*VLOOKUP('Données projet'!$B$12,Paramètres!$A$1:$I$89,3,0)*0.475*44/12</f>
        <v>1.4514463376088192E-6</v>
      </c>
      <c r="CN77" s="24">
        <f t="shared" si="66"/>
        <v>4.3019103344401817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5</v>
      </c>
      <c r="CT77" s="13">
        <f>IF('Données projet'!$A$140&gt;35,CT76+CS77-DB76,IF(A77&lt;'Données projet'!$A$140,$CQ$205^A77,IF(A77='Données projet'!$A$140,'Données projet'!$B$140,CT76+CS77-DB76)))</f>
        <v>178</v>
      </c>
      <c r="CU77" s="18">
        <f>CT77*VLOOKUP('Données projet'!$B$13,Paramètres!$A$1:$I$89,3,0)*VLOOKUP('Données projet'!$B$13,Paramètres!$A$1:$I$89,5,0)</f>
        <v>202.7064</v>
      </c>
      <c r="CV77" s="14">
        <f t="shared" si="95"/>
        <v>50.338486442784266</v>
      </c>
      <c r="CW77" s="22">
        <f t="shared" si="67"/>
        <v>440.71984388784927</v>
      </c>
      <c r="CX77" s="62">
        <f t="shared" si="68"/>
        <v>734.05317722118252</v>
      </c>
      <c r="CY77" s="62">
        <f ca="1">AVERAGE(OFFSET($CX$3,0,0,'Données projet'!$E$13+1,1))-AVERAGE(OFFSET($H$3,0,0,'Données projet'!$E$13+1,1))</f>
        <v>399.78832690250164</v>
      </c>
      <c r="CZ77" s="62">
        <f t="shared" si="96"/>
        <v>174.32967064896343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>
        <f>EXP(-LN(2)/35)*DF76+(1-EXP(-LN(2)/35))/(LN(2)/35)*DB77*DC77*VLOOKUP('Données projet'!$B$13,Paramètres!$A$1:$I$89,3,0)*0.475*44/12</f>
        <v>0</v>
      </c>
      <c r="DG77" s="23">
        <f>EXP(-LN(2)/25)*DG76+(1-EXP(-LN(2)/25))/(LN(2)/25)*Calculateur!DB77*Calculateur!DD77*VLOOKUP('Données projet'!$B$13,Paramètres!$A$1:$I$89,3,0)*0.475*44/12</f>
        <v>0</v>
      </c>
      <c r="DH77" s="23">
        <f>EXP(-LN(2)/2)*DH76+(1-EXP(-LN(2)/2))/(LN(2)/2)*DB77*DE77*VLOOKUP('Données projet'!$B$13,Paramètres!$A$1:$I$89,3,0)*0.475*44/12</f>
        <v>0</v>
      </c>
      <c r="DI77" s="24">
        <f t="shared" si="69"/>
        <v>0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6.2</v>
      </c>
      <c r="DO77" s="13">
        <f>IF('Données projet'!$A$166&gt;35,DO76+DN77-DW76,IF(A77&lt;'Données projet'!$A$166,$DL$205^A77,IF(A77='Données projet'!$A$166,'Données projet'!$B$166,DO76+DN77-DW76)))</f>
        <v>245.7999999999999</v>
      </c>
      <c r="DP77" s="18">
        <f>DO77*VLOOKUP('Données projet'!$B$14,Paramètres!$A$1:$I$89,3,0)*VLOOKUP('Données projet'!$B$14,Paramètres!$A$1:$I$89,5,0)</f>
        <v>207.06191999999993</v>
      </c>
      <c r="DQ77" s="14">
        <f t="shared" si="97"/>
        <v>51.293015758902222</v>
      </c>
      <c r="DR77" s="22">
        <f t="shared" si="70"/>
        <v>449.96817978008789</v>
      </c>
      <c r="DS77" s="62">
        <f t="shared" si="71"/>
        <v>743.30151311342115</v>
      </c>
      <c r="DT77" s="62">
        <f ca="1">AVERAGE(OFFSET($DS$3,0,0,'Données projet'!$E$14+1,1))-AVERAGE(OFFSET($H$3,0,0,'Données projet'!$E$14+1,1))</f>
        <v>402.15128814037058</v>
      </c>
      <c r="DU77" s="62">
        <f t="shared" si="98"/>
        <v>232.85411068442738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>
        <f>EXP(-LN(2)/35)*EA76+(1-EXP(-LN(2)/35))/(LN(2)/35)*DW77*DX77*VLOOKUP('Données projet'!$B$14,Paramètres!$A$1:$I$89,3,0)*0.475*44/12</f>
        <v>0</v>
      </c>
      <c r="EB77" s="23">
        <f>EXP(-LN(2)/25)*EB76+(1-EXP(-LN(2)/25))/(LN(2)/25)*Calculateur!DW77*Calculateur!DY77*VLOOKUP('Données projet'!$B$14,Paramètres!$A$1:$I$89,3,0)*0.475*44/12</f>
        <v>0</v>
      </c>
      <c r="EC77" s="23">
        <f>EXP(-LN(2)/2)*EC76+(1-EXP(-LN(2)/2))/(LN(2)/2)*DW77*DZ77*VLOOKUP('Données projet'!$B$14,Paramètres!$A$1:$I$89,3,0)*0.475*44/12</f>
        <v>0</v>
      </c>
      <c r="ED77" s="24">
        <f t="shared" si="72"/>
        <v>0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5.2564102564102653</v>
      </c>
      <c r="EJ77" s="13">
        <f>IF('Données projet'!$A$192&gt;35,EJ76+EI77-ER76,IF(A77&lt;'Données projet'!$A$192,$EG$205^A77,IF(A77='Données projet'!$A$192,'Données projet'!$B$192,EJ76+EI77-ER76)))</f>
        <v>312.05128205128233</v>
      </c>
      <c r="EK77" s="18">
        <f>EJ77*VLOOKUP('Données projet'!$B$15,Paramètres!$A$1:$I$89,3,0)*VLOOKUP('Données projet'!$B$15,Paramètres!$A$1:$I$89,5,0)</f>
        <v>326.15600000000029</v>
      </c>
      <c r="EL77" s="14">
        <f t="shared" si="99"/>
        <v>76.632805249759059</v>
      </c>
      <c r="EM77" s="22">
        <f t="shared" si="73"/>
        <v>701.52383580999742</v>
      </c>
      <c r="EN77" s="62">
        <f t="shared" si="74"/>
        <v>994.85716914333079</v>
      </c>
      <c r="EO77" s="62">
        <f ca="1">AVERAGE(OFFSET($EN$3,0,0,'Données projet'!$E$15+1,1))-AVERAGE(OFFSET($H$3,0,0,'Données projet'!$E$15+1,1))</f>
        <v>595.89992279024398</v>
      </c>
      <c r="EP77" s="62">
        <f t="shared" si="100"/>
        <v>378.16197659288338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>
        <f>EXP(-LN(2)/35)*EV76+(1-EXP(-LN(2)/35))/(LN(2)/35)*ER77*ES77*VLOOKUP('Données projet'!$B$15,Paramètres!$A$1:$I$89,3,0)*0.475*44/12</f>
        <v>0</v>
      </c>
      <c r="EW77" s="23">
        <f>EXP(-LN(2)/25)*EW76+(1-EXP(-LN(2)/25))/(LN(2)/25)*Calculateur!ER77*Calculateur!ET77*VLOOKUP('Données projet'!$B$15,Paramètres!$A$1:$I$89,3,0)*0.475*44/12</f>
        <v>0</v>
      </c>
      <c r="EX77" s="23">
        <f>EXP(-LN(2)/2)*EX76+(1-EXP(-LN(2)/2))/(LN(2)/2)*ER77*EU77*VLOOKUP('Données projet'!$B$15,Paramètres!$A$1:$I$89,3,0)*0.475*44/12</f>
        <v>0</v>
      </c>
      <c r="EY77" s="24">
        <f t="shared" si="75"/>
        <v>0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-2.2737367544323206E-13</v>
      </c>
      <c r="FF77" s="18">
        <f>FE77*VLOOKUP('Données projet'!$B$16,Paramètres!$A$1:$I$89,3,0)*VLOOKUP('Données projet'!$B$16,Paramètres!$A$1:$I$89,5,0)</f>
        <v>-1.3596945791505279E-13</v>
      </c>
      <c r="FG77" s="14" t="e">
        <f t="shared" si="101"/>
        <v>#NUM!</v>
      </c>
      <c r="FH77" s="22" t="e">
        <f t="shared" si="76"/>
        <v>#NUM!</v>
      </c>
      <c r="FI77" s="62" t="e">
        <f t="shared" si="77"/>
        <v>#NUM!</v>
      </c>
      <c r="FJ77" s="62">
        <f ca="1">AVERAGE(OFFSET($FI$3,0,0,'Données projet'!$E$16+1,1))-AVERAGE(OFFSET($H$3,0,0,'Données projet'!$E$16+1,1))</f>
        <v>257.56116197646924</v>
      </c>
      <c r="FK77" s="62">
        <f t="shared" si="102"/>
        <v>269.95556918835888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>
        <f>EXP(-LN(2)/35)*FQ76+(1-EXP(-LN(2)/35))/(LN(2)/35)*FM77*FN77*VLOOKUP('Données projet'!$B$16,Paramètres!$A$1:$I$89,3,0)*0.475*44/12</f>
        <v>6.1004625189259221</v>
      </c>
      <c r="FR77" s="23">
        <f>EXP(-LN(2)/25)*FR76+(1-EXP(-LN(2)/25))/(LN(2)/25)*Calculateur!FM77*Calculateur!FO77*VLOOKUP('Données projet'!$B$16,Paramètres!$A$1:$I$89,3,0)*0.475*44/12</f>
        <v>4.7662126999911303</v>
      </c>
      <c r="FS77" s="23">
        <f>EXP(-LN(2)/2)*FS76+(1-EXP(-LN(2)/2))/(LN(2)/2)*FM77*FP77*VLOOKUP('Données projet'!$B$16,Paramètres!$A$1:$I$89,3,0)*0.475*44/12</f>
        <v>2.039452414983507E-6</v>
      </c>
      <c r="FT77" s="24">
        <f t="shared" si="78"/>
        <v>10.866677258369467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7.5584615384615343</v>
      </c>
      <c r="FZ77" s="13">
        <f>IF('Données projet'!$A$244&gt;35,FZ76+FY77-GH76,IF(A77&lt;'Données projet'!$A$244,$FW$205^A77,IF(A77='Données projet'!$A$244,'Données projet'!$B$244,FZ76+FY77-GH76)))</f>
        <v>357.55692307692283</v>
      </c>
      <c r="GA77" s="18">
        <f>FZ77*VLOOKUP('Données projet'!$B$17,Paramètres!$A$1:$I$89,3,0)*VLOOKUP('Données projet'!$B$17,Paramètres!$A$1:$I$89,5,0)</f>
        <v>213.81903999999986</v>
      </c>
      <c r="GB77" s="14">
        <f t="shared" si="103"/>
        <v>52.769264634128973</v>
      </c>
      <c r="GC77" s="22">
        <f t="shared" si="79"/>
        <v>464.30796390444101</v>
      </c>
      <c r="GD77" s="62">
        <f t="shared" si="80"/>
        <v>757.64129723777432</v>
      </c>
      <c r="GE77" s="62">
        <f ca="1">AVERAGE(OFFSET($GD$3,0,0,'Données projet'!$E$17+1,1))-AVERAGE(OFFSET($H$3,0,0,'Données projet'!$E$17+1,1))</f>
        <v>289.12367833861299</v>
      </c>
      <c r="GF77" s="62">
        <f t="shared" si="104"/>
        <v>229.06617320689003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>
        <f>EXP(-LN(2)/35)*GL76+(1-EXP(-LN(2)/35))/(LN(2)/35)*GH77*GI77*VLOOKUP('Données projet'!$B$17,Paramètres!$A$1:$I$89,3,0)*0.475*44/12</f>
        <v>0</v>
      </c>
      <c r="GM77" s="23">
        <f>EXP(-LN(2)/25)*GM76+(1-EXP(-LN(2)/25))/(LN(2)/25)*Calculateur!GH77*Calculateur!GJ77*VLOOKUP('Données projet'!$B$17,Paramètres!$A$1:$I$89,3,0)*0.475*44/12</f>
        <v>0</v>
      </c>
      <c r="GN77" s="23">
        <f>EXP(-LN(2)/2)*GN76+(1-EXP(-LN(2)/2))/(LN(2)/2)*GH77*GK77*VLOOKUP('Données projet'!$B$17,Paramètres!$A$1:$I$89,3,0)*0.475*44/12</f>
        <v>9.8868252707134473E-7</v>
      </c>
      <c r="GO77" s="23">
        <f t="shared" si="81"/>
        <v>9.8868252707134473E-7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9.4346153846153786</v>
      </c>
      <c r="GU77" s="13">
        <f>IF('Données projet'!$A$270&gt;35,GU76+GT77-HC76,IF(A77&lt;'Données projet'!$A$270,$GR$205^A77,IF(A77='Données projet'!$A$270,'Données projet'!$B$270,GU76+GT77-HC76)))</f>
        <v>273.98076923076928</v>
      </c>
      <c r="GV77" s="18">
        <f>GU77*VLOOKUP('Données projet'!$B$18,Paramètres!$A$1:$I$89,3,0)*VLOOKUP('Données projet'!$B$18,Paramètres!$A$1:$I$89,5,0)</f>
        <v>128.22300000000004</v>
      </c>
      <c r="GW77" s="14">
        <f t="shared" si="105"/>
        <v>33.585418470094481</v>
      </c>
      <c r="GX77" s="22">
        <f t="shared" si="82"/>
        <v>281.81632883541465</v>
      </c>
      <c r="GY77" s="62">
        <f t="shared" si="83"/>
        <v>575.14966216874791</v>
      </c>
      <c r="GZ77" s="62">
        <f ca="1">AVERAGE(OFFSET($GY$3,0,0,'Données projet'!$E$18+1,1))-AVERAGE(OFFSET($H$3,0,0,'Données projet'!$E$18+1,1))</f>
        <v>284.88646502866419</v>
      </c>
      <c r="HA77" s="62">
        <f t="shared" si="106"/>
        <v>190.4880882944471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>
        <f>EXP(-LN(2)/35)*HG76+(1-EXP(-LN(2)/35))/(LN(2)/35)*HC77*HD77*VLOOKUP('Données projet'!$B$18,Paramètres!$A$1:$I$89,3,0)*0.475*44/12</f>
        <v>0</v>
      </c>
      <c r="HH77" s="23">
        <f>EXP(-LN(2)/25)*HH76+(1-EXP(-LN(2)/25))/(LN(2)/25)*Calculateur!HC77*Calculateur!HE77*VLOOKUP('Données projet'!$B$18,Paramètres!$A$1:$I$89,3,0)*0.475*44/12</f>
        <v>0</v>
      </c>
      <c r="HI77" s="23">
        <f>EXP(-LN(2)/2)*HI76+(1-EXP(-LN(2)/2))/(LN(2)/2)*HC77*HF77*VLOOKUP('Données projet'!$B$18,Paramètres!$A$1:$I$89,3,0)*0.475*44/12</f>
        <v>0</v>
      </c>
      <c r="HJ77" s="24">
        <f t="shared" si="84"/>
        <v>0</v>
      </c>
    </row>
    <row r="78" spans="1:218" s="5" customFormat="1" x14ac:dyDescent="0.25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2">
        <f t="shared" si="86"/>
        <v>0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0</v>
      </c>
      <c r="H78" s="70">
        <f t="shared" si="56"/>
        <v>256.66666666666669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>
        <f>VLOOKUP(A78,'Données projet'!$A$35:$I$55,2,0)</f>
        <v>207.69230769230768</v>
      </c>
      <c r="L78" s="13">
        <f>VLOOKUP(A78,'Données projet'!$A$35:$I$55,9,0)</f>
        <v>4.2307692307692264</v>
      </c>
      <c r="M78" s="13">
        <f t="array" ref="M78">INDEX(L:L,MIN(IF(ISNUMBER(L78:L274),ROW(L78:L274),"")))</f>
        <v>4.2307692307692264</v>
      </c>
      <c r="N78" s="14">
        <f>IF('Données projet'!$A$36&gt;35,N77+M78-V77,IF(A78&lt;'Données projet'!$A$36,$K$205^A78,IF(A78='Données projet'!$A$36,'Données projet'!$B$36,N77+M78-V77)))</f>
        <v>207.69230769230762</v>
      </c>
      <c r="O78" s="14">
        <f>N78*VLOOKUP('Données projet'!$B$9,Paramètres!$A$1:$I$89,3,0)*VLOOKUP('Données projet'!$B$9,Paramètres!$A$1:$I$89,5,0)</f>
        <v>197.63999999999993</v>
      </c>
      <c r="P78" s="14">
        <f t="shared" si="87"/>
        <v>49.22515338895078</v>
      </c>
      <c r="Q78" s="22">
        <f t="shared" si="54"/>
        <v>429.95680881908919</v>
      </c>
      <c r="R78" s="62">
        <f t="shared" si="55"/>
        <v>723.2901421524225</v>
      </c>
      <c r="S78" s="62">
        <f ca="1">AVERAGE(OFFSET($R$3,0,0,'Données projet'!$E$9+1,1))-AVERAGE(OFFSET($H$3,0,0,'Données projet'!$E$9+1,1))</f>
        <v>367.11183928586667</v>
      </c>
      <c r="T78" s="62">
        <f t="shared" si="88"/>
        <v>281.52963027844595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0</v>
      </c>
      <c r="AA78" s="23">
        <f>EXP(-LN(2)/25)*AA77+(1-EXP(-LN(2)/25))/(LN(2)/25)*Calculateur!V78*Calculateur!X78*VLOOKUP('Données projet'!$B$9,Paramètres!$A$1:$I$89,3,0)*0.475*44/12</f>
        <v>0</v>
      </c>
      <c r="AB78" s="23">
        <f>EXP(-LN(2)/2)*AB77+(1-EXP(-LN(2)/2))/(LN(2)/2)*V78*Y78*VLOOKUP('Données projet'!$B$9,Paramètres!$A$1:$I$89,3,0)*0.475*44/12</f>
        <v>0</v>
      </c>
      <c r="AC78" s="24">
        <f t="shared" si="57"/>
        <v>0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>
        <f>VLOOKUP(A78,'Données projet'!$A$61:$I$81,2,0)</f>
        <v>252</v>
      </c>
      <c r="AG78" s="13">
        <f>VLOOKUP(A78,'Données projet'!$A$61:$I$81,9,0)</f>
        <v>6.2</v>
      </c>
      <c r="AH78" s="13">
        <f t="array" ref="AH78">INDEX(AG:AG,MIN(IF(ISNUMBER(AG78:AG274),ROW(AG78:AG274),"")))</f>
        <v>6.2</v>
      </c>
      <c r="AI78" s="14">
        <f>IF('Données projet'!$A$62&gt;35,AI77+AH78-AQ77,IF(A78&lt;'Données projet'!$A$62,$AF$205^A78,IF(A78='Données projet'!$A$62,'Données projet'!$B$62,AI77+AH78-AQ77)))</f>
        <v>251.99999999999989</v>
      </c>
      <c r="AJ78" s="14">
        <f>AI78*VLOOKUP('Données projet'!$B$10,Paramètres!$A$1:$I$89,3,0)*VLOOKUP('Données projet'!$B$10,Paramètres!$A$1:$I$89,5,0)</f>
        <v>228.00959999999986</v>
      </c>
      <c r="AK78" s="14">
        <f t="shared" si="89"/>
        <v>55.852093054619779</v>
      </c>
      <c r="AL78" s="22">
        <f t="shared" si="58"/>
        <v>494.39244873679587</v>
      </c>
      <c r="AM78" s="62">
        <f t="shared" si="59"/>
        <v>787.72578207012918</v>
      </c>
      <c r="AN78" s="62">
        <f ca="1">AVERAGE(OFFSET($AM$3,0,0,'Données projet'!$E$10+1,1))-AVERAGE(OFFSET($H$3,0,0,'Données projet'!$E$10+1,1))</f>
        <v>428.8489304403459</v>
      </c>
      <c r="AO78" s="62">
        <f t="shared" si="90"/>
        <v>247.01165577562966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projet'!$B$10,Paramètres!$A$1:$I$89,3,0)*0.475*44/12</f>
        <v>0</v>
      </c>
      <c r="AV78" s="23">
        <f>EXP(-LN(2)/25)*AV77+(1-EXP(-LN(2)/25))/(LN(2)/25)*Calculateur!AQ78*Calculateur!AS78*VLOOKUP('Données projet'!$B$10,Paramètres!$A$1:$I$89,3,0)*0.475*44/12</f>
        <v>0</v>
      </c>
      <c r="AW78" s="23">
        <f>EXP(-LN(2)/2)*AW77+(1-EXP(-LN(2)/2))/(LN(2)/2)*AQ78*AT78*VLOOKUP('Données projet'!$B$10,Paramètres!$A$1:$I$89,3,0)*0.475*44/12</f>
        <v>0</v>
      </c>
      <c r="AX78" s="23">
        <f t="shared" si="60"/>
        <v>0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>
        <f>VLOOKUP(A78,'Données projet'!$A$87:$I$107,2,0)</f>
        <v>252</v>
      </c>
      <c r="BB78" s="13">
        <f>VLOOKUP(A78,'Données projet'!$A$87:$I$107,9,0)</f>
        <v>6.2</v>
      </c>
      <c r="BC78" s="13">
        <f t="array" ref="BC78">INDEX(BB:BB,MIN(IF(ISNUMBER(BB78:BB274),ROW(BB78:BB274),"")))</f>
        <v>6.2</v>
      </c>
      <c r="BD78" s="13">
        <f>IF('Données projet'!$A$88&gt;35,BD77+BC78-BL77,IF(A78&lt;'Données projet'!$A$88,$BA$205^A78,IF(A78='Données projet'!$A$88,'Données projet'!$B$88,BD77+BC78-BL77)))</f>
        <v>251.99999999999989</v>
      </c>
      <c r="BE78" s="14">
        <f>BD78*VLOOKUP('Données projet'!$B$11,Paramètres!$A$1:$I$89,3,0)*VLOOKUP('Données projet'!$B$11,Paramètres!$A$1:$I$89,5,0)</f>
        <v>255.52799999999991</v>
      </c>
      <c r="BF78" s="14">
        <f t="shared" si="91"/>
        <v>61.768167868721477</v>
      </c>
      <c r="BG78" s="22">
        <f t="shared" si="61"/>
        <v>552.62415903802309</v>
      </c>
      <c r="BH78" s="62">
        <f t="shared" si="62"/>
        <v>845.95749237135647</v>
      </c>
      <c r="BI78" s="62">
        <f ca="1">AVERAGE(OFFSET($BH$3,0,0,'Données projet'!$E$11+1,1))-AVERAGE(OFFSET($H$3,0,0,'Données projet'!$E$11+1,1))</f>
        <v>475.47920969424894</v>
      </c>
      <c r="BJ78" s="62">
        <f t="shared" si="92"/>
        <v>271.73544012419364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>
        <f>EXP(-LN(2)/35)*BP77+(1-EXP(-LN(2)/35))/(LN(2)/35)*BL78*BM78*VLOOKUP('Données projet'!$B$11,Paramètres!$A$1:$I$89,3,0)*0.475*44/12</f>
        <v>0</v>
      </c>
      <c r="BQ78" s="23">
        <f>EXP(-LN(2)/25)*BQ77+(1-EXP(-LN(2)/25))/(LN(2)/25)*Calculateur!BL78*Calculateur!BN78*VLOOKUP('Données projet'!$B$11,Paramètres!$A$1:$I$89,3,0)*0.475*44/12</f>
        <v>0</v>
      </c>
      <c r="BR78" s="23">
        <f>EXP(-LN(2)/2)*BR77+(1-EXP(-LN(2)/2))/(LN(2)/2)*BL78*BO78*VLOOKUP('Données projet'!$B$11,Paramètres!$A$1:$I$89,3,0)*0.475*44/12</f>
        <v>0</v>
      </c>
      <c r="BS78" s="24">
        <f t="shared" si="63"/>
        <v>0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2.2737367544323206E-13</v>
      </c>
      <c r="BZ78" s="14">
        <f>BY78*VLOOKUP('Données projet'!$B$12,Paramètres!$A$1:$I$89,3,0)*VLOOKUP('Données projet'!$B$12,Paramètres!$A$1:$I$89,5,0)</f>
        <v>1.2710188457276673E-13</v>
      </c>
      <c r="CA78" s="14">
        <f t="shared" si="93"/>
        <v>1.856866851063998E-12</v>
      </c>
      <c r="CB78" s="22">
        <f t="shared" si="64"/>
        <v>3.4554122145673649E-12</v>
      </c>
      <c r="CC78" s="62">
        <f t="shared" si="65"/>
        <v>293.33333333333678</v>
      </c>
      <c r="CD78" s="62">
        <f ca="1">AVERAGE(OFFSET($CC$3,0,0,'Données projet'!$E$12+1,1))-AVERAGE(OFFSET($H$3,0,0,'Données projet'!$E$12+1,1))</f>
        <v>323.98185264074681</v>
      </c>
      <c r="CE78" s="62">
        <f t="shared" si="94"/>
        <v>301.22207291854005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>
        <f>EXP(-LN(2)/35)*CK77+(1-EXP(-LN(2)/35))/(LN(2)/35)*CG78*CH78*VLOOKUP('Données projet'!$B$12,Paramètres!$A$1:$I$89,3,0)*0.475*44/12</f>
        <v>1.830299852047526</v>
      </c>
      <c r="CL78" s="23">
        <f>EXP(-LN(2)/25)*CL77+(1-EXP(-LN(2)/25))/(LN(2)/25)*Calculateur!CG78*Calculateur!CI78*VLOOKUP('Données projet'!$B$12,Paramètres!$A$1:$I$89,3,0)*0.475*44/12</f>
        <v>2.3684148827195592</v>
      </c>
      <c r="CM78" s="23">
        <f>EXP(-LN(2)/2)*CM77+(1-EXP(-LN(2)/2))/(LN(2)/2)*CG78*CJ78*VLOOKUP('Données projet'!$B$12,Paramètres!$A$1:$I$89,3,0)*0.475*44/12</f>
        <v>1.0263275478515751E-6</v>
      </c>
      <c r="CN78" s="24">
        <f t="shared" si="66"/>
        <v>4.1987157610946335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>
        <f>VLOOKUP(A78,'Données projet'!$A$139:$I$159,2,0)</f>
        <v>183</v>
      </c>
      <c r="CR78" s="13">
        <f>VLOOKUP(A78,'Données projet'!$A$139:$I$159,9,0)</f>
        <v>5</v>
      </c>
      <c r="CS78" s="13">
        <f t="array" ref="CS78">INDEX(CR:CR,MIN(IF(ISNUMBER(CR78:CR274),ROW(CR78:CR274),"")))</f>
        <v>5</v>
      </c>
      <c r="CT78" s="13">
        <f>IF('Données projet'!$A$140&gt;35,CT77+CS78-DB77,IF(A78&lt;'Données projet'!$A$140,$CQ$205^A78,IF(A78='Données projet'!$A$140,'Données projet'!$B$140,CT77+CS78-DB77)))</f>
        <v>183</v>
      </c>
      <c r="CU78" s="18">
        <f>CT78*VLOOKUP('Données projet'!$B$13,Paramètres!$A$1:$I$89,3,0)*VLOOKUP('Données projet'!$B$13,Paramètres!$A$1:$I$89,5,0)</f>
        <v>208.40040000000002</v>
      </c>
      <c r="CV78" s="14">
        <f t="shared" si="95"/>
        <v>51.585877448947251</v>
      </c>
      <c r="CW78" s="22">
        <f t="shared" si="67"/>
        <v>452.80943322358308</v>
      </c>
      <c r="CX78" s="62">
        <f t="shared" si="68"/>
        <v>746.1427665569164</v>
      </c>
      <c r="CY78" s="62">
        <f ca="1">AVERAGE(OFFSET($CX$3,0,0,'Données projet'!$E$13+1,1))-AVERAGE(OFFSET($H$3,0,0,'Données projet'!$E$13+1,1))</f>
        <v>399.78832690250164</v>
      </c>
      <c r="CZ78" s="62">
        <f t="shared" si="96"/>
        <v>174.32967064896343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>
        <f>EXP(-LN(2)/35)*DF77+(1-EXP(-LN(2)/35))/(LN(2)/35)*DB78*DC78*VLOOKUP('Données projet'!$B$13,Paramètres!$A$1:$I$89,3,0)*0.475*44/12</f>
        <v>0</v>
      </c>
      <c r="DG78" s="23">
        <f>EXP(-LN(2)/25)*DG77+(1-EXP(-LN(2)/25))/(LN(2)/25)*Calculateur!DB78*Calculateur!DD78*VLOOKUP('Données projet'!$B$13,Paramètres!$A$1:$I$89,3,0)*0.475*44/12</f>
        <v>0</v>
      </c>
      <c r="DH78" s="23">
        <f>EXP(-LN(2)/2)*DH77+(1-EXP(-LN(2)/2))/(LN(2)/2)*DB78*DE78*VLOOKUP('Données projet'!$B$13,Paramètres!$A$1:$I$89,3,0)*0.475*44/12</f>
        <v>0</v>
      </c>
      <c r="DI78" s="24">
        <f t="shared" si="69"/>
        <v>0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>
        <f>VLOOKUP(A78,'Données projet'!$A$165:$I$185,2,0)</f>
        <v>252</v>
      </c>
      <c r="DM78" s="13">
        <f>VLOOKUP(A78,'Données projet'!$A$165:$I$185,9,0)</f>
        <v>6.2</v>
      </c>
      <c r="DN78" s="13">
        <f t="array" ref="DN78">INDEX(DM:DM,MIN(IF(ISNUMBER(DM78:DM274),ROW(DM78:DM274),"")))</f>
        <v>6.2</v>
      </c>
      <c r="DO78" s="13">
        <f>IF('Données projet'!$A$166&gt;35,DO77+DN78-DW77,IF(A78&lt;'Données projet'!$A$166,$DL$205^A78,IF(A78='Données projet'!$A$166,'Données projet'!$B$166,DO77+DN78-DW77)))</f>
        <v>251.99999999999989</v>
      </c>
      <c r="DP78" s="18">
        <f>DO78*VLOOKUP('Données projet'!$B$14,Paramètres!$A$1:$I$89,3,0)*VLOOKUP('Données projet'!$B$14,Paramètres!$A$1:$I$89,5,0)</f>
        <v>212.28479999999993</v>
      </c>
      <c r="DQ78" s="14">
        <f t="shared" si="97"/>
        <v>52.434557099704143</v>
      </c>
      <c r="DR78" s="22">
        <f t="shared" si="70"/>
        <v>461.05288028198464</v>
      </c>
      <c r="DS78" s="62">
        <f t="shared" si="71"/>
        <v>754.38621361531796</v>
      </c>
      <c r="DT78" s="62">
        <f ca="1">AVERAGE(OFFSET($DS$3,0,0,'Données projet'!$E$14+1,1))-AVERAGE(OFFSET($H$3,0,0,'Données projet'!$E$14+1,1))</f>
        <v>402.15128814037058</v>
      </c>
      <c r="DU78" s="62">
        <f t="shared" si="98"/>
        <v>232.85411068442738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>
        <f>EXP(-LN(2)/35)*EA77+(1-EXP(-LN(2)/35))/(LN(2)/35)*DW78*DX78*VLOOKUP('Données projet'!$B$14,Paramètres!$A$1:$I$89,3,0)*0.475*44/12</f>
        <v>0</v>
      </c>
      <c r="EB78" s="23">
        <f>EXP(-LN(2)/25)*EB77+(1-EXP(-LN(2)/25))/(LN(2)/25)*Calculateur!DW78*Calculateur!DY78*VLOOKUP('Données projet'!$B$14,Paramètres!$A$1:$I$89,3,0)*0.475*44/12</f>
        <v>0</v>
      </c>
      <c r="EC78" s="23">
        <f>EXP(-LN(2)/2)*EC77+(1-EXP(-LN(2)/2))/(LN(2)/2)*DW78*DZ78*VLOOKUP('Données projet'!$B$14,Paramètres!$A$1:$I$89,3,0)*0.475*44/12</f>
        <v>0</v>
      </c>
      <c r="ED78" s="24">
        <f t="shared" si="72"/>
        <v>0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>
        <f>VLOOKUP(A78,'Données projet'!$A$191:$I$211,2,0)</f>
        <v>317.30769230769232</v>
      </c>
      <c r="EH78" s="13">
        <f>VLOOKUP(A78,'Données projet'!$A$191:$I$211,9,0)</f>
        <v>5.2564102564102653</v>
      </c>
      <c r="EI78" s="13">
        <f t="array" ref="EI78">INDEX(EH:EH,MIN(IF(ISNUMBER(EH78:EH274),ROW(EH78:EH274),"")))</f>
        <v>5.2564102564102653</v>
      </c>
      <c r="EJ78" s="13">
        <f>IF('Données projet'!$A$192&gt;35,EJ77+EI78-ER77,IF(A78&lt;'Données projet'!$A$192,$EG$205^A78,IF(A78='Données projet'!$A$192,'Données projet'!$B$192,EJ77+EI78-ER77)))</f>
        <v>317.30769230769261</v>
      </c>
      <c r="EK78" s="18">
        <f>EJ78*VLOOKUP('Données projet'!$B$15,Paramètres!$A$1:$I$89,3,0)*VLOOKUP('Données projet'!$B$15,Paramètres!$A$1:$I$89,5,0)</f>
        <v>331.65000000000038</v>
      </c>
      <c r="EL78" s="14">
        <f t="shared" si="99"/>
        <v>77.772294906297716</v>
      </c>
      <c r="EM78" s="22">
        <f t="shared" si="73"/>
        <v>713.07716362846907</v>
      </c>
      <c r="EN78" s="62">
        <f t="shared" si="74"/>
        <v>1006.4104969618024</v>
      </c>
      <c r="EO78" s="62">
        <f ca="1">AVERAGE(OFFSET($EN$3,0,0,'Données projet'!$E$15+1,1))-AVERAGE(OFFSET($H$3,0,0,'Données projet'!$E$15+1,1))</f>
        <v>595.89992279024398</v>
      </c>
      <c r="EP78" s="62">
        <f t="shared" si="100"/>
        <v>378.16197659288338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>
        <f>EXP(-LN(2)/35)*EV77+(1-EXP(-LN(2)/35))/(LN(2)/35)*ER78*ES78*VLOOKUP('Données projet'!$B$15,Paramètres!$A$1:$I$89,3,0)*0.475*44/12</f>
        <v>0</v>
      </c>
      <c r="EW78" s="23">
        <f>EXP(-LN(2)/25)*EW77+(1-EXP(-LN(2)/25))/(LN(2)/25)*Calculateur!ER78*Calculateur!ET78*VLOOKUP('Données projet'!$B$15,Paramètres!$A$1:$I$89,3,0)*0.475*44/12</f>
        <v>0</v>
      </c>
      <c r="EX78" s="23">
        <f>EXP(-LN(2)/2)*EX77+(1-EXP(-LN(2)/2))/(LN(2)/2)*ER78*EU78*VLOOKUP('Données projet'!$B$15,Paramètres!$A$1:$I$89,3,0)*0.475*44/12</f>
        <v>0</v>
      </c>
      <c r="EY78" s="24">
        <f t="shared" si="75"/>
        <v>0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-2.2737367544323206E-13</v>
      </c>
      <c r="FF78" s="18">
        <f>FE78*VLOOKUP('Données projet'!$B$16,Paramètres!$A$1:$I$89,3,0)*VLOOKUP('Données projet'!$B$16,Paramètres!$A$1:$I$89,5,0)</f>
        <v>-1.3596945791505279E-13</v>
      </c>
      <c r="FG78" s="14" t="e">
        <f t="shared" si="101"/>
        <v>#NUM!</v>
      </c>
      <c r="FH78" s="22" t="e">
        <f t="shared" si="76"/>
        <v>#NUM!</v>
      </c>
      <c r="FI78" s="62" t="e">
        <f t="shared" si="77"/>
        <v>#NUM!</v>
      </c>
      <c r="FJ78" s="62">
        <f ca="1">AVERAGE(OFFSET($FI$3,0,0,'Données projet'!$E$16+1,1))-AVERAGE(OFFSET($H$3,0,0,'Données projet'!$E$16+1,1))</f>
        <v>257.56116197646924</v>
      </c>
      <c r="FK78" s="62">
        <f t="shared" si="102"/>
        <v>269.95556918835888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>
        <f>EXP(-LN(2)/35)*FQ77+(1-EXP(-LN(2)/35))/(LN(2)/35)*FM78*FN78*VLOOKUP('Données projet'!$B$16,Paramètres!$A$1:$I$89,3,0)*0.475*44/12</f>
        <v>5.9808361698445118</v>
      </c>
      <c r="FR78" s="23">
        <f>EXP(-LN(2)/25)*FR77+(1-EXP(-LN(2)/25))/(LN(2)/25)*Calculateur!FM78*Calculateur!FO78*VLOOKUP('Données projet'!$B$16,Paramètres!$A$1:$I$89,3,0)*0.475*44/12</f>
        <v>4.63588036306564</v>
      </c>
      <c r="FS78" s="23">
        <f>EXP(-LN(2)/2)*FS77+(1-EXP(-LN(2)/2))/(LN(2)/2)*FM78*FP78*VLOOKUP('Données projet'!$B$16,Paramètres!$A$1:$I$89,3,0)*0.475*44/12</f>
        <v>1.4421106325421186E-6</v>
      </c>
      <c r="FT78" s="24">
        <f t="shared" si="78"/>
        <v>10.616717975020784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7.5584615384615343</v>
      </c>
      <c r="FZ78" s="13">
        <f>IF('Données projet'!$A$244&gt;35,FZ77+FY78-GH77,IF(A78&lt;'Données projet'!$A$244,$FW$205^A78,IF(A78='Données projet'!$A$244,'Données projet'!$B$244,FZ77+FY78-GH77)))</f>
        <v>365.11538461538436</v>
      </c>
      <c r="GA78" s="18">
        <f>FZ78*VLOOKUP('Données projet'!$B$17,Paramètres!$A$1:$I$89,3,0)*VLOOKUP('Données projet'!$B$17,Paramètres!$A$1:$I$89,5,0)</f>
        <v>218.33899999999988</v>
      </c>
      <c r="GB78" s="14">
        <f t="shared" si="103"/>
        <v>53.753716498326504</v>
      </c>
      <c r="GC78" s="22">
        <f t="shared" si="79"/>
        <v>473.8948145679185</v>
      </c>
      <c r="GD78" s="62">
        <f t="shared" si="80"/>
        <v>767.22814790125176</v>
      </c>
      <c r="GE78" s="62">
        <f ca="1">AVERAGE(OFFSET($GD$3,0,0,'Données projet'!$E$17+1,1))-AVERAGE(OFFSET($H$3,0,0,'Données projet'!$E$17+1,1))</f>
        <v>289.12367833861299</v>
      </c>
      <c r="GF78" s="62">
        <f t="shared" si="104"/>
        <v>229.06617320689003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>
        <f>EXP(-LN(2)/35)*GL77+(1-EXP(-LN(2)/35))/(LN(2)/35)*GH78*GI78*VLOOKUP('Données projet'!$B$17,Paramètres!$A$1:$I$89,3,0)*0.475*44/12</f>
        <v>0</v>
      </c>
      <c r="GM78" s="23">
        <f>EXP(-LN(2)/25)*GM77+(1-EXP(-LN(2)/25))/(LN(2)/25)*Calculateur!GH78*Calculateur!GJ78*VLOOKUP('Données projet'!$B$17,Paramètres!$A$1:$I$89,3,0)*0.475*44/12</f>
        <v>0</v>
      </c>
      <c r="GN78" s="23">
        <f>EXP(-LN(2)/2)*GN77+(1-EXP(-LN(2)/2))/(LN(2)/2)*GH78*GK78*VLOOKUP('Données projet'!$B$17,Paramètres!$A$1:$I$89,3,0)*0.475*44/12</f>
        <v>6.9910411933280022E-7</v>
      </c>
      <c r="GO78" s="23">
        <f t="shared" si="81"/>
        <v>6.9910411933280022E-7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9.4346153846153786</v>
      </c>
      <c r="GU78" s="13">
        <f>IF('Données projet'!$A$270&gt;35,GU77+GT78-HC77,IF(A78&lt;'Données projet'!$A$270,$GR$205^A78,IF(A78='Données projet'!$A$270,'Données projet'!$B$270,GU77+GT78-HC77)))</f>
        <v>283.41538461538465</v>
      </c>
      <c r="GV78" s="18">
        <f>GU78*VLOOKUP('Données projet'!$B$18,Paramètres!$A$1:$I$89,3,0)*VLOOKUP('Données projet'!$B$18,Paramètres!$A$1:$I$89,5,0)</f>
        <v>132.63840000000002</v>
      </c>
      <c r="GW78" s="14">
        <f t="shared" si="105"/>
        <v>34.60530136679548</v>
      </c>
      <c r="GX78" s="22">
        <f t="shared" si="82"/>
        <v>291.28277988050218</v>
      </c>
      <c r="GY78" s="62">
        <f t="shared" si="83"/>
        <v>584.61611321383543</v>
      </c>
      <c r="GZ78" s="62">
        <f ca="1">AVERAGE(OFFSET($GY$3,0,0,'Données projet'!$E$18+1,1))-AVERAGE(OFFSET($H$3,0,0,'Données projet'!$E$18+1,1))</f>
        <v>284.88646502866419</v>
      </c>
      <c r="HA78" s="62">
        <f t="shared" si="106"/>
        <v>190.4880882944471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>
        <f>EXP(-LN(2)/35)*HG77+(1-EXP(-LN(2)/35))/(LN(2)/35)*HC78*HD78*VLOOKUP('Données projet'!$B$18,Paramètres!$A$1:$I$89,3,0)*0.475*44/12</f>
        <v>0</v>
      </c>
      <c r="HH78" s="23">
        <f>EXP(-LN(2)/25)*HH77+(1-EXP(-LN(2)/25))/(LN(2)/25)*Calculateur!HC78*Calculateur!HE78*VLOOKUP('Données projet'!$B$18,Paramètres!$A$1:$I$89,3,0)*0.475*44/12</f>
        <v>0</v>
      </c>
      <c r="HI78" s="23">
        <f>EXP(-LN(2)/2)*HI77+(1-EXP(-LN(2)/2))/(LN(2)/2)*HC78*HF78*VLOOKUP('Données projet'!$B$18,Paramètres!$A$1:$I$89,3,0)*0.475*44/12</f>
        <v>0</v>
      </c>
      <c r="HJ78" s="24">
        <f t="shared" si="84"/>
        <v>0</v>
      </c>
    </row>
    <row r="79" spans="1:218" s="5" customFormat="1" x14ac:dyDescent="0.25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2">
        <f t="shared" si="86"/>
        <v>0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0</v>
      </c>
      <c r="H79" s="70">
        <f t="shared" si="56"/>
        <v>256.66666666666669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3.974358974358978</v>
      </c>
      <c r="N79" s="14">
        <f>IF('Données projet'!$A$36&gt;35,N78+M79-V78,IF(A79&lt;'Données projet'!$A$36,$K$205^A79,IF(A79='Données projet'!$A$36,'Données projet'!$B$36,N78+M79-V78)))</f>
        <v>211.6666666666666</v>
      </c>
      <c r="O79" s="14">
        <f>N79*VLOOKUP('Données projet'!$B$9,Paramètres!$A$1:$I$89,3,0)*VLOOKUP('Données projet'!$B$9,Paramètres!$A$1:$I$89,5,0)</f>
        <v>201.42199999999994</v>
      </c>
      <c r="P79" s="14">
        <f t="shared" si="87"/>
        <v>50.056551308279687</v>
      </c>
      <c r="Q79" s="22">
        <f t="shared" si="54"/>
        <v>437.99181019525372</v>
      </c>
      <c r="R79" s="62">
        <f t="shared" si="55"/>
        <v>731.32514352858698</v>
      </c>
      <c r="S79" s="62">
        <f ca="1">AVERAGE(OFFSET($R$3,0,0,'Données projet'!$E$9+1,1))-AVERAGE(OFFSET($H$3,0,0,'Données projet'!$E$9+1,1))</f>
        <v>367.11183928586667</v>
      </c>
      <c r="T79" s="62">
        <f t="shared" si="88"/>
        <v>281.52963027844595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0</v>
      </c>
      <c r="AA79" s="23">
        <f>EXP(-LN(2)/25)*AA78+(1-EXP(-LN(2)/25))/(LN(2)/25)*Calculateur!V79*Calculateur!X79*VLOOKUP('Données projet'!$B$9,Paramètres!$A$1:$I$89,3,0)*0.475*44/12</f>
        <v>0</v>
      </c>
      <c r="AB79" s="23">
        <f>EXP(-LN(2)/2)*AB78+(1-EXP(-LN(2)/2))/(LN(2)/2)*V79*Y79*VLOOKUP('Données projet'!$B$9,Paramètres!$A$1:$I$89,3,0)*0.475*44/12</f>
        <v>0</v>
      </c>
      <c r="AC79" s="24">
        <f t="shared" si="57"/>
        <v>0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6</v>
      </c>
      <c r="AI79" s="14">
        <f>IF('Données projet'!$A$62&gt;35,AI78+AH79-AQ78,IF(A79&lt;'Données projet'!$A$62,$AF$205^A79,IF(A79='Données projet'!$A$62,'Données projet'!$B$62,AI78+AH79-AQ78)))</f>
        <v>257.99999999999989</v>
      </c>
      <c r="AJ79" s="14">
        <f>AI79*VLOOKUP('Données projet'!$B$10,Paramètres!$A$1:$I$89,3,0)*VLOOKUP('Données projet'!$B$10,Paramètres!$A$1:$I$89,5,0)</f>
        <v>233.43839999999989</v>
      </c>
      <c r="AK79" s="14">
        <f t="shared" si="89"/>
        <v>57.025500710931624</v>
      </c>
      <c r="AL79" s="22">
        <f t="shared" si="58"/>
        <v>505.89129373820577</v>
      </c>
      <c r="AM79" s="62">
        <f t="shared" si="59"/>
        <v>799.22462707153909</v>
      </c>
      <c r="AN79" s="62">
        <f ca="1">AVERAGE(OFFSET($AM$3,0,0,'Données projet'!$E$10+1,1))-AVERAGE(OFFSET($H$3,0,0,'Données projet'!$E$10+1,1))</f>
        <v>428.8489304403459</v>
      </c>
      <c r="AO79" s="62">
        <f t="shared" si="90"/>
        <v>247.01165577562966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0</v>
      </c>
      <c r="AV79" s="23">
        <f>EXP(-LN(2)/25)*AV78+(1-EXP(-LN(2)/25))/(LN(2)/25)*Calculateur!AQ79*Calculateur!AS79*VLOOKUP('Données projet'!$B$10,Paramètres!$A$1:$I$89,3,0)*0.475*44/12</f>
        <v>0</v>
      </c>
      <c r="AW79" s="23">
        <f>EXP(-LN(2)/2)*AW78+(1-EXP(-LN(2)/2))/(LN(2)/2)*AQ79*AT79*VLOOKUP('Données projet'!$B$10,Paramètres!$A$1:$I$89,3,0)*0.475*44/12</f>
        <v>0</v>
      </c>
      <c r="AX79" s="23">
        <f t="shared" si="60"/>
        <v>0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6</v>
      </c>
      <c r="BD79" s="13">
        <f>IF('Données projet'!$A$88&gt;35,BD78+BC79-BL78,IF(A79&lt;'Données projet'!$A$88,$BA$205^A79,IF(A79='Données projet'!$A$88,'Données projet'!$B$88,BD78+BC79-BL78)))</f>
        <v>257.99999999999989</v>
      </c>
      <c r="BE79" s="14">
        <f>BD79*VLOOKUP('Données projet'!$B$11,Paramètres!$A$1:$I$89,3,0)*VLOOKUP('Données projet'!$B$11,Paramètres!$A$1:$I$89,5,0)</f>
        <v>261.61199999999991</v>
      </c>
      <c r="BF79" s="14">
        <f t="shared" si="91"/>
        <v>63.065867509496442</v>
      </c>
      <c r="BG79" s="22">
        <f t="shared" si="61"/>
        <v>565.48061924570618</v>
      </c>
      <c r="BH79" s="62">
        <f t="shared" si="62"/>
        <v>858.81395257903955</v>
      </c>
      <c r="BI79" s="62">
        <f ca="1">AVERAGE(OFFSET($BH$3,0,0,'Données projet'!$E$11+1,1))-AVERAGE(OFFSET($H$3,0,0,'Données projet'!$E$11+1,1))</f>
        <v>475.47920969424894</v>
      </c>
      <c r="BJ79" s="62">
        <f t="shared" si="92"/>
        <v>271.73544012419364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>
        <f>EXP(-LN(2)/35)*BP78+(1-EXP(-LN(2)/35))/(LN(2)/35)*BL79*BM79*VLOOKUP('Données projet'!$B$11,Paramètres!$A$1:$I$89,3,0)*0.475*44/12</f>
        <v>0</v>
      </c>
      <c r="BQ79" s="23">
        <f>EXP(-LN(2)/25)*BQ78+(1-EXP(-LN(2)/25))/(LN(2)/25)*Calculateur!BL79*Calculateur!BN79*VLOOKUP('Données projet'!$B$11,Paramètres!$A$1:$I$89,3,0)*0.475*44/12</f>
        <v>0</v>
      </c>
      <c r="BR79" s="23">
        <f>EXP(-LN(2)/2)*BR78+(1-EXP(-LN(2)/2))/(LN(2)/2)*BL79*BO79*VLOOKUP('Données projet'!$B$11,Paramètres!$A$1:$I$89,3,0)*0.475*44/12</f>
        <v>0</v>
      </c>
      <c r="BS79" s="24">
        <f t="shared" si="63"/>
        <v>0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2.2737367544323206E-13</v>
      </c>
      <c r="BZ79" s="14">
        <f>BY79*VLOOKUP('Données projet'!$B$12,Paramètres!$A$1:$I$89,3,0)*VLOOKUP('Données projet'!$B$12,Paramètres!$A$1:$I$89,5,0)</f>
        <v>1.2710188457276673E-13</v>
      </c>
      <c r="CA79" s="14">
        <f t="shared" si="93"/>
        <v>1.856866851063998E-12</v>
      </c>
      <c r="CB79" s="22">
        <f t="shared" si="64"/>
        <v>3.4554122145673649E-12</v>
      </c>
      <c r="CC79" s="62">
        <f t="shared" si="65"/>
        <v>293.33333333333678</v>
      </c>
      <c r="CD79" s="62">
        <f ca="1">AVERAGE(OFFSET($CC$3,0,0,'Données projet'!$E$12+1,1))-AVERAGE(OFFSET($H$3,0,0,'Données projet'!$E$12+1,1))</f>
        <v>323.98185264074681</v>
      </c>
      <c r="CE79" s="62">
        <f t="shared" si="94"/>
        <v>301.22207291854005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>
        <f>EXP(-LN(2)/35)*CK78+(1-EXP(-LN(2)/35))/(LN(2)/35)*CG79*CH79*VLOOKUP('Données projet'!$B$12,Paramètres!$A$1:$I$89,3,0)*0.475*44/12</f>
        <v>1.7944087883215512</v>
      </c>
      <c r="CL79" s="23">
        <f>EXP(-LN(2)/25)*CL78+(1-EXP(-LN(2)/25))/(LN(2)/25)*Calculateur!CG79*Calculateur!CI79*VLOOKUP('Données projet'!$B$12,Paramètres!$A$1:$I$89,3,0)*0.475*44/12</f>
        <v>2.3036504532020672</v>
      </c>
      <c r="CM79" s="23">
        <f>EXP(-LN(2)/2)*CM78+(1-EXP(-LN(2)/2))/(LN(2)/2)*CG79*CJ79*VLOOKUP('Données projet'!$B$12,Paramètres!$A$1:$I$89,3,0)*0.475*44/12</f>
        <v>7.2572316880440958E-7</v>
      </c>
      <c r="CN79" s="24">
        <f t="shared" si="66"/>
        <v>4.0980599672467868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4.5999999999999996</v>
      </c>
      <c r="CT79" s="13">
        <f>IF('Données projet'!$A$140&gt;35,CT78+CS79-DB78,IF(A79&lt;'Données projet'!$A$140,$CQ$205^A79,IF(A79='Données projet'!$A$140,'Données projet'!$B$140,CT78+CS79-DB78)))</f>
        <v>187.6</v>
      </c>
      <c r="CU79" s="18">
        <f>CT79*VLOOKUP('Données projet'!$B$13,Paramètres!$A$1:$I$89,3,0)*VLOOKUP('Données projet'!$B$13,Paramètres!$A$1:$I$89,5,0)</f>
        <v>213.63887999999997</v>
      </c>
      <c r="CV79" s="14">
        <f t="shared" si="95"/>
        <v>52.729975717788122</v>
      </c>
      <c r="CW79" s="22">
        <f t="shared" si="67"/>
        <v>463.92575704181422</v>
      </c>
      <c r="CX79" s="62">
        <f t="shared" si="68"/>
        <v>757.25909037514748</v>
      </c>
      <c r="CY79" s="62">
        <f ca="1">AVERAGE(OFFSET($CX$3,0,0,'Données projet'!$E$13+1,1))-AVERAGE(OFFSET($H$3,0,0,'Données projet'!$E$13+1,1))</f>
        <v>399.78832690250164</v>
      </c>
      <c r="CZ79" s="62">
        <f t="shared" si="96"/>
        <v>174.32967064896343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>
        <f>EXP(-LN(2)/35)*DF78+(1-EXP(-LN(2)/35))/(LN(2)/35)*DB79*DC79*VLOOKUP('Données projet'!$B$13,Paramètres!$A$1:$I$89,3,0)*0.475*44/12</f>
        <v>0</v>
      </c>
      <c r="DG79" s="23">
        <f>EXP(-LN(2)/25)*DG78+(1-EXP(-LN(2)/25))/(LN(2)/25)*Calculateur!DB79*Calculateur!DD79*VLOOKUP('Données projet'!$B$13,Paramètres!$A$1:$I$89,3,0)*0.475*44/12</f>
        <v>0</v>
      </c>
      <c r="DH79" s="23">
        <f>EXP(-LN(2)/2)*DH78+(1-EXP(-LN(2)/2))/(LN(2)/2)*DB79*DE79*VLOOKUP('Données projet'!$B$13,Paramètres!$A$1:$I$89,3,0)*0.475*44/12</f>
        <v>0</v>
      </c>
      <c r="DI79" s="24">
        <f t="shared" si="69"/>
        <v>0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6</v>
      </c>
      <c r="DO79" s="13">
        <f>IF('Données projet'!$A$166&gt;35,DO78+DN79-DW78,IF(A79&lt;'Données projet'!$A$166,$DL$205^A79,IF(A79='Données projet'!$A$166,'Données projet'!$B$166,DO78+DN79-DW78)))</f>
        <v>257.99999999999989</v>
      </c>
      <c r="DP79" s="18">
        <f>DO79*VLOOKUP('Données projet'!$B$14,Paramètres!$A$1:$I$89,3,0)*VLOOKUP('Données projet'!$B$14,Paramètres!$A$1:$I$89,5,0)</f>
        <v>217.33919999999992</v>
      </c>
      <c r="DQ79" s="14">
        <f t="shared" si="97"/>
        <v>53.536165068020416</v>
      </c>
      <c r="DR79" s="22">
        <f t="shared" si="70"/>
        <v>471.77459416013545</v>
      </c>
      <c r="DS79" s="62">
        <f t="shared" si="71"/>
        <v>765.10792749346876</v>
      </c>
      <c r="DT79" s="62">
        <f ca="1">AVERAGE(OFFSET($DS$3,0,0,'Données projet'!$E$14+1,1))-AVERAGE(OFFSET($H$3,0,0,'Données projet'!$E$14+1,1))</f>
        <v>402.15128814037058</v>
      </c>
      <c r="DU79" s="62">
        <f t="shared" si="98"/>
        <v>232.85411068442738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>
        <f>EXP(-LN(2)/35)*EA78+(1-EXP(-LN(2)/35))/(LN(2)/35)*DW79*DX79*VLOOKUP('Données projet'!$B$14,Paramètres!$A$1:$I$89,3,0)*0.475*44/12</f>
        <v>0</v>
      </c>
      <c r="EB79" s="23">
        <f>EXP(-LN(2)/25)*EB78+(1-EXP(-LN(2)/25))/(LN(2)/25)*Calculateur!DW79*Calculateur!DY79*VLOOKUP('Données projet'!$B$14,Paramètres!$A$1:$I$89,3,0)*0.475*44/12</f>
        <v>0</v>
      </c>
      <c r="EC79" s="23">
        <f>EXP(-LN(2)/2)*EC78+(1-EXP(-LN(2)/2))/(LN(2)/2)*DW79*DZ79*VLOOKUP('Données projet'!$B$14,Paramètres!$A$1:$I$89,3,0)*0.475*44/12</f>
        <v>0</v>
      </c>
      <c r="ED79" s="24">
        <f t="shared" si="72"/>
        <v>0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5</v>
      </c>
      <c r="EJ79" s="13">
        <f>IF('Données projet'!$A$192&gt;35,EJ78+EI79-ER78,IF(A79&lt;'Données projet'!$A$192,$EG$205^A79,IF(A79='Données projet'!$A$192,'Données projet'!$B$192,EJ78+EI79-ER78)))</f>
        <v>322.30769230769261</v>
      </c>
      <c r="EK79" s="18">
        <f>EJ79*VLOOKUP('Données projet'!$B$15,Paramètres!$A$1:$I$89,3,0)*VLOOKUP('Données projet'!$B$15,Paramètres!$A$1:$I$89,5,0)</f>
        <v>336.87600000000037</v>
      </c>
      <c r="EL79" s="14">
        <f t="shared" si="99"/>
        <v>78.854161905252099</v>
      </c>
      <c r="EM79" s="22">
        <f t="shared" si="73"/>
        <v>724.0633653183146</v>
      </c>
      <c r="EN79" s="62">
        <f t="shared" si="74"/>
        <v>1017.396698651648</v>
      </c>
      <c r="EO79" s="62">
        <f ca="1">AVERAGE(OFFSET($EN$3,0,0,'Données projet'!$E$15+1,1))-AVERAGE(OFFSET($H$3,0,0,'Données projet'!$E$15+1,1))</f>
        <v>595.89992279024398</v>
      </c>
      <c r="EP79" s="62">
        <f t="shared" si="100"/>
        <v>378.16197659288338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>
        <f>EXP(-LN(2)/35)*EV78+(1-EXP(-LN(2)/35))/(LN(2)/35)*ER79*ES79*VLOOKUP('Données projet'!$B$15,Paramètres!$A$1:$I$89,3,0)*0.475*44/12</f>
        <v>0</v>
      </c>
      <c r="EW79" s="23">
        <f>EXP(-LN(2)/25)*EW78+(1-EXP(-LN(2)/25))/(LN(2)/25)*Calculateur!ER79*Calculateur!ET79*VLOOKUP('Données projet'!$B$15,Paramètres!$A$1:$I$89,3,0)*0.475*44/12</f>
        <v>0</v>
      </c>
      <c r="EX79" s="23">
        <f>EXP(-LN(2)/2)*EX78+(1-EXP(-LN(2)/2))/(LN(2)/2)*ER79*EU79*VLOOKUP('Données projet'!$B$15,Paramètres!$A$1:$I$89,3,0)*0.475*44/12</f>
        <v>0</v>
      </c>
      <c r="EY79" s="24">
        <f t="shared" si="75"/>
        <v>0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-2.2737367544323206E-13</v>
      </c>
      <c r="FF79" s="18">
        <f>FE79*VLOOKUP('Données projet'!$B$16,Paramètres!$A$1:$I$89,3,0)*VLOOKUP('Données projet'!$B$16,Paramètres!$A$1:$I$89,5,0)</f>
        <v>-1.3596945791505279E-13</v>
      </c>
      <c r="FG79" s="14" t="e">
        <f t="shared" si="101"/>
        <v>#NUM!</v>
      </c>
      <c r="FH79" s="22" t="e">
        <f t="shared" si="76"/>
        <v>#NUM!</v>
      </c>
      <c r="FI79" s="62" t="e">
        <f t="shared" si="77"/>
        <v>#NUM!</v>
      </c>
      <c r="FJ79" s="62">
        <f ca="1">AVERAGE(OFFSET($FI$3,0,0,'Données projet'!$E$16+1,1))-AVERAGE(OFFSET($H$3,0,0,'Données projet'!$E$16+1,1))</f>
        <v>257.56116197646924</v>
      </c>
      <c r="FK79" s="62">
        <f t="shared" si="102"/>
        <v>269.95556918835888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>
        <f>EXP(-LN(2)/35)*FQ78+(1-EXP(-LN(2)/35))/(LN(2)/35)*FM79*FN79*VLOOKUP('Données projet'!$B$16,Paramètres!$A$1:$I$89,3,0)*0.475*44/12</f>
        <v>5.8635556205037194</v>
      </c>
      <c r="FR79" s="23">
        <f>EXP(-LN(2)/25)*FR78+(1-EXP(-LN(2)/25))/(LN(2)/25)*Calculateur!FM79*Calculateur!FO79*VLOOKUP('Données projet'!$B$16,Paramètres!$A$1:$I$89,3,0)*0.475*44/12</f>
        <v>4.5091119707472576</v>
      </c>
      <c r="FS79" s="23">
        <f>EXP(-LN(2)/2)*FS78+(1-EXP(-LN(2)/2))/(LN(2)/2)*FM79*FP79*VLOOKUP('Données projet'!$B$16,Paramètres!$A$1:$I$89,3,0)*0.475*44/12</f>
        <v>1.0197262074917535E-6</v>
      </c>
      <c r="FT79" s="24">
        <f t="shared" si="78"/>
        <v>10.372668610977184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7.5584615384615343</v>
      </c>
      <c r="FZ79" s="13">
        <f>IF('Données projet'!$A$244&gt;35,FZ78+FY79-GH78,IF(A79&lt;'Données projet'!$A$244,$FW$205^A79,IF(A79='Données projet'!$A$244,'Données projet'!$B$244,FZ78+FY79-GH78)))</f>
        <v>372.67384615384589</v>
      </c>
      <c r="GA79" s="18">
        <f>FZ79*VLOOKUP('Données projet'!$B$17,Paramètres!$A$1:$I$89,3,0)*VLOOKUP('Données projet'!$B$17,Paramètres!$A$1:$I$89,5,0)</f>
        <v>222.85895999999985</v>
      </c>
      <c r="GB79" s="14">
        <f t="shared" si="103"/>
        <v>54.735798842493168</v>
      </c>
      <c r="GC79" s="22">
        <f t="shared" si="79"/>
        <v>483.47753831734195</v>
      </c>
      <c r="GD79" s="62">
        <f t="shared" si="80"/>
        <v>776.81087165067527</v>
      </c>
      <c r="GE79" s="62">
        <f ca="1">AVERAGE(OFFSET($GD$3,0,0,'Données projet'!$E$17+1,1))-AVERAGE(OFFSET($H$3,0,0,'Données projet'!$E$17+1,1))</f>
        <v>289.12367833861299</v>
      </c>
      <c r="GF79" s="62">
        <f t="shared" si="104"/>
        <v>229.06617320689003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>
        <f>EXP(-LN(2)/35)*GL78+(1-EXP(-LN(2)/35))/(LN(2)/35)*GH79*GI79*VLOOKUP('Données projet'!$B$17,Paramètres!$A$1:$I$89,3,0)*0.475*44/12</f>
        <v>0</v>
      </c>
      <c r="GM79" s="23">
        <f>EXP(-LN(2)/25)*GM78+(1-EXP(-LN(2)/25))/(LN(2)/25)*Calculateur!GH79*Calculateur!GJ79*VLOOKUP('Données projet'!$B$17,Paramètres!$A$1:$I$89,3,0)*0.475*44/12</f>
        <v>0</v>
      </c>
      <c r="GN79" s="23">
        <f>EXP(-LN(2)/2)*GN78+(1-EXP(-LN(2)/2))/(LN(2)/2)*GH79*GK79*VLOOKUP('Données projet'!$B$17,Paramètres!$A$1:$I$89,3,0)*0.475*44/12</f>
        <v>4.9434126353567236E-7</v>
      </c>
      <c r="GO79" s="23">
        <f t="shared" si="81"/>
        <v>4.9434126353567236E-7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9.4346153846153786</v>
      </c>
      <c r="GU79" s="13">
        <f>IF('Données projet'!$A$270&gt;35,GU78+GT79-HC78,IF(A79&lt;'Données projet'!$A$270,$GR$205^A79,IF(A79='Données projet'!$A$270,'Données projet'!$B$270,GU78+GT79-HC78)))</f>
        <v>292.85000000000002</v>
      </c>
      <c r="GV79" s="18">
        <f>GU79*VLOOKUP('Données projet'!$B$18,Paramètres!$A$1:$I$89,3,0)*VLOOKUP('Données projet'!$B$18,Paramètres!$A$1:$I$89,5,0)</f>
        <v>137.0538</v>
      </c>
      <c r="GW79" s="14">
        <f t="shared" si="105"/>
        <v>35.621239257433281</v>
      </c>
      <c r="GX79" s="22">
        <f t="shared" si="82"/>
        <v>300.74236004002955</v>
      </c>
      <c r="GY79" s="62">
        <f t="shared" si="83"/>
        <v>594.07569337336281</v>
      </c>
      <c r="GZ79" s="62">
        <f ca="1">AVERAGE(OFFSET($GY$3,0,0,'Données projet'!$E$18+1,1))-AVERAGE(OFFSET($H$3,0,0,'Données projet'!$E$18+1,1))</f>
        <v>284.88646502866419</v>
      </c>
      <c r="HA79" s="62">
        <f t="shared" si="106"/>
        <v>190.4880882944471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>
        <f>EXP(-LN(2)/35)*HG78+(1-EXP(-LN(2)/35))/(LN(2)/35)*HC79*HD79*VLOOKUP('Données projet'!$B$18,Paramètres!$A$1:$I$89,3,0)*0.475*44/12</f>
        <v>0</v>
      </c>
      <c r="HH79" s="23">
        <f>EXP(-LN(2)/25)*HH78+(1-EXP(-LN(2)/25))/(LN(2)/25)*Calculateur!HC79*Calculateur!HE79*VLOOKUP('Données projet'!$B$18,Paramètres!$A$1:$I$89,3,0)*0.475*44/12</f>
        <v>0</v>
      </c>
      <c r="HI79" s="23">
        <f>EXP(-LN(2)/2)*HI78+(1-EXP(-LN(2)/2))/(LN(2)/2)*HC79*HF79*VLOOKUP('Données projet'!$B$18,Paramètres!$A$1:$I$89,3,0)*0.475*44/12</f>
        <v>0</v>
      </c>
      <c r="HJ79" s="24">
        <f t="shared" si="84"/>
        <v>0</v>
      </c>
    </row>
    <row r="80" spans="1:218" s="5" customFormat="1" x14ac:dyDescent="0.25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2">
        <f t="shared" si="86"/>
        <v>0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0</v>
      </c>
      <c r="H80" s="70">
        <f t="shared" si="56"/>
        <v>256.66666666666669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3.974358974358978</v>
      </c>
      <c r="N80" s="14">
        <f>IF('Données projet'!$A$36&gt;35,N79+M80-V79,IF(A80&lt;'Données projet'!$A$36,$K$205^A80,IF(A80='Données projet'!$A$36,'Données projet'!$B$36,N79+M80-V79)))</f>
        <v>215.64102564102558</v>
      </c>
      <c r="O80" s="14">
        <f>N80*VLOOKUP('Données projet'!$B$9,Paramètres!$A$1:$I$89,3,0)*VLOOKUP('Données projet'!$B$9,Paramètres!$A$1:$I$89,5,0)</f>
        <v>205.20399999999995</v>
      </c>
      <c r="P80" s="14">
        <f t="shared" si="87"/>
        <v>50.886134008708602</v>
      </c>
      <c r="Q80" s="22">
        <f t="shared" si="54"/>
        <v>446.02365006516737</v>
      </c>
      <c r="R80" s="62">
        <f t="shared" si="55"/>
        <v>739.35698339850069</v>
      </c>
      <c r="S80" s="62">
        <f ca="1">AVERAGE(OFFSET($R$3,0,0,'Données projet'!$E$9+1,1))-AVERAGE(OFFSET($H$3,0,0,'Données projet'!$E$9+1,1))</f>
        <v>367.11183928586667</v>
      </c>
      <c r="T80" s="62">
        <f t="shared" si="88"/>
        <v>281.52963027844595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0</v>
      </c>
      <c r="AA80" s="23">
        <f>EXP(-LN(2)/25)*AA79+(1-EXP(-LN(2)/25))/(LN(2)/25)*Calculateur!V80*Calculateur!X80*VLOOKUP('Données projet'!$B$9,Paramètres!$A$1:$I$89,3,0)*0.475*44/12</f>
        <v>0</v>
      </c>
      <c r="AB80" s="23">
        <f>EXP(-LN(2)/2)*AB79+(1-EXP(-LN(2)/2))/(LN(2)/2)*V80*Y80*VLOOKUP('Données projet'!$B$9,Paramètres!$A$1:$I$89,3,0)*0.475*44/12</f>
        <v>0</v>
      </c>
      <c r="AC80" s="24">
        <f t="shared" si="57"/>
        <v>0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6</v>
      </c>
      <c r="AI80" s="14">
        <f>IF('Données projet'!$A$62&gt;35,AI79+AH80-AQ79,IF(A80&lt;'Données projet'!$A$62,$AF$205^A80,IF(A80='Données projet'!$A$62,'Données projet'!$B$62,AI79+AH80-AQ79)))</f>
        <v>263.99999999999989</v>
      </c>
      <c r="AJ80" s="14">
        <f>AI80*VLOOKUP('Données projet'!$B$10,Paramètres!$A$1:$I$89,3,0)*VLOOKUP('Données projet'!$B$10,Paramètres!$A$1:$I$89,5,0)</f>
        <v>238.86719999999988</v>
      </c>
      <c r="AK80" s="14">
        <f t="shared" si="89"/>
        <v>58.195735973104156</v>
      </c>
      <c r="AL80" s="22">
        <f t="shared" si="58"/>
        <v>517.38461348648957</v>
      </c>
      <c r="AM80" s="62">
        <f t="shared" si="59"/>
        <v>810.71794681982283</v>
      </c>
      <c r="AN80" s="62">
        <f ca="1">AVERAGE(OFFSET($AM$3,0,0,'Données projet'!$E$10+1,1))-AVERAGE(OFFSET($H$3,0,0,'Données projet'!$E$10+1,1))</f>
        <v>428.8489304403459</v>
      </c>
      <c r="AO80" s="62">
        <f t="shared" si="90"/>
        <v>247.01165577562966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0</v>
      </c>
      <c r="AV80" s="23">
        <f>EXP(-LN(2)/25)*AV79+(1-EXP(-LN(2)/25))/(LN(2)/25)*Calculateur!AQ80*Calculateur!AS80*VLOOKUP('Données projet'!$B$10,Paramètres!$A$1:$I$89,3,0)*0.475*44/12</f>
        <v>0</v>
      </c>
      <c r="AW80" s="23">
        <f>EXP(-LN(2)/2)*AW79+(1-EXP(-LN(2)/2))/(LN(2)/2)*AQ80*AT80*VLOOKUP('Données projet'!$B$10,Paramètres!$A$1:$I$89,3,0)*0.475*44/12</f>
        <v>0</v>
      </c>
      <c r="AX80" s="23">
        <f t="shared" si="60"/>
        <v>0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6</v>
      </c>
      <c r="BD80" s="13">
        <f>IF('Données projet'!$A$88&gt;35,BD79+BC80-BL79,IF(A80&lt;'Données projet'!$A$88,$BA$205^A80,IF(A80='Données projet'!$A$88,'Données projet'!$B$88,BD79+BC80-BL79)))</f>
        <v>263.99999999999989</v>
      </c>
      <c r="BE80" s="14">
        <f>BD80*VLOOKUP('Données projet'!$B$11,Paramètres!$A$1:$I$89,3,0)*VLOOKUP('Données projet'!$B$11,Paramètres!$A$1:$I$89,5,0)</f>
        <v>267.69599999999991</v>
      </c>
      <c r="BF80" s="14">
        <f t="shared" si="91"/>
        <v>64.360058723585439</v>
      </c>
      <c r="BG80" s="22">
        <f t="shared" si="61"/>
        <v>578.33096894357777</v>
      </c>
      <c r="BH80" s="62">
        <f t="shared" si="62"/>
        <v>871.66430227691103</v>
      </c>
      <c r="BI80" s="62">
        <f ca="1">AVERAGE(OFFSET($BH$3,0,0,'Données projet'!$E$11+1,1))-AVERAGE(OFFSET($H$3,0,0,'Données projet'!$E$11+1,1))</f>
        <v>475.47920969424894</v>
      </c>
      <c r="BJ80" s="62">
        <f t="shared" si="92"/>
        <v>271.73544012419364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>
        <f>EXP(-LN(2)/35)*BP79+(1-EXP(-LN(2)/35))/(LN(2)/35)*BL80*BM80*VLOOKUP('Données projet'!$B$11,Paramètres!$A$1:$I$89,3,0)*0.475*44/12</f>
        <v>0</v>
      </c>
      <c r="BQ80" s="23">
        <f>EXP(-LN(2)/25)*BQ79+(1-EXP(-LN(2)/25))/(LN(2)/25)*Calculateur!BL80*Calculateur!BN80*VLOOKUP('Données projet'!$B$11,Paramètres!$A$1:$I$89,3,0)*0.475*44/12</f>
        <v>0</v>
      </c>
      <c r="BR80" s="23">
        <f>EXP(-LN(2)/2)*BR79+(1-EXP(-LN(2)/2))/(LN(2)/2)*BL80*BO80*VLOOKUP('Données projet'!$B$11,Paramètres!$A$1:$I$89,3,0)*0.475*44/12</f>
        <v>0</v>
      </c>
      <c r="BS80" s="24">
        <f t="shared" si="63"/>
        <v>0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2.2737367544323206E-13</v>
      </c>
      <c r="BZ80" s="14">
        <f>BY80*VLOOKUP('Données projet'!$B$12,Paramètres!$A$1:$I$89,3,0)*VLOOKUP('Données projet'!$B$12,Paramètres!$A$1:$I$89,5,0)</f>
        <v>1.2710188457276673E-13</v>
      </c>
      <c r="CA80" s="14">
        <f t="shared" si="93"/>
        <v>1.856866851063998E-12</v>
      </c>
      <c r="CB80" s="22">
        <f t="shared" si="64"/>
        <v>3.4554122145673649E-12</v>
      </c>
      <c r="CC80" s="62">
        <f t="shared" si="65"/>
        <v>293.33333333333678</v>
      </c>
      <c r="CD80" s="62">
        <f ca="1">AVERAGE(OFFSET($CC$3,0,0,'Données projet'!$E$12+1,1))-AVERAGE(OFFSET($H$3,0,0,'Données projet'!$E$12+1,1))</f>
        <v>323.98185264074681</v>
      </c>
      <c r="CE80" s="62">
        <f t="shared" si="94"/>
        <v>301.22207291854005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>
        <f>EXP(-LN(2)/35)*CK79+(1-EXP(-LN(2)/35))/(LN(2)/35)*CG80*CH80*VLOOKUP('Données projet'!$B$12,Paramètres!$A$1:$I$89,3,0)*0.475*44/12</f>
        <v>1.7592215264638553</v>
      </c>
      <c r="CL80" s="23">
        <f>EXP(-LN(2)/25)*CL79+(1-EXP(-LN(2)/25))/(LN(2)/25)*Calculateur!CG80*Calculateur!CI80*VLOOKUP('Données projet'!$B$12,Paramètres!$A$1:$I$89,3,0)*0.475*44/12</f>
        <v>2.2406570104155445</v>
      </c>
      <c r="CM80" s="23">
        <f>EXP(-LN(2)/2)*CM79+(1-EXP(-LN(2)/2))/(LN(2)/2)*CG80*CJ80*VLOOKUP('Données projet'!$B$12,Paramètres!$A$1:$I$89,3,0)*0.475*44/12</f>
        <v>5.1316377392578753E-7</v>
      </c>
      <c r="CN80" s="24">
        <f t="shared" si="66"/>
        <v>3.999879050043174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4.5999999999999996</v>
      </c>
      <c r="CT80" s="13">
        <f>IF('Données projet'!$A$140&gt;35,CT79+CS80-DB79,IF(A80&lt;'Données projet'!$A$140,$CQ$205^A80,IF(A80='Données projet'!$A$140,'Données projet'!$B$140,CT79+CS80-DB79)))</f>
        <v>192.2</v>
      </c>
      <c r="CU80" s="18">
        <f>CT80*VLOOKUP('Données projet'!$B$13,Paramètres!$A$1:$I$89,3,0)*VLOOKUP('Données projet'!$B$13,Paramètres!$A$1:$I$89,5,0)</f>
        <v>218.87735999999998</v>
      </c>
      <c r="CV80" s="14">
        <f t="shared" si="95"/>
        <v>53.870812859892503</v>
      </c>
      <c r="CW80" s="22">
        <f t="shared" si="67"/>
        <v>475.03640106431271</v>
      </c>
      <c r="CX80" s="62">
        <f t="shared" si="68"/>
        <v>768.36973439764597</v>
      </c>
      <c r="CY80" s="62">
        <f ca="1">AVERAGE(OFFSET($CX$3,0,0,'Données projet'!$E$13+1,1))-AVERAGE(OFFSET($H$3,0,0,'Données projet'!$E$13+1,1))</f>
        <v>399.78832690250164</v>
      </c>
      <c r="CZ80" s="62">
        <f t="shared" si="96"/>
        <v>174.32967064896343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>
        <f>EXP(-LN(2)/35)*DF79+(1-EXP(-LN(2)/35))/(LN(2)/35)*DB80*DC80*VLOOKUP('Données projet'!$B$13,Paramètres!$A$1:$I$89,3,0)*0.475*44/12</f>
        <v>0</v>
      </c>
      <c r="DG80" s="23">
        <f>EXP(-LN(2)/25)*DG79+(1-EXP(-LN(2)/25))/(LN(2)/25)*Calculateur!DB80*Calculateur!DD80*VLOOKUP('Données projet'!$B$13,Paramètres!$A$1:$I$89,3,0)*0.475*44/12</f>
        <v>0</v>
      </c>
      <c r="DH80" s="23">
        <f>EXP(-LN(2)/2)*DH79+(1-EXP(-LN(2)/2))/(LN(2)/2)*DB80*DE80*VLOOKUP('Données projet'!$B$13,Paramètres!$A$1:$I$89,3,0)*0.475*44/12</f>
        <v>0</v>
      </c>
      <c r="DI80" s="24">
        <f t="shared" si="69"/>
        <v>0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6</v>
      </c>
      <c r="DO80" s="13">
        <f>IF('Données projet'!$A$166&gt;35,DO79+DN80-DW79,IF(A80&lt;'Données projet'!$A$166,$DL$205^A80,IF(A80='Données projet'!$A$166,'Données projet'!$B$166,DO79+DN80-DW79)))</f>
        <v>263.99999999999989</v>
      </c>
      <c r="DP80" s="18">
        <f>DO80*VLOOKUP('Données projet'!$B$14,Paramètres!$A$1:$I$89,3,0)*VLOOKUP('Données projet'!$B$14,Paramètres!$A$1:$I$89,5,0)</f>
        <v>222.39359999999994</v>
      </c>
      <c r="DQ80" s="14">
        <f t="shared" si="97"/>
        <v>54.634794757949287</v>
      </c>
      <c r="DR80" s="22">
        <f t="shared" si="70"/>
        <v>482.4911208700949</v>
      </c>
      <c r="DS80" s="62">
        <f t="shared" si="71"/>
        <v>775.82445420342822</v>
      </c>
      <c r="DT80" s="62">
        <f ca="1">AVERAGE(OFFSET($DS$3,0,0,'Données projet'!$E$14+1,1))-AVERAGE(OFFSET($H$3,0,0,'Données projet'!$E$14+1,1))</f>
        <v>402.15128814037058</v>
      </c>
      <c r="DU80" s="62">
        <f t="shared" si="98"/>
        <v>232.85411068442738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>
        <f>EXP(-LN(2)/35)*EA79+(1-EXP(-LN(2)/35))/(LN(2)/35)*DW80*DX80*VLOOKUP('Données projet'!$B$14,Paramètres!$A$1:$I$89,3,0)*0.475*44/12</f>
        <v>0</v>
      </c>
      <c r="EB80" s="23">
        <f>EXP(-LN(2)/25)*EB79+(1-EXP(-LN(2)/25))/(LN(2)/25)*Calculateur!DW80*Calculateur!DY80*VLOOKUP('Données projet'!$B$14,Paramètres!$A$1:$I$89,3,0)*0.475*44/12</f>
        <v>0</v>
      </c>
      <c r="EC80" s="23">
        <f>EXP(-LN(2)/2)*EC79+(1-EXP(-LN(2)/2))/(LN(2)/2)*DW80*DZ80*VLOOKUP('Données projet'!$B$14,Paramètres!$A$1:$I$89,3,0)*0.475*44/12</f>
        <v>0</v>
      </c>
      <c r="ED80" s="24">
        <f t="shared" si="72"/>
        <v>0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5</v>
      </c>
      <c r="EJ80" s="13">
        <f>IF('Données projet'!$A$192&gt;35,EJ79+EI80-ER79,IF(A80&lt;'Données projet'!$A$192,$EG$205^A80,IF(A80='Données projet'!$A$192,'Données projet'!$B$192,EJ79+EI80-ER79)))</f>
        <v>327.30769230769261</v>
      </c>
      <c r="EK80" s="18">
        <f>EJ80*VLOOKUP('Données projet'!$B$15,Paramètres!$A$1:$I$89,3,0)*VLOOKUP('Données projet'!$B$15,Paramètres!$A$1:$I$89,5,0)</f>
        <v>342.10200000000032</v>
      </c>
      <c r="EL80" s="14">
        <f t="shared" si="99"/>
        <v>79.934077026716892</v>
      </c>
      <c r="EM80" s="22">
        <f t="shared" si="73"/>
        <v>735.04616748819899</v>
      </c>
      <c r="EN80" s="62">
        <f t="shared" si="74"/>
        <v>1028.3795008215322</v>
      </c>
      <c r="EO80" s="62">
        <f ca="1">AVERAGE(OFFSET($EN$3,0,0,'Données projet'!$E$15+1,1))-AVERAGE(OFFSET($H$3,0,0,'Données projet'!$E$15+1,1))</f>
        <v>595.89992279024398</v>
      </c>
      <c r="EP80" s="62">
        <f t="shared" si="100"/>
        <v>378.16197659288338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>
        <f>EXP(-LN(2)/35)*EV79+(1-EXP(-LN(2)/35))/(LN(2)/35)*ER80*ES80*VLOOKUP('Données projet'!$B$15,Paramètres!$A$1:$I$89,3,0)*0.475*44/12</f>
        <v>0</v>
      </c>
      <c r="EW80" s="23">
        <f>EXP(-LN(2)/25)*EW79+(1-EXP(-LN(2)/25))/(LN(2)/25)*Calculateur!ER80*Calculateur!ET80*VLOOKUP('Données projet'!$B$15,Paramètres!$A$1:$I$89,3,0)*0.475*44/12</f>
        <v>0</v>
      </c>
      <c r="EX80" s="23">
        <f>EXP(-LN(2)/2)*EX79+(1-EXP(-LN(2)/2))/(LN(2)/2)*ER80*EU80*VLOOKUP('Données projet'!$B$15,Paramètres!$A$1:$I$89,3,0)*0.475*44/12</f>
        <v>0</v>
      </c>
      <c r="EY80" s="24">
        <f t="shared" si="75"/>
        <v>0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-2.2737367544323206E-13</v>
      </c>
      <c r="FF80" s="18">
        <f>FE80*VLOOKUP('Données projet'!$B$16,Paramètres!$A$1:$I$89,3,0)*VLOOKUP('Données projet'!$B$16,Paramètres!$A$1:$I$89,5,0)</f>
        <v>-1.3596945791505279E-13</v>
      </c>
      <c r="FG80" s="14" t="e">
        <f t="shared" si="101"/>
        <v>#NUM!</v>
      </c>
      <c r="FH80" s="22" t="e">
        <f t="shared" si="76"/>
        <v>#NUM!</v>
      </c>
      <c r="FI80" s="62" t="e">
        <f t="shared" si="77"/>
        <v>#NUM!</v>
      </c>
      <c r="FJ80" s="62">
        <f ca="1">AVERAGE(OFFSET($FI$3,0,0,'Données projet'!$E$16+1,1))-AVERAGE(OFFSET($H$3,0,0,'Données projet'!$E$16+1,1))</f>
        <v>257.56116197646924</v>
      </c>
      <c r="FK80" s="62">
        <f t="shared" si="102"/>
        <v>269.95556918835888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>
        <f>EXP(-LN(2)/35)*FQ79+(1-EXP(-LN(2)/35))/(LN(2)/35)*FM80*FN80*VLOOKUP('Données projet'!$B$16,Paramètres!$A$1:$I$89,3,0)*0.475*44/12</f>
        <v>5.748574871201428</v>
      </c>
      <c r="FR80" s="23">
        <f>EXP(-LN(2)/25)*FR79+(1-EXP(-LN(2)/25))/(LN(2)/25)*Calculateur!FM80*Calculateur!FO80*VLOOKUP('Données projet'!$B$16,Paramètres!$A$1:$I$89,3,0)*0.475*44/12</f>
        <v>4.3858100667832813</v>
      </c>
      <c r="FS80" s="23">
        <f>EXP(-LN(2)/2)*FS79+(1-EXP(-LN(2)/2))/(LN(2)/2)*FM80*FP80*VLOOKUP('Données projet'!$B$16,Paramètres!$A$1:$I$89,3,0)*0.475*44/12</f>
        <v>7.2105531627105931E-7</v>
      </c>
      <c r="FT80" s="24">
        <f t="shared" si="78"/>
        <v>10.134385659040026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7.5584615384615343</v>
      </c>
      <c r="FZ80" s="13">
        <f>IF('Données projet'!$A$244&gt;35,FZ79+FY80-GH79,IF(A80&lt;'Données projet'!$A$244,$FW$205^A80,IF(A80='Données projet'!$A$244,'Données projet'!$B$244,FZ79+FY80-GH79)))</f>
        <v>380.23230769230742</v>
      </c>
      <c r="GA80" s="18">
        <f>FZ80*VLOOKUP('Données projet'!$B$17,Paramètres!$A$1:$I$89,3,0)*VLOOKUP('Données projet'!$B$17,Paramètres!$A$1:$I$89,5,0)</f>
        <v>227.37891999999985</v>
      </c>
      <c r="GB80" s="14">
        <f t="shared" si="103"/>
        <v>55.715565262615499</v>
      </c>
      <c r="GC80" s="22">
        <f t="shared" si="79"/>
        <v>493.05622849905507</v>
      </c>
      <c r="GD80" s="62">
        <f t="shared" si="80"/>
        <v>786.38956183238838</v>
      </c>
      <c r="GE80" s="62">
        <f ca="1">AVERAGE(OFFSET($GD$3,0,0,'Données projet'!$E$17+1,1))-AVERAGE(OFFSET($H$3,0,0,'Données projet'!$E$17+1,1))</f>
        <v>289.12367833861299</v>
      </c>
      <c r="GF80" s="62">
        <f t="shared" si="104"/>
        <v>229.06617320689003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>
        <f>EXP(-LN(2)/35)*GL79+(1-EXP(-LN(2)/35))/(LN(2)/35)*GH80*GI80*VLOOKUP('Données projet'!$B$17,Paramètres!$A$1:$I$89,3,0)*0.475*44/12</f>
        <v>0</v>
      </c>
      <c r="GM80" s="23">
        <f>EXP(-LN(2)/25)*GM79+(1-EXP(-LN(2)/25))/(LN(2)/25)*Calculateur!GH80*Calculateur!GJ80*VLOOKUP('Données projet'!$B$17,Paramètres!$A$1:$I$89,3,0)*0.475*44/12</f>
        <v>0</v>
      </c>
      <c r="GN80" s="23">
        <f>EXP(-LN(2)/2)*GN79+(1-EXP(-LN(2)/2))/(LN(2)/2)*GH80*GK80*VLOOKUP('Données projet'!$B$17,Paramètres!$A$1:$I$89,3,0)*0.475*44/12</f>
        <v>3.4955205966640011E-7</v>
      </c>
      <c r="GO80" s="23">
        <f t="shared" si="81"/>
        <v>3.4955205966640011E-7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9.4346153846153786</v>
      </c>
      <c r="GU80" s="13">
        <f>IF('Données projet'!$A$270&gt;35,GU79+GT80-HC79,IF(A80&lt;'Données projet'!$A$270,$GR$205^A80,IF(A80='Données projet'!$A$270,'Données projet'!$B$270,GU79+GT80-HC79)))</f>
        <v>302.28461538461539</v>
      </c>
      <c r="GV80" s="18">
        <f>GU80*VLOOKUP('Données projet'!$B$18,Paramètres!$A$1:$I$89,3,0)*VLOOKUP('Données projet'!$B$18,Paramètres!$A$1:$I$89,5,0)</f>
        <v>141.4692</v>
      </c>
      <c r="GW80" s="14">
        <f t="shared" si="105"/>
        <v>36.633373814313742</v>
      </c>
      <c r="GX80" s="22">
        <f t="shared" si="82"/>
        <v>310.19531605992978</v>
      </c>
      <c r="GY80" s="62">
        <f t="shared" si="83"/>
        <v>603.52864939326309</v>
      </c>
      <c r="GZ80" s="62">
        <f ca="1">AVERAGE(OFFSET($GY$3,0,0,'Données projet'!$E$18+1,1))-AVERAGE(OFFSET($H$3,0,0,'Données projet'!$E$18+1,1))</f>
        <v>284.88646502866419</v>
      </c>
      <c r="HA80" s="62">
        <f t="shared" si="106"/>
        <v>190.4880882944471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>
        <f>EXP(-LN(2)/35)*HG79+(1-EXP(-LN(2)/35))/(LN(2)/35)*HC80*HD80*VLOOKUP('Données projet'!$B$18,Paramètres!$A$1:$I$89,3,0)*0.475*44/12</f>
        <v>0</v>
      </c>
      <c r="HH80" s="23">
        <f>EXP(-LN(2)/25)*HH79+(1-EXP(-LN(2)/25))/(LN(2)/25)*Calculateur!HC80*Calculateur!HE80*VLOOKUP('Données projet'!$B$18,Paramètres!$A$1:$I$89,3,0)*0.475*44/12</f>
        <v>0</v>
      </c>
      <c r="HI80" s="23">
        <f>EXP(-LN(2)/2)*HI79+(1-EXP(-LN(2)/2))/(LN(2)/2)*HC80*HF80*VLOOKUP('Données projet'!$B$18,Paramètres!$A$1:$I$89,3,0)*0.475*44/12</f>
        <v>0</v>
      </c>
      <c r="HJ80" s="24">
        <f t="shared" si="84"/>
        <v>0</v>
      </c>
    </row>
    <row r="81" spans="1:218" s="5" customFormat="1" x14ac:dyDescent="0.25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2">
        <f t="shared" si="86"/>
        <v>0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0</v>
      </c>
      <c r="H81" s="70">
        <f t="shared" si="56"/>
        <v>256.66666666666669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3.974358974358978</v>
      </c>
      <c r="N81" s="14">
        <f>IF('Données projet'!$A$36&gt;35,N80+M81-V80,IF(A81&lt;'Données projet'!$A$36,$K$205^A81,IF(A81='Données projet'!$A$36,'Données projet'!$B$36,N80+M81-V80)))</f>
        <v>219.61538461538456</v>
      </c>
      <c r="O81" s="14">
        <f>N81*VLOOKUP('Données projet'!$B$9,Paramètres!$A$1:$I$89,3,0)*VLOOKUP('Données projet'!$B$9,Paramètres!$A$1:$I$89,5,0)</f>
        <v>208.98599999999996</v>
      </c>
      <c r="P81" s="14">
        <f t="shared" si="87"/>
        <v>51.713938803941488</v>
      </c>
      <c r="Q81" s="22">
        <f t="shared" si="54"/>
        <v>454.05239341686462</v>
      </c>
      <c r="R81" s="62">
        <f t="shared" si="55"/>
        <v>747.38572675019793</v>
      </c>
      <c r="S81" s="62">
        <f ca="1">AVERAGE(OFFSET($R$3,0,0,'Données projet'!$E$9+1,1))-AVERAGE(OFFSET($H$3,0,0,'Données projet'!$E$9+1,1))</f>
        <v>367.11183928586667</v>
      </c>
      <c r="T81" s="62">
        <f t="shared" si="88"/>
        <v>281.52963027844595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0</v>
      </c>
      <c r="AA81" s="23">
        <f>EXP(-LN(2)/25)*AA80+(1-EXP(-LN(2)/25))/(LN(2)/25)*Calculateur!V81*Calculateur!X81*VLOOKUP('Données projet'!$B$9,Paramètres!$A$1:$I$89,3,0)*0.475*44/12</f>
        <v>0</v>
      </c>
      <c r="AB81" s="23">
        <f>EXP(-LN(2)/2)*AB80+(1-EXP(-LN(2)/2))/(LN(2)/2)*V81*Y81*VLOOKUP('Données projet'!$B$9,Paramètres!$A$1:$I$89,3,0)*0.475*44/12</f>
        <v>0</v>
      </c>
      <c r="AC81" s="24">
        <f t="shared" si="57"/>
        <v>0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6</v>
      </c>
      <c r="AI81" s="14">
        <f>IF('Données projet'!$A$62&gt;35,AI80+AH81-AQ80,IF(A81&lt;'Données projet'!$A$62,$AF$205^A81,IF(A81='Données projet'!$A$62,'Données projet'!$B$62,AI80+AH81-AQ80)))</f>
        <v>269.99999999999989</v>
      </c>
      <c r="AJ81" s="14">
        <f>AI81*VLOOKUP('Données projet'!$B$10,Paramètres!$A$1:$I$89,3,0)*VLOOKUP('Données projet'!$B$10,Paramètres!$A$1:$I$89,5,0)</f>
        <v>244.29599999999991</v>
      </c>
      <c r="AK81" s="14">
        <f t="shared" si="89"/>
        <v>59.362879241040318</v>
      </c>
      <c r="AL81" s="22">
        <f t="shared" si="58"/>
        <v>528.87254801147833</v>
      </c>
      <c r="AM81" s="62">
        <f t="shared" si="59"/>
        <v>822.20588134481159</v>
      </c>
      <c r="AN81" s="62">
        <f ca="1">AVERAGE(OFFSET($AM$3,0,0,'Données projet'!$E$10+1,1))-AVERAGE(OFFSET($H$3,0,0,'Données projet'!$E$10+1,1))</f>
        <v>428.8489304403459</v>
      </c>
      <c r="AO81" s="62">
        <f t="shared" si="90"/>
        <v>247.01165577562966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0</v>
      </c>
      <c r="AV81" s="23">
        <f>EXP(-LN(2)/25)*AV80+(1-EXP(-LN(2)/25))/(LN(2)/25)*Calculateur!AQ81*Calculateur!AS81*VLOOKUP('Données projet'!$B$10,Paramètres!$A$1:$I$89,3,0)*0.475*44/12</f>
        <v>0</v>
      </c>
      <c r="AW81" s="23">
        <f>EXP(-LN(2)/2)*AW80+(1-EXP(-LN(2)/2))/(LN(2)/2)*AQ81*AT81*VLOOKUP('Données projet'!$B$10,Paramètres!$A$1:$I$89,3,0)*0.475*44/12</f>
        <v>0</v>
      </c>
      <c r="AX81" s="23">
        <f t="shared" si="60"/>
        <v>0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6</v>
      </c>
      <c r="BD81" s="13">
        <f>IF('Données projet'!$A$88&gt;35,BD80+BC81-BL80,IF(A81&lt;'Données projet'!$A$88,$BA$205^A81,IF(A81='Données projet'!$A$88,'Données projet'!$B$88,BD80+BC81-BL80)))</f>
        <v>269.99999999999989</v>
      </c>
      <c r="BE81" s="14">
        <f>BD81*VLOOKUP('Données projet'!$B$11,Paramètres!$A$1:$I$89,3,0)*VLOOKUP('Données projet'!$B$11,Paramètres!$A$1:$I$89,5,0)</f>
        <v>273.77999999999992</v>
      </c>
      <c r="BF81" s="14">
        <f t="shared" si="91"/>
        <v>65.650830427167435</v>
      </c>
      <c r="BG81" s="22">
        <f t="shared" si="61"/>
        <v>591.17536299398307</v>
      </c>
      <c r="BH81" s="62">
        <f t="shared" si="62"/>
        <v>884.50869632731633</v>
      </c>
      <c r="BI81" s="62">
        <f ca="1">AVERAGE(OFFSET($BH$3,0,0,'Données projet'!$E$11+1,1))-AVERAGE(OFFSET($H$3,0,0,'Données projet'!$E$11+1,1))</f>
        <v>475.47920969424894</v>
      </c>
      <c r="BJ81" s="62">
        <f t="shared" si="92"/>
        <v>271.73544012419364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>
        <f>EXP(-LN(2)/35)*BP80+(1-EXP(-LN(2)/35))/(LN(2)/35)*BL81*BM81*VLOOKUP('Données projet'!$B$11,Paramètres!$A$1:$I$89,3,0)*0.475*44/12</f>
        <v>0</v>
      </c>
      <c r="BQ81" s="23">
        <f>EXP(-LN(2)/25)*BQ80+(1-EXP(-LN(2)/25))/(LN(2)/25)*Calculateur!BL81*Calculateur!BN81*VLOOKUP('Données projet'!$B$11,Paramètres!$A$1:$I$89,3,0)*0.475*44/12</f>
        <v>0</v>
      </c>
      <c r="BR81" s="23">
        <f>EXP(-LN(2)/2)*BR80+(1-EXP(-LN(2)/2))/(LN(2)/2)*BL81*BO81*VLOOKUP('Données projet'!$B$11,Paramètres!$A$1:$I$89,3,0)*0.475*44/12</f>
        <v>0</v>
      </c>
      <c r="BS81" s="24">
        <f t="shared" si="63"/>
        <v>0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2.2737367544323206E-13</v>
      </c>
      <c r="BZ81" s="14">
        <f>BY81*VLOOKUP('Données projet'!$B$12,Paramètres!$A$1:$I$89,3,0)*VLOOKUP('Données projet'!$B$12,Paramètres!$A$1:$I$89,5,0)</f>
        <v>1.2710188457276673E-13</v>
      </c>
      <c r="CA81" s="14">
        <f t="shared" si="93"/>
        <v>1.856866851063998E-12</v>
      </c>
      <c r="CB81" s="22">
        <f t="shared" si="64"/>
        <v>3.4554122145673649E-12</v>
      </c>
      <c r="CC81" s="62">
        <f t="shared" si="65"/>
        <v>293.33333333333678</v>
      </c>
      <c r="CD81" s="62">
        <f ca="1">AVERAGE(OFFSET($CC$3,0,0,'Données projet'!$E$12+1,1))-AVERAGE(OFFSET($H$3,0,0,'Données projet'!$E$12+1,1))</f>
        <v>323.98185264074681</v>
      </c>
      <c r="CE81" s="62">
        <f t="shared" si="94"/>
        <v>301.22207291854005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>
        <f>EXP(-LN(2)/35)*CK80+(1-EXP(-LN(2)/35))/(LN(2)/35)*CG81*CH81*VLOOKUP('Données projet'!$B$12,Paramètres!$A$1:$I$89,3,0)*0.475*44/12</f>
        <v>1.7247242653490784</v>
      </c>
      <c r="CL81" s="23">
        <f>EXP(-LN(2)/25)*CL80+(1-EXP(-LN(2)/25))/(LN(2)/25)*Calculateur!CG81*Calculateur!CI81*VLOOKUP('Données projet'!$B$12,Paramètres!$A$1:$I$89,3,0)*0.475*44/12</f>
        <v>2.1793861266347005</v>
      </c>
      <c r="CM81" s="23">
        <f>EXP(-LN(2)/2)*CM80+(1-EXP(-LN(2)/2))/(LN(2)/2)*CG81*CJ81*VLOOKUP('Données projet'!$B$12,Paramètres!$A$1:$I$89,3,0)*0.475*44/12</f>
        <v>3.6286158440220479E-7</v>
      </c>
      <c r="CN81" s="24">
        <f t="shared" si="66"/>
        <v>3.9041107548453633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4.5999999999999996</v>
      </c>
      <c r="CT81" s="13">
        <f>IF('Données projet'!$A$140&gt;35,CT80+CS81-DB80,IF(A81&lt;'Données projet'!$A$140,$CQ$205^A81,IF(A81='Données projet'!$A$140,'Données projet'!$B$140,CT80+CS81-DB80)))</f>
        <v>196.79999999999998</v>
      </c>
      <c r="CU81" s="18">
        <f>CT81*VLOOKUP('Données projet'!$B$13,Paramètres!$A$1:$I$89,3,0)*VLOOKUP('Données projet'!$B$13,Paramètres!$A$1:$I$89,5,0)</f>
        <v>224.11583999999999</v>
      </c>
      <c r="CV81" s="14">
        <f t="shared" si="95"/>
        <v>55.008475905663786</v>
      </c>
      <c r="CW81" s="22">
        <f t="shared" si="67"/>
        <v>486.14151686903102</v>
      </c>
      <c r="CX81" s="62">
        <f t="shared" si="68"/>
        <v>779.47485020236434</v>
      </c>
      <c r="CY81" s="62">
        <f ca="1">AVERAGE(OFFSET($CX$3,0,0,'Données projet'!$E$13+1,1))-AVERAGE(OFFSET($H$3,0,0,'Données projet'!$E$13+1,1))</f>
        <v>399.78832690250164</v>
      </c>
      <c r="CZ81" s="62">
        <f t="shared" si="96"/>
        <v>174.32967064896343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>
        <f>EXP(-LN(2)/35)*DF80+(1-EXP(-LN(2)/35))/(LN(2)/35)*DB81*DC81*VLOOKUP('Données projet'!$B$13,Paramètres!$A$1:$I$89,3,0)*0.475*44/12</f>
        <v>0</v>
      </c>
      <c r="DG81" s="23">
        <f>EXP(-LN(2)/25)*DG80+(1-EXP(-LN(2)/25))/(LN(2)/25)*Calculateur!DB81*Calculateur!DD81*VLOOKUP('Données projet'!$B$13,Paramètres!$A$1:$I$89,3,0)*0.475*44/12</f>
        <v>0</v>
      </c>
      <c r="DH81" s="23">
        <f>EXP(-LN(2)/2)*DH80+(1-EXP(-LN(2)/2))/(LN(2)/2)*DB81*DE81*VLOOKUP('Données projet'!$B$13,Paramètres!$A$1:$I$89,3,0)*0.475*44/12</f>
        <v>0</v>
      </c>
      <c r="DI81" s="24">
        <f t="shared" si="69"/>
        <v>0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6</v>
      </c>
      <c r="DO81" s="13">
        <f>IF('Données projet'!$A$166&gt;35,DO80+DN81-DW80,IF(A81&lt;'Données projet'!$A$166,$DL$205^A81,IF(A81='Données projet'!$A$166,'Données projet'!$B$166,DO80+DN81-DW80)))</f>
        <v>269.99999999999989</v>
      </c>
      <c r="DP81" s="18">
        <f>DO81*VLOOKUP('Données projet'!$B$14,Paramètres!$A$1:$I$89,3,0)*VLOOKUP('Données projet'!$B$14,Paramètres!$A$1:$I$89,5,0)</f>
        <v>227.44799999999995</v>
      </c>
      <c r="DQ81" s="14">
        <f t="shared" si="97"/>
        <v>55.730521649800686</v>
      </c>
      <c r="DR81" s="22">
        <f t="shared" si="70"/>
        <v>493.20259187340275</v>
      </c>
      <c r="DS81" s="62">
        <f t="shared" si="71"/>
        <v>786.53592520673601</v>
      </c>
      <c r="DT81" s="62">
        <f ca="1">AVERAGE(OFFSET($DS$3,0,0,'Données projet'!$E$14+1,1))-AVERAGE(OFFSET($H$3,0,0,'Données projet'!$E$14+1,1))</f>
        <v>402.15128814037058</v>
      </c>
      <c r="DU81" s="62">
        <f t="shared" si="98"/>
        <v>232.85411068442738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>
        <f>EXP(-LN(2)/35)*EA80+(1-EXP(-LN(2)/35))/(LN(2)/35)*DW81*DX81*VLOOKUP('Données projet'!$B$14,Paramètres!$A$1:$I$89,3,0)*0.475*44/12</f>
        <v>0</v>
      </c>
      <c r="EB81" s="23">
        <f>EXP(-LN(2)/25)*EB80+(1-EXP(-LN(2)/25))/(LN(2)/25)*Calculateur!DW81*Calculateur!DY81*VLOOKUP('Données projet'!$B$14,Paramètres!$A$1:$I$89,3,0)*0.475*44/12</f>
        <v>0</v>
      </c>
      <c r="EC81" s="23">
        <f>EXP(-LN(2)/2)*EC80+(1-EXP(-LN(2)/2))/(LN(2)/2)*DW81*DZ81*VLOOKUP('Données projet'!$B$14,Paramètres!$A$1:$I$89,3,0)*0.475*44/12</f>
        <v>0</v>
      </c>
      <c r="ED81" s="24">
        <f t="shared" si="72"/>
        <v>0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5</v>
      </c>
      <c r="EJ81" s="13">
        <f>IF('Données projet'!$A$192&gt;35,EJ80+EI81-ER80,IF(A81&lt;'Données projet'!$A$192,$EG$205^A81,IF(A81='Données projet'!$A$192,'Données projet'!$B$192,EJ80+EI81-ER80)))</f>
        <v>332.30769230769261</v>
      </c>
      <c r="EK81" s="18">
        <f>EJ81*VLOOKUP('Données projet'!$B$15,Paramètres!$A$1:$I$89,3,0)*VLOOKUP('Données projet'!$B$15,Paramètres!$A$1:$I$89,5,0)</f>
        <v>347.32800000000032</v>
      </c>
      <c r="EL81" s="14">
        <f t="shared" si="99"/>
        <v>81.012073531602553</v>
      </c>
      <c r="EM81" s="22">
        <f t="shared" si="73"/>
        <v>746.02562806754156</v>
      </c>
      <c r="EN81" s="62">
        <f t="shared" si="74"/>
        <v>1039.3589614008749</v>
      </c>
      <c r="EO81" s="62">
        <f ca="1">AVERAGE(OFFSET($EN$3,0,0,'Données projet'!$E$15+1,1))-AVERAGE(OFFSET($H$3,0,0,'Données projet'!$E$15+1,1))</f>
        <v>595.89992279024398</v>
      </c>
      <c r="EP81" s="62">
        <f t="shared" si="100"/>
        <v>378.16197659288338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>
        <f>EXP(-LN(2)/35)*EV80+(1-EXP(-LN(2)/35))/(LN(2)/35)*ER81*ES81*VLOOKUP('Données projet'!$B$15,Paramètres!$A$1:$I$89,3,0)*0.475*44/12</f>
        <v>0</v>
      </c>
      <c r="EW81" s="23">
        <f>EXP(-LN(2)/25)*EW80+(1-EXP(-LN(2)/25))/(LN(2)/25)*Calculateur!ER81*Calculateur!ET81*VLOOKUP('Données projet'!$B$15,Paramètres!$A$1:$I$89,3,0)*0.475*44/12</f>
        <v>0</v>
      </c>
      <c r="EX81" s="23">
        <f>EXP(-LN(2)/2)*EX80+(1-EXP(-LN(2)/2))/(LN(2)/2)*ER81*EU81*VLOOKUP('Données projet'!$B$15,Paramètres!$A$1:$I$89,3,0)*0.475*44/12</f>
        <v>0</v>
      </c>
      <c r="EY81" s="24">
        <f t="shared" si="75"/>
        <v>0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-2.2737367544323206E-13</v>
      </c>
      <c r="FF81" s="18">
        <f>FE81*VLOOKUP('Données projet'!$B$16,Paramètres!$A$1:$I$89,3,0)*VLOOKUP('Données projet'!$B$16,Paramètres!$A$1:$I$89,5,0)</f>
        <v>-1.3596945791505279E-13</v>
      </c>
      <c r="FG81" s="14" t="e">
        <f t="shared" si="101"/>
        <v>#NUM!</v>
      </c>
      <c r="FH81" s="22" t="e">
        <f t="shared" si="76"/>
        <v>#NUM!</v>
      </c>
      <c r="FI81" s="62" t="e">
        <f t="shared" si="77"/>
        <v>#NUM!</v>
      </c>
      <c r="FJ81" s="62">
        <f ca="1">AVERAGE(OFFSET($FI$3,0,0,'Données projet'!$E$16+1,1))-AVERAGE(OFFSET($H$3,0,0,'Données projet'!$E$16+1,1))</f>
        <v>257.56116197646924</v>
      </c>
      <c r="FK81" s="62">
        <f t="shared" si="102"/>
        <v>269.95556918835888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>
        <f>EXP(-LN(2)/35)*FQ80+(1-EXP(-LN(2)/35))/(LN(2)/35)*FM81*FN81*VLOOKUP('Données projet'!$B$16,Paramètres!$A$1:$I$89,3,0)*0.475*44/12</f>
        <v>5.6358488242616227</v>
      </c>
      <c r="FR81" s="23">
        <f>EXP(-LN(2)/25)*FR80+(1-EXP(-LN(2)/25))/(LN(2)/25)*Calculateur!FM81*Calculateur!FO81*VLOOKUP('Données projet'!$B$16,Paramètres!$A$1:$I$89,3,0)*0.475*44/12</f>
        <v>4.2658798598673648</v>
      </c>
      <c r="FS81" s="23">
        <f>EXP(-LN(2)/2)*FS80+(1-EXP(-LN(2)/2))/(LN(2)/2)*FM81*FP81*VLOOKUP('Données projet'!$B$16,Paramètres!$A$1:$I$89,3,0)*0.475*44/12</f>
        <v>5.0986310374587675E-7</v>
      </c>
      <c r="FT81" s="24">
        <f t="shared" si="78"/>
        <v>9.9017291939920913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7.5584615384615343</v>
      </c>
      <c r="FZ81" s="13">
        <f>IF('Données projet'!$A$244&gt;35,FZ80+FY81-GH80,IF(A81&lt;'Données projet'!$A$244,$FW$205^A81,IF(A81='Données projet'!$A$244,'Données projet'!$B$244,FZ80+FY81-GH80)))</f>
        <v>387.79076923076894</v>
      </c>
      <c r="GA81" s="18">
        <f>FZ81*VLOOKUP('Données projet'!$B$17,Paramètres!$A$1:$I$89,3,0)*VLOOKUP('Données projet'!$B$17,Paramètres!$A$1:$I$89,5,0)</f>
        <v>231.89887999999985</v>
      </c>
      <c r="GB81" s="14">
        <f t="shared" si="103"/>
        <v>56.693067102008712</v>
      </c>
      <c r="GC81" s="22">
        <f t="shared" si="79"/>
        <v>502.63097453599829</v>
      </c>
      <c r="GD81" s="62">
        <f t="shared" si="80"/>
        <v>795.96430786933161</v>
      </c>
      <c r="GE81" s="62">
        <f ca="1">AVERAGE(OFFSET($GD$3,0,0,'Données projet'!$E$17+1,1))-AVERAGE(OFFSET($H$3,0,0,'Données projet'!$E$17+1,1))</f>
        <v>289.12367833861299</v>
      </c>
      <c r="GF81" s="62">
        <f t="shared" si="104"/>
        <v>229.06617320689003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>
        <f>EXP(-LN(2)/35)*GL80+(1-EXP(-LN(2)/35))/(LN(2)/35)*GH81*GI81*VLOOKUP('Données projet'!$B$17,Paramètres!$A$1:$I$89,3,0)*0.475*44/12</f>
        <v>0</v>
      </c>
      <c r="GM81" s="23">
        <f>EXP(-LN(2)/25)*GM80+(1-EXP(-LN(2)/25))/(LN(2)/25)*Calculateur!GH81*Calculateur!GJ81*VLOOKUP('Données projet'!$B$17,Paramètres!$A$1:$I$89,3,0)*0.475*44/12</f>
        <v>0</v>
      </c>
      <c r="GN81" s="23">
        <f>EXP(-LN(2)/2)*GN80+(1-EXP(-LN(2)/2))/(LN(2)/2)*GH81*GK81*VLOOKUP('Données projet'!$B$17,Paramètres!$A$1:$I$89,3,0)*0.475*44/12</f>
        <v>2.4717063176783618E-7</v>
      </c>
      <c r="GO81" s="23">
        <f t="shared" si="81"/>
        <v>2.4717063176783618E-7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9.4346153846153786</v>
      </c>
      <c r="GU81" s="13">
        <f>IF('Données projet'!$A$270&gt;35,GU80+GT81-HC80,IF(A81&lt;'Données projet'!$A$270,$GR$205^A81,IF(A81='Données projet'!$A$270,'Données projet'!$B$270,GU80+GT81-HC80)))</f>
        <v>311.71923076923076</v>
      </c>
      <c r="GV81" s="18">
        <f>GU81*VLOOKUP('Données projet'!$B$18,Paramètres!$A$1:$I$89,3,0)*VLOOKUP('Données projet'!$B$18,Paramètres!$A$1:$I$89,5,0)</f>
        <v>145.88460000000001</v>
      </c>
      <c r="GW81" s="14">
        <f t="shared" si="105"/>
        <v>37.641837363948753</v>
      </c>
      <c r="GX81" s="22">
        <f t="shared" si="82"/>
        <v>319.6418784088774</v>
      </c>
      <c r="GY81" s="62">
        <f t="shared" si="83"/>
        <v>612.97521174221072</v>
      </c>
      <c r="GZ81" s="62">
        <f ca="1">AVERAGE(OFFSET($GY$3,0,0,'Données projet'!$E$18+1,1))-AVERAGE(OFFSET($H$3,0,0,'Données projet'!$E$18+1,1))</f>
        <v>284.88646502866419</v>
      </c>
      <c r="HA81" s="62">
        <f t="shared" si="106"/>
        <v>190.4880882944471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>
        <f>EXP(-LN(2)/35)*HG80+(1-EXP(-LN(2)/35))/(LN(2)/35)*HC81*HD81*VLOOKUP('Données projet'!$B$18,Paramètres!$A$1:$I$89,3,0)*0.475*44/12</f>
        <v>0</v>
      </c>
      <c r="HH81" s="23">
        <f>EXP(-LN(2)/25)*HH80+(1-EXP(-LN(2)/25))/(LN(2)/25)*Calculateur!HC81*Calculateur!HE81*VLOOKUP('Données projet'!$B$18,Paramètres!$A$1:$I$89,3,0)*0.475*44/12</f>
        <v>0</v>
      </c>
      <c r="HI81" s="23">
        <f>EXP(-LN(2)/2)*HI80+(1-EXP(-LN(2)/2))/(LN(2)/2)*HC81*HF81*VLOOKUP('Données projet'!$B$18,Paramètres!$A$1:$I$89,3,0)*0.475*44/12</f>
        <v>0</v>
      </c>
      <c r="HJ81" s="24">
        <f t="shared" si="84"/>
        <v>0</v>
      </c>
    </row>
    <row r="82" spans="1:218" s="5" customFormat="1" x14ac:dyDescent="0.25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2">
        <f t="shared" si="86"/>
        <v>0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0</v>
      </c>
      <c r="H82" s="70">
        <f t="shared" si="56"/>
        <v>256.66666666666669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3.974358974358978</v>
      </c>
      <c r="N82" s="14">
        <f>IF('Données projet'!$A$36&gt;35,N81+M82-V81,IF(A82&lt;'Données projet'!$A$36,$K$205^A82,IF(A82='Données projet'!$A$36,'Données projet'!$B$36,N81+M82-V81)))</f>
        <v>223.58974358974353</v>
      </c>
      <c r="O82" s="14">
        <f>N82*VLOOKUP('Données projet'!$B$9,Paramètres!$A$1:$I$89,3,0)*VLOOKUP('Données projet'!$B$9,Paramètres!$A$1:$I$89,5,0)</f>
        <v>212.76799999999994</v>
      </c>
      <c r="P82" s="14">
        <f t="shared" si="87"/>
        <v>52.540001579827234</v>
      </c>
      <c r="Q82" s="22">
        <f t="shared" si="54"/>
        <v>462.0781027515323</v>
      </c>
      <c r="R82" s="62">
        <f t="shared" si="55"/>
        <v>755.41143608486561</v>
      </c>
      <c r="S82" s="62">
        <f ca="1">AVERAGE(OFFSET($R$3,0,0,'Données projet'!$E$9+1,1))-AVERAGE(OFFSET($H$3,0,0,'Données projet'!$E$9+1,1))</f>
        <v>367.11183928586667</v>
      </c>
      <c r="T82" s="62">
        <f t="shared" si="88"/>
        <v>281.52963027844595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0</v>
      </c>
      <c r="AA82" s="23">
        <f>EXP(-LN(2)/25)*AA81+(1-EXP(-LN(2)/25))/(LN(2)/25)*Calculateur!V82*Calculateur!X82*VLOOKUP('Données projet'!$B$9,Paramètres!$A$1:$I$89,3,0)*0.475*44/12</f>
        <v>0</v>
      </c>
      <c r="AB82" s="23">
        <f>EXP(-LN(2)/2)*AB81+(1-EXP(-LN(2)/2))/(LN(2)/2)*V82*Y82*VLOOKUP('Données projet'!$B$9,Paramètres!$A$1:$I$89,3,0)*0.475*44/12</f>
        <v>0</v>
      </c>
      <c r="AC82" s="24">
        <f t="shared" si="57"/>
        <v>0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6</v>
      </c>
      <c r="AI82" s="14">
        <f>IF('Données projet'!$A$62&gt;35,AI81+AH82-AQ81,IF(A82&lt;'Données projet'!$A$62,$AF$205^A82,IF(A82='Données projet'!$A$62,'Données projet'!$B$62,AI81+AH82-AQ81)))</f>
        <v>275.99999999999989</v>
      </c>
      <c r="AJ82" s="14">
        <f>AI82*VLOOKUP('Données projet'!$B$10,Paramètres!$A$1:$I$89,3,0)*VLOOKUP('Données projet'!$B$10,Paramètres!$A$1:$I$89,5,0)</f>
        <v>249.7247999999999</v>
      </c>
      <c r="AK82" s="14">
        <f t="shared" si="89"/>
        <v>60.527007137298092</v>
      </c>
      <c r="AL82" s="22">
        <f t="shared" si="58"/>
        <v>540.35523076412733</v>
      </c>
      <c r="AM82" s="62">
        <f t="shared" si="59"/>
        <v>833.68856409746058</v>
      </c>
      <c r="AN82" s="62">
        <f ca="1">AVERAGE(OFFSET($AM$3,0,0,'Données projet'!$E$10+1,1))-AVERAGE(OFFSET($H$3,0,0,'Données projet'!$E$10+1,1))</f>
        <v>428.8489304403459</v>
      </c>
      <c r="AO82" s="62">
        <f t="shared" si="90"/>
        <v>247.01165577562966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0</v>
      </c>
      <c r="AV82" s="23">
        <f>EXP(-LN(2)/25)*AV81+(1-EXP(-LN(2)/25))/(LN(2)/25)*Calculateur!AQ82*Calculateur!AS82*VLOOKUP('Données projet'!$B$10,Paramètres!$A$1:$I$89,3,0)*0.475*44/12</f>
        <v>0</v>
      </c>
      <c r="AW82" s="23">
        <f>EXP(-LN(2)/2)*AW81+(1-EXP(-LN(2)/2))/(LN(2)/2)*AQ82*AT82*VLOOKUP('Données projet'!$B$10,Paramètres!$A$1:$I$89,3,0)*0.475*44/12</f>
        <v>0</v>
      </c>
      <c r="AX82" s="23">
        <f t="shared" si="60"/>
        <v>0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6</v>
      </c>
      <c r="BD82" s="13">
        <f>IF('Données projet'!$A$88&gt;35,BD81+BC82-BL81,IF(A82&lt;'Données projet'!$A$88,$BA$205^A82,IF(A82='Données projet'!$A$88,'Données projet'!$B$88,BD81+BC82-BL81)))</f>
        <v>275.99999999999989</v>
      </c>
      <c r="BE82" s="14">
        <f>BD82*VLOOKUP('Données projet'!$B$11,Paramètres!$A$1:$I$89,3,0)*VLOOKUP('Données projet'!$B$11,Paramètres!$A$1:$I$89,5,0)</f>
        <v>279.86399999999986</v>
      </c>
      <c r="BF82" s="14">
        <f t="shared" si="91"/>
        <v>66.938267358965007</v>
      </c>
      <c r="BG82" s="22">
        <f t="shared" si="61"/>
        <v>604.01394898353044</v>
      </c>
      <c r="BH82" s="62">
        <f t="shared" si="62"/>
        <v>897.34728231686381</v>
      </c>
      <c r="BI82" s="62">
        <f ca="1">AVERAGE(OFFSET($BH$3,0,0,'Données projet'!$E$11+1,1))-AVERAGE(OFFSET($H$3,0,0,'Données projet'!$E$11+1,1))</f>
        <v>475.47920969424894</v>
      </c>
      <c r="BJ82" s="62">
        <f t="shared" si="92"/>
        <v>271.73544012419364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>
        <f>EXP(-LN(2)/35)*BP81+(1-EXP(-LN(2)/35))/(LN(2)/35)*BL82*BM82*VLOOKUP('Données projet'!$B$11,Paramètres!$A$1:$I$89,3,0)*0.475*44/12</f>
        <v>0</v>
      </c>
      <c r="BQ82" s="23">
        <f>EXP(-LN(2)/25)*BQ81+(1-EXP(-LN(2)/25))/(LN(2)/25)*Calculateur!BL82*Calculateur!BN82*VLOOKUP('Données projet'!$B$11,Paramètres!$A$1:$I$89,3,0)*0.475*44/12</f>
        <v>0</v>
      </c>
      <c r="BR82" s="23">
        <f>EXP(-LN(2)/2)*BR81+(1-EXP(-LN(2)/2))/(LN(2)/2)*BL82*BO82*VLOOKUP('Données projet'!$B$11,Paramètres!$A$1:$I$89,3,0)*0.475*44/12</f>
        <v>0</v>
      </c>
      <c r="BS82" s="24">
        <f t="shared" si="63"/>
        <v>0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2.2737367544323206E-13</v>
      </c>
      <c r="BZ82" s="14">
        <f>BY82*VLOOKUP('Données projet'!$B$12,Paramètres!$A$1:$I$89,3,0)*VLOOKUP('Données projet'!$B$12,Paramètres!$A$1:$I$89,5,0)</f>
        <v>1.2710188457276673E-13</v>
      </c>
      <c r="CA82" s="14">
        <f t="shared" si="93"/>
        <v>1.856866851063998E-12</v>
      </c>
      <c r="CB82" s="22">
        <f t="shared" si="64"/>
        <v>3.4554122145673649E-12</v>
      </c>
      <c r="CC82" s="62">
        <f t="shared" si="65"/>
        <v>293.33333333333678</v>
      </c>
      <c r="CD82" s="62">
        <f ca="1">AVERAGE(OFFSET($CC$3,0,0,'Données projet'!$E$12+1,1))-AVERAGE(OFFSET($H$3,0,0,'Données projet'!$E$12+1,1))</f>
        <v>323.98185264074681</v>
      </c>
      <c r="CE82" s="62">
        <f t="shared" si="94"/>
        <v>301.22207291854005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>
        <f>EXP(-LN(2)/35)*CK81+(1-EXP(-LN(2)/35))/(LN(2)/35)*CG82*CH82*VLOOKUP('Données projet'!$B$12,Paramètres!$A$1:$I$89,3,0)*0.475*44/12</f>
        <v>1.6909034744835107</v>
      </c>
      <c r="CL82" s="23">
        <f>EXP(-LN(2)/25)*CL81+(1-EXP(-LN(2)/25))/(LN(2)/25)*Calculateur!CG82*Calculateur!CI82*VLOOKUP('Données projet'!$B$12,Paramètres!$A$1:$I$89,3,0)*0.475*44/12</f>
        <v>2.1197906983929391</v>
      </c>
      <c r="CM82" s="23">
        <f>EXP(-LN(2)/2)*CM81+(1-EXP(-LN(2)/2))/(LN(2)/2)*CG82*CJ82*VLOOKUP('Données projet'!$B$12,Paramètres!$A$1:$I$89,3,0)*0.475*44/12</f>
        <v>2.5658188696289376E-7</v>
      </c>
      <c r="CN82" s="24">
        <f t="shared" si="66"/>
        <v>3.8106944294583367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4.5999999999999996</v>
      </c>
      <c r="CT82" s="13">
        <f>IF('Données projet'!$A$140&gt;35,CT81+CS82-DB81,IF(A82&lt;'Données projet'!$A$140,$CQ$205^A82,IF(A82='Données projet'!$A$140,'Données projet'!$B$140,CT81+CS82-DB81)))</f>
        <v>201.39999999999998</v>
      </c>
      <c r="CU82" s="18">
        <f>CT82*VLOOKUP('Données projet'!$B$13,Paramètres!$A$1:$I$89,3,0)*VLOOKUP('Données projet'!$B$13,Paramètres!$A$1:$I$89,5,0)</f>
        <v>229.35432</v>
      </c>
      <c r="CV82" s="14">
        <f t="shared" si="95"/>
        <v>56.143047584897467</v>
      </c>
      <c r="CW82" s="22">
        <f t="shared" si="67"/>
        <v>497.24124854369643</v>
      </c>
      <c r="CX82" s="62">
        <f t="shared" si="68"/>
        <v>790.57458187702969</v>
      </c>
      <c r="CY82" s="62">
        <f ca="1">AVERAGE(OFFSET($CX$3,0,0,'Données projet'!$E$13+1,1))-AVERAGE(OFFSET($H$3,0,0,'Données projet'!$E$13+1,1))</f>
        <v>399.78832690250164</v>
      </c>
      <c r="CZ82" s="62">
        <f t="shared" si="96"/>
        <v>174.32967064896343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>
        <f>EXP(-LN(2)/35)*DF81+(1-EXP(-LN(2)/35))/(LN(2)/35)*DB82*DC82*VLOOKUP('Données projet'!$B$13,Paramètres!$A$1:$I$89,3,0)*0.475*44/12</f>
        <v>0</v>
      </c>
      <c r="DG82" s="23">
        <f>EXP(-LN(2)/25)*DG81+(1-EXP(-LN(2)/25))/(LN(2)/25)*Calculateur!DB82*Calculateur!DD82*VLOOKUP('Données projet'!$B$13,Paramètres!$A$1:$I$89,3,0)*0.475*44/12</f>
        <v>0</v>
      </c>
      <c r="DH82" s="23">
        <f>EXP(-LN(2)/2)*DH81+(1-EXP(-LN(2)/2))/(LN(2)/2)*DB82*DE82*VLOOKUP('Données projet'!$B$13,Paramètres!$A$1:$I$89,3,0)*0.475*44/12</f>
        <v>0</v>
      </c>
      <c r="DI82" s="24">
        <f t="shared" si="69"/>
        <v>0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6</v>
      </c>
      <c r="DO82" s="13">
        <f>IF('Données projet'!$A$166&gt;35,DO81+DN82-DW81,IF(A82&lt;'Données projet'!$A$166,$DL$205^A82,IF(A82='Données projet'!$A$166,'Données projet'!$B$166,DO81+DN82-DW81)))</f>
        <v>275.99999999999989</v>
      </c>
      <c r="DP82" s="18">
        <f>DO82*VLOOKUP('Données projet'!$B$14,Paramètres!$A$1:$I$89,3,0)*VLOOKUP('Données projet'!$B$14,Paramètres!$A$1:$I$89,5,0)</f>
        <v>232.50239999999991</v>
      </c>
      <c r="DQ82" s="14">
        <f t="shared" si="97"/>
        <v>56.823417677671891</v>
      </c>
      <c r="DR82" s="22">
        <f t="shared" si="70"/>
        <v>503.90913245527832</v>
      </c>
      <c r="DS82" s="62">
        <f t="shared" si="71"/>
        <v>797.24246578861164</v>
      </c>
      <c r="DT82" s="62">
        <f ca="1">AVERAGE(OFFSET($DS$3,0,0,'Données projet'!$E$14+1,1))-AVERAGE(OFFSET($H$3,0,0,'Données projet'!$E$14+1,1))</f>
        <v>402.15128814037058</v>
      </c>
      <c r="DU82" s="62">
        <f t="shared" si="98"/>
        <v>232.85411068442738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>
        <f>EXP(-LN(2)/35)*EA81+(1-EXP(-LN(2)/35))/(LN(2)/35)*DW82*DX82*VLOOKUP('Données projet'!$B$14,Paramètres!$A$1:$I$89,3,0)*0.475*44/12</f>
        <v>0</v>
      </c>
      <c r="EB82" s="23">
        <f>EXP(-LN(2)/25)*EB81+(1-EXP(-LN(2)/25))/(LN(2)/25)*Calculateur!DW82*Calculateur!DY82*VLOOKUP('Données projet'!$B$14,Paramètres!$A$1:$I$89,3,0)*0.475*44/12</f>
        <v>0</v>
      </c>
      <c r="EC82" s="23">
        <f>EXP(-LN(2)/2)*EC81+(1-EXP(-LN(2)/2))/(LN(2)/2)*DW82*DZ82*VLOOKUP('Données projet'!$B$14,Paramètres!$A$1:$I$89,3,0)*0.475*44/12</f>
        <v>0</v>
      </c>
      <c r="ED82" s="24">
        <f t="shared" si="72"/>
        <v>0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5</v>
      </c>
      <c r="EJ82" s="13">
        <f>IF('Données projet'!$A$192&gt;35,EJ81+EI82-ER81,IF(A82&lt;'Données projet'!$A$192,$EG$205^A82,IF(A82='Données projet'!$A$192,'Données projet'!$B$192,EJ81+EI82-ER81)))</f>
        <v>337.30769230769261</v>
      </c>
      <c r="EK82" s="18">
        <f>EJ82*VLOOKUP('Données projet'!$B$15,Paramètres!$A$1:$I$89,3,0)*VLOOKUP('Données projet'!$B$15,Paramètres!$A$1:$I$89,5,0)</f>
        <v>352.55400000000037</v>
      </c>
      <c r="EL82" s="14">
        <f t="shared" si="99"/>
        <v>82.08818362246717</v>
      </c>
      <c r="EM82" s="22">
        <f t="shared" si="73"/>
        <v>757.00180314246427</v>
      </c>
      <c r="EN82" s="62">
        <f t="shared" si="74"/>
        <v>1050.3351364757975</v>
      </c>
      <c r="EO82" s="62">
        <f ca="1">AVERAGE(OFFSET($EN$3,0,0,'Données projet'!$E$15+1,1))-AVERAGE(OFFSET($H$3,0,0,'Données projet'!$E$15+1,1))</f>
        <v>595.89992279024398</v>
      </c>
      <c r="EP82" s="62">
        <f t="shared" si="100"/>
        <v>378.16197659288338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>
        <f>EXP(-LN(2)/35)*EV81+(1-EXP(-LN(2)/35))/(LN(2)/35)*ER82*ES82*VLOOKUP('Données projet'!$B$15,Paramètres!$A$1:$I$89,3,0)*0.475*44/12</f>
        <v>0</v>
      </c>
      <c r="EW82" s="23">
        <f>EXP(-LN(2)/25)*EW81+(1-EXP(-LN(2)/25))/(LN(2)/25)*Calculateur!ER82*Calculateur!ET82*VLOOKUP('Données projet'!$B$15,Paramètres!$A$1:$I$89,3,0)*0.475*44/12</f>
        <v>0</v>
      </c>
      <c r="EX82" s="23">
        <f>EXP(-LN(2)/2)*EX81+(1-EXP(-LN(2)/2))/(LN(2)/2)*ER82*EU82*VLOOKUP('Données projet'!$B$15,Paramètres!$A$1:$I$89,3,0)*0.475*44/12</f>
        <v>0</v>
      </c>
      <c r="EY82" s="24">
        <f t="shared" si="75"/>
        <v>0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-2.2737367544323206E-13</v>
      </c>
      <c r="FF82" s="18">
        <f>FE82*VLOOKUP('Données projet'!$B$16,Paramètres!$A$1:$I$89,3,0)*VLOOKUP('Données projet'!$B$16,Paramètres!$A$1:$I$89,5,0)</f>
        <v>-1.3596945791505279E-13</v>
      </c>
      <c r="FG82" s="14" t="e">
        <f t="shared" si="101"/>
        <v>#NUM!</v>
      </c>
      <c r="FH82" s="22" t="e">
        <f t="shared" si="76"/>
        <v>#NUM!</v>
      </c>
      <c r="FI82" s="62" t="e">
        <f t="shared" si="77"/>
        <v>#NUM!</v>
      </c>
      <c r="FJ82" s="62">
        <f ca="1">AVERAGE(OFFSET($FI$3,0,0,'Données projet'!$E$16+1,1))-AVERAGE(OFFSET($H$3,0,0,'Données projet'!$E$16+1,1))</f>
        <v>257.56116197646924</v>
      </c>
      <c r="FK82" s="62">
        <f t="shared" si="102"/>
        <v>269.95556918835888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>
        <f>EXP(-LN(2)/35)*FQ81+(1-EXP(-LN(2)/35))/(LN(2)/35)*FM82*FN82*VLOOKUP('Données projet'!$B$16,Paramètres!$A$1:$I$89,3,0)*0.475*44/12</f>
        <v>5.5253332663462071</v>
      </c>
      <c r="FR82" s="23">
        <f>EXP(-LN(2)/25)*FR81+(1-EXP(-LN(2)/25))/(LN(2)/25)*Calculateur!FM82*Calculateur!FO82*VLOOKUP('Données projet'!$B$16,Paramètres!$A$1:$I$89,3,0)*0.475*44/12</f>
        <v>4.1492291507664198</v>
      </c>
      <c r="FS82" s="23">
        <f>EXP(-LN(2)/2)*FS81+(1-EXP(-LN(2)/2))/(LN(2)/2)*FM82*FP82*VLOOKUP('Données projet'!$B$16,Paramètres!$A$1:$I$89,3,0)*0.475*44/12</f>
        <v>3.6052765813552965E-7</v>
      </c>
      <c r="FT82" s="24">
        <f t="shared" si="78"/>
        <v>9.6745627776402845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7.5584615384615343</v>
      </c>
      <c r="FZ82" s="13">
        <f>IF('Données projet'!$A$244&gt;35,FZ81+FY82-GH81,IF(A82&lt;'Données projet'!$A$244,$FW$205^A82,IF(A82='Données projet'!$A$244,'Données projet'!$B$244,FZ81+FY82-GH81)))</f>
        <v>395.34923076923047</v>
      </c>
      <c r="GA82" s="18">
        <f>FZ82*VLOOKUP('Données projet'!$B$17,Paramètres!$A$1:$I$89,3,0)*VLOOKUP('Données projet'!$B$17,Paramètres!$A$1:$I$89,5,0)</f>
        <v>236.41883999999985</v>
      </c>
      <c r="GB82" s="14">
        <f t="shared" si="103"/>
        <v>57.668353588027863</v>
      </c>
      <c r="GC82" s="22">
        <f t="shared" si="79"/>
        <v>512.20186216581487</v>
      </c>
      <c r="GD82" s="62">
        <f t="shared" si="80"/>
        <v>805.53519549914813</v>
      </c>
      <c r="GE82" s="62">
        <f ca="1">AVERAGE(OFFSET($GD$3,0,0,'Données projet'!$E$17+1,1))-AVERAGE(OFFSET($H$3,0,0,'Données projet'!$E$17+1,1))</f>
        <v>289.12367833861299</v>
      </c>
      <c r="GF82" s="62">
        <f t="shared" si="104"/>
        <v>229.06617320689003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>
        <f>EXP(-LN(2)/35)*GL81+(1-EXP(-LN(2)/35))/(LN(2)/35)*GH82*GI82*VLOOKUP('Données projet'!$B$17,Paramètres!$A$1:$I$89,3,0)*0.475*44/12</f>
        <v>0</v>
      </c>
      <c r="GM82" s="23">
        <f>EXP(-LN(2)/25)*GM81+(1-EXP(-LN(2)/25))/(LN(2)/25)*Calculateur!GH82*Calculateur!GJ82*VLOOKUP('Données projet'!$B$17,Paramètres!$A$1:$I$89,3,0)*0.475*44/12</f>
        <v>0</v>
      </c>
      <c r="GN82" s="23">
        <f>EXP(-LN(2)/2)*GN81+(1-EXP(-LN(2)/2))/(LN(2)/2)*GH82*GK82*VLOOKUP('Données projet'!$B$17,Paramètres!$A$1:$I$89,3,0)*0.475*44/12</f>
        <v>1.7477602983320005E-7</v>
      </c>
      <c r="GO82" s="23">
        <f t="shared" si="81"/>
        <v>1.7477602983320005E-7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>
        <f>VLOOKUP(A82,'Données projet'!$A$269:$I$289,2,0)</f>
        <v>321.15384615384613</v>
      </c>
      <c r="GS82" s="13">
        <f>VLOOKUP(A82,'Données projet'!$A$269:$I$289,9,0)</f>
        <v>9.4346153846153786</v>
      </c>
      <c r="GT82" s="13">
        <f t="array" ref="GT82">INDEX(GS:GS,MIN(IF(ISNUMBER(GS82:GS278),ROW(GS82:GS278),"")))</f>
        <v>9.4346153846153786</v>
      </c>
      <c r="GU82" s="13">
        <f>IF('Données projet'!$A$270&gt;35,GU81+GT82-HC81,IF(A82&lt;'Données projet'!$A$270,$GR$205^A82,IF(A82='Données projet'!$A$270,'Données projet'!$B$270,GU81+GT82-HC81)))</f>
        <v>321.15384615384613</v>
      </c>
      <c r="GV82" s="18">
        <f>GU82*VLOOKUP('Données projet'!$B$18,Paramètres!$A$1:$I$89,3,0)*VLOOKUP('Données projet'!$B$18,Paramètres!$A$1:$I$89,5,0)</f>
        <v>150.29999999999998</v>
      </c>
      <c r="GW82" s="14">
        <f t="shared" si="105"/>
        <v>38.646753767567567</v>
      </c>
      <c r="GX82" s="22">
        <f t="shared" si="82"/>
        <v>329.08226281184676</v>
      </c>
      <c r="GY82" s="62">
        <f t="shared" si="83"/>
        <v>622.41559614518007</v>
      </c>
      <c r="GZ82" s="62">
        <f ca="1">AVERAGE(OFFSET($GY$3,0,0,'Données projet'!$E$18+1,1))-AVERAGE(OFFSET($H$3,0,0,'Données projet'!$E$18+1,1))</f>
        <v>284.88646502866419</v>
      </c>
      <c r="HA82" s="62">
        <f t="shared" si="106"/>
        <v>190.4880882944471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>
        <f>EXP(-LN(2)/35)*HG81+(1-EXP(-LN(2)/35))/(LN(2)/35)*HC82*HD82*VLOOKUP('Données projet'!$B$18,Paramètres!$A$1:$I$89,3,0)*0.475*44/12</f>
        <v>0</v>
      </c>
      <c r="HH82" s="23">
        <f>EXP(-LN(2)/25)*HH81+(1-EXP(-LN(2)/25))/(LN(2)/25)*Calculateur!HC82*Calculateur!HE82*VLOOKUP('Données projet'!$B$18,Paramètres!$A$1:$I$89,3,0)*0.475*44/12</f>
        <v>0</v>
      </c>
      <c r="HI82" s="23">
        <f>EXP(-LN(2)/2)*HI81+(1-EXP(-LN(2)/2))/(LN(2)/2)*HC82*HF82*VLOOKUP('Données projet'!$B$18,Paramètres!$A$1:$I$89,3,0)*0.475*44/12</f>
        <v>0</v>
      </c>
      <c r="HJ82" s="24">
        <f t="shared" si="84"/>
        <v>0</v>
      </c>
    </row>
    <row r="83" spans="1:218" s="5" customFormat="1" x14ac:dyDescent="0.25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2">
        <f t="shared" si="86"/>
        <v>0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0</v>
      </c>
      <c r="H83" s="70">
        <f t="shared" si="56"/>
        <v>256.66666666666669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>
        <f>VLOOKUP(A83,'Données projet'!$A$35:$I$55,2,0)</f>
        <v>227.56410256410257</v>
      </c>
      <c r="L83" s="13">
        <f>VLOOKUP(A83,'Données projet'!$A$35:$I$55,9,0)</f>
        <v>3.974358974358978</v>
      </c>
      <c r="M83" s="13">
        <f t="array" ref="M83">INDEX(L:L,MIN(IF(ISNUMBER(L83:L279),ROW(L83:L279),"")))</f>
        <v>3.974358974358978</v>
      </c>
      <c r="N83" s="14">
        <f>IF('Données projet'!$A$36&gt;35,N82+M83-V82,IF(A83&lt;'Données projet'!$A$36,$K$205^A83,IF(A83='Données projet'!$A$36,'Données projet'!$B$36,N82+M83-V82)))</f>
        <v>227.56410256410251</v>
      </c>
      <c r="O83" s="14">
        <f>N83*VLOOKUP('Données projet'!$B$9,Paramètres!$A$1:$I$89,3,0)*VLOOKUP('Données projet'!$B$9,Paramètres!$A$1:$I$89,5,0)</f>
        <v>216.54999999999998</v>
      </c>
      <c r="P83" s="14">
        <f t="shared" si="87"/>
        <v>53.364356873390378</v>
      </c>
      <c r="Q83" s="22">
        <f t="shared" si="54"/>
        <v>470.1008382211549</v>
      </c>
      <c r="R83" s="62">
        <f t="shared" si="55"/>
        <v>763.43417155448822</v>
      </c>
      <c r="S83" s="62">
        <f ca="1">AVERAGE(OFFSET($R$3,0,0,'Données projet'!$E$9+1,1))-AVERAGE(OFFSET($H$3,0,0,'Données projet'!$E$9+1,1))</f>
        <v>367.11183928586667</v>
      </c>
      <c r="T83" s="62">
        <f t="shared" si="88"/>
        <v>281.52963027844595</v>
      </c>
      <c r="U83" s="16">
        <f>IF(ISNA(VLOOKUP(A83,'Données projet'!$A$35:$I$55,3,0)),0,VLOOKUP(A83,'Données projet'!$A$35:$I$55,3,0))</f>
        <v>7</v>
      </c>
      <c r="V83" s="16">
        <f>IF(ISNA(VLOOKUP(A83,'Données projet'!$A$35:$I$55,4,0)),0,VLOOKUP(A83,'Données projet'!$A$35:$I$55,4,0))</f>
        <v>27.564102564102562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0</v>
      </c>
      <c r="AA83" s="23">
        <f>EXP(-LN(2)/25)*AA82+(1-EXP(-LN(2)/25))/(LN(2)/25)*Calculateur!V83*Calculateur!X83*VLOOKUP('Données projet'!$B$9,Paramètres!$A$1:$I$89,3,0)*0.475*44/12</f>
        <v>0</v>
      </c>
      <c r="AB83" s="23">
        <f>EXP(-LN(2)/2)*AB82+(1-EXP(-LN(2)/2))/(LN(2)/2)*V83*Y83*VLOOKUP('Données projet'!$B$9,Paramètres!$A$1:$I$89,3,0)*0.475*44/12</f>
        <v>0</v>
      </c>
      <c r="AC83" s="24">
        <f t="shared" si="57"/>
        <v>0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>
        <f>VLOOKUP(A83,'Données projet'!$A$61:$I$81,2,0)</f>
        <v>282</v>
      </c>
      <c r="AG83" s="13">
        <f>VLOOKUP(A83,'Données projet'!$A$61:$I$81,9,0)</f>
        <v>6</v>
      </c>
      <c r="AH83" s="13">
        <f t="array" ref="AH83">INDEX(AG:AG,MIN(IF(ISNUMBER(AG83:AG279),ROW(AG83:AG279),"")))</f>
        <v>6</v>
      </c>
      <c r="AI83" s="14">
        <f>IF('Données projet'!$A$62&gt;35,AI82+AH83-AQ82,IF(A83&lt;'Données projet'!$A$62,$AF$205^A83,IF(A83='Données projet'!$A$62,'Données projet'!$B$62,AI82+AH83-AQ82)))</f>
        <v>281.99999999999989</v>
      </c>
      <c r="AJ83" s="14">
        <f>AI83*VLOOKUP('Données projet'!$B$10,Paramètres!$A$1:$I$89,3,0)*VLOOKUP('Données projet'!$B$10,Paramètres!$A$1:$I$89,5,0)</f>
        <v>255.15359999999987</v>
      </c>
      <c r="AK83" s="14">
        <f t="shared" si="89"/>
        <v>61.688192762754376</v>
      </c>
      <c r="AL83" s="22">
        <f t="shared" si="58"/>
        <v>551.83278906179692</v>
      </c>
      <c r="AM83" s="62">
        <f t="shared" si="59"/>
        <v>845.16612239513029</v>
      </c>
      <c r="AN83" s="62">
        <f ca="1">AVERAGE(OFFSET($AM$3,0,0,'Données projet'!$E$10+1,1))-AVERAGE(OFFSET($H$3,0,0,'Données projet'!$E$10+1,1))</f>
        <v>428.8489304403459</v>
      </c>
      <c r="AO83" s="62">
        <f t="shared" si="90"/>
        <v>247.01165577562966</v>
      </c>
      <c r="AP83" s="16">
        <f>IF(ISNA(VLOOKUP(A83,'Données projet'!$A$61:$I$81,3,0)),0,VLOOKUP(A83,'Données projet'!$A$61:$I$81,3,0))</f>
        <v>6</v>
      </c>
      <c r="AQ83" s="16">
        <f>IF(ISNA(VLOOKUP(A83,'Données projet'!$A$61:$I$81,4,0)),0,VLOOKUP(A83,'Données projet'!$A$61:$I$81,4,0))</f>
        <v>42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projet'!$B$10,Paramètres!$A$1:$I$89,3,0)*0.475*44/12</f>
        <v>0</v>
      </c>
      <c r="AV83" s="23">
        <f>EXP(-LN(2)/25)*AV82+(1-EXP(-LN(2)/25))/(LN(2)/25)*Calculateur!AQ83*Calculateur!AS83*VLOOKUP('Données projet'!$B$10,Paramètres!$A$1:$I$89,3,0)*0.475*44/12</f>
        <v>0</v>
      </c>
      <c r="AW83" s="23">
        <f>EXP(-LN(2)/2)*AW82+(1-EXP(-LN(2)/2))/(LN(2)/2)*AQ83*AT83*VLOOKUP('Données projet'!$B$10,Paramètres!$A$1:$I$89,3,0)*0.475*44/12</f>
        <v>0</v>
      </c>
      <c r="AX83" s="23">
        <f t="shared" si="60"/>
        <v>0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>
        <f>VLOOKUP(A83,'Données projet'!$A$87:$I$107,2,0)</f>
        <v>282</v>
      </c>
      <c r="BB83" s="13">
        <f>VLOOKUP(A83,'Données projet'!$A$87:$I$107,9,0)</f>
        <v>6</v>
      </c>
      <c r="BC83" s="13">
        <f t="array" ref="BC83">INDEX(BB:BB,MIN(IF(ISNUMBER(BB83:BB279),ROW(BB83:BB279),"")))</f>
        <v>6</v>
      </c>
      <c r="BD83" s="13">
        <f>IF('Données projet'!$A$88&gt;35,BD82+BC83-BL82,IF(A83&lt;'Données projet'!$A$88,$BA$205^A83,IF(A83='Données projet'!$A$88,'Données projet'!$B$88,BD82+BC83-BL82)))</f>
        <v>281.99999999999989</v>
      </c>
      <c r="BE83" s="14">
        <f>BD83*VLOOKUP('Données projet'!$B$11,Paramètres!$A$1:$I$89,3,0)*VLOOKUP('Données projet'!$B$11,Paramètres!$A$1:$I$89,5,0)</f>
        <v>285.94799999999992</v>
      </c>
      <c r="BF83" s="14">
        <f t="shared" si="91"/>
        <v>68.222450362989363</v>
      </c>
      <c r="BG83" s="22">
        <f t="shared" si="61"/>
        <v>616.84686771553959</v>
      </c>
      <c r="BH83" s="62">
        <f t="shared" si="62"/>
        <v>910.18020104887296</v>
      </c>
      <c r="BI83" s="62">
        <f ca="1">AVERAGE(OFFSET($BH$3,0,0,'Données projet'!$E$11+1,1))-AVERAGE(OFFSET($H$3,0,0,'Données projet'!$E$11+1,1))</f>
        <v>475.47920969424894</v>
      </c>
      <c r="BJ83" s="62">
        <f t="shared" si="92"/>
        <v>271.73544012419364</v>
      </c>
      <c r="BK83" s="16">
        <f>IF(ISNA(VLOOKUP(A83,'Données projet'!$A$87:$I$107,3,0)),0,VLOOKUP(A83,'Données projet'!$A$87:$I$107,3,0))</f>
        <v>6</v>
      </c>
      <c r="BL83" s="23">
        <f>IF(ISNA(VLOOKUP(A83,'Données projet'!$A$87:$I$107,4,0)),0,VLOOKUP(A83,'Données projet'!$A$87:$I$107,4,0))</f>
        <v>42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>
        <f>EXP(-LN(2)/35)*BP82+(1-EXP(-LN(2)/35))/(LN(2)/35)*BL83*BM83*VLOOKUP('Données projet'!$B$11,Paramètres!$A$1:$I$89,3,0)*0.475*44/12</f>
        <v>0</v>
      </c>
      <c r="BQ83" s="23">
        <f>EXP(-LN(2)/25)*BQ82+(1-EXP(-LN(2)/25))/(LN(2)/25)*Calculateur!BL83*Calculateur!BN83*VLOOKUP('Données projet'!$B$11,Paramètres!$A$1:$I$89,3,0)*0.475*44/12</f>
        <v>0</v>
      </c>
      <c r="BR83" s="23">
        <f>EXP(-LN(2)/2)*BR82+(1-EXP(-LN(2)/2))/(LN(2)/2)*BL83*BO83*VLOOKUP('Données projet'!$B$11,Paramètres!$A$1:$I$89,3,0)*0.475*44/12</f>
        <v>0</v>
      </c>
      <c r="BS83" s="24">
        <f t="shared" si="63"/>
        <v>0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2.2737367544323206E-13</v>
      </c>
      <c r="BZ83" s="14">
        <f>BY83*VLOOKUP('Données projet'!$B$12,Paramètres!$A$1:$I$89,3,0)*VLOOKUP('Données projet'!$B$12,Paramètres!$A$1:$I$89,5,0)</f>
        <v>1.2710188457276673E-13</v>
      </c>
      <c r="CA83" s="14">
        <f t="shared" si="93"/>
        <v>1.856866851063998E-12</v>
      </c>
      <c r="CB83" s="22">
        <f t="shared" si="64"/>
        <v>3.4554122145673649E-12</v>
      </c>
      <c r="CC83" s="62">
        <f t="shared" si="65"/>
        <v>293.33333333333678</v>
      </c>
      <c r="CD83" s="62">
        <f ca="1">AVERAGE(OFFSET($CC$3,0,0,'Données projet'!$E$12+1,1))-AVERAGE(OFFSET($H$3,0,0,'Données projet'!$E$12+1,1))</f>
        <v>323.98185264074681</v>
      </c>
      <c r="CE83" s="62">
        <f t="shared" si="94"/>
        <v>301.22207291854005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>
        <f>EXP(-LN(2)/35)*CK82+(1-EXP(-LN(2)/35))/(LN(2)/35)*CG83*CH83*VLOOKUP('Données projet'!$B$12,Paramètres!$A$1:$I$89,3,0)*0.475*44/12</f>
        <v>1.6577458886981713</v>
      </c>
      <c r="CL83" s="23">
        <f>EXP(-LN(2)/25)*CL82+(1-EXP(-LN(2)/25))/(LN(2)/25)*Calculateur!CG83*Calculateur!CI83*VLOOKUP('Données projet'!$B$12,Paramètres!$A$1:$I$89,3,0)*0.475*44/12</f>
        <v>2.061824910270436</v>
      </c>
      <c r="CM83" s="23">
        <f>EXP(-LN(2)/2)*CM82+(1-EXP(-LN(2)/2))/(LN(2)/2)*CG83*CJ83*VLOOKUP('Données projet'!$B$12,Paramètres!$A$1:$I$89,3,0)*0.475*44/12</f>
        <v>1.814307922011024E-7</v>
      </c>
      <c r="CN83" s="24">
        <f t="shared" si="66"/>
        <v>3.7195709803993995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>
        <f>VLOOKUP(A83,'Données projet'!$A$139:$I$159,2,0)</f>
        <v>206</v>
      </c>
      <c r="CR83" s="13">
        <f>VLOOKUP(A83,'Données projet'!$A$139:$I$159,9,0)</f>
        <v>4.5999999999999996</v>
      </c>
      <c r="CS83" s="13">
        <f t="array" ref="CS83">INDEX(CR:CR,MIN(IF(ISNUMBER(CR83:CR279),ROW(CR83:CR279),"")))</f>
        <v>4.5999999999999996</v>
      </c>
      <c r="CT83" s="13">
        <f>IF('Données projet'!$A$140&gt;35,CT82+CS83-DB82,IF(A83&lt;'Données projet'!$A$140,$CQ$205^A83,IF(A83='Données projet'!$A$140,'Données projet'!$B$140,CT82+CS83-DB82)))</f>
        <v>205.99999999999997</v>
      </c>
      <c r="CU83" s="18">
        <f>CT83*VLOOKUP('Données projet'!$B$13,Paramètres!$A$1:$I$89,3,0)*VLOOKUP('Données projet'!$B$13,Paramètres!$A$1:$I$89,5,0)</f>
        <v>234.59279999999995</v>
      </c>
      <c r="CV83" s="14">
        <f t="shared" si="95"/>
        <v>57.274606632593994</v>
      </c>
      <c r="CW83" s="22">
        <f t="shared" si="67"/>
        <v>508.33573321843437</v>
      </c>
      <c r="CX83" s="62">
        <f t="shared" si="68"/>
        <v>801.66906655176763</v>
      </c>
      <c r="CY83" s="62">
        <f ca="1">AVERAGE(OFFSET($CX$3,0,0,'Données projet'!$E$13+1,1))-AVERAGE(OFFSET($H$3,0,0,'Données projet'!$E$13+1,1))</f>
        <v>399.78832690250164</v>
      </c>
      <c r="CZ83" s="62">
        <f t="shared" si="96"/>
        <v>174.32967064896343</v>
      </c>
      <c r="DA83" s="16">
        <f>IF(ISNA(VLOOKUP(A83,'Données projet'!$A$139:$I$159,3,0)),0,VLOOKUP(A83,'Données projet'!$A$139:$I$159,3,0))</f>
        <v>5</v>
      </c>
      <c r="DB83" s="16">
        <f>IF(ISNA(VLOOKUP(A83,'Données projet'!$A$139:$I$159,4,0)),0,VLOOKUP(A83,'Données projet'!$A$139:$I$159,4,0))</f>
        <v>28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>
        <f>EXP(-LN(2)/35)*DF82+(1-EXP(-LN(2)/35))/(LN(2)/35)*DB83*DC83*VLOOKUP('Données projet'!$B$13,Paramètres!$A$1:$I$89,3,0)*0.475*44/12</f>
        <v>0</v>
      </c>
      <c r="DG83" s="23">
        <f>EXP(-LN(2)/25)*DG82+(1-EXP(-LN(2)/25))/(LN(2)/25)*Calculateur!DB83*Calculateur!DD83*VLOOKUP('Données projet'!$B$13,Paramètres!$A$1:$I$89,3,0)*0.475*44/12</f>
        <v>0</v>
      </c>
      <c r="DH83" s="23">
        <f>EXP(-LN(2)/2)*DH82+(1-EXP(-LN(2)/2))/(LN(2)/2)*DB83*DE83*VLOOKUP('Données projet'!$B$13,Paramètres!$A$1:$I$89,3,0)*0.475*44/12</f>
        <v>0</v>
      </c>
      <c r="DI83" s="24">
        <f t="shared" si="69"/>
        <v>0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>
        <f>VLOOKUP(A83,'Données projet'!$A$165:$I$185,2,0)</f>
        <v>282</v>
      </c>
      <c r="DM83" s="13">
        <f>VLOOKUP(A83,'Données projet'!$A$165:$I$185,9,0)</f>
        <v>6</v>
      </c>
      <c r="DN83" s="13">
        <f t="array" ref="DN83">INDEX(DM:DM,MIN(IF(ISNUMBER(DM83:DM279),ROW(DM83:DM279),"")))</f>
        <v>6</v>
      </c>
      <c r="DO83" s="13">
        <f>IF('Données projet'!$A$166&gt;35,DO82+DN83-DW82,IF(A83&lt;'Données projet'!$A$166,$DL$205^A83,IF(A83='Données projet'!$A$166,'Données projet'!$B$166,DO82+DN83-DW82)))</f>
        <v>281.99999999999989</v>
      </c>
      <c r="DP83" s="18">
        <f>DO83*VLOOKUP('Données projet'!$B$14,Paramètres!$A$1:$I$89,3,0)*VLOOKUP('Données projet'!$B$14,Paramètres!$A$1:$I$89,5,0)</f>
        <v>237.55679999999992</v>
      </c>
      <c r="DQ83" s="14">
        <f t="shared" si="97"/>
        <v>57.913551469467308</v>
      </c>
      <c r="DR83" s="22">
        <f t="shared" si="70"/>
        <v>514.61086214265538</v>
      </c>
      <c r="DS83" s="62">
        <f t="shared" si="71"/>
        <v>807.94419547598864</v>
      </c>
      <c r="DT83" s="62">
        <f ca="1">AVERAGE(OFFSET($DS$3,0,0,'Données projet'!$E$14+1,1))-AVERAGE(OFFSET($H$3,0,0,'Données projet'!$E$14+1,1))</f>
        <v>402.15128814037058</v>
      </c>
      <c r="DU83" s="62">
        <f t="shared" si="98"/>
        <v>232.85411068442738</v>
      </c>
      <c r="DV83" s="16">
        <f>IF(ISNA(VLOOKUP(A83,'Données projet'!$A$165:$I$185,3,0)),0,VLOOKUP(A83,'Données projet'!$A$165:$I$185,3,0))</f>
        <v>6</v>
      </c>
      <c r="DW83" s="16">
        <f>IF(ISNA(VLOOKUP(A83,'Données projet'!$A$165:$I$185,4,0)),0,VLOOKUP(A83,'Données projet'!$A$165:$I$185,4,0))</f>
        <v>42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>
        <f>EXP(-LN(2)/35)*EA82+(1-EXP(-LN(2)/35))/(LN(2)/35)*DW83*DX83*VLOOKUP('Données projet'!$B$14,Paramètres!$A$1:$I$89,3,0)*0.475*44/12</f>
        <v>0</v>
      </c>
      <c r="EB83" s="23">
        <f>EXP(-LN(2)/25)*EB82+(1-EXP(-LN(2)/25))/(LN(2)/25)*Calculateur!DW83*Calculateur!DY83*VLOOKUP('Données projet'!$B$14,Paramètres!$A$1:$I$89,3,0)*0.475*44/12</f>
        <v>0</v>
      </c>
      <c r="EC83" s="23">
        <f>EXP(-LN(2)/2)*EC82+(1-EXP(-LN(2)/2))/(LN(2)/2)*DW83*DZ83*VLOOKUP('Données projet'!$B$14,Paramètres!$A$1:$I$89,3,0)*0.475*44/12</f>
        <v>0</v>
      </c>
      <c r="ED83" s="24">
        <f t="shared" si="72"/>
        <v>0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>
        <f>VLOOKUP(A83,'Données projet'!$A$191:$I$211,2,0)</f>
        <v>342.30769230769232</v>
      </c>
      <c r="EH83" s="13">
        <f>VLOOKUP(A83,'Données projet'!$A$191:$I$211,9,0)</f>
        <v>5</v>
      </c>
      <c r="EI83" s="13">
        <f t="array" ref="EI83">INDEX(EH:EH,MIN(IF(ISNUMBER(EH83:EH279),ROW(EH83:EH279),"")))</f>
        <v>5</v>
      </c>
      <c r="EJ83" s="13">
        <f>IF('Données projet'!$A$192&gt;35,EJ82+EI83-ER82,IF(A83&lt;'Données projet'!$A$192,$EG$205^A83,IF(A83='Données projet'!$A$192,'Données projet'!$B$192,EJ82+EI83-ER82)))</f>
        <v>342.30769230769261</v>
      </c>
      <c r="EK83" s="18">
        <f>EJ83*VLOOKUP('Données projet'!$B$15,Paramètres!$A$1:$I$89,3,0)*VLOOKUP('Données projet'!$B$15,Paramètres!$A$1:$I$89,5,0)</f>
        <v>357.78000000000037</v>
      </c>
      <c r="EL83" s="14">
        <f t="shared" si="99"/>
        <v>83.162438492372715</v>
      </c>
      <c r="EM83" s="22">
        <f t="shared" si="73"/>
        <v>767.97474704088302</v>
      </c>
      <c r="EN83" s="62">
        <f t="shared" si="74"/>
        <v>1061.3080803742164</v>
      </c>
      <c r="EO83" s="62">
        <f ca="1">AVERAGE(OFFSET($EN$3,0,0,'Données projet'!$E$15+1,1))-AVERAGE(OFFSET($H$3,0,0,'Données projet'!$E$15+1,1))</f>
        <v>595.89992279024398</v>
      </c>
      <c r="EP83" s="62">
        <f t="shared" si="100"/>
        <v>378.16197659288338</v>
      </c>
      <c r="EQ83" s="16">
        <f>IF(ISNA(VLOOKUP(A83,'Données projet'!$A$191:$I$211,3,0)),0,VLOOKUP(A83,'Données projet'!$A$191:$I$211,3,0))</f>
        <v>7</v>
      </c>
      <c r="ER83" s="16">
        <f>IF(ISNA(VLOOKUP(A83,'Données projet'!$A$191:$I$211,4,0)),0,VLOOKUP(A83,'Données projet'!$A$191:$I$211,4,0))</f>
        <v>27.564102564102562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>
        <f>EXP(-LN(2)/35)*EV82+(1-EXP(-LN(2)/35))/(LN(2)/35)*ER83*ES83*VLOOKUP('Données projet'!$B$15,Paramètres!$A$1:$I$89,3,0)*0.475*44/12</f>
        <v>0</v>
      </c>
      <c r="EW83" s="23">
        <f>EXP(-LN(2)/25)*EW82+(1-EXP(-LN(2)/25))/(LN(2)/25)*Calculateur!ER83*Calculateur!ET83*VLOOKUP('Données projet'!$B$15,Paramètres!$A$1:$I$89,3,0)*0.475*44/12</f>
        <v>0</v>
      </c>
      <c r="EX83" s="23">
        <f>EXP(-LN(2)/2)*EX82+(1-EXP(-LN(2)/2))/(LN(2)/2)*ER83*EU83*VLOOKUP('Données projet'!$B$15,Paramètres!$A$1:$I$89,3,0)*0.475*44/12</f>
        <v>0</v>
      </c>
      <c r="EY83" s="24">
        <f t="shared" si="75"/>
        <v>0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-2.2737367544323206E-13</v>
      </c>
      <c r="FF83" s="18">
        <f>FE83*VLOOKUP('Données projet'!$B$16,Paramètres!$A$1:$I$89,3,0)*VLOOKUP('Données projet'!$B$16,Paramètres!$A$1:$I$89,5,0)</f>
        <v>-1.3596945791505279E-13</v>
      </c>
      <c r="FG83" s="14" t="e">
        <f t="shared" si="101"/>
        <v>#NUM!</v>
      </c>
      <c r="FH83" s="22" t="e">
        <f t="shared" si="76"/>
        <v>#NUM!</v>
      </c>
      <c r="FI83" s="62" t="e">
        <f t="shared" si="77"/>
        <v>#NUM!</v>
      </c>
      <c r="FJ83" s="62">
        <f ca="1">AVERAGE(OFFSET($FI$3,0,0,'Données projet'!$E$16+1,1))-AVERAGE(OFFSET($H$3,0,0,'Données projet'!$E$16+1,1))</f>
        <v>257.56116197646924</v>
      </c>
      <c r="FK83" s="62">
        <f t="shared" si="102"/>
        <v>269.95556918835888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>
        <f>EXP(-LN(2)/35)*FQ82+(1-EXP(-LN(2)/35))/(LN(2)/35)*FM83*FN83*VLOOKUP('Données projet'!$B$16,Paramètres!$A$1:$I$89,3,0)*0.475*44/12</f>
        <v>5.4169848511136784</v>
      </c>
      <c r="FR83" s="23">
        <f>EXP(-LN(2)/25)*FR82+(1-EXP(-LN(2)/25))/(LN(2)/25)*Calculateur!FM83*Calculateur!FO83*VLOOKUP('Données projet'!$B$16,Paramètres!$A$1:$I$89,3,0)*0.475*44/12</f>
        <v>4.0357682614402339</v>
      </c>
      <c r="FS83" s="23">
        <f>EXP(-LN(2)/2)*FS82+(1-EXP(-LN(2)/2))/(LN(2)/2)*FM83*FP83*VLOOKUP('Données projet'!$B$16,Paramètres!$A$1:$I$89,3,0)*0.475*44/12</f>
        <v>2.5493155187293837E-7</v>
      </c>
      <c r="FT83" s="24">
        <f t="shared" si="78"/>
        <v>9.4527533674854638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>
        <f>VLOOKUP(A83,'Données projet'!$A$243:$I$263,2,0)</f>
        <v>402.90769230769229</v>
      </c>
      <c r="FX83" s="13">
        <f>VLOOKUP(A83,'Données projet'!$A$243:$I$263,9,0)</f>
        <v>7.5584615384615343</v>
      </c>
      <c r="FY83" s="13">
        <f t="array" ref="FY83">INDEX(FX:FX,MIN(IF(ISNUMBER(FX83:FX279),ROW(FX83:FX279),"")))</f>
        <v>7.5584615384615343</v>
      </c>
      <c r="FZ83" s="13">
        <f>IF('Données projet'!$A$244&gt;35,FZ82+FY83-GH82,IF(A83&lt;'Données projet'!$A$244,$FW$205^A83,IF(A83='Données projet'!$A$244,'Données projet'!$B$244,FZ82+FY83-GH82)))</f>
        <v>402.907692307692</v>
      </c>
      <c r="GA83" s="18">
        <f>FZ83*VLOOKUP('Données projet'!$B$17,Paramètres!$A$1:$I$89,3,0)*VLOOKUP('Données projet'!$B$17,Paramètres!$A$1:$I$89,5,0)</f>
        <v>240.93879999999982</v>
      </c>
      <c r="GB83" s="14">
        <f t="shared" si="103"/>
        <v>58.64147195802866</v>
      </c>
      <c r="GC83" s="22">
        <f t="shared" si="79"/>
        <v>521.76897366023286</v>
      </c>
      <c r="GD83" s="62">
        <f t="shared" si="80"/>
        <v>815.10230699356612</v>
      </c>
      <c r="GE83" s="62">
        <f ca="1">AVERAGE(OFFSET($GD$3,0,0,'Données projet'!$E$17+1,1))-AVERAGE(OFFSET($H$3,0,0,'Données projet'!$E$17+1,1))</f>
        <v>289.12367833861299</v>
      </c>
      <c r="GF83" s="62">
        <f t="shared" si="104"/>
        <v>229.06617320689003</v>
      </c>
      <c r="GG83" s="16">
        <f>IF(ISNA(VLOOKUP(A83,'Données projet'!$A$243:$I$263,3,0)),0,VLOOKUP(A83,'Données projet'!$A$243:$I$263,3,0))</f>
        <v>8</v>
      </c>
      <c r="GH83" s="16">
        <f>IF(ISNA(VLOOKUP(A83,'Données projet'!$A$243:$I$263,4,0)),0,VLOOKUP(A83,'Données projet'!$A$243:$I$263,4,0))</f>
        <v>402.90769230769229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>
        <f>EXP(-LN(2)/35)*GL82+(1-EXP(-LN(2)/35))/(LN(2)/35)*GH83*GI83*VLOOKUP('Données projet'!$B$17,Paramètres!$A$1:$I$89,3,0)*0.475*44/12</f>
        <v>0</v>
      </c>
      <c r="GM83" s="23">
        <f>EXP(-LN(2)/25)*GM82+(1-EXP(-LN(2)/25))/(LN(2)/25)*Calculateur!GH83*Calculateur!GJ83*VLOOKUP('Données projet'!$B$17,Paramètres!$A$1:$I$89,3,0)*0.475*44/12</f>
        <v>0</v>
      </c>
      <c r="GN83" s="23">
        <f>EXP(-LN(2)/2)*GN82+(1-EXP(-LN(2)/2))/(LN(2)/2)*GH83*GK83*VLOOKUP('Données projet'!$B$17,Paramètres!$A$1:$I$89,3,0)*0.475*44/12</f>
        <v>1.2358531588391809E-7</v>
      </c>
      <c r="GO83" s="23">
        <f t="shared" si="81"/>
        <v>1.2358531588391809E-7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9.6128205128205195</v>
      </c>
      <c r="GU83" s="13">
        <f>IF('Données projet'!$A$270&gt;35,GU82+GT83-HC82,IF(A83&lt;'Données projet'!$A$270,$GR$205^A83,IF(A83='Données projet'!$A$270,'Données projet'!$B$270,GU82+GT83-HC82)))</f>
        <v>330.76666666666665</v>
      </c>
      <c r="GV83" s="18">
        <f>GU83*VLOOKUP('Données projet'!$B$18,Paramètres!$A$1:$I$89,3,0)*VLOOKUP('Données projet'!$B$18,Paramètres!$A$1:$I$89,5,0)</f>
        <v>154.7988</v>
      </c>
      <c r="GW83" s="14">
        <f t="shared" si="105"/>
        <v>39.667123391087365</v>
      </c>
      <c r="GX83" s="22">
        <f t="shared" si="82"/>
        <v>338.69481657281045</v>
      </c>
      <c r="GY83" s="62">
        <f t="shared" si="83"/>
        <v>632.02814990614377</v>
      </c>
      <c r="GZ83" s="62">
        <f ca="1">AVERAGE(OFFSET($GY$3,0,0,'Données projet'!$E$18+1,1))-AVERAGE(OFFSET($H$3,0,0,'Données projet'!$E$18+1,1))</f>
        <v>284.88646502866419</v>
      </c>
      <c r="HA83" s="62">
        <f t="shared" si="106"/>
        <v>190.4880882944471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>
        <f>EXP(-LN(2)/35)*HG82+(1-EXP(-LN(2)/35))/(LN(2)/35)*HC83*HD83*VLOOKUP('Données projet'!$B$18,Paramètres!$A$1:$I$89,3,0)*0.475*44/12</f>
        <v>0</v>
      </c>
      <c r="HH83" s="23">
        <f>EXP(-LN(2)/25)*HH82+(1-EXP(-LN(2)/25))/(LN(2)/25)*Calculateur!HC83*Calculateur!HE83*VLOOKUP('Données projet'!$B$18,Paramètres!$A$1:$I$89,3,0)*0.475*44/12</f>
        <v>0</v>
      </c>
      <c r="HI83" s="23">
        <f>EXP(-LN(2)/2)*HI82+(1-EXP(-LN(2)/2))/(LN(2)/2)*HC83*HF83*VLOOKUP('Données projet'!$B$18,Paramètres!$A$1:$I$89,3,0)*0.475*44/12</f>
        <v>0</v>
      </c>
      <c r="HJ83" s="24">
        <f t="shared" si="84"/>
        <v>0</v>
      </c>
    </row>
    <row r="84" spans="1:218" s="5" customFormat="1" x14ac:dyDescent="0.25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2">
        <f t="shared" si="86"/>
        <v>0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0</v>
      </c>
      <c r="H84" s="70">
        <f t="shared" si="56"/>
        <v>256.66666666666669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3.8461538461538454</v>
      </c>
      <c r="N84" s="14">
        <f>IF('Données projet'!$A$36&gt;35,N83+M84-V83,IF(A84&lt;'Données projet'!$A$36,$K$205^A84,IF(A84='Données projet'!$A$36,'Données projet'!$B$36,N83+M84-V83)))</f>
        <v>203.84615384615378</v>
      </c>
      <c r="O84" s="14">
        <f>N84*VLOOKUP('Données projet'!$B$9,Paramètres!$A$1:$I$89,3,0)*VLOOKUP('Données projet'!$B$9,Paramètres!$A$1:$I$89,5,0)</f>
        <v>193.97999999999996</v>
      </c>
      <c r="P84" s="14">
        <f t="shared" si="87"/>
        <v>48.418809868414776</v>
      </c>
      <c r="Q84" s="22">
        <f t="shared" si="54"/>
        <v>422.17792718748893</v>
      </c>
      <c r="R84" s="62">
        <f t="shared" si="55"/>
        <v>715.51126052082225</v>
      </c>
      <c r="S84" s="62">
        <f ca="1">AVERAGE(OFFSET($R$3,0,0,'Données projet'!$E$9+1,1))-AVERAGE(OFFSET($H$3,0,0,'Données projet'!$E$9+1,1))</f>
        <v>367.11183928586667</v>
      </c>
      <c r="T84" s="62">
        <f t="shared" si="88"/>
        <v>281.52963027844595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0</v>
      </c>
      <c r="AA84" s="23">
        <f>EXP(-LN(2)/25)*AA83+(1-EXP(-LN(2)/25))/(LN(2)/25)*Calculateur!V84*Calculateur!X84*VLOOKUP('Données projet'!$B$9,Paramètres!$A$1:$I$89,3,0)*0.475*44/12</f>
        <v>0</v>
      </c>
      <c r="AB84" s="23">
        <f>EXP(-LN(2)/2)*AB83+(1-EXP(-LN(2)/2))/(LN(2)/2)*V84*Y84*VLOOKUP('Données projet'!$B$9,Paramètres!$A$1:$I$89,3,0)*0.475*44/12</f>
        <v>0</v>
      </c>
      <c r="AC84" s="24">
        <f t="shared" si="57"/>
        <v>0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5.6</v>
      </c>
      <c r="AI84" s="14">
        <f>IF('Données projet'!$A$62&gt;35,AI83+AH84-AQ83,IF(A84&lt;'Données projet'!$A$62,$AF$205^A84,IF(A84='Données projet'!$A$62,'Données projet'!$B$62,AI83+AH84-AQ83)))</f>
        <v>245.59999999999991</v>
      </c>
      <c r="AJ84" s="14">
        <f>AI84*VLOOKUP('Données projet'!$B$10,Paramètres!$A$1:$I$89,3,0)*VLOOKUP('Données projet'!$B$10,Paramètres!$A$1:$I$89,5,0)</f>
        <v>222.21887999999993</v>
      </c>
      <c r="AK84" s="14">
        <f t="shared" si="89"/>
        <v>54.596866296848852</v>
      </c>
      <c r="AL84" s="22">
        <f t="shared" si="58"/>
        <v>482.12075813367829</v>
      </c>
      <c r="AM84" s="62">
        <f t="shared" si="59"/>
        <v>775.45409146701161</v>
      </c>
      <c r="AN84" s="62">
        <f ca="1">AVERAGE(OFFSET($AM$3,0,0,'Données projet'!$E$10+1,1))-AVERAGE(OFFSET($H$3,0,0,'Données projet'!$E$10+1,1))</f>
        <v>428.8489304403459</v>
      </c>
      <c r="AO84" s="62">
        <f t="shared" si="90"/>
        <v>247.01165577562966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0</v>
      </c>
      <c r="AV84" s="23">
        <f>EXP(-LN(2)/25)*AV83+(1-EXP(-LN(2)/25))/(LN(2)/25)*Calculateur!AQ84*Calculateur!AS84*VLOOKUP('Données projet'!$B$10,Paramètres!$A$1:$I$89,3,0)*0.475*44/12</f>
        <v>0</v>
      </c>
      <c r="AW84" s="23">
        <f>EXP(-LN(2)/2)*AW83+(1-EXP(-LN(2)/2))/(LN(2)/2)*AQ84*AT84*VLOOKUP('Données projet'!$B$10,Paramètres!$A$1:$I$89,3,0)*0.475*44/12</f>
        <v>0</v>
      </c>
      <c r="AX84" s="23">
        <f t="shared" si="60"/>
        <v>0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5.6</v>
      </c>
      <c r="BD84" s="13">
        <f>IF('Données projet'!$A$88&gt;35,BD83+BC84-BL83,IF(A84&lt;'Données projet'!$A$88,$BA$205^A84,IF(A84='Données projet'!$A$88,'Données projet'!$B$88,BD83+BC84-BL83)))</f>
        <v>245.59999999999991</v>
      </c>
      <c r="BE84" s="14">
        <f>BD84*VLOOKUP('Données projet'!$B$11,Paramètres!$A$1:$I$89,3,0)*VLOOKUP('Données projet'!$B$11,Paramètres!$A$1:$I$89,5,0)</f>
        <v>249.03839999999994</v>
      </c>
      <c r="BF84" s="14">
        <f t="shared" si="91"/>
        <v>60.379982523339947</v>
      </c>
      <c r="BG84" s="22">
        <f t="shared" si="61"/>
        <v>538.90368289481694</v>
      </c>
      <c r="BH84" s="62">
        <f t="shared" si="62"/>
        <v>832.2370162281502</v>
      </c>
      <c r="BI84" s="62">
        <f ca="1">AVERAGE(OFFSET($BH$3,0,0,'Données projet'!$E$11+1,1))-AVERAGE(OFFSET($H$3,0,0,'Données projet'!$E$11+1,1))</f>
        <v>475.47920969424894</v>
      </c>
      <c r="BJ84" s="62">
        <f t="shared" si="92"/>
        <v>271.73544012419364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>
        <f>EXP(-LN(2)/35)*BP83+(1-EXP(-LN(2)/35))/(LN(2)/35)*BL84*BM84*VLOOKUP('Données projet'!$B$11,Paramètres!$A$1:$I$89,3,0)*0.475*44/12</f>
        <v>0</v>
      </c>
      <c r="BQ84" s="23">
        <f>EXP(-LN(2)/25)*BQ83+(1-EXP(-LN(2)/25))/(LN(2)/25)*Calculateur!BL84*Calculateur!BN84*VLOOKUP('Données projet'!$B$11,Paramètres!$A$1:$I$89,3,0)*0.475*44/12</f>
        <v>0</v>
      </c>
      <c r="BR84" s="23">
        <f>EXP(-LN(2)/2)*BR83+(1-EXP(-LN(2)/2))/(LN(2)/2)*BL84*BO84*VLOOKUP('Données projet'!$B$11,Paramètres!$A$1:$I$89,3,0)*0.475*44/12</f>
        <v>0</v>
      </c>
      <c r="BS84" s="24">
        <f t="shared" si="63"/>
        <v>0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2.2737367544323206E-13</v>
      </c>
      <c r="BZ84" s="14">
        <f>BY84*VLOOKUP('Données projet'!$B$12,Paramètres!$A$1:$I$89,3,0)*VLOOKUP('Données projet'!$B$12,Paramètres!$A$1:$I$89,5,0)</f>
        <v>1.2710188457276673E-13</v>
      </c>
      <c r="CA84" s="14">
        <f t="shared" si="93"/>
        <v>1.856866851063998E-12</v>
      </c>
      <c r="CB84" s="22">
        <f t="shared" si="64"/>
        <v>3.4554122145673649E-12</v>
      </c>
      <c r="CC84" s="62">
        <f t="shared" si="65"/>
        <v>293.33333333333678</v>
      </c>
      <c r="CD84" s="62">
        <f ca="1">AVERAGE(OFFSET($CC$3,0,0,'Données projet'!$E$12+1,1))-AVERAGE(OFFSET($H$3,0,0,'Données projet'!$E$12+1,1))</f>
        <v>323.98185264074681</v>
      </c>
      <c r="CE84" s="62">
        <f t="shared" si="94"/>
        <v>301.22207291854005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>
        <f>EXP(-LN(2)/35)*CK83+(1-EXP(-LN(2)/35))/(LN(2)/35)*CG84*CH84*VLOOKUP('Données projet'!$B$12,Paramètres!$A$1:$I$89,3,0)*0.475*44/12</f>
        <v>1.625238502945952</v>
      </c>
      <c r="CL84" s="23">
        <f>EXP(-LN(2)/25)*CL83+(1-EXP(-LN(2)/25))/(LN(2)/25)*Calculateur!CG84*Calculateur!CI84*VLOOKUP('Données projet'!$B$12,Paramètres!$A$1:$I$89,3,0)*0.475*44/12</f>
        <v>2.0054441996724313</v>
      </c>
      <c r="CM84" s="23">
        <f>EXP(-LN(2)/2)*CM83+(1-EXP(-LN(2)/2))/(LN(2)/2)*CG84*CJ84*VLOOKUP('Données projet'!$B$12,Paramètres!$A$1:$I$89,3,0)*0.475*44/12</f>
        <v>1.2829094348144688E-7</v>
      </c>
      <c r="CN84" s="24">
        <f t="shared" si="66"/>
        <v>3.6306828309093269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4.4000000000000004</v>
      </c>
      <c r="CT84" s="13">
        <f>IF('Données projet'!$A$140&gt;35,CT83+CS84-DB83,IF(A84&lt;'Données projet'!$A$140,$CQ$205^A84,IF(A84='Données projet'!$A$140,'Données projet'!$B$140,CT83+CS84-DB83)))</f>
        <v>182.39999999999998</v>
      </c>
      <c r="CU84" s="18">
        <f>CT84*VLOOKUP('Données projet'!$B$13,Paramètres!$A$1:$I$89,3,0)*VLOOKUP('Données projet'!$B$13,Paramètres!$A$1:$I$89,5,0)</f>
        <v>207.71711999999999</v>
      </c>
      <c r="CV84" s="14">
        <f t="shared" si="95"/>
        <v>51.436402072718508</v>
      </c>
      <c r="CW84" s="22">
        <f t="shared" si="67"/>
        <v>451.35905094331798</v>
      </c>
      <c r="CX84" s="62">
        <f t="shared" si="68"/>
        <v>744.6923842766513</v>
      </c>
      <c r="CY84" s="62">
        <f ca="1">AVERAGE(OFFSET($CX$3,0,0,'Données projet'!$E$13+1,1))-AVERAGE(OFFSET($H$3,0,0,'Données projet'!$E$13+1,1))</f>
        <v>399.78832690250164</v>
      </c>
      <c r="CZ84" s="62">
        <f t="shared" si="96"/>
        <v>174.32967064896343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>
        <f>EXP(-LN(2)/35)*DF83+(1-EXP(-LN(2)/35))/(LN(2)/35)*DB84*DC84*VLOOKUP('Données projet'!$B$13,Paramètres!$A$1:$I$89,3,0)*0.475*44/12</f>
        <v>0</v>
      </c>
      <c r="DG84" s="23">
        <f>EXP(-LN(2)/25)*DG83+(1-EXP(-LN(2)/25))/(LN(2)/25)*Calculateur!DB84*Calculateur!DD84*VLOOKUP('Données projet'!$B$13,Paramètres!$A$1:$I$89,3,0)*0.475*44/12</f>
        <v>0</v>
      </c>
      <c r="DH84" s="23">
        <f>EXP(-LN(2)/2)*DH83+(1-EXP(-LN(2)/2))/(LN(2)/2)*DB84*DE84*VLOOKUP('Données projet'!$B$13,Paramètres!$A$1:$I$89,3,0)*0.475*44/12</f>
        <v>0</v>
      </c>
      <c r="DI84" s="24">
        <f t="shared" si="69"/>
        <v>0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5.6</v>
      </c>
      <c r="DO84" s="13">
        <f>IF('Données projet'!$A$166&gt;35,DO83+DN84-DW83,IF(A84&lt;'Données projet'!$A$166,$DL$205^A84,IF(A84='Données projet'!$A$166,'Données projet'!$B$166,DO83+DN84-DW83)))</f>
        <v>245.59999999999991</v>
      </c>
      <c r="DP84" s="18">
        <f>DO84*VLOOKUP('Données projet'!$B$14,Paramètres!$A$1:$I$89,3,0)*VLOOKUP('Données projet'!$B$14,Paramètres!$A$1:$I$89,5,0)</f>
        <v>206.89343999999994</v>
      </c>
      <c r="DQ84" s="14">
        <f t="shared" si="97"/>
        <v>51.256136462199102</v>
      </c>
      <c r="DR84" s="22">
        <f t="shared" si="70"/>
        <v>449.61051233832995</v>
      </c>
      <c r="DS84" s="62">
        <f t="shared" si="71"/>
        <v>742.94384567166321</v>
      </c>
      <c r="DT84" s="62">
        <f ca="1">AVERAGE(OFFSET($DS$3,0,0,'Données projet'!$E$14+1,1))-AVERAGE(OFFSET($H$3,0,0,'Données projet'!$E$14+1,1))</f>
        <v>402.15128814037058</v>
      </c>
      <c r="DU84" s="62">
        <f t="shared" si="98"/>
        <v>232.85411068442738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>
        <f>EXP(-LN(2)/35)*EA83+(1-EXP(-LN(2)/35))/(LN(2)/35)*DW84*DX84*VLOOKUP('Données projet'!$B$14,Paramètres!$A$1:$I$89,3,0)*0.475*44/12</f>
        <v>0</v>
      </c>
      <c r="EB84" s="23">
        <f>EXP(-LN(2)/25)*EB83+(1-EXP(-LN(2)/25))/(LN(2)/25)*Calculateur!DW84*Calculateur!DY84*VLOOKUP('Données projet'!$B$14,Paramètres!$A$1:$I$89,3,0)*0.475*44/12</f>
        <v>0</v>
      </c>
      <c r="EC84" s="23">
        <f>EXP(-LN(2)/2)*EC83+(1-EXP(-LN(2)/2))/(LN(2)/2)*DW84*DZ84*VLOOKUP('Données projet'!$B$14,Paramètres!$A$1:$I$89,3,0)*0.475*44/12</f>
        <v>0</v>
      </c>
      <c r="ED84" s="24">
        <f t="shared" si="72"/>
        <v>0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4.7435897435897347</v>
      </c>
      <c r="EJ84" s="13">
        <f>IF('Données projet'!$A$192&gt;35,EJ83+EI84-ER83,IF(A84&lt;'Données projet'!$A$192,$EG$205^A84,IF(A84='Données projet'!$A$192,'Données projet'!$B$192,EJ83+EI84-ER83)))</f>
        <v>319.48717948717979</v>
      </c>
      <c r="EK84" s="18">
        <f>EJ84*VLOOKUP('Données projet'!$B$15,Paramètres!$A$1:$I$89,3,0)*VLOOKUP('Données projet'!$B$15,Paramètres!$A$1:$I$89,5,0)</f>
        <v>333.92800000000034</v>
      </c>
      <c r="EL84" s="14">
        <f t="shared" si="99"/>
        <v>78.244120108546397</v>
      </c>
      <c r="EM84" s="22">
        <f t="shared" si="73"/>
        <v>717.86644252238546</v>
      </c>
      <c r="EN84" s="62">
        <f t="shared" si="74"/>
        <v>1011.1997758557188</v>
      </c>
      <c r="EO84" s="62">
        <f ca="1">AVERAGE(OFFSET($EN$3,0,0,'Données projet'!$E$15+1,1))-AVERAGE(OFFSET($H$3,0,0,'Données projet'!$E$15+1,1))</f>
        <v>595.89992279024398</v>
      </c>
      <c r="EP84" s="62">
        <f t="shared" si="100"/>
        <v>378.16197659288338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>
        <f>EXP(-LN(2)/35)*EV83+(1-EXP(-LN(2)/35))/(LN(2)/35)*ER84*ES84*VLOOKUP('Données projet'!$B$15,Paramètres!$A$1:$I$89,3,0)*0.475*44/12</f>
        <v>0</v>
      </c>
      <c r="EW84" s="23">
        <f>EXP(-LN(2)/25)*EW83+(1-EXP(-LN(2)/25))/(LN(2)/25)*Calculateur!ER84*Calculateur!ET84*VLOOKUP('Données projet'!$B$15,Paramètres!$A$1:$I$89,3,0)*0.475*44/12</f>
        <v>0</v>
      </c>
      <c r="EX84" s="23">
        <f>EXP(-LN(2)/2)*EX83+(1-EXP(-LN(2)/2))/(LN(2)/2)*ER84*EU84*VLOOKUP('Données projet'!$B$15,Paramètres!$A$1:$I$89,3,0)*0.475*44/12</f>
        <v>0</v>
      </c>
      <c r="EY84" s="24">
        <f t="shared" si="75"/>
        <v>0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-2.2737367544323206E-13</v>
      </c>
      <c r="FF84" s="18">
        <f>FE84*VLOOKUP('Données projet'!$B$16,Paramètres!$A$1:$I$89,3,0)*VLOOKUP('Données projet'!$B$16,Paramètres!$A$1:$I$89,5,0)</f>
        <v>-1.3596945791505279E-13</v>
      </c>
      <c r="FG84" s="14" t="e">
        <f t="shared" si="101"/>
        <v>#NUM!</v>
      </c>
      <c r="FH84" s="22" t="e">
        <f t="shared" si="76"/>
        <v>#NUM!</v>
      </c>
      <c r="FI84" s="62" t="e">
        <f t="shared" si="77"/>
        <v>#NUM!</v>
      </c>
      <c r="FJ84" s="62">
        <f ca="1">AVERAGE(OFFSET($FI$3,0,0,'Données projet'!$E$16+1,1))-AVERAGE(OFFSET($H$3,0,0,'Données projet'!$E$16+1,1))</f>
        <v>257.56116197646924</v>
      </c>
      <c r="FK84" s="62">
        <f t="shared" si="102"/>
        <v>269.95556918835888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>
        <f>EXP(-LN(2)/35)*FQ83+(1-EXP(-LN(2)/35))/(LN(2)/35)*FM84*FN84*VLOOKUP('Données projet'!$B$16,Paramètres!$A$1:$I$89,3,0)*0.475*44/12</f>
        <v>5.3107610822178524</v>
      </c>
      <c r="FR84" s="23">
        <f>EXP(-LN(2)/25)*FR83+(1-EXP(-LN(2)/25))/(LN(2)/25)*Calculateur!FM84*Calculateur!FO84*VLOOKUP('Données projet'!$B$16,Paramètres!$A$1:$I$89,3,0)*0.475*44/12</f>
        <v>3.9254099660993216</v>
      </c>
      <c r="FS84" s="23">
        <f>EXP(-LN(2)/2)*FS83+(1-EXP(-LN(2)/2))/(LN(2)/2)*FM84*FP84*VLOOKUP('Données projet'!$B$16,Paramètres!$A$1:$I$89,3,0)*0.475*44/12</f>
        <v>1.8026382906776483E-7</v>
      </c>
      <c r="FT84" s="24">
        <f t="shared" si="78"/>
        <v>9.2361712285810036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-2.8421709430404007E-13</v>
      </c>
      <c r="GA84" s="18">
        <f>FZ84*VLOOKUP('Données projet'!$B$17,Paramètres!$A$1:$I$89,3,0)*VLOOKUP('Données projet'!$B$17,Paramètres!$A$1:$I$89,5,0)</f>
        <v>-1.69961822393816E-13</v>
      </c>
      <c r="GB84" s="14" t="e">
        <f t="shared" si="103"/>
        <v>#NUM!</v>
      </c>
      <c r="GC84" s="22" t="e">
        <f t="shared" si="79"/>
        <v>#NUM!</v>
      </c>
      <c r="GD84" s="62" t="e">
        <f t="shared" si="80"/>
        <v>#NUM!</v>
      </c>
      <c r="GE84" s="62">
        <f ca="1">AVERAGE(OFFSET($GD$3,0,0,'Données projet'!$E$17+1,1))-AVERAGE(OFFSET($H$3,0,0,'Données projet'!$E$17+1,1))</f>
        <v>289.12367833861299</v>
      </c>
      <c r="GF84" s="62">
        <f t="shared" si="104"/>
        <v>229.06617320689003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>
        <f>EXP(-LN(2)/35)*GL83+(1-EXP(-LN(2)/35))/(LN(2)/35)*GH84*GI84*VLOOKUP('Données projet'!$B$17,Paramètres!$A$1:$I$89,3,0)*0.475*44/12</f>
        <v>0</v>
      </c>
      <c r="GM84" s="23">
        <f>EXP(-LN(2)/25)*GM83+(1-EXP(-LN(2)/25))/(LN(2)/25)*Calculateur!GH84*Calculateur!GJ84*VLOOKUP('Données projet'!$B$17,Paramètres!$A$1:$I$89,3,0)*0.475*44/12</f>
        <v>0</v>
      </c>
      <c r="GN84" s="23">
        <f>EXP(-LN(2)/2)*GN83+(1-EXP(-LN(2)/2))/(LN(2)/2)*GH84*GK84*VLOOKUP('Données projet'!$B$17,Paramètres!$A$1:$I$89,3,0)*0.475*44/12</f>
        <v>8.7388014916600027E-8</v>
      </c>
      <c r="GO84" s="23">
        <f t="shared" si="81"/>
        <v>8.7388014916600027E-8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9.6128205128205195</v>
      </c>
      <c r="GU84" s="13">
        <f>IF('Données projet'!$A$270&gt;35,GU83+GT84-HC83,IF(A84&lt;'Données projet'!$A$270,$GR$205^A84,IF(A84='Données projet'!$A$270,'Données projet'!$B$270,GU83+GT84-HC83)))</f>
        <v>340.37948717948717</v>
      </c>
      <c r="GV84" s="18">
        <f>GU84*VLOOKUP('Données projet'!$B$18,Paramètres!$A$1:$I$89,3,0)*VLOOKUP('Données projet'!$B$18,Paramètres!$A$1:$I$89,5,0)</f>
        <v>159.29759999999999</v>
      </c>
      <c r="GW84" s="14">
        <f t="shared" si="105"/>
        <v>40.684046581672639</v>
      </c>
      <c r="GX84" s="22">
        <f t="shared" si="82"/>
        <v>348.30136779641316</v>
      </c>
      <c r="GY84" s="62">
        <f t="shared" si="83"/>
        <v>641.63470112974642</v>
      </c>
      <c r="GZ84" s="62">
        <f ca="1">AVERAGE(OFFSET($GY$3,0,0,'Données projet'!$E$18+1,1))-AVERAGE(OFFSET($H$3,0,0,'Données projet'!$E$18+1,1))</f>
        <v>284.88646502866419</v>
      </c>
      <c r="HA84" s="62">
        <f t="shared" si="106"/>
        <v>190.4880882944471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>
        <f>EXP(-LN(2)/35)*HG83+(1-EXP(-LN(2)/35))/(LN(2)/35)*HC84*HD84*VLOOKUP('Données projet'!$B$18,Paramètres!$A$1:$I$89,3,0)*0.475*44/12</f>
        <v>0</v>
      </c>
      <c r="HH84" s="23">
        <f>EXP(-LN(2)/25)*HH83+(1-EXP(-LN(2)/25))/(LN(2)/25)*Calculateur!HC84*Calculateur!HE84*VLOOKUP('Données projet'!$B$18,Paramètres!$A$1:$I$89,3,0)*0.475*44/12</f>
        <v>0</v>
      </c>
      <c r="HI84" s="23">
        <f>EXP(-LN(2)/2)*HI83+(1-EXP(-LN(2)/2))/(LN(2)/2)*HC84*HF84*VLOOKUP('Données projet'!$B$18,Paramètres!$A$1:$I$89,3,0)*0.475*44/12</f>
        <v>0</v>
      </c>
      <c r="HJ84" s="24">
        <f t="shared" si="84"/>
        <v>0</v>
      </c>
    </row>
    <row r="85" spans="1:218" s="5" customFormat="1" x14ac:dyDescent="0.25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2">
        <f t="shared" si="86"/>
        <v>0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0</v>
      </c>
      <c r="H85" s="70">
        <f t="shared" si="56"/>
        <v>256.66666666666669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3.8461538461538454</v>
      </c>
      <c r="N85" s="14">
        <f>IF('Données projet'!$A$36&gt;35,N84+M85-V84,IF(A85&lt;'Données projet'!$A$36,$K$205^A85,IF(A85='Données projet'!$A$36,'Données projet'!$B$36,N84+M85-V84)))</f>
        <v>207.69230769230762</v>
      </c>
      <c r="O85" s="14">
        <f>N85*VLOOKUP('Données projet'!$B$9,Paramètres!$A$1:$I$89,3,0)*VLOOKUP('Données projet'!$B$9,Paramètres!$A$1:$I$89,5,0)</f>
        <v>197.63999999999993</v>
      </c>
      <c r="P85" s="14">
        <f t="shared" si="87"/>
        <v>49.22515338895078</v>
      </c>
      <c r="Q85" s="22">
        <f t="shared" si="54"/>
        <v>429.95680881908919</v>
      </c>
      <c r="R85" s="62">
        <f t="shared" si="55"/>
        <v>723.2901421524225</v>
      </c>
      <c r="S85" s="62">
        <f ca="1">AVERAGE(OFFSET($R$3,0,0,'Données projet'!$E$9+1,1))-AVERAGE(OFFSET($H$3,0,0,'Données projet'!$E$9+1,1))</f>
        <v>367.11183928586667</v>
      </c>
      <c r="T85" s="62">
        <f t="shared" si="88"/>
        <v>281.52963027844595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0</v>
      </c>
      <c r="AA85" s="23">
        <f>EXP(-LN(2)/25)*AA84+(1-EXP(-LN(2)/25))/(LN(2)/25)*Calculateur!V85*Calculateur!X85*VLOOKUP('Données projet'!$B$9,Paramètres!$A$1:$I$89,3,0)*0.475*44/12</f>
        <v>0</v>
      </c>
      <c r="AB85" s="23">
        <f>EXP(-LN(2)/2)*AB84+(1-EXP(-LN(2)/2))/(LN(2)/2)*V85*Y85*VLOOKUP('Données projet'!$B$9,Paramètres!$A$1:$I$89,3,0)*0.475*44/12</f>
        <v>0</v>
      </c>
      <c r="AC85" s="24">
        <f t="shared" si="57"/>
        <v>0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5.6</v>
      </c>
      <c r="AI85" s="14">
        <f>IF('Données projet'!$A$62&gt;35,AI84+AH85-AQ84,IF(A85&lt;'Données projet'!$A$62,$AF$205^A85,IF(A85='Données projet'!$A$62,'Données projet'!$B$62,AI84+AH85-AQ84)))</f>
        <v>251.1999999999999</v>
      </c>
      <c r="AJ85" s="14">
        <f>AI85*VLOOKUP('Données projet'!$B$10,Paramètres!$A$1:$I$89,3,0)*VLOOKUP('Données projet'!$B$10,Paramètres!$A$1:$I$89,5,0)</f>
        <v>227.28575999999993</v>
      </c>
      <c r="AK85" s="14">
        <f t="shared" si="89"/>
        <v>55.695394520076327</v>
      </c>
      <c r="AL85" s="22">
        <f t="shared" si="58"/>
        <v>492.85884412246605</v>
      </c>
      <c r="AM85" s="62">
        <f t="shared" si="59"/>
        <v>786.19217745579931</v>
      </c>
      <c r="AN85" s="62">
        <f ca="1">AVERAGE(OFFSET($AM$3,0,0,'Données projet'!$E$10+1,1))-AVERAGE(OFFSET($H$3,0,0,'Données projet'!$E$10+1,1))</f>
        <v>428.8489304403459</v>
      </c>
      <c r="AO85" s="62">
        <f t="shared" si="90"/>
        <v>247.01165577562966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0</v>
      </c>
      <c r="AV85" s="23">
        <f>EXP(-LN(2)/25)*AV84+(1-EXP(-LN(2)/25))/(LN(2)/25)*Calculateur!AQ85*Calculateur!AS85*VLOOKUP('Données projet'!$B$10,Paramètres!$A$1:$I$89,3,0)*0.475*44/12</f>
        <v>0</v>
      </c>
      <c r="AW85" s="23">
        <f>EXP(-LN(2)/2)*AW84+(1-EXP(-LN(2)/2))/(LN(2)/2)*AQ85*AT85*VLOOKUP('Données projet'!$B$10,Paramètres!$A$1:$I$89,3,0)*0.475*44/12</f>
        <v>0</v>
      </c>
      <c r="AX85" s="23">
        <f t="shared" si="60"/>
        <v>0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5.6</v>
      </c>
      <c r="BD85" s="13">
        <f>IF('Données projet'!$A$88&gt;35,BD84+BC85-BL84,IF(A85&lt;'Données projet'!$A$88,$BA$205^A85,IF(A85='Données projet'!$A$88,'Données projet'!$B$88,BD84+BC85-BL84)))</f>
        <v>251.1999999999999</v>
      </c>
      <c r="BE85" s="14">
        <f>BD85*VLOOKUP('Données projet'!$B$11,Paramètres!$A$1:$I$89,3,0)*VLOOKUP('Données projet'!$B$11,Paramètres!$A$1:$I$89,5,0)</f>
        <v>254.71679999999992</v>
      </c>
      <c r="BF85" s="14">
        <f t="shared" si="91"/>
        <v>61.594871205031538</v>
      </c>
      <c r="BG85" s="22">
        <f t="shared" si="61"/>
        <v>550.9094940154298</v>
      </c>
      <c r="BH85" s="62">
        <f t="shared" si="62"/>
        <v>844.24282734876306</v>
      </c>
      <c r="BI85" s="62">
        <f ca="1">AVERAGE(OFFSET($BH$3,0,0,'Données projet'!$E$11+1,1))-AVERAGE(OFFSET($H$3,0,0,'Données projet'!$E$11+1,1))</f>
        <v>475.47920969424894</v>
      </c>
      <c r="BJ85" s="62">
        <f t="shared" si="92"/>
        <v>271.73544012419364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>
        <f>EXP(-LN(2)/35)*BP84+(1-EXP(-LN(2)/35))/(LN(2)/35)*BL85*BM85*VLOOKUP('Données projet'!$B$11,Paramètres!$A$1:$I$89,3,0)*0.475*44/12</f>
        <v>0</v>
      </c>
      <c r="BQ85" s="23">
        <f>EXP(-LN(2)/25)*BQ84+(1-EXP(-LN(2)/25))/(LN(2)/25)*Calculateur!BL85*Calculateur!BN85*VLOOKUP('Données projet'!$B$11,Paramètres!$A$1:$I$89,3,0)*0.475*44/12</f>
        <v>0</v>
      </c>
      <c r="BR85" s="23">
        <f>EXP(-LN(2)/2)*BR84+(1-EXP(-LN(2)/2))/(LN(2)/2)*BL85*BO85*VLOOKUP('Données projet'!$B$11,Paramètres!$A$1:$I$89,3,0)*0.475*44/12</f>
        <v>0</v>
      </c>
      <c r="BS85" s="24">
        <f t="shared" si="63"/>
        <v>0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2.2737367544323206E-13</v>
      </c>
      <c r="BZ85" s="14">
        <f>BY85*VLOOKUP('Données projet'!$B$12,Paramètres!$A$1:$I$89,3,0)*VLOOKUP('Données projet'!$B$12,Paramètres!$A$1:$I$89,5,0)</f>
        <v>1.2710188457276673E-13</v>
      </c>
      <c r="CA85" s="14">
        <f t="shared" si="93"/>
        <v>1.856866851063998E-12</v>
      </c>
      <c r="CB85" s="22">
        <f t="shared" si="64"/>
        <v>3.4554122145673649E-12</v>
      </c>
      <c r="CC85" s="62">
        <f t="shared" si="65"/>
        <v>293.33333333333678</v>
      </c>
      <c r="CD85" s="62">
        <f ca="1">AVERAGE(OFFSET($CC$3,0,0,'Données projet'!$E$12+1,1))-AVERAGE(OFFSET($H$3,0,0,'Données projet'!$E$12+1,1))</f>
        <v>323.98185264074681</v>
      </c>
      <c r="CE85" s="62">
        <f t="shared" si="94"/>
        <v>301.22207291854005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>
        <f>EXP(-LN(2)/35)*CK84+(1-EXP(-LN(2)/35))/(LN(2)/35)*CG85*CH85*VLOOKUP('Données projet'!$B$12,Paramètres!$A$1:$I$89,3,0)*0.475*44/12</f>
        <v>1.5933685672007862</v>
      </c>
      <c r="CL85" s="23">
        <f>EXP(-LN(2)/25)*CL84+(1-EXP(-LN(2)/25))/(LN(2)/25)*Calculateur!CG85*Calculateur!CI85*VLOOKUP('Données projet'!$B$12,Paramètres!$A$1:$I$89,3,0)*0.475*44/12</f>
        <v>1.9506052225706616</v>
      </c>
      <c r="CM85" s="23">
        <f>EXP(-LN(2)/2)*CM84+(1-EXP(-LN(2)/2))/(LN(2)/2)*CG85*CJ85*VLOOKUP('Données projet'!$B$12,Paramètres!$A$1:$I$89,3,0)*0.475*44/12</f>
        <v>9.0715396100551198E-8</v>
      </c>
      <c r="CN85" s="24">
        <f t="shared" si="66"/>
        <v>3.5439738804868437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4.4000000000000004</v>
      </c>
      <c r="CT85" s="13">
        <f>IF('Données projet'!$A$140&gt;35,CT84+CS85-DB84,IF(A85&lt;'Données projet'!$A$140,$CQ$205^A85,IF(A85='Données projet'!$A$140,'Données projet'!$B$140,CT84+CS85-DB84)))</f>
        <v>186.79999999999998</v>
      </c>
      <c r="CU85" s="18">
        <f>CT85*VLOOKUP('Données projet'!$B$13,Paramètres!$A$1:$I$89,3,0)*VLOOKUP('Données projet'!$B$13,Paramètres!$A$1:$I$89,5,0)</f>
        <v>212.72783999999996</v>
      </c>
      <c r="CV85" s="14">
        <f t="shared" si="95"/>
        <v>52.53123887963983</v>
      </c>
      <c r="CW85" s="22">
        <f t="shared" si="67"/>
        <v>461.99289571537264</v>
      </c>
      <c r="CX85" s="62">
        <f t="shared" si="68"/>
        <v>755.32622904870595</v>
      </c>
      <c r="CY85" s="62">
        <f ca="1">AVERAGE(OFFSET($CX$3,0,0,'Données projet'!$E$13+1,1))-AVERAGE(OFFSET($H$3,0,0,'Données projet'!$E$13+1,1))</f>
        <v>399.78832690250164</v>
      </c>
      <c r="CZ85" s="62">
        <f t="shared" si="96"/>
        <v>174.32967064896343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>
        <f>EXP(-LN(2)/35)*DF84+(1-EXP(-LN(2)/35))/(LN(2)/35)*DB85*DC85*VLOOKUP('Données projet'!$B$13,Paramètres!$A$1:$I$89,3,0)*0.475*44/12</f>
        <v>0</v>
      </c>
      <c r="DG85" s="23">
        <f>EXP(-LN(2)/25)*DG84+(1-EXP(-LN(2)/25))/(LN(2)/25)*Calculateur!DB85*Calculateur!DD85*VLOOKUP('Données projet'!$B$13,Paramètres!$A$1:$I$89,3,0)*0.475*44/12</f>
        <v>0</v>
      </c>
      <c r="DH85" s="23">
        <f>EXP(-LN(2)/2)*DH84+(1-EXP(-LN(2)/2))/(LN(2)/2)*DB85*DE85*VLOOKUP('Données projet'!$B$13,Paramètres!$A$1:$I$89,3,0)*0.475*44/12</f>
        <v>0</v>
      </c>
      <c r="DI85" s="24">
        <f t="shared" si="69"/>
        <v>0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5.6</v>
      </c>
      <c r="DO85" s="13">
        <f>IF('Données projet'!$A$166&gt;35,DO84+DN85-DW84,IF(A85&lt;'Données projet'!$A$166,$DL$205^A85,IF(A85='Données projet'!$A$166,'Données projet'!$B$166,DO84+DN85-DW84)))</f>
        <v>251.1999999999999</v>
      </c>
      <c r="DP85" s="18">
        <f>DO85*VLOOKUP('Données projet'!$B$14,Paramètres!$A$1:$I$89,3,0)*VLOOKUP('Données projet'!$B$14,Paramètres!$A$1:$I$89,5,0)</f>
        <v>211.61087999999995</v>
      </c>
      <c r="DQ85" s="14">
        <f t="shared" si="97"/>
        <v>52.287446798055761</v>
      </c>
      <c r="DR85" s="22">
        <f t="shared" si="70"/>
        <v>459.62291917328042</v>
      </c>
      <c r="DS85" s="62">
        <f t="shared" si="71"/>
        <v>752.95625250661374</v>
      </c>
      <c r="DT85" s="62">
        <f ca="1">AVERAGE(OFFSET($DS$3,0,0,'Données projet'!$E$14+1,1))-AVERAGE(OFFSET($H$3,0,0,'Données projet'!$E$14+1,1))</f>
        <v>402.15128814037058</v>
      </c>
      <c r="DU85" s="62">
        <f t="shared" si="98"/>
        <v>232.85411068442738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>
        <f>EXP(-LN(2)/35)*EA84+(1-EXP(-LN(2)/35))/(LN(2)/35)*DW85*DX85*VLOOKUP('Données projet'!$B$14,Paramètres!$A$1:$I$89,3,0)*0.475*44/12</f>
        <v>0</v>
      </c>
      <c r="EB85" s="23">
        <f>EXP(-LN(2)/25)*EB84+(1-EXP(-LN(2)/25))/(LN(2)/25)*Calculateur!DW85*Calculateur!DY85*VLOOKUP('Données projet'!$B$14,Paramètres!$A$1:$I$89,3,0)*0.475*44/12</f>
        <v>0</v>
      </c>
      <c r="EC85" s="23">
        <f>EXP(-LN(2)/2)*EC84+(1-EXP(-LN(2)/2))/(LN(2)/2)*DW85*DZ85*VLOOKUP('Données projet'!$B$14,Paramètres!$A$1:$I$89,3,0)*0.475*44/12</f>
        <v>0</v>
      </c>
      <c r="ED85" s="24">
        <f t="shared" si="72"/>
        <v>0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4.7435897435897347</v>
      </c>
      <c r="EJ85" s="13">
        <f>IF('Données projet'!$A$192&gt;35,EJ84+EI85-ER84,IF(A85&lt;'Données projet'!$A$192,$EG$205^A85,IF(A85='Données projet'!$A$192,'Données projet'!$B$192,EJ84+EI85-ER84)))</f>
        <v>324.23076923076951</v>
      </c>
      <c r="EK85" s="18">
        <f>EJ85*VLOOKUP('Données projet'!$B$15,Paramètres!$A$1:$I$89,3,0)*VLOOKUP('Données projet'!$B$15,Paramètres!$A$1:$I$89,5,0)</f>
        <v>338.88600000000031</v>
      </c>
      <c r="EL85" s="14">
        <f t="shared" si="99"/>
        <v>79.269743025826031</v>
      </c>
      <c r="EM85" s="22">
        <f t="shared" si="73"/>
        <v>728.28791910331404</v>
      </c>
      <c r="EN85" s="62">
        <f t="shared" si="74"/>
        <v>1021.6212524366474</v>
      </c>
      <c r="EO85" s="62">
        <f ca="1">AVERAGE(OFFSET($EN$3,0,0,'Données projet'!$E$15+1,1))-AVERAGE(OFFSET($H$3,0,0,'Données projet'!$E$15+1,1))</f>
        <v>595.89992279024398</v>
      </c>
      <c r="EP85" s="62">
        <f t="shared" si="100"/>
        <v>378.16197659288338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>
        <f>EXP(-LN(2)/35)*EV84+(1-EXP(-LN(2)/35))/(LN(2)/35)*ER85*ES85*VLOOKUP('Données projet'!$B$15,Paramètres!$A$1:$I$89,3,0)*0.475*44/12</f>
        <v>0</v>
      </c>
      <c r="EW85" s="23">
        <f>EXP(-LN(2)/25)*EW84+(1-EXP(-LN(2)/25))/(LN(2)/25)*Calculateur!ER85*Calculateur!ET85*VLOOKUP('Données projet'!$B$15,Paramètres!$A$1:$I$89,3,0)*0.475*44/12</f>
        <v>0</v>
      </c>
      <c r="EX85" s="23">
        <f>EXP(-LN(2)/2)*EX84+(1-EXP(-LN(2)/2))/(LN(2)/2)*ER85*EU85*VLOOKUP('Données projet'!$B$15,Paramètres!$A$1:$I$89,3,0)*0.475*44/12</f>
        <v>0</v>
      </c>
      <c r="EY85" s="24">
        <f t="shared" si="75"/>
        <v>0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-2.2737367544323206E-13</v>
      </c>
      <c r="FF85" s="18">
        <f>FE85*VLOOKUP('Données projet'!$B$16,Paramètres!$A$1:$I$89,3,0)*VLOOKUP('Données projet'!$B$16,Paramètres!$A$1:$I$89,5,0)</f>
        <v>-1.3596945791505279E-13</v>
      </c>
      <c r="FG85" s="14" t="e">
        <f t="shared" si="101"/>
        <v>#NUM!</v>
      </c>
      <c r="FH85" s="22" t="e">
        <f t="shared" si="76"/>
        <v>#NUM!</v>
      </c>
      <c r="FI85" s="62" t="e">
        <f t="shared" si="77"/>
        <v>#NUM!</v>
      </c>
      <c r="FJ85" s="62">
        <f ca="1">AVERAGE(OFFSET($FI$3,0,0,'Données projet'!$E$16+1,1))-AVERAGE(OFFSET($H$3,0,0,'Données projet'!$E$16+1,1))</f>
        <v>257.56116197646924</v>
      </c>
      <c r="FK85" s="62">
        <f t="shared" si="102"/>
        <v>269.95556918835888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>
        <f>EXP(-LN(2)/35)*FQ84+(1-EXP(-LN(2)/35))/(LN(2)/35)*FM85*FN85*VLOOKUP('Données projet'!$B$16,Paramètres!$A$1:$I$89,3,0)*0.475*44/12</f>
        <v>5.2066202966399713</v>
      </c>
      <c r="FR85" s="23">
        <f>EXP(-LN(2)/25)*FR84+(1-EXP(-LN(2)/25))/(LN(2)/25)*Calculateur!FM85*Calculateur!FO85*VLOOKUP('Données projet'!$B$16,Paramètres!$A$1:$I$89,3,0)*0.475*44/12</f>
        <v>3.8180694241479971</v>
      </c>
      <c r="FS85" s="23">
        <f>EXP(-LN(2)/2)*FS84+(1-EXP(-LN(2)/2))/(LN(2)/2)*FM85*FP85*VLOOKUP('Données projet'!$B$16,Paramètres!$A$1:$I$89,3,0)*0.475*44/12</f>
        <v>1.2746577593646919E-7</v>
      </c>
      <c r="FT85" s="24">
        <f t="shared" si="78"/>
        <v>9.024689848253745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-2.8421709430404007E-13</v>
      </c>
      <c r="GA85" s="18">
        <f>FZ85*VLOOKUP('Données projet'!$B$17,Paramètres!$A$1:$I$89,3,0)*VLOOKUP('Données projet'!$B$17,Paramètres!$A$1:$I$89,5,0)</f>
        <v>-1.69961822393816E-13</v>
      </c>
      <c r="GB85" s="14" t="e">
        <f t="shared" si="103"/>
        <v>#NUM!</v>
      </c>
      <c r="GC85" s="22" t="e">
        <f t="shared" si="79"/>
        <v>#NUM!</v>
      </c>
      <c r="GD85" s="62" t="e">
        <f t="shared" si="80"/>
        <v>#NUM!</v>
      </c>
      <c r="GE85" s="62">
        <f ca="1">AVERAGE(OFFSET($GD$3,0,0,'Données projet'!$E$17+1,1))-AVERAGE(OFFSET($H$3,0,0,'Données projet'!$E$17+1,1))</f>
        <v>289.12367833861299</v>
      </c>
      <c r="GF85" s="62">
        <f t="shared" si="104"/>
        <v>229.06617320689003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>
        <f>EXP(-LN(2)/35)*GL84+(1-EXP(-LN(2)/35))/(LN(2)/35)*GH85*GI85*VLOOKUP('Données projet'!$B$17,Paramètres!$A$1:$I$89,3,0)*0.475*44/12</f>
        <v>0</v>
      </c>
      <c r="GM85" s="23">
        <f>EXP(-LN(2)/25)*GM84+(1-EXP(-LN(2)/25))/(LN(2)/25)*Calculateur!GH85*Calculateur!GJ85*VLOOKUP('Données projet'!$B$17,Paramètres!$A$1:$I$89,3,0)*0.475*44/12</f>
        <v>0</v>
      </c>
      <c r="GN85" s="23">
        <f>EXP(-LN(2)/2)*GN84+(1-EXP(-LN(2)/2))/(LN(2)/2)*GH85*GK85*VLOOKUP('Données projet'!$B$17,Paramètres!$A$1:$I$89,3,0)*0.475*44/12</f>
        <v>6.1792657941959046E-8</v>
      </c>
      <c r="GO85" s="23">
        <f t="shared" si="81"/>
        <v>6.1792657941959046E-8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9.6128205128205195</v>
      </c>
      <c r="GU85" s="13">
        <f>IF('Données projet'!$A$270&gt;35,GU84+GT85-HC84,IF(A85&lt;'Données projet'!$A$270,$GR$205^A85,IF(A85='Données projet'!$A$270,'Données projet'!$B$270,GU84+GT85-HC84)))</f>
        <v>349.99230769230769</v>
      </c>
      <c r="GV85" s="18">
        <f>GU85*VLOOKUP('Données projet'!$B$18,Paramètres!$A$1:$I$89,3,0)*VLOOKUP('Données projet'!$B$18,Paramètres!$A$1:$I$89,5,0)</f>
        <v>163.79640000000001</v>
      </c>
      <c r="GW85" s="14">
        <f t="shared" si="105"/>
        <v>41.697631851997592</v>
      </c>
      <c r="GX85" s="22">
        <f t="shared" si="82"/>
        <v>357.90210547556245</v>
      </c>
      <c r="GY85" s="62">
        <f t="shared" si="83"/>
        <v>651.23543880889576</v>
      </c>
      <c r="GZ85" s="62">
        <f ca="1">AVERAGE(OFFSET($GY$3,0,0,'Données projet'!$E$18+1,1))-AVERAGE(OFFSET($H$3,0,0,'Données projet'!$E$18+1,1))</f>
        <v>284.88646502866419</v>
      </c>
      <c r="HA85" s="62">
        <f t="shared" si="106"/>
        <v>190.4880882944471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>
        <f>EXP(-LN(2)/35)*HG84+(1-EXP(-LN(2)/35))/(LN(2)/35)*HC85*HD85*VLOOKUP('Données projet'!$B$18,Paramètres!$A$1:$I$89,3,0)*0.475*44/12</f>
        <v>0</v>
      </c>
      <c r="HH85" s="23">
        <f>EXP(-LN(2)/25)*HH84+(1-EXP(-LN(2)/25))/(LN(2)/25)*Calculateur!HC85*Calculateur!HE85*VLOOKUP('Données projet'!$B$18,Paramètres!$A$1:$I$89,3,0)*0.475*44/12</f>
        <v>0</v>
      </c>
      <c r="HI85" s="23">
        <f>EXP(-LN(2)/2)*HI84+(1-EXP(-LN(2)/2))/(LN(2)/2)*HC85*HF85*VLOOKUP('Données projet'!$B$18,Paramètres!$A$1:$I$89,3,0)*0.475*44/12</f>
        <v>0</v>
      </c>
      <c r="HJ85" s="24">
        <f t="shared" si="84"/>
        <v>0</v>
      </c>
    </row>
    <row r="86" spans="1:218" s="5" customFormat="1" x14ac:dyDescent="0.25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2">
        <f t="shared" si="86"/>
        <v>0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0</v>
      </c>
      <c r="H86" s="70">
        <f t="shared" si="56"/>
        <v>256.66666666666669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3.8461538461538454</v>
      </c>
      <c r="N86" s="14">
        <f>IF('Données projet'!$A$36&gt;35,N85+M86-V85,IF(A86&lt;'Données projet'!$A$36,$K$205^A86,IF(A86='Données projet'!$A$36,'Données projet'!$B$36,N85+M86-V85)))</f>
        <v>211.53846153846146</v>
      </c>
      <c r="O86" s="14">
        <f>N86*VLOOKUP('Données projet'!$B$9,Paramètres!$A$1:$I$89,3,0)*VLOOKUP('Données projet'!$B$9,Paramètres!$A$1:$I$89,5,0)</f>
        <v>201.29999999999993</v>
      </c>
      <c r="P86" s="14">
        <f t="shared" si="87"/>
        <v>50.029760558277118</v>
      </c>
      <c r="Q86" s="22">
        <f t="shared" si="54"/>
        <v>437.73266630566582</v>
      </c>
      <c r="R86" s="62">
        <f t="shared" si="55"/>
        <v>731.06599963899907</v>
      </c>
      <c r="S86" s="62">
        <f ca="1">AVERAGE(OFFSET($R$3,0,0,'Données projet'!$E$9+1,1))-AVERAGE(OFFSET($H$3,0,0,'Données projet'!$E$9+1,1))</f>
        <v>367.11183928586667</v>
      </c>
      <c r="T86" s="62">
        <f t="shared" si="88"/>
        <v>281.52963027844595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0</v>
      </c>
      <c r="AA86" s="23">
        <f>EXP(-LN(2)/25)*AA85+(1-EXP(-LN(2)/25))/(LN(2)/25)*Calculateur!V86*Calculateur!X86*VLOOKUP('Données projet'!$B$9,Paramètres!$A$1:$I$89,3,0)*0.475*44/12</f>
        <v>0</v>
      </c>
      <c r="AB86" s="23">
        <f>EXP(-LN(2)/2)*AB85+(1-EXP(-LN(2)/2))/(LN(2)/2)*V86*Y86*VLOOKUP('Données projet'!$B$9,Paramètres!$A$1:$I$89,3,0)*0.475*44/12</f>
        <v>0</v>
      </c>
      <c r="AC86" s="24">
        <f t="shared" si="57"/>
        <v>0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5.6</v>
      </c>
      <c r="AI86" s="14">
        <f>IF('Données projet'!$A$62&gt;35,AI85+AH86-AQ85,IF(A86&lt;'Données projet'!$A$62,$AF$205^A86,IF(A86='Données projet'!$A$62,'Données projet'!$B$62,AI85+AH86-AQ85)))</f>
        <v>256.7999999999999</v>
      </c>
      <c r="AJ86" s="14">
        <f>AI86*VLOOKUP('Données projet'!$B$10,Paramètres!$A$1:$I$89,3,0)*VLOOKUP('Données projet'!$B$10,Paramètres!$A$1:$I$89,5,0)</f>
        <v>232.35263999999989</v>
      </c>
      <c r="AK86" s="14">
        <f t="shared" si="89"/>
        <v>56.791075613550255</v>
      </c>
      <c r="AL86" s="22">
        <f t="shared" si="58"/>
        <v>503.59197136026643</v>
      </c>
      <c r="AM86" s="62">
        <f t="shared" si="59"/>
        <v>796.92530469359974</v>
      </c>
      <c r="AN86" s="62">
        <f ca="1">AVERAGE(OFFSET($AM$3,0,0,'Données projet'!$E$10+1,1))-AVERAGE(OFFSET($H$3,0,0,'Données projet'!$E$10+1,1))</f>
        <v>428.8489304403459</v>
      </c>
      <c r="AO86" s="62">
        <f t="shared" si="90"/>
        <v>247.01165577562966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0</v>
      </c>
      <c r="AV86" s="23">
        <f>EXP(-LN(2)/25)*AV85+(1-EXP(-LN(2)/25))/(LN(2)/25)*Calculateur!AQ86*Calculateur!AS86*VLOOKUP('Données projet'!$B$10,Paramètres!$A$1:$I$89,3,0)*0.475*44/12</f>
        <v>0</v>
      </c>
      <c r="AW86" s="23">
        <f>EXP(-LN(2)/2)*AW85+(1-EXP(-LN(2)/2))/(LN(2)/2)*AQ86*AT86*VLOOKUP('Données projet'!$B$10,Paramètres!$A$1:$I$89,3,0)*0.475*44/12</f>
        <v>0</v>
      </c>
      <c r="AX86" s="23">
        <f t="shared" si="60"/>
        <v>0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5.6</v>
      </c>
      <c r="BD86" s="13">
        <f>IF('Données projet'!$A$88&gt;35,BD85+BC86-BL85,IF(A86&lt;'Données projet'!$A$88,$BA$205^A86,IF(A86='Données projet'!$A$88,'Données projet'!$B$88,BD85+BC86-BL85)))</f>
        <v>256.7999999999999</v>
      </c>
      <c r="BE86" s="14">
        <f>BD86*VLOOKUP('Données projet'!$B$11,Paramètres!$A$1:$I$89,3,0)*VLOOKUP('Données projet'!$B$11,Paramètres!$A$1:$I$89,5,0)</f>
        <v>260.39519999999987</v>
      </c>
      <c r="BF86" s="14">
        <f t="shared" si="91"/>
        <v>62.806611177714331</v>
      </c>
      <c r="BG86" s="22">
        <f t="shared" si="61"/>
        <v>562.90982113451889</v>
      </c>
      <c r="BH86" s="62">
        <f t="shared" si="62"/>
        <v>856.24315446785226</v>
      </c>
      <c r="BI86" s="62">
        <f ca="1">AVERAGE(OFFSET($BH$3,0,0,'Données projet'!$E$11+1,1))-AVERAGE(OFFSET($H$3,0,0,'Données projet'!$E$11+1,1))</f>
        <v>475.47920969424894</v>
      </c>
      <c r="BJ86" s="62">
        <f t="shared" si="92"/>
        <v>271.73544012419364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>
        <f>EXP(-LN(2)/35)*BP85+(1-EXP(-LN(2)/35))/(LN(2)/35)*BL86*BM86*VLOOKUP('Données projet'!$B$11,Paramètres!$A$1:$I$89,3,0)*0.475*44/12</f>
        <v>0</v>
      </c>
      <c r="BQ86" s="23">
        <f>EXP(-LN(2)/25)*BQ85+(1-EXP(-LN(2)/25))/(LN(2)/25)*Calculateur!BL86*Calculateur!BN86*VLOOKUP('Données projet'!$B$11,Paramètres!$A$1:$I$89,3,0)*0.475*44/12</f>
        <v>0</v>
      </c>
      <c r="BR86" s="23">
        <f>EXP(-LN(2)/2)*BR85+(1-EXP(-LN(2)/2))/(LN(2)/2)*BL86*BO86*VLOOKUP('Données projet'!$B$11,Paramètres!$A$1:$I$89,3,0)*0.475*44/12</f>
        <v>0</v>
      </c>
      <c r="BS86" s="24">
        <f t="shared" si="63"/>
        <v>0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2.2737367544323206E-13</v>
      </c>
      <c r="BZ86" s="14">
        <f>BY86*VLOOKUP('Données projet'!$B$12,Paramètres!$A$1:$I$89,3,0)*VLOOKUP('Données projet'!$B$12,Paramètres!$A$1:$I$89,5,0)</f>
        <v>1.2710188457276673E-13</v>
      </c>
      <c r="CA86" s="14">
        <f t="shared" si="93"/>
        <v>1.856866851063998E-12</v>
      </c>
      <c r="CB86" s="22">
        <f t="shared" si="64"/>
        <v>3.4554122145673649E-12</v>
      </c>
      <c r="CC86" s="62">
        <f t="shared" si="65"/>
        <v>293.33333333333678</v>
      </c>
      <c r="CD86" s="62">
        <f ca="1">AVERAGE(OFFSET($CC$3,0,0,'Données projet'!$E$12+1,1))-AVERAGE(OFFSET($H$3,0,0,'Données projet'!$E$12+1,1))</f>
        <v>323.98185264074681</v>
      </c>
      <c r="CE86" s="62">
        <f t="shared" si="94"/>
        <v>301.22207291854005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>
        <f>EXP(-LN(2)/35)*CK85+(1-EXP(-LN(2)/35))/(LN(2)/35)*CG86*CH86*VLOOKUP('Données projet'!$B$12,Paramètres!$A$1:$I$89,3,0)*0.475*44/12</f>
        <v>1.5621235814568417</v>
      </c>
      <c r="CL86" s="23">
        <f>EXP(-LN(2)/25)*CL85+(1-EXP(-LN(2)/25))/(LN(2)/25)*Calculateur!CG86*Calculateur!CI86*VLOOKUP('Données projet'!$B$12,Paramètres!$A$1:$I$89,3,0)*0.475*44/12</f>
        <v>1.8972658201815964</v>
      </c>
      <c r="CM86" s="23">
        <f>EXP(-LN(2)/2)*CM85+(1-EXP(-LN(2)/2))/(LN(2)/2)*CG86*CJ86*VLOOKUP('Données projet'!$B$12,Paramètres!$A$1:$I$89,3,0)*0.475*44/12</f>
        <v>6.4145471740723441E-8</v>
      </c>
      <c r="CN86" s="24">
        <f t="shared" si="66"/>
        <v>3.4593894657839095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4.4000000000000004</v>
      </c>
      <c r="CT86" s="13">
        <f>IF('Données projet'!$A$140&gt;35,CT85+CS86-DB85,IF(A86&lt;'Données projet'!$A$140,$CQ$205^A86,IF(A86='Données projet'!$A$140,'Données projet'!$B$140,CT85+CS86-DB85)))</f>
        <v>191.2</v>
      </c>
      <c r="CU86" s="18">
        <f>CT86*VLOOKUP('Données projet'!$B$13,Paramètres!$A$1:$I$89,3,0)*VLOOKUP('Données projet'!$B$13,Paramètres!$A$1:$I$89,5,0)</f>
        <v>217.73856000000001</v>
      </c>
      <c r="CV86" s="14">
        <f t="shared" si="95"/>
        <v>53.623077729615503</v>
      </c>
      <c r="CW86" s="22">
        <f t="shared" si="67"/>
        <v>472.62151904574694</v>
      </c>
      <c r="CX86" s="62">
        <f t="shared" si="68"/>
        <v>765.95485237908019</v>
      </c>
      <c r="CY86" s="62">
        <f ca="1">AVERAGE(OFFSET($CX$3,0,0,'Données projet'!$E$13+1,1))-AVERAGE(OFFSET($H$3,0,0,'Données projet'!$E$13+1,1))</f>
        <v>399.78832690250164</v>
      </c>
      <c r="CZ86" s="62">
        <f t="shared" si="96"/>
        <v>174.32967064896343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>
        <f>EXP(-LN(2)/35)*DF85+(1-EXP(-LN(2)/35))/(LN(2)/35)*DB86*DC86*VLOOKUP('Données projet'!$B$13,Paramètres!$A$1:$I$89,3,0)*0.475*44/12</f>
        <v>0</v>
      </c>
      <c r="DG86" s="23">
        <f>EXP(-LN(2)/25)*DG85+(1-EXP(-LN(2)/25))/(LN(2)/25)*Calculateur!DB86*Calculateur!DD86*VLOOKUP('Données projet'!$B$13,Paramètres!$A$1:$I$89,3,0)*0.475*44/12</f>
        <v>0</v>
      </c>
      <c r="DH86" s="23">
        <f>EXP(-LN(2)/2)*DH85+(1-EXP(-LN(2)/2))/(LN(2)/2)*DB86*DE86*VLOOKUP('Données projet'!$B$13,Paramètres!$A$1:$I$89,3,0)*0.475*44/12</f>
        <v>0</v>
      </c>
      <c r="DI86" s="24">
        <f t="shared" si="69"/>
        <v>0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5.6</v>
      </c>
      <c r="DO86" s="13">
        <f>IF('Données projet'!$A$166&gt;35,DO85+DN86-DW85,IF(A86&lt;'Données projet'!$A$166,$DL$205^A86,IF(A86='Données projet'!$A$166,'Données projet'!$B$166,DO85+DN86-DW85)))</f>
        <v>256.7999999999999</v>
      </c>
      <c r="DP86" s="18">
        <f>DO86*VLOOKUP('Données projet'!$B$14,Paramètres!$A$1:$I$89,3,0)*VLOOKUP('Données projet'!$B$14,Paramètres!$A$1:$I$89,5,0)</f>
        <v>216.32831999999991</v>
      </c>
      <c r="DQ86" s="14">
        <f t="shared" si="97"/>
        <v>53.316084217295149</v>
      </c>
      <c r="DR86" s="22">
        <f t="shared" si="70"/>
        <v>469.6306706784556</v>
      </c>
      <c r="DS86" s="62">
        <f t="shared" si="71"/>
        <v>762.96400401178892</v>
      </c>
      <c r="DT86" s="62">
        <f ca="1">AVERAGE(OFFSET($DS$3,0,0,'Données projet'!$E$14+1,1))-AVERAGE(OFFSET($H$3,0,0,'Données projet'!$E$14+1,1))</f>
        <v>402.15128814037058</v>
      </c>
      <c r="DU86" s="62">
        <f t="shared" si="98"/>
        <v>232.85411068442738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>
        <f>EXP(-LN(2)/35)*EA85+(1-EXP(-LN(2)/35))/(LN(2)/35)*DW86*DX86*VLOOKUP('Données projet'!$B$14,Paramètres!$A$1:$I$89,3,0)*0.475*44/12</f>
        <v>0</v>
      </c>
      <c r="EB86" s="23">
        <f>EXP(-LN(2)/25)*EB85+(1-EXP(-LN(2)/25))/(LN(2)/25)*Calculateur!DW86*Calculateur!DY86*VLOOKUP('Données projet'!$B$14,Paramètres!$A$1:$I$89,3,0)*0.475*44/12</f>
        <v>0</v>
      </c>
      <c r="EC86" s="23">
        <f>EXP(-LN(2)/2)*EC85+(1-EXP(-LN(2)/2))/(LN(2)/2)*DW86*DZ86*VLOOKUP('Données projet'!$B$14,Paramètres!$A$1:$I$89,3,0)*0.475*44/12</f>
        <v>0</v>
      </c>
      <c r="ED86" s="24">
        <f t="shared" si="72"/>
        <v>0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4.7435897435897347</v>
      </c>
      <c r="EJ86" s="13">
        <f>IF('Données projet'!$A$192&gt;35,EJ85+EI86-ER85,IF(A86&lt;'Données projet'!$A$192,$EG$205^A86,IF(A86='Données projet'!$A$192,'Données projet'!$B$192,EJ85+EI86-ER85)))</f>
        <v>328.97435897435923</v>
      </c>
      <c r="EK86" s="18">
        <f>EJ86*VLOOKUP('Données projet'!$B$15,Paramètres!$A$1:$I$89,3,0)*VLOOKUP('Données projet'!$B$15,Paramètres!$A$1:$I$89,5,0)</f>
        <v>343.84400000000028</v>
      </c>
      <c r="EL86" s="14">
        <f t="shared" si="99"/>
        <v>80.293620763087603</v>
      </c>
      <c r="EM86" s="22">
        <f t="shared" si="73"/>
        <v>738.70635616237803</v>
      </c>
      <c r="EN86" s="62">
        <f t="shared" si="74"/>
        <v>1032.0396894957114</v>
      </c>
      <c r="EO86" s="62">
        <f ca="1">AVERAGE(OFFSET($EN$3,0,0,'Données projet'!$E$15+1,1))-AVERAGE(OFFSET($H$3,0,0,'Données projet'!$E$15+1,1))</f>
        <v>595.89992279024398</v>
      </c>
      <c r="EP86" s="62">
        <f t="shared" si="100"/>
        <v>378.16197659288338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>
        <f>EXP(-LN(2)/35)*EV85+(1-EXP(-LN(2)/35))/(LN(2)/35)*ER86*ES86*VLOOKUP('Données projet'!$B$15,Paramètres!$A$1:$I$89,3,0)*0.475*44/12</f>
        <v>0</v>
      </c>
      <c r="EW86" s="23">
        <f>EXP(-LN(2)/25)*EW85+(1-EXP(-LN(2)/25))/(LN(2)/25)*Calculateur!ER86*Calculateur!ET86*VLOOKUP('Données projet'!$B$15,Paramètres!$A$1:$I$89,3,0)*0.475*44/12</f>
        <v>0</v>
      </c>
      <c r="EX86" s="23">
        <f>EXP(-LN(2)/2)*EX85+(1-EXP(-LN(2)/2))/(LN(2)/2)*ER86*EU86*VLOOKUP('Données projet'!$B$15,Paramètres!$A$1:$I$89,3,0)*0.475*44/12</f>
        <v>0</v>
      </c>
      <c r="EY86" s="24">
        <f t="shared" si="75"/>
        <v>0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-2.2737367544323206E-13</v>
      </c>
      <c r="FF86" s="18">
        <f>FE86*VLOOKUP('Données projet'!$B$16,Paramètres!$A$1:$I$89,3,0)*VLOOKUP('Données projet'!$B$16,Paramètres!$A$1:$I$89,5,0)</f>
        <v>-1.3596945791505279E-13</v>
      </c>
      <c r="FG86" s="14" t="e">
        <f t="shared" si="101"/>
        <v>#NUM!</v>
      </c>
      <c r="FH86" s="22" t="e">
        <f t="shared" si="76"/>
        <v>#NUM!</v>
      </c>
      <c r="FI86" s="62" t="e">
        <f t="shared" si="77"/>
        <v>#NUM!</v>
      </c>
      <c r="FJ86" s="62">
        <f ca="1">AVERAGE(OFFSET($FI$3,0,0,'Données projet'!$E$16+1,1))-AVERAGE(OFFSET($H$3,0,0,'Données projet'!$E$16+1,1))</f>
        <v>257.56116197646924</v>
      </c>
      <c r="FK86" s="62">
        <f t="shared" si="102"/>
        <v>269.95556918835888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>
        <f>EXP(-LN(2)/35)*FQ85+(1-EXP(-LN(2)/35))/(LN(2)/35)*FM86*FN86*VLOOKUP('Données projet'!$B$16,Paramètres!$A$1:$I$89,3,0)*0.475*44/12</f>
        <v>5.1045216483476654</v>
      </c>
      <c r="FR86" s="23">
        <f>EXP(-LN(2)/25)*FR85+(1-EXP(-LN(2)/25))/(LN(2)/25)*Calculateur!FM86*Calculateur!FO86*VLOOKUP('Données projet'!$B$16,Paramètres!$A$1:$I$89,3,0)*0.475*44/12</f>
        <v>3.7136641149611256</v>
      </c>
      <c r="FS86" s="23">
        <f>EXP(-LN(2)/2)*FS85+(1-EXP(-LN(2)/2))/(LN(2)/2)*FM86*FP86*VLOOKUP('Données projet'!$B$16,Paramètres!$A$1:$I$89,3,0)*0.475*44/12</f>
        <v>9.0131914533882413E-8</v>
      </c>
      <c r="FT86" s="24">
        <f t="shared" si="78"/>
        <v>8.8181858534407045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-2.8421709430404007E-13</v>
      </c>
      <c r="GA86" s="18">
        <f>FZ86*VLOOKUP('Données projet'!$B$17,Paramètres!$A$1:$I$89,3,0)*VLOOKUP('Données projet'!$B$17,Paramètres!$A$1:$I$89,5,0)</f>
        <v>-1.69961822393816E-13</v>
      </c>
      <c r="GB86" s="14" t="e">
        <f t="shared" si="103"/>
        <v>#NUM!</v>
      </c>
      <c r="GC86" s="22" t="e">
        <f t="shared" si="79"/>
        <v>#NUM!</v>
      </c>
      <c r="GD86" s="62" t="e">
        <f t="shared" si="80"/>
        <v>#NUM!</v>
      </c>
      <c r="GE86" s="62">
        <f ca="1">AVERAGE(OFFSET($GD$3,0,0,'Données projet'!$E$17+1,1))-AVERAGE(OFFSET($H$3,0,0,'Données projet'!$E$17+1,1))</f>
        <v>289.12367833861299</v>
      </c>
      <c r="GF86" s="62">
        <f t="shared" si="104"/>
        <v>229.06617320689003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>
        <f>EXP(-LN(2)/35)*GL85+(1-EXP(-LN(2)/35))/(LN(2)/35)*GH86*GI86*VLOOKUP('Données projet'!$B$17,Paramètres!$A$1:$I$89,3,0)*0.475*44/12</f>
        <v>0</v>
      </c>
      <c r="GM86" s="23">
        <f>EXP(-LN(2)/25)*GM85+(1-EXP(-LN(2)/25))/(LN(2)/25)*Calculateur!GH86*Calculateur!GJ86*VLOOKUP('Données projet'!$B$17,Paramètres!$A$1:$I$89,3,0)*0.475*44/12</f>
        <v>0</v>
      </c>
      <c r="GN86" s="23">
        <f>EXP(-LN(2)/2)*GN85+(1-EXP(-LN(2)/2))/(LN(2)/2)*GH86*GK86*VLOOKUP('Données projet'!$B$17,Paramètres!$A$1:$I$89,3,0)*0.475*44/12</f>
        <v>4.3694007458300014E-8</v>
      </c>
      <c r="GO86" s="23">
        <f t="shared" si="81"/>
        <v>4.3694007458300014E-8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9.6128205128205195</v>
      </c>
      <c r="GU86" s="13">
        <f>IF('Données projet'!$A$270&gt;35,GU85+GT86-HC85,IF(A86&lt;'Données projet'!$A$270,$GR$205^A86,IF(A86='Données projet'!$A$270,'Données projet'!$B$270,GU85+GT86-HC85)))</f>
        <v>359.60512820512821</v>
      </c>
      <c r="GV86" s="18">
        <f>GU86*VLOOKUP('Données projet'!$B$18,Paramètres!$A$1:$I$89,3,0)*VLOOKUP('Données projet'!$B$18,Paramètres!$A$1:$I$89,5,0)</f>
        <v>168.29520000000002</v>
      </c>
      <c r="GW86" s="14">
        <f t="shared" si="105"/>
        <v>42.707981414721587</v>
      </c>
      <c r="GX86" s="22">
        <f t="shared" si="82"/>
        <v>367.4972076306401</v>
      </c>
      <c r="GY86" s="62">
        <f t="shared" si="83"/>
        <v>660.83054096397336</v>
      </c>
      <c r="GZ86" s="62">
        <f ca="1">AVERAGE(OFFSET($GY$3,0,0,'Données projet'!$E$18+1,1))-AVERAGE(OFFSET($H$3,0,0,'Données projet'!$E$18+1,1))</f>
        <v>284.88646502866419</v>
      </c>
      <c r="HA86" s="62">
        <f t="shared" si="106"/>
        <v>190.4880882944471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>
        <f>EXP(-LN(2)/35)*HG85+(1-EXP(-LN(2)/35))/(LN(2)/35)*HC86*HD86*VLOOKUP('Données projet'!$B$18,Paramètres!$A$1:$I$89,3,0)*0.475*44/12</f>
        <v>0</v>
      </c>
      <c r="HH86" s="23">
        <f>EXP(-LN(2)/25)*HH85+(1-EXP(-LN(2)/25))/(LN(2)/25)*Calculateur!HC86*Calculateur!HE86*VLOOKUP('Données projet'!$B$18,Paramètres!$A$1:$I$89,3,0)*0.475*44/12</f>
        <v>0</v>
      </c>
      <c r="HI86" s="23">
        <f>EXP(-LN(2)/2)*HI85+(1-EXP(-LN(2)/2))/(LN(2)/2)*HC86*HF86*VLOOKUP('Données projet'!$B$18,Paramètres!$A$1:$I$89,3,0)*0.475*44/12</f>
        <v>0</v>
      </c>
      <c r="HJ86" s="24">
        <f t="shared" si="84"/>
        <v>0</v>
      </c>
    </row>
    <row r="87" spans="1:218" s="5" customFormat="1" x14ac:dyDescent="0.25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2">
        <f t="shared" si="86"/>
        <v>0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0</v>
      </c>
      <c r="H87" s="70">
        <f t="shared" si="56"/>
        <v>256.66666666666669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3.8461538461538454</v>
      </c>
      <c r="N87" s="14">
        <f>IF('Données projet'!$A$36&gt;35,N86+M87-V86,IF(A87&lt;'Données projet'!$A$36,$K$205^A87,IF(A87='Données projet'!$A$36,'Données projet'!$B$36,N86+M87-V86)))</f>
        <v>215.3846153846153</v>
      </c>
      <c r="O87" s="14">
        <f>N87*VLOOKUP('Données projet'!$B$9,Paramètres!$A$1:$I$89,3,0)*VLOOKUP('Données projet'!$B$9,Paramètres!$A$1:$I$89,5,0)</f>
        <v>204.95999999999992</v>
      </c>
      <c r="P87" s="14">
        <f t="shared" si="87"/>
        <v>50.832666587809335</v>
      </c>
      <c r="Q87" s="22">
        <f t="shared" si="54"/>
        <v>445.50556097376779</v>
      </c>
      <c r="R87" s="62">
        <f t="shared" si="55"/>
        <v>738.8388943071011</v>
      </c>
      <c r="S87" s="62">
        <f ca="1">AVERAGE(OFFSET($R$3,0,0,'Données projet'!$E$9+1,1))-AVERAGE(OFFSET($H$3,0,0,'Données projet'!$E$9+1,1))</f>
        <v>367.11183928586667</v>
      </c>
      <c r="T87" s="62">
        <f t="shared" si="88"/>
        <v>281.52963027844595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0</v>
      </c>
      <c r="AA87" s="23">
        <f>EXP(-LN(2)/25)*AA86+(1-EXP(-LN(2)/25))/(LN(2)/25)*Calculateur!V87*Calculateur!X87*VLOOKUP('Données projet'!$B$9,Paramètres!$A$1:$I$89,3,0)*0.475*44/12</f>
        <v>0</v>
      </c>
      <c r="AB87" s="23">
        <f>EXP(-LN(2)/2)*AB86+(1-EXP(-LN(2)/2))/(LN(2)/2)*V87*Y87*VLOOKUP('Données projet'!$B$9,Paramètres!$A$1:$I$89,3,0)*0.475*44/12</f>
        <v>0</v>
      </c>
      <c r="AC87" s="24">
        <f t="shared" si="57"/>
        <v>0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5.6</v>
      </c>
      <c r="AI87" s="14">
        <f>IF('Données projet'!$A$62&gt;35,AI86+AH87-AQ86,IF(A87&lt;'Données projet'!$A$62,$AF$205^A87,IF(A87='Données projet'!$A$62,'Données projet'!$B$62,AI86+AH87-AQ86)))</f>
        <v>262.39999999999992</v>
      </c>
      <c r="AJ87" s="14">
        <f>AI87*VLOOKUP('Données projet'!$B$10,Paramètres!$A$1:$I$89,3,0)*VLOOKUP('Données projet'!$B$10,Paramètres!$A$1:$I$89,5,0)</f>
        <v>237.41951999999992</v>
      </c>
      <c r="AK87" s="14">
        <f t="shared" si="89"/>
        <v>57.883978814320919</v>
      </c>
      <c r="AL87" s="22">
        <f t="shared" si="58"/>
        <v>514.32026043494204</v>
      </c>
      <c r="AM87" s="62">
        <f t="shared" si="59"/>
        <v>807.65359376827541</v>
      </c>
      <c r="AN87" s="62">
        <f ca="1">AVERAGE(OFFSET($AM$3,0,0,'Données projet'!$E$10+1,1))-AVERAGE(OFFSET($H$3,0,0,'Données projet'!$E$10+1,1))</f>
        <v>428.8489304403459</v>
      </c>
      <c r="AO87" s="62">
        <f t="shared" si="90"/>
        <v>247.01165577562966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0</v>
      </c>
      <c r="AV87" s="23">
        <f>EXP(-LN(2)/25)*AV86+(1-EXP(-LN(2)/25))/(LN(2)/25)*Calculateur!AQ87*Calculateur!AS87*VLOOKUP('Données projet'!$B$10,Paramètres!$A$1:$I$89,3,0)*0.475*44/12</f>
        <v>0</v>
      </c>
      <c r="AW87" s="23">
        <f>EXP(-LN(2)/2)*AW86+(1-EXP(-LN(2)/2))/(LN(2)/2)*AQ87*AT87*VLOOKUP('Données projet'!$B$10,Paramètres!$A$1:$I$89,3,0)*0.475*44/12</f>
        <v>0</v>
      </c>
      <c r="AX87" s="23">
        <f t="shared" si="60"/>
        <v>0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5.6</v>
      </c>
      <c r="BD87" s="13">
        <f>IF('Données projet'!$A$88&gt;35,BD86+BC87-BL86,IF(A87&lt;'Données projet'!$A$88,$BA$205^A87,IF(A87='Données projet'!$A$88,'Données projet'!$B$88,BD86+BC87-BL86)))</f>
        <v>262.39999999999992</v>
      </c>
      <c r="BE87" s="14">
        <f>BD87*VLOOKUP('Données projet'!$B$11,Paramètres!$A$1:$I$89,3,0)*VLOOKUP('Données projet'!$B$11,Paramètres!$A$1:$I$89,5,0)</f>
        <v>266.07359999999994</v>
      </c>
      <c r="BF87" s="14">
        <f t="shared" si="91"/>
        <v>64.015279012301136</v>
      </c>
      <c r="BG87" s="22">
        <f t="shared" si="61"/>
        <v>574.90479761309098</v>
      </c>
      <c r="BH87" s="62">
        <f t="shared" si="62"/>
        <v>868.23813094642423</v>
      </c>
      <c r="BI87" s="62">
        <f ca="1">AVERAGE(OFFSET($BH$3,0,0,'Données projet'!$E$11+1,1))-AVERAGE(OFFSET($H$3,0,0,'Données projet'!$E$11+1,1))</f>
        <v>475.47920969424894</v>
      </c>
      <c r="BJ87" s="62">
        <f t="shared" si="92"/>
        <v>271.73544012419364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>
        <f>EXP(-LN(2)/35)*BP86+(1-EXP(-LN(2)/35))/(LN(2)/35)*BL87*BM87*VLOOKUP('Données projet'!$B$11,Paramètres!$A$1:$I$89,3,0)*0.475*44/12</f>
        <v>0</v>
      </c>
      <c r="BQ87" s="23">
        <f>EXP(-LN(2)/25)*BQ86+(1-EXP(-LN(2)/25))/(LN(2)/25)*Calculateur!BL87*Calculateur!BN87*VLOOKUP('Données projet'!$B$11,Paramètres!$A$1:$I$89,3,0)*0.475*44/12</f>
        <v>0</v>
      </c>
      <c r="BR87" s="23">
        <f>EXP(-LN(2)/2)*BR86+(1-EXP(-LN(2)/2))/(LN(2)/2)*BL87*BO87*VLOOKUP('Données projet'!$B$11,Paramètres!$A$1:$I$89,3,0)*0.475*44/12</f>
        <v>0</v>
      </c>
      <c r="BS87" s="24">
        <f t="shared" si="63"/>
        <v>0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2.2737367544323206E-13</v>
      </c>
      <c r="BZ87" s="14">
        <f>BY87*VLOOKUP('Données projet'!$B$12,Paramètres!$A$1:$I$89,3,0)*VLOOKUP('Données projet'!$B$12,Paramètres!$A$1:$I$89,5,0)</f>
        <v>1.2710188457276673E-13</v>
      </c>
      <c r="CA87" s="14">
        <f t="shared" si="93"/>
        <v>1.856866851063998E-12</v>
      </c>
      <c r="CB87" s="22">
        <f t="shared" si="64"/>
        <v>3.4554122145673649E-12</v>
      </c>
      <c r="CC87" s="62">
        <f t="shared" si="65"/>
        <v>293.33333333333678</v>
      </c>
      <c r="CD87" s="62">
        <f ca="1">AVERAGE(OFFSET($CC$3,0,0,'Données projet'!$E$12+1,1))-AVERAGE(OFFSET($H$3,0,0,'Données projet'!$E$12+1,1))</f>
        <v>323.98185264074681</v>
      </c>
      <c r="CE87" s="62">
        <f t="shared" si="94"/>
        <v>301.22207291854005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>
        <f>EXP(-LN(2)/35)*CK86+(1-EXP(-LN(2)/35))/(LN(2)/35)*CG87*CH87*VLOOKUP('Données projet'!$B$12,Paramètres!$A$1:$I$89,3,0)*0.475*44/12</f>
        <v>1.5314912908257765</v>
      </c>
      <c r="CL87" s="23">
        <f>EXP(-LN(2)/25)*CL86+(1-EXP(-LN(2)/25))/(LN(2)/25)*Calculateur!CG87*Calculateur!CI87*VLOOKUP('Données projet'!$B$12,Paramètres!$A$1:$I$89,3,0)*0.475*44/12</f>
        <v>1.8453849865558574</v>
      </c>
      <c r="CM87" s="23">
        <f>EXP(-LN(2)/2)*CM86+(1-EXP(-LN(2)/2))/(LN(2)/2)*CG87*CJ87*VLOOKUP('Données projet'!$B$12,Paramètres!$A$1:$I$89,3,0)*0.475*44/12</f>
        <v>4.5357698050275599E-8</v>
      </c>
      <c r="CN87" s="24">
        <f t="shared" si="66"/>
        <v>3.3768763227393319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4.4000000000000004</v>
      </c>
      <c r="CT87" s="13">
        <f>IF('Données projet'!$A$140&gt;35,CT86+CS87-DB86,IF(A87&lt;'Données projet'!$A$140,$CQ$205^A87,IF(A87='Données projet'!$A$140,'Données projet'!$B$140,CT86+CS87-DB86)))</f>
        <v>195.6</v>
      </c>
      <c r="CU87" s="18">
        <f>CT87*VLOOKUP('Données projet'!$B$13,Paramètres!$A$1:$I$89,3,0)*VLOOKUP('Données projet'!$B$13,Paramètres!$A$1:$I$89,5,0)</f>
        <v>222.74927999999997</v>
      </c>
      <c r="CV87" s="14">
        <f t="shared" si="95"/>
        <v>54.711995554456131</v>
      </c>
      <c r="CW87" s="22">
        <f t="shared" si="67"/>
        <v>483.24505492401107</v>
      </c>
      <c r="CX87" s="62">
        <f t="shared" si="68"/>
        <v>776.57838825734439</v>
      </c>
      <c r="CY87" s="62">
        <f ca="1">AVERAGE(OFFSET($CX$3,0,0,'Données projet'!$E$13+1,1))-AVERAGE(OFFSET($H$3,0,0,'Données projet'!$E$13+1,1))</f>
        <v>399.78832690250164</v>
      </c>
      <c r="CZ87" s="62">
        <f t="shared" si="96"/>
        <v>174.32967064896343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>
        <f>EXP(-LN(2)/35)*DF86+(1-EXP(-LN(2)/35))/(LN(2)/35)*DB87*DC87*VLOOKUP('Données projet'!$B$13,Paramètres!$A$1:$I$89,3,0)*0.475*44/12</f>
        <v>0</v>
      </c>
      <c r="DG87" s="23">
        <f>EXP(-LN(2)/25)*DG86+(1-EXP(-LN(2)/25))/(LN(2)/25)*Calculateur!DB87*Calculateur!DD87*VLOOKUP('Données projet'!$B$13,Paramètres!$A$1:$I$89,3,0)*0.475*44/12</f>
        <v>0</v>
      </c>
      <c r="DH87" s="23">
        <f>EXP(-LN(2)/2)*DH86+(1-EXP(-LN(2)/2))/(LN(2)/2)*DB87*DE87*VLOOKUP('Données projet'!$B$13,Paramètres!$A$1:$I$89,3,0)*0.475*44/12</f>
        <v>0</v>
      </c>
      <c r="DI87" s="24">
        <f t="shared" si="69"/>
        <v>0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5.6</v>
      </c>
      <c r="DO87" s="13">
        <f>IF('Données projet'!$A$166&gt;35,DO86+DN87-DW86,IF(A87&lt;'Données projet'!$A$166,$DL$205^A87,IF(A87='Données projet'!$A$166,'Données projet'!$B$166,DO86+DN87-DW86)))</f>
        <v>262.39999999999992</v>
      </c>
      <c r="DP87" s="18">
        <f>DO87*VLOOKUP('Données projet'!$B$14,Paramètres!$A$1:$I$89,3,0)*VLOOKUP('Données projet'!$B$14,Paramètres!$A$1:$I$89,5,0)</f>
        <v>221.04575999999997</v>
      </c>
      <c r="DQ87" s="14">
        <f t="shared" si="97"/>
        <v>54.342113720419057</v>
      </c>
      <c r="DR87" s="22">
        <f t="shared" si="70"/>
        <v>479.63388006306309</v>
      </c>
      <c r="DS87" s="62">
        <f t="shared" si="71"/>
        <v>772.96721339639635</v>
      </c>
      <c r="DT87" s="62">
        <f ca="1">AVERAGE(OFFSET($DS$3,0,0,'Données projet'!$E$14+1,1))-AVERAGE(OFFSET($H$3,0,0,'Données projet'!$E$14+1,1))</f>
        <v>402.15128814037058</v>
      </c>
      <c r="DU87" s="62">
        <f t="shared" si="98"/>
        <v>232.85411068442738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>
        <f>EXP(-LN(2)/35)*EA86+(1-EXP(-LN(2)/35))/(LN(2)/35)*DW87*DX87*VLOOKUP('Données projet'!$B$14,Paramètres!$A$1:$I$89,3,0)*0.475*44/12</f>
        <v>0</v>
      </c>
      <c r="EB87" s="23">
        <f>EXP(-LN(2)/25)*EB86+(1-EXP(-LN(2)/25))/(LN(2)/25)*Calculateur!DW87*Calculateur!DY87*VLOOKUP('Données projet'!$B$14,Paramètres!$A$1:$I$89,3,0)*0.475*44/12</f>
        <v>0</v>
      </c>
      <c r="EC87" s="23">
        <f>EXP(-LN(2)/2)*EC86+(1-EXP(-LN(2)/2))/(LN(2)/2)*DW87*DZ87*VLOOKUP('Données projet'!$B$14,Paramètres!$A$1:$I$89,3,0)*0.475*44/12</f>
        <v>0</v>
      </c>
      <c r="ED87" s="24">
        <f t="shared" si="72"/>
        <v>0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4.7435897435897347</v>
      </c>
      <c r="EJ87" s="13">
        <f>IF('Données projet'!$A$192&gt;35,EJ86+EI87-ER86,IF(A87&lt;'Données projet'!$A$192,$EG$205^A87,IF(A87='Données projet'!$A$192,'Données projet'!$B$192,EJ86+EI87-ER86)))</f>
        <v>333.71794871794896</v>
      </c>
      <c r="EK87" s="18">
        <f>EJ87*VLOOKUP('Données projet'!$B$15,Paramètres!$A$1:$I$89,3,0)*VLOOKUP('Données projet'!$B$15,Paramètres!$A$1:$I$89,5,0)</f>
        <v>348.80200000000031</v>
      </c>
      <c r="EL87" s="14">
        <f t="shared" si="99"/>
        <v>81.315781392180099</v>
      </c>
      <c r="EM87" s="22">
        <f t="shared" si="73"/>
        <v>749.12180259138086</v>
      </c>
      <c r="EN87" s="62">
        <f t="shared" si="74"/>
        <v>1042.4551359247141</v>
      </c>
      <c r="EO87" s="62">
        <f ca="1">AVERAGE(OFFSET($EN$3,0,0,'Données projet'!$E$15+1,1))-AVERAGE(OFFSET($H$3,0,0,'Données projet'!$E$15+1,1))</f>
        <v>595.89992279024398</v>
      </c>
      <c r="EP87" s="62">
        <f t="shared" si="100"/>
        <v>378.16197659288338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>
        <f>EXP(-LN(2)/35)*EV86+(1-EXP(-LN(2)/35))/(LN(2)/35)*ER87*ES87*VLOOKUP('Données projet'!$B$15,Paramètres!$A$1:$I$89,3,0)*0.475*44/12</f>
        <v>0</v>
      </c>
      <c r="EW87" s="23">
        <f>EXP(-LN(2)/25)*EW86+(1-EXP(-LN(2)/25))/(LN(2)/25)*Calculateur!ER87*Calculateur!ET87*VLOOKUP('Données projet'!$B$15,Paramètres!$A$1:$I$89,3,0)*0.475*44/12</f>
        <v>0</v>
      </c>
      <c r="EX87" s="23">
        <f>EXP(-LN(2)/2)*EX86+(1-EXP(-LN(2)/2))/(LN(2)/2)*ER87*EU87*VLOOKUP('Données projet'!$B$15,Paramètres!$A$1:$I$89,3,0)*0.475*44/12</f>
        <v>0</v>
      </c>
      <c r="EY87" s="24">
        <f t="shared" si="75"/>
        <v>0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-2.2737367544323206E-13</v>
      </c>
      <c r="FF87" s="18">
        <f>FE87*VLOOKUP('Données projet'!$B$16,Paramètres!$A$1:$I$89,3,0)*VLOOKUP('Données projet'!$B$16,Paramètres!$A$1:$I$89,5,0)</f>
        <v>-1.3596945791505279E-13</v>
      </c>
      <c r="FG87" s="14" t="e">
        <f t="shared" si="101"/>
        <v>#NUM!</v>
      </c>
      <c r="FH87" s="22" t="e">
        <f t="shared" si="76"/>
        <v>#NUM!</v>
      </c>
      <c r="FI87" s="62" t="e">
        <f t="shared" si="77"/>
        <v>#NUM!</v>
      </c>
      <c r="FJ87" s="62">
        <f ca="1">AVERAGE(OFFSET($FI$3,0,0,'Données projet'!$E$16+1,1))-AVERAGE(OFFSET($H$3,0,0,'Données projet'!$E$16+1,1))</f>
        <v>257.56116197646924</v>
      </c>
      <c r="FK87" s="62">
        <f t="shared" si="102"/>
        <v>269.95556918835888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>
        <f>EXP(-LN(2)/35)*FQ86+(1-EXP(-LN(2)/35))/(LN(2)/35)*FM87*FN87*VLOOKUP('Données projet'!$B$16,Paramètres!$A$1:$I$89,3,0)*0.475*44/12</f>
        <v>5.0044250922743458</v>
      </c>
      <c r="FR87" s="23">
        <f>EXP(-LN(2)/25)*FR86+(1-EXP(-LN(2)/25))/(LN(2)/25)*Calculateur!FM87*Calculateur!FO87*VLOOKUP('Données projet'!$B$16,Paramètres!$A$1:$I$89,3,0)*0.475*44/12</f>
        <v>3.6121137744444054</v>
      </c>
      <c r="FS87" s="23">
        <f>EXP(-LN(2)/2)*FS86+(1-EXP(-LN(2)/2))/(LN(2)/2)*FM87*FP87*VLOOKUP('Données projet'!$B$16,Paramètres!$A$1:$I$89,3,0)*0.475*44/12</f>
        <v>6.3732887968234593E-8</v>
      </c>
      <c r="FT87" s="24">
        <f t="shared" si="78"/>
        <v>8.6165389304516395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-2.8421709430404007E-13</v>
      </c>
      <c r="GA87" s="18">
        <f>FZ87*VLOOKUP('Données projet'!$B$17,Paramètres!$A$1:$I$89,3,0)*VLOOKUP('Données projet'!$B$17,Paramètres!$A$1:$I$89,5,0)</f>
        <v>-1.69961822393816E-13</v>
      </c>
      <c r="GB87" s="14" t="e">
        <f t="shared" si="103"/>
        <v>#NUM!</v>
      </c>
      <c r="GC87" s="22" t="e">
        <f t="shared" si="79"/>
        <v>#NUM!</v>
      </c>
      <c r="GD87" s="62" t="e">
        <f t="shared" si="80"/>
        <v>#NUM!</v>
      </c>
      <c r="GE87" s="62">
        <f ca="1">AVERAGE(OFFSET($GD$3,0,0,'Données projet'!$E$17+1,1))-AVERAGE(OFFSET($H$3,0,0,'Données projet'!$E$17+1,1))</f>
        <v>289.12367833861299</v>
      </c>
      <c r="GF87" s="62">
        <f t="shared" si="104"/>
        <v>229.06617320689003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>
        <f>EXP(-LN(2)/35)*GL86+(1-EXP(-LN(2)/35))/(LN(2)/35)*GH87*GI87*VLOOKUP('Données projet'!$B$17,Paramètres!$A$1:$I$89,3,0)*0.475*44/12</f>
        <v>0</v>
      </c>
      <c r="GM87" s="23">
        <f>EXP(-LN(2)/25)*GM86+(1-EXP(-LN(2)/25))/(LN(2)/25)*Calculateur!GH87*Calculateur!GJ87*VLOOKUP('Données projet'!$B$17,Paramètres!$A$1:$I$89,3,0)*0.475*44/12</f>
        <v>0</v>
      </c>
      <c r="GN87" s="23">
        <f>EXP(-LN(2)/2)*GN86+(1-EXP(-LN(2)/2))/(LN(2)/2)*GH87*GK87*VLOOKUP('Données projet'!$B$17,Paramètres!$A$1:$I$89,3,0)*0.475*44/12</f>
        <v>3.0896328970979523E-8</v>
      </c>
      <c r="GO87" s="23">
        <f t="shared" si="81"/>
        <v>3.0896328970979523E-8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9.6128205128205195</v>
      </c>
      <c r="GU87" s="13">
        <f>IF('Données projet'!$A$270&gt;35,GU86+GT87-HC86,IF(A87&lt;'Données projet'!$A$270,$GR$205^A87,IF(A87='Données projet'!$A$270,'Données projet'!$B$270,GU86+GT87-HC86)))</f>
        <v>369.21794871794873</v>
      </c>
      <c r="GV87" s="18">
        <f>GU87*VLOOKUP('Données projet'!$B$18,Paramètres!$A$1:$I$89,3,0)*VLOOKUP('Données projet'!$B$18,Paramètres!$A$1:$I$89,5,0)</f>
        <v>172.79400000000001</v>
      </c>
      <c r="GW87" s="14">
        <f t="shared" si="105"/>
        <v>43.715191706757231</v>
      </c>
      <c r="GX87" s="22">
        <f t="shared" si="82"/>
        <v>377.08684222260217</v>
      </c>
      <c r="GY87" s="62">
        <f t="shared" si="83"/>
        <v>670.42017555593543</v>
      </c>
      <c r="GZ87" s="62">
        <f ca="1">AVERAGE(OFFSET($GY$3,0,0,'Données projet'!$E$18+1,1))-AVERAGE(OFFSET($H$3,0,0,'Données projet'!$E$18+1,1))</f>
        <v>284.88646502866419</v>
      </c>
      <c r="HA87" s="62">
        <f t="shared" si="106"/>
        <v>190.4880882944471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>
        <f>EXP(-LN(2)/35)*HG86+(1-EXP(-LN(2)/35))/(LN(2)/35)*HC87*HD87*VLOOKUP('Données projet'!$B$18,Paramètres!$A$1:$I$89,3,0)*0.475*44/12</f>
        <v>0</v>
      </c>
      <c r="HH87" s="23">
        <f>EXP(-LN(2)/25)*HH86+(1-EXP(-LN(2)/25))/(LN(2)/25)*Calculateur!HC87*Calculateur!HE87*VLOOKUP('Données projet'!$B$18,Paramètres!$A$1:$I$89,3,0)*0.475*44/12</f>
        <v>0</v>
      </c>
      <c r="HI87" s="23">
        <f>EXP(-LN(2)/2)*HI86+(1-EXP(-LN(2)/2))/(LN(2)/2)*HC87*HF87*VLOOKUP('Données projet'!$B$18,Paramètres!$A$1:$I$89,3,0)*0.475*44/12</f>
        <v>0</v>
      </c>
      <c r="HJ87" s="24">
        <f t="shared" si="84"/>
        <v>0</v>
      </c>
    </row>
    <row r="88" spans="1:218" s="5" customFormat="1" x14ac:dyDescent="0.25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2">
        <f t="shared" si="86"/>
        <v>0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0</v>
      </c>
      <c r="H88" s="70">
        <f t="shared" si="56"/>
        <v>256.66666666666669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>
        <f>VLOOKUP(A88,'Données projet'!$A$35:$I$55,2,0)</f>
        <v>219.23076923076923</v>
      </c>
      <c r="L88" s="13">
        <f>VLOOKUP(A88,'Données projet'!$A$35:$I$55,9,0)</f>
        <v>3.8461538461538454</v>
      </c>
      <c r="M88" s="13">
        <f t="array" ref="M88">INDEX(L:L,MIN(IF(ISNUMBER(L88:L284),ROW(L88:L284),"")))</f>
        <v>3.8461538461538454</v>
      </c>
      <c r="N88" s="14">
        <f>IF('Données projet'!$A$36&gt;35,N87+M88-V87,IF(A88&lt;'Données projet'!$A$36,$K$205^A88,IF(A88='Données projet'!$A$36,'Données projet'!$B$36,N87+M88-V87)))</f>
        <v>219.23076923076914</v>
      </c>
      <c r="O88" s="14">
        <f>N88*VLOOKUP('Données projet'!$B$9,Paramètres!$A$1:$I$89,3,0)*VLOOKUP('Données projet'!$B$9,Paramètres!$A$1:$I$89,5,0)</f>
        <v>208.61999999999992</v>
      </c>
      <c r="P88" s="14">
        <f t="shared" si="87"/>
        <v>51.63390535939368</v>
      </c>
      <c r="Q88" s="22">
        <f t="shared" si="54"/>
        <v>453.27555183427711</v>
      </c>
      <c r="R88" s="62">
        <f t="shared" si="55"/>
        <v>746.60888516761042</v>
      </c>
      <c r="S88" s="62">
        <f ca="1">AVERAGE(OFFSET($R$3,0,0,'Données projet'!$E$9+1,1))-AVERAGE(OFFSET($H$3,0,0,'Données projet'!$E$9+1,1))</f>
        <v>367.11183928586667</v>
      </c>
      <c r="T88" s="62">
        <f t="shared" si="88"/>
        <v>281.52963027844595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0</v>
      </c>
      <c r="AA88" s="23">
        <f>EXP(-LN(2)/25)*AA87+(1-EXP(-LN(2)/25))/(LN(2)/25)*Calculateur!V88*Calculateur!X88*VLOOKUP('Données projet'!$B$9,Paramètres!$A$1:$I$89,3,0)*0.475*44/12</f>
        <v>0</v>
      </c>
      <c r="AB88" s="23">
        <f>EXP(-LN(2)/2)*AB87+(1-EXP(-LN(2)/2))/(LN(2)/2)*V88*Y88*VLOOKUP('Données projet'!$B$9,Paramètres!$A$1:$I$89,3,0)*0.475*44/12</f>
        <v>0</v>
      </c>
      <c r="AC88" s="24">
        <f t="shared" si="57"/>
        <v>0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5.6</v>
      </c>
      <c r="AI88" s="14">
        <f>IF('Données projet'!$A$62&gt;35,AI87+AH88-AQ87,IF(A88&lt;'Données projet'!$A$62,$AF$205^A88,IF(A88='Données projet'!$A$62,'Données projet'!$B$62,AI87+AH88-AQ87)))</f>
        <v>267.99999999999994</v>
      </c>
      <c r="AJ88" s="14">
        <f>AI88*VLOOKUP('Données projet'!$B$10,Paramètres!$A$1:$I$89,3,0)*VLOOKUP('Données projet'!$B$10,Paramètres!$A$1:$I$89,5,0)</f>
        <v>242.48639999999995</v>
      </c>
      <c r="AK88" s="14">
        <f t="shared" si="89"/>
        <v>58.974170235372419</v>
      </c>
      <c r="AL88" s="22">
        <f t="shared" si="58"/>
        <v>525.04382649327351</v>
      </c>
      <c r="AM88" s="62">
        <f t="shared" si="59"/>
        <v>818.37715982660688</v>
      </c>
      <c r="AN88" s="62">
        <f ca="1">AVERAGE(OFFSET($AM$3,0,0,'Données projet'!$E$10+1,1))-AVERAGE(OFFSET($H$3,0,0,'Données projet'!$E$10+1,1))</f>
        <v>428.8489304403459</v>
      </c>
      <c r="AO88" s="62">
        <f t="shared" si="90"/>
        <v>247.01165577562966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0</v>
      </c>
      <c r="AV88" s="23">
        <f>EXP(-LN(2)/25)*AV87+(1-EXP(-LN(2)/25))/(LN(2)/25)*Calculateur!AQ88*Calculateur!AS88*VLOOKUP('Données projet'!$B$10,Paramètres!$A$1:$I$89,3,0)*0.475*44/12</f>
        <v>0</v>
      </c>
      <c r="AW88" s="23">
        <f>EXP(-LN(2)/2)*AW87+(1-EXP(-LN(2)/2))/(LN(2)/2)*AQ88*AT88*VLOOKUP('Données projet'!$B$10,Paramètres!$A$1:$I$89,3,0)*0.475*44/12</f>
        <v>0</v>
      </c>
      <c r="AX88" s="23">
        <f t="shared" si="60"/>
        <v>0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5.6</v>
      </c>
      <c r="BD88" s="13">
        <f>IF('Données projet'!$A$88&gt;35,BD87+BC88-BL87,IF(A88&lt;'Données projet'!$A$88,$BA$205^A88,IF(A88='Données projet'!$A$88,'Données projet'!$B$88,BD87+BC88-BL87)))</f>
        <v>267.99999999999994</v>
      </c>
      <c r="BE88" s="14">
        <f>BD88*VLOOKUP('Données projet'!$B$11,Paramètres!$A$1:$I$89,3,0)*VLOOKUP('Données projet'!$B$11,Paramètres!$A$1:$I$89,5,0)</f>
        <v>271.75199999999995</v>
      </c>
      <c r="BF88" s="14">
        <f t="shared" si="91"/>
        <v>65.220947824724931</v>
      </c>
      <c r="BG88" s="22">
        <f t="shared" si="61"/>
        <v>586.89455079472907</v>
      </c>
      <c r="BH88" s="62">
        <f t="shared" si="62"/>
        <v>880.22788412806244</v>
      </c>
      <c r="BI88" s="62">
        <f ca="1">AVERAGE(OFFSET($BH$3,0,0,'Données projet'!$E$11+1,1))-AVERAGE(OFFSET($H$3,0,0,'Données projet'!$E$11+1,1))</f>
        <v>475.47920969424894</v>
      </c>
      <c r="BJ88" s="62">
        <f t="shared" si="92"/>
        <v>271.73544012419364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>
        <f>EXP(-LN(2)/35)*BP87+(1-EXP(-LN(2)/35))/(LN(2)/35)*BL88*BM88*VLOOKUP('Données projet'!$B$11,Paramètres!$A$1:$I$89,3,0)*0.475*44/12</f>
        <v>0</v>
      </c>
      <c r="BQ88" s="23">
        <f>EXP(-LN(2)/25)*BQ87+(1-EXP(-LN(2)/25))/(LN(2)/25)*Calculateur!BL88*Calculateur!BN88*VLOOKUP('Données projet'!$B$11,Paramètres!$A$1:$I$89,3,0)*0.475*44/12</f>
        <v>0</v>
      </c>
      <c r="BR88" s="23">
        <f>EXP(-LN(2)/2)*BR87+(1-EXP(-LN(2)/2))/(LN(2)/2)*BL88*BO88*VLOOKUP('Données projet'!$B$11,Paramètres!$A$1:$I$89,3,0)*0.475*44/12</f>
        <v>0</v>
      </c>
      <c r="BS88" s="24">
        <f t="shared" si="63"/>
        <v>0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2.2737367544323206E-13</v>
      </c>
      <c r="BZ88" s="14">
        <f>BY88*VLOOKUP('Données projet'!$B$12,Paramètres!$A$1:$I$89,3,0)*VLOOKUP('Données projet'!$B$12,Paramètres!$A$1:$I$89,5,0)</f>
        <v>1.2710188457276673E-13</v>
      </c>
      <c r="CA88" s="14">
        <f t="shared" si="93"/>
        <v>1.856866851063998E-12</v>
      </c>
      <c r="CB88" s="22">
        <f t="shared" si="64"/>
        <v>3.4554122145673649E-12</v>
      </c>
      <c r="CC88" s="62">
        <f t="shared" si="65"/>
        <v>293.33333333333678</v>
      </c>
      <c r="CD88" s="62">
        <f ca="1">AVERAGE(OFFSET($CC$3,0,0,'Données projet'!$E$12+1,1))-AVERAGE(OFFSET($H$3,0,0,'Données projet'!$E$12+1,1))</f>
        <v>323.98185264074681</v>
      </c>
      <c r="CE88" s="62">
        <f t="shared" si="94"/>
        <v>301.22207291854005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>
        <f>EXP(-LN(2)/35)*CK87+(1-EXP(-LN(2)/35))/(LN(2)/35)*CG88*CH88*VLOOKUP('Données projet'!$B$12,Paramètres!$A$1:$I$89,3,0)*0.475*44/12</f>
        <v>1.5014596807301339</v>
      </c>
      <c r="CL88" s="23">
        <f>EXP(-LN(2)/25)*CL87+(1-EXP(-LN(2)/25))/(LN(2)/25)*Calculateur!CG88*Calculateur!CI88*VLOOKUP('Données projet'!$B$12,Paramètres!$A$1:$I$89,3,0)*0.475*44/12</f>
        <v>1.7949228370539088</v>
      </c>
      <c r="CM88" s="23">
        <f>EXP(-LN(2)/2)*CM87+(1-EXP(-LN(2)/2))/(LN(2)/2)*CG88*CJ88*VLOOKUP('Données projet'!$B$12,Paramètres!$A$1:$I$89,3,0)*0.475*44/12</f>
        <v>3.2072735870361721E-8</v>
      </c>
      <c r="CN88" s="24">
        <f t="shared" si="66"/>
        <v>3.2963825498567787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>
        <f>VLOOKUP(A88,'Données projet'!$A$139:$I$159,2,0)</f>
        <v>200</v>
      </c>
      <c r="CR88" s="13">
        <f>VLOOKUP(A88,'Données projet'!$A$139:$I$159,9,0)</f>
        <v>4.4000000000000004</v>
      </c>
      <c r="CS88" s="13">
        <f t="array" ref="CS88">INDEX(CR:CR,MIN(IF(ISNUMBER(CR88:CR284),ROW(CR88:CR284),"")))</f>
        <v>4.4000000000000004</v>
      </c>
      <c r="CT88" s="13">
        <f>IF('Données projet'!$A$140&gt;35,CT87+CS88-DB87,IF(A88&lt;'Données projet'!$A$140,$CQ$205^A88,IF(A88='Données projet'!$A$140,'Données projet'!$B$140,CT87+CS88-DB87)))</f>
        <v>200</v>
      </c>
      <c r="CU88" s="18">
        <f>CT88*VLOOKUP('Données projet'!$B$13,Paramètres!$A$1:$I$89,3,0)*VLOOKUP('Données projet'!$B$13,Paramètres!$A$1:$I$89,5,0)</f>
        <v>227.76000000000002</v>
      </c>
      <c r="CV88" s="14">
        <f t="shared" si="95"/>
        <v>55.798065627252022</v>
      </c>
      <c r="CW88" s="22">
        <f t="shared" si="67"/>
        <v>493.86363096746396</v>
      </c>
      <c r="CX88" s="62">
        <f t="shared" si="68"/>
        <v>787.19696430079728</v>
      </c>
      <c r="CY88" s="62">
        <f ca="1">AVERAGE(OFFSET($CX$3,0,0,'Données projet'!$E$13+1,1))-AVERAGE(OFFSET($H$3,0,0,'Données projet'!$E$13+1,1))</f>
        <v>399.78832690250164</v>
      </c>
      <c r="CZ88" s="62">
        <f t="shared" si="96"/>
        <v>174.32967064896343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>
        <f>EXP(-LN(2)/35)*DF87+(1-EXP(-LN(2)/35))/(LN(2)/35)*DB88*DC88*VLOOKUP('Données projet'!$B$13,Paramètres!$A$1:$I$89,3,0)*0.475*44/12</f>
        <v>0</v>
      </c>
      <c r="DG88" s="23">
        <f>EXP(-LN(2)/25)*DG87+(1-EXP(-LN(2)/25))/(LN(2)/25)*Calculateur!DB88*Calculateur!DD88*VLOOKUP('Données projet'!$B$13,Paramètres!$A$1:$I$89,3,0)*0.475*44/12</f>
        <v>0</v>
      </c>
      <c r="DH88" s="23">
        <f>EXP(-LN(2)/2)*DH87+(1-EXP(-LN(2)/2))/(LN(2)/2)*DB88*DE88*VLOOKUP('Données projet'!$B$13,Paramètres!$A$1:$I$89,3,0)*0.475*44/12</f>
        <v>0</v>
      </c>
      <c r="DI88" s="24">
        <f t="shared" si="69"/>
        <v>0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5.6</v>
      </c>
      <c r="DO88" s="13">
        <f>IF('Données projet'!$A$166&gt;35,DO87+DN88-DW87,IF(A88&lt;'Données projet'!$A$166,$DL$205^A88,IF(A88='Données projet'!$A$166,'Données projet'!$B$166,DO87+DN88-DW87)))</f>
        <v>267.99999999999994</v>
      </c>
      <c r="DP88" s="18">
        <f>DO88*VLOOKUP('Données projet'!$B$14,Paramètres!$A$1:$I$89,3,0)*VLOOKUP('Données projet'!$B$14,Paramètres!$A$1:$I$89,5,0)</f>
        <v>225.76319999999996</v>
      </c>
      <c r="DQ88" s="14">
        <f t="shared" si="97"/>
        <v>55.365597375021402</v>
      </c>
      <c r="DR88" s="22">
        <f t="shared" si="70"/>
        <v>489.6326554281622</v>
      </c>
      <c r="DS88" s="62">
        <f t="shared" si="71"/>
        <v>782.96598876149551</v>
      </c>
      <c r="DT88" s="62">
        <f ca="1">AVERAGE(OFFSET($DS$3,0,0,'Données projet'!$E$14+1,1))-AVERAGE(OFFSET($H$3,0,0,'Données projet'!$E$14+1,1))</f>
        <v>402.15128814037058</v>
      </c>
      <c r="DU88" s="62">
        <f t="shared" si="98"/>
        <v>232.85411068442738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>
        <f>EXP(-LN(2)/35)*EA87+(1-EXP(-LN(2)/35))/(LN(2)/35)*DW88*DX88*VLOOKUP('Données projet'!$B$14,Paramètres!$A$1:$I$89,3,0)*0.475*44/12</f>
        <v>0</v>
      </c>
      <c r="EB88" s="23">
        <f>EXP(-LN(2)/25)*EB87+(1-EXP(-LN(2)/25))/(LN(2)/25)*Calculateur!DW88*Calculateur!DY88*VLOOKUP('Données projet'!$B$14,Paramètres!$A$1:$I$89,3,0)*0.475*44/12</f>
        <v>0</v>
      </c>
      <c r="EC88" s="23">
        <f>EXP(-LN(2)/2)*EC87+(1-EXP(-LN(2)/2))/(LN(2)/2)*DW88*DZ88*VLOOKUP('Données projet'!$B$14,Paramètres!$A$1:$I$89,3,0)*0.475*44/12</f>
        <v>0</v>
      </c>
      <c r="ED88" s="24">
        <f t="shared" si="72"/>
        <v>0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>
        <f>VLOOKUP(A88,'Données projet'!$A$191:$I$211,2,0)</f>
        <v>338.46153846153845</v>
      </c>
      <c r="EH88" s="13">
        <f>VLOOKUP(A88,'Données projet'!$A$191:$I$211,9,0)</f>
        <v>4.7435897435897347</v>
      </c>
      <c r="EI88" s="13">
        <f t="array" ref="EI88">INDEX(EH:EH,MIN(IF(ISNUMBER(EH88:EH284),ROW(EH88:EH284),"")))</f>
        <v>4.7435897435897347</v>
      </c>
      <c r="EJ88" s="13">
        <f>IF('Données projet'!$A$192&gt;35,EJ87+EI88-ER87,IF(A88&lt;'Données projet'!$A$192,$EG$205^A88,IF(A88='Données projet'!$A$192,'Données projet'!$B$192,EJ87+EI88-ER87)))</f>
        <v>338.46153846153868</v>
      </c>
      <c r="EK88" s="18">
        <f>EJ88*VLOOKUP('Données projet'!$B$15,Paramètres!$A$1:$I$89,3,0)*VLOOKUP('Données projet'!$B$15,Paramètres!$A$1:$I$89,5,0)</f>
        <v>353.76000000000022</v>
      </c>
      <c r="EL88" s="14">
        <f t="shared" si="99"/>
        <v>82.336252141072379</v>
      </c>
      <c r="EM88" s="22">
        <f t="shared" si="73"/>
        <v>759.53430581236807</v>
      </c>
      <c r="EN88" s="62">
        <f t="shared" si="74"/>
        <v>1052.8676391457013</v>
      </c>
      <c r="EO88" s="62">
        <f ca="1">AVERAGE(OFFSET($EN$3,0,0,'Données projet'!$E$15+1,1))-AVERAGE(OFFSET($H$3,0,0,'Données projet'!$E$15+1,1))</f>
        <v>595.89992279024398</v>
      </c>
      <c r="EP88" s="62">
        <f t="shared" si="100"/>
        <v>378.16197659288338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>
        <f>EXP(-LN(2)/35)*EV87+(1-EXP(-LN(2)/35))/(LN(2)/35)*ER88*ES88*VLOOKUP('Données projet'!$B$15,Paramètres!$A$1:$I$89,3,0)*0.475*44/12</f>
        <v>0</v>
      </c>
      <c r="EW88" s="23">
        <f>EXP(-LN(2)/25)*EW87+(1-EXP(-LN(2)/25))/(LN(2)/25)*Calculateur!ER88*Calculateur!ET88*VLOOKUP('Données projet'!$B$15,Paramètres!$A$1:$I$89,3,0)*0.475*44/12</f>
        <v>0</v>
      </c>
      <c r="EX88" s="23">
        <f>EXP(-LN(2)/2)*EX87+(1-EXP(-LN(2)/2))/(LN(2)/2)*ER88*EU88*VLOOKUP('Données projet'!$B$15,Paramètres!$A$1:$I$89,3,0)*0.475*44/12</f>
        <v>0</v>
      </c>
      <c r="EY88" s="24">
        <f t="shared" si="75"/>
        <v>0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-2.2737367544323206E-13</v>
      </c>
      <c r="FF88" s="18">
        <f>FE88*VLOOKUP('Données projet'!$B$16,Paramètres!$A$1:$I$89,3,0)*VLOOKUP('Données projet'!$B$16,Paramètres!$A$1:$I$89,5,0)</f>
        <v>-1.3596945791505279E-13</v>
      </c>
      <c r="FG88" s="14" t="e">
        <f t="shared" si="101"/>
        <v>#NUM!</v>
      </c>
      <c r="FH88" s="22" t="e">
        <f t="shared" si="76"/>
        <v>#NUM!</v>
      </c>
      <c r="FI88" s="62" t="e">
        <f t="shared" si="77"/>
        <v>#NUM!</v>
      </c>
      <c r="FJ88" s="62">
        <f ca="1">AVERAGE(OFFSET($FI$3,0,0,'Données projet'!$E$16+1,1))-AVERAGE(OFFSET($H$3,0,0,'Données projet'!$E$16+1,1))</f>
        <v>257.56116197646924</v>
      </c>
      <c r="FK88" s="62">
        <f t="shared" si="102"/>
        <v>269.95556918835888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>
        <f>EXP(-LN(2)/35)*FQ87+(1-EXP(-LN(2)/35))/(LN(2)/35)*FM88*FN88*VLOOKUP('Données projet'!$B$16,Paramètres!$A$1:$I$89,3,0)*0.475*44/12</f>
        <v>4.9062913686127532</v>
      </c>
      <c r="FR88" s="23">
        <f>EXP(-LN(2)/25)*FR87+(1-EXP(-LN(2)/25))/(LN(2)/25)*Calculateur!FM88*Calculateur!FO88*VLOOKUP('Données projet'!$B$16,Paramètres!$A$1:$I$89,3,0)*0.475*44/12</f>
        <v>3.5133403333294155</v>
      </c>
      <c r="FS88" s="23">
        <f>EXP(-LN(2)/2)*FS87+(1-EXP(-LN(2)/2))/(LN(2)/2)*FM88*FP88*VLOOKUP('Données projet'!$B$16,Paramètres!$A$1:$I$89,3,0)*0.475*44/12</f>
        <v>4.5065957266941207E-8</v>
      </c>
      <c r="FT88" s="24">
        <f t="shared" si="78"/>
        <v>8.4196317470081272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-2.8421709430404007E-13</v>
      </c>
      <c r="GA88" s="18">
        <f>FZ88*VLOOKUP('Données projet'!$B$17,Paramètres!$A$1:$I$89,3,0)*VLOOKUP('Données projet'!$B$17,Paramètres!$A$1:$I$89,5,0)</f>
        <v>-1.69961822393816E-13</v>
      </c>
      <c r="GB88" s="14" t="e">
        <f t="shared" si="103"/>
        <v>#NUM!</v>
      </c>
      <c r="GC88" s="22" t="e">
        <f t="shared" si="79"/>
        <v>#NUM!</v>
      </c>
      <c r="GD88" s="62" t="e">
        <f t="shared" si="80"/>
        <v>#NUM!</v>
      </c>
      <c r="GE88" s="62">
        <f ca="1">AVERAGE(OFFSET($GD$3,0,0,'Données projet'!$E$17+1,1))-AVERAGE(OFFSET($H$3,0,0,'Données projet'!$E$17+1,1))</f>
        <v>289.12367833861299</v>
      </c>
      <c r="GF88" s="62">
        <f t="shared" si="104"/>
        <v>229.06617320689003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>
        <f>EXP(-LN(2)/35)*GL87+(1-EXP(-LN(2)/35))/(LN(2)/35)*GH88*GI88*VLOOKUP('Données projet'!$B$17,Paramètres!$A$1:$I$89,3,0)*0.475*44/12</f>
        <v>0</v>
      </c>
      <c r="GM88" s="23">
        <f>EXP(-LN(2)/25)*GM87+(1-EXP(-LN(2)/25))/(LN(2)/25)*Calculateur!GH88*Calculateur!GJ88*VLOOKUP('Données projet'!$B$17,Paramètres!$A$1:$I$89,3,0)*0.475*44/12</f>
        <v>0</v>
      </c>
      <c r="GN88" s="23">
        <f>EXP(-LN(2)/2)*GN87+(1-EXP(-LN(2)/2))/(LN(2)/2)*GH88*GK88*VLOOKUP('Données projet'!$B$17,Paramètres!$A$1:$I$89,3,0)*0.475*44/12</f>
        <v>2.1847003729150007E-8</v>
      </c>
      <c r="GO88" s="23">
        <f t="shared" si="81"/>
        <v>2.1847003729150007E-8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>
        <f>VLOOKUP(A88,'Données projet'!$A$269:$I$289,2,0)</f>
        <v>378.83076923076925</v>
      </c>
      <c r="GS88" s="13">
        <f>VLOOKUP(A88,'Données projet'!$A$269:$I$289,9,0)</f>
        <v>9.6128205128205195</v>
      </c>
      <c r="GT88" s="13">
        <f t="array" ref="GT88">INDEX(GS:GS,MIN(IF(ISNUMBER(GS88:GS284),ROW(GS88:GS284),"")))</f>
        <v>9.6128205128205195</v>
      </c>
      <c r="GU88" s="13">
        <f>IF('Données projet'!$A$270&gt;35,GU87+GT88-HC87,IF(A88&lt;'Données projet'!$A$270,$GR$205^A88,IF(A88='Données projet'!$A$270,'Données projet'!$B$270,GU87+GT88-HC87)))</f>
        <v>378.83076923076925</v>
      </c>
      <c r="GV88" s="18">
        <f>GU88*VLOOKUP('Données projet'!$B$18,Paramètres!$A$1:$I$89,3,0)*VLOOKUP('Données projet'!$B$18,Paramètres!$A$1:$I$89,5,0)</f>
        <v>177.2928</v>
      </c>
      <c r="GW88" s="14">
        <f t="shared" si="105"/>
        <v>44.719353857403867</v>
      </c>
      <c r="GX88" s="22">
        <f t="shared" si="82"/>
        <v>386.67116796831169</v>
      </c>
      <c r="GY88" s="62">
        <f t="shared" si="83"/>
        <v>680.00450130164495</v>
      </c>
      <c r="GZ88" s="62">
        <f ca="1">AVERAGE(OFFSET($GY$3,0,0,'Données projet'!$E$18+1,1))-AVERAGE(OFFSET($H$3,0,0,'Données projet'!$E$18+1,1))</f>
        <v>284.88646502866419</v>
      </c>
      <c r="HA88" s="62">
        <f t="shared" si="106"/>
        <v>190.4880882944471</v>
      </c>
      <c r="HB88" s="16">
        <f>IF(ISNA(VLOOKUP(A88,'Données projet'!$A$269:$I$289,3,0)),0,VLOOKUP(A88,'Données projet'!$A$269:$I$289,3,0))</f>
        <v>4</v>
      </c>
      <c r="HC88" s="16">
        <f>IF(ISNA(VLOOKUP(A88,'Données projet'!$A$269:$I$289,4,0)),0,VLOOKUP(A88,'Données projet'!$A$269:$I$289,4,0))</f>
        <v>85.207692307692298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>
        <f>EXP(-LN(2)/35)*HG87+(1-EXP(-LN(2)/35))/(LN(2)/35)*HC88*HD88*VLOOKUP('Données projet'!$B$18,Paramètres!$A$1:$I$89,3,0)*0.475*44/12</f>
        <v>0</v>
      </c>
      <c r="HH88" s="23">
        <f>EXP(-LN(2)/25)*HH87+(1-EXP(-LN(2)/25))/(LN(2)/25)*Calculateur!HC88*Calculateur!HE88*VLOOKUP('Données projet'!$B$18,Paramètres!$A$1:$I$89,3,0)*0.475*44/12</f>
        <v>0</v>
      </c>
      <c r="HI88" s="23">
        <f>EXP(-LN(2)/2)*HI87+(1-EXP(-LN(2)/2))/(LN(2)/2)*HC88*HF88*VLOOKUP('Données projet'!$B$18,Paramètres!$A$1:$I$89,3,0)*0.475*44/12</f>
        <v>0</v>
      </c>
      <c r="HJ88" s="24">
        <f t="shared" si="84"/>
        <v>0</v>
      </c>
    </row>
    <row r="89" spans="1:218" s="5" customFormat="1" x14ac:dyDescent="0.25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2">
        <f t="shared" si="86"/>
        <v>0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0</v>
      </c>
      <c r="H89" s="70">
        <f t="shared" si="56"/>
        <v>256.66666666666669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3.5897435897435912</v>
      </c>
      <c r="N89" s="14">
        <f>IF('Données projet'!$A$36&gt;35,N88+M89-V88,IF(A89&lt;'Données projet'!$A$36,$K$205^A89,IF(A89='Données projet'!$A$36,'Données projet'!$B$36,N88+M89-V88)))</f>
        <v>222.82051282051273</v>
      </c>
      <c r="O89" s="14">
        <f>N89*VLOOKUP('Données projet'!$B$9,Paramètres!$A$1:$I$89,3,0)*VLOOKUP('Données projet'!$B$9,Paramètres!$A$1:$I$89,5,0)</f>
        <v>212.03599999999992</v>
      </c>
      <c r="P89" s="14">
        <f t="shared" si="87"/>
        <v>52.380252774201118</v>
      </c>
      <c r="Q89" s="22">
        <f t="shared" si="54"/>
        <v>460.52497358173349</v>
      </c>
      <c r="R89" s="62">
        <f t="shared" si="55"/>
        <v>753.85830691506681</v>
      </c>
      <c r="S89" s="62">
        <f ca="1">AVERAGE(OFFSET($R$3,0,0,'Données projet'!$E$9+1,1))-AVERAGE(OFFSET($H$3,0,0,'Données projet'!$E$9+1,1))</f>
        <v>367.11183928586667</v>
      </c>
      <c r="T89" s="62">
        <f t="shared" si="88"/>
        <v>281.52963027844595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0</v>
      </c>
      <c r="AA89" s="23">
        <f>EXP(-LN(2)/25)*AA88+(1-EXP(-LN(2)/25))/(LN(2)/25)*Calculateur!V89*Calculateur!X89*VLOOKUP('Données projet'!$B$9,Paramètres!$A$1:$I$89,3,0)*0.475*44/12</f>
        <v>0</v>
      </c>
      <c r="AB89" s="23">
        <f>EXP(-LN(2)/2)*AB88+(1-EXP(-LN(2)/2))/(LN(2)/2)*V89*Y89*VLOOKUP('Données projet'!$B$9,Paramètres!$A$1:$I$89,3,0)*0.475*44/12</f>
        <v>0</v>
      </c>
      <c r="AC89" s="24">
        <f t="shared" si="57"/>
        <v>0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5.6</v>
      </c>
      <c r="AI89" s="14">
        <f>IF('Données projet'!$A$62&gt;35,AI88+AH89-AQ88,IF(A89&lt;'Données projet'!$A$62,$AF$205^A89,IF(A89='Données projet'!$A$62,'Données projet'!$B$62,AI88+AH89-AQ88)))</f>
        <v>273.59999999999997</v>
      </c>
      <c r="AJ89" s="14">
        <f>AI89*VLOOKUP('Données projet'!$B$10,Paramètres!$A$1:$I$89,3,0)*VLOOKUP('Données projet'!$B$10,Paramètres!$A$1:$I$89,5,0)</f>
        <v>247.55327999999994</v>
      </c>
      <c r="AK89" s="14">
        <f t="shared" si="89"/>
        <v>60.061713068870255</v>
      </c>
      <c r="AL89" s="22">
        <f t="shared" si="58"/>
        <v>535.76277959494894</v>
      </c>
      <c r="AM89" s="62">
        <f t="shared" si="59"/>
        <v>829.09611292828231</v>
      </c>
      <c r="AN89" s="62">
        <f ca="1">AVERAGE(OFFSET($AM$3,0,0,'Données projet'!$E$10+1,1))-AVERAGE(OFFSET($H$3,0,0,'Données projet'!$E$10+1,1))</f>
        <v>428.8489304403459</v>
      </c>
      <c r="AO89" s="62">
        <f t="shared" si="90"/>
        <v>247.01165577562966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0</v>
      </c>
      <c r="AV89" s="23">
        <f>EXP(-LN(2)/25)*AV88+(1-EXP(-LN(2)/25))/(LN(2)/25)*Calculateur!AQ89*Calculateur!AS89*VLOOKUP('Données projet'!$B$10,Paramètres!$A$1:$I$89,3,0)*0.475*44/12</f>
        <v>0</v>
      </c>
      <c r="AW89" s="23">
        <f>EXP(-LN(2)/2)*AW88+(1-EXP(-LN(2)/2))/(LN(2)/2)*AQ89*AT89*VLOOKUP('Données projet'!$B$10,Paramètres!$A$1:$I$89,3,0)*0.475*44/12</f>
        <v>0</v>
      </c>
      <c r="AX89" s="23">
        <f t="shared" si="60"/>
        <v>0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5.6</v>
      </c>
      <c r="BD89" s="13">
        <f>IF('Données projet'!$A$88&gt;35,BD88+BC89-BL88,IF(A89&lt;'Données projet'!$A$88,$BA$205^A89,IF(A89='Données projet'!$A$88,'Données projet'!$B$88,BD88+BC89-BL88)))</f>
        <v>273.59999999999997</v>
      </c>
      <c r="BE89" s="14">
        <f>BD89*VLOOKUP('Données projet'!$B$11,Paramètres!$A$1:$I$89,3,0)*VLOOKUP('Données projet'!$B$11,Paramètres!$A$1:$I$89,5,0)</f>
        <v>277.43039999999996</v>
      </c>
      <c r="BF89" s="14">
        <f t="shared" si="91"/>
        <v>66.423687500715673</v>
      </c>
      <c r="BG89" s="22">
        <f t="shared" si="61"/>
        <v>598.87920239707967</v>
      </c>
      <c r="BH89" s="62">
        <f t="shared" si="62"/>
        <v>892.21253573041304</v>
      </c>
      <c r="BI89" s="62">
        <f ca="1">AVERAGE(OFFSET($BH$3,0,0,'Données projet'!$E$11+1,1))-AVERAGE(OFFSET($H$3,0,0,'Données projet'!$E$11+1,1))</f>
        <v>475.47920969424894</v>
      </c>
      <c r="BJ89" s="62">
        <f t="shared" si="92"/>
        <v>271.73544012419364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>
        <f>EXP(-LN(2)/35)*BP88+(1-EXP(-LN(2)/35))/(LN(2)/35)*BL89*BM89*VLOOKUP('Données projet'!$B$11,Paramètres!$A$1:$I$89,3,0)*0.475*44/12</f>
        <v>0</v>
      </c>
      <c r="BQ89" s="23">
        <f>EXP(-LN(2)/25)*BQ88+(1-EXP(-LN(2)/25))/(LN(2)/25)*Calculateur!BL89*Calculateur!BN89*VLOOKUP('Données projet'!$B$11,Paramètres!$A$1:$I$89,3,0)*0.475*44/12</f>
        <v>0</v>
      </c>
      <c r="BR89" s="23">
        <f>EXP(-LN(2)/2)*BR88+(1-EXP(-LN(2)/2))/(LN(2)/2)*BL89*BO89*VLOOKUP('Données projet'!$B$11,Paramètres!$A$1:$I$89,3,0)*0.475*44/12</f>
        <v>0</v>
      </c>
      <c r="BS89" s="24">
        <f t="shared" si="63"/>
        <v>0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2.2737367544323206E-13</v>
      </c>
      <c r="BZ89" s="14">
        <f>BY89*VLOOKUP('Données projet'!$B$12,Paramètres!$A$1:$I$89,3,0)*VLOOKUP('Données projet'!$B$12,Paramètres!$A$1:$I$89,5,0)</f>
        <v>1.2710188457276673E-13</v>
      </c>
      <c r="CA89" s="14">
        <f t="shared" si="93"/>
        <v>1.856866851063998E-12</v>
      </c>
      <c r="CB89" s="22">
        <f t="shared" si="64"/>
        <v>3.4554122145673649E-12</v>
      </c>
      <c r="CC89" s="62">
        <f t="shared" si="65"/>
        <v>293.33333333333678</v>
      </c>
      <c r="CD89" s="62">
        <f ca="1">AVERAGE(OFFSET($CC$3,0,0,'Données projet'!$E$12+1,1))-AVERAGE(OFFSET($H$3,0,0,'Données projet'!$E$12+1,1))</f>
        <v>323.98185264074681</v>
      </c>
      <c r="CE89" s="62">
        <f t="shared" si="94"/>
        <v>301.22207291854005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>
        <f>EXP(-LN(2)/35)*CK88+(1-EXP(-LN(2)/35))/(LN(2)/35)*CG89*CH89*VLOOKUP('Données projet'!$B$12,Paramètres!$A$1:$I$89,3,0)*0.475*44/12</f>
        <v>1.4720169721909935</v>
      </c>
      <c r="CL89" s="23">
        <f>EXP(-LN(2)/25)*CL88+(1-EXP(-LN(2)/25))/(LN(2)/25)*Calculateur!CG89*Calculateur!CI89*VLOOKUP('Données projet'!$B$12,Paramètres!$A$1:$I$89,3,0)*0.475*44/12</f>
        <v>1.74584057768378</v>
      </c>
      <c r="CM89" s="23">
        <f>EXP(-LN(2)/2)*CM88+(1-EXP(-LN(2)/2))/(LN(2)/2)*CG89*CJ89*VLOOKUP('Données projet'!$B$12,Paramètres!$A$1:$I$89,3,0)*0.475*44/12</f>
        <v>2.2678849025137799E-8</v>
      </c>
      <c r="CN89" s="24">
        <f t="shared" si="66"/>
        <v>3.2178575725536227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4.2</v>
      </c>
      <c r="CT89" s="13">
        <f>IF('Données projet'!$A$140&gt;35,CT88+CS89-DB88,IF(A89&lt;'Données projet'!$A$140,$CQ$205^A89,IF(A89='Données projet'!$A$140,'Données projet'!$B$140,CT88+CS89-DB88)))</f>
        <v>204.2</v>
      </c>
      <c r="CU89" s="18">
        <f>CT89*VLOOKUP('Données projet'!$B$13,Paramètres!$A$1:$I$89,3,0)*VLOOKUP('Données projet'!$B$13,Paramètres!$A$1:$I$89,5,0)</f>
        <v>232.54295999999997</v>
      </c>
      <c r="CV89" s="14">
        <f t="shared" si="95"/>
        <v>56.832176569346167</v>
      </c>
      <c r="CW89" s="22">
        <f t="shared" si="67"/>
        <v>503.99502952494453</v>
      </c>
      <c r="CX89" s="62">
        <f t="shared" si="68"/>
        <v>797.32836285827784</v>
      </c>
      <c r="CY89" s="62">
        <f ca="1">AVERAGE(OFFSET($CX$3,0,0,'Données projet'!$E$13+1,1))-AVERAGE(OFFSET($H$3,0,0,'Données projet'!$E$13+1,1))</f>
        <v>399.78832690250164</v>
      </c>
      <c r="CZ89" s="62">
        <f t="shared" si="96"/>
        <v>174.32967064896343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>
        <f>EXP(-LN(2)/35)*DF88+(1-EXP(-LN(2)/35))/(LN(2)/35)*DB89*DC89*VLOOKUP('Données projet'!$B$13,Paramètres!$A$1:$I$89,3,0)*0.475*44/12</f>
        <v>0</v>
      </c>
      <c r="DG89" s="23">
        <f>EXP(-LN(2)/25)*DG88+(1-EXP(-LN(2)/25))/(LN(2)/25)*Calculateur!DB89*Calculateur!DD89*VLOOKUP('Données projet'!$B$13,Paramètres!$A$1:$I$89,3,0)*0.475*44/12</f>
        <v>0</v>
      </c>
      <c r="DH89" s="23">
        <f>EXP(-LN(2)/2)*DH88+(1-EXP(-LN(2)/2))/(LN(2)/2)*DB89*DE89*VLOOKUP('Données projet'!$B$13,Paramètres!$A$1:$I$89,3,0)*0.475*44/12</f>
        <v>0</v>
      </c>
      <c r="DI89" s="24">
        <f t="shared" si="69"/>
        <v>0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5.6</v>
      </c>
      <c r="DO89" s="13">
        <f>IF('Données projet'!$A$166&gt;35,DO88+DN89-DW88,IF(A89&lt;'Données projet'!$A$166,$DL$205^A89,IF(A89='Données projet'!$A$166,'Données projet'!$B$166,DO88+DN89-DW88)))</f>
        <v>273.59999999999997</v>
      </c>
      <c r="DP89" s="18">
        <f>DO89*VLOOKUP('Données projet'!$B$14,Paramètres!$A$1:$I$89,3,0)*VLOOKUP('Données projet'!$B$14,Paramètres!$A$1:$I$89,5,0)</f>
        <v>230.48063999999999</v>
      </c>
      <c r="DQ89" s="14">
        <f t="shared" si="97"/>
        <v>56.386594506599792</v>
      </c>
      <c r="DR89" s="22">
        <f t="shared" si="70"/>
        <v>499.62710009899462</v>
      </c>
      <c r="DS89" s="62">
        <f t="shared" si="71"/>
        <v>792.96043343232793</v>
      </c>
      <c r="DT89" s="62">
        <f ca="1">AVERAGE(OFFSET($DS$3,0,0,'Données projet'!$E$14+1,1))-AVERAGE(OFFSET($H$3,0,0,'Données projet'!$E$14+1,1))</f>
        <v>402.15128814037058</v>
      </c>
      <c r="DU89" s="62">
        <f t="shared" si="98"/>
        <v>232.85411068442738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>
        <f>EXP(-LN(2)/35)*EA88+(1-EXP(-LN(2)/35))/(LN(2)/35)*DW89*DX89*VLOOKUP('Données projet'!$B$14,Paramètres!$A$1:$I$89,3,0)*0.475*44/12</f>
        <v>0</v>
      </c>
      <c r="EB89" s="23">
        <f>EXP(-LN(2)/25)*EB88+(1-EXP(-LN(2)/25))/(LN(2)/25)*Calculateur!DW89*Calculateur!DY89*VLOOKUP('Données projet'!$B$14,Paramètres!$A$1:$I$89,3,0)*0.475*44/12</f>
        <v>0</v>
      </c>
      <c r="EC89" s="23">
        <f>EXP(-LN(2)/2)*EC88+(1-EXP(-LN(2)/2))/(LN(2)/2)*DW89*DZ89*VLOOKUP('Données projet'!$B$14,Paramètres!$A$1:$I$89,3,0)*0.475*44/12</f>
        <v>0</v>
      </c>
      <c r="ED89" s="24">
        <f t="shared" si="72"/>
        <v>0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4.4871794871794917</v>
      </c>
      <c r="EJ89" s="13">
        <f>IF('Données projet'!$A$192&gt;35,EJ88+EI89-ER88,IF(A89&lt;'Données projet'!$A$192,$EG$205^A89,IF(A89='Données projet'!$A$192,'Données projet'!$B$192,EJ88+EI89-ER88)))</f>
        <v>342.94871794871818</v>
      </c>
      <c r="EK89" s="18">
        <f>EJ89*VLOOKUP('Données projet'!$B$15,Paramètres!$A$1:$I$89,3,0)*VLOOKUP('Données projet'!$B$15,Paramètres!$A$1:$I$89,5,0)</f>
        <v>358.45000000000027</v>
      </c>
      <c r="EL89" s="14">
        <f t="shared" si="99"/>
        <v>83.300030865929031</v>
      </c>
      <c r="EM89" s="22">
        <f t="shared" si="73"/>
        <v>769.38130375816024</v>
      </c>
      <c r="EN89" s="62">
        <f t="shared" si="74"/>
        <v>1062.7146370914936</v>
      </c>
      <c r="EO89" s="62">
        <f ca="1">AVERAGE(OFFSET($EN$3,0,0,'Données projet'!$E$15+1,1))-AVERAGE(OFFSET($H$3,0,0,'Données projet'!$E$15+1,1))</f>
        <v>595.89992279024398</v>
      </c>
      <c r="EP89" s="62">
        <f t="shared" si="100"/>
        <v>378.16197659288338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>
        <f>EXP(-LN(2)/35)*EV88+(1-EXP(-LN(2)/35))/(LN(2)/35)*ER89*ES89*VLOOKUP('Données projet'!$B$15,Paramètres!$A$1:$I$89,3,0)*0.475*44/12</f>
        <v>0</v>
      </c>
      <c r="EW89" s="23">
        <f>EXP(-LN(2)/25)*EW88+(1-EXP(-LN(2)/25))/(LN(2)/25)*Calculateur!ER89*Calculateur!ET89*VLOOKUP('Données projet'!$B$15,Paramètres!$A$1:$I$89,3,0)*0.475*44/12</f>
        <v>0</v>
      </c>
      <c r="EX89" s="23">
        <f>EXP(-LN(2)/2)*EX88+(1-EXP(-LN(2)/2))/(LN(2)/2)*ER89*EU89*VLOOKUP('Données projet'!$B$15,Paramètres!$A$1:$I$89,3,0)*0.475*44/12</f>
        <v>0</v>
      </c>
      <c r="EY89" s="24">
        <f t="shared" si="75"/>
        <v>0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-2.2737367544323206E-13</v>
      </c>
      <c r="FF89" s="18">
        <f>FE89*VLOOKUP('Données projet'!$B$16,Paramètres!$A$1:$I$89,3,0)*VLOOKUP('Données projet'!$B$16,Paramètres!$A$1:$I$89,5,0)</f>
        <v>-1.3596945791505279E-13</v>
      </c>
      <c r="FG89" s="14" t="e">
        <f t="shared" si="101"/>
        <v>#NUM!</v>
      </c>
      <c r="FH89" s="22" t="e">
        <f t="shared" si="76"/>
        <v>#NUM!</v>
      </c>
      <c r="FI89" s="62" t="e">
        <f t="shared" si="77"/>
        <v>#NUM!</v>
      </c>
      <c r="FJ89" s="62">
        <f ca="1">AVERAGE(OFFSET($FI$3,0,0,'Données projet'!$E$16+1,1))-AVERAGE(OFFSET($H$3,0,0,'Données projet'!$E$16+1,1))</f>
        <v>257.56116197646924</v>
      </c>
      <c r="FK89" s="62">
        <f t="shared" si="102"/>
        <v>269.95556918835888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>
        <f>EXP(-LN(2)/35)*FQ88+(1-EXP(-LN(2)/35))/(LN(2)/35)*FM89*FN89*VLOOKUP('Données projet'!$B$16,Paramètres!$A$1:$I$89,3,0)*0.475*44/12</f>
        <v>4.8100819874165026</v>
      </c>
      <c r="FR89" s="23">
        <f>EXP(-LN(2)/25)*FR88+(1-EXP(-LN(2)/25))/(LN(2)/25)*Calculateur!FM89*Calculateur!FO89*VLOOKUP('Données projet'!$B$16,Paramètres!$A$1:$I$89,3,0)*0.475*44/12</f>
        <v>3.4172678571559842</v>
      </c>
      <c r="FS89" s="23">
        <f>EXP(-LN(2)/2)*FS88+(1-EXP(-LN(2)/2))/(LN(2)/2)*FM89*FP89*VLOOKUP('Données projet'!$B$16,Paramètres!$A$1:$I$89,3,0)*0.475*44/12</f>
        <v>3.1866443984117297E-8</v>
      </c>
      <c r="FT89" s="24">
        <f t="shared" si="78"/>
        <v>8.2273498764389306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-2.8421709430404007E-13</v>
      </c>
      <c r="GA89" s="18">
        <f>FZ89*VLOOKUP('Données projet'!$B$17,Paramètres!$A$1:$I$89,3,0)*VLOOKUP('Données projet'!$B$17,Paramètres!$A$1:$I$89,5,0)</f>
        <v>-1.69961822393816E-13</v>
      </c>
      <c r="GB89" s="14" t="e">
        <f t="shared" si="103"/>
        <v>#NUM!</v>
      </c>
      <c r="GC89" s="22" t="e">
        <f t="shared" si="79"/>
        <v>#NUM!</v>
      </c>
      <c r="GD89" s="62" t="e">
        <f t="shared" si="80"/>
        <v>#NUM!</v>
      </c>
      <c r="GE89" s="62">
        <f ca="1">AVERAGE(OFFSET($GD$3,0,0,'Données projet'!$E$17+1,1))-AVERAGE(OFFSET($H$3,0,0,'Données projet'!$E$17+1,1))</f>
        <v>289.12367833861299</v>
      </c>
      <c r="GF89" s="62">
        <f t="shared" si="104"/>
        <v>229.06617320689003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>
        <f>EXP(-LN(2)/35)*GL88+(1-EXP(-LN(2)/35))/(LN(2)/35)*GH89*GI89*VLOOKUP('Données projet'!$B$17,Paramètres!$A$1:$I$89,3,0)*0.475*44/12</f>
        <v>0</v>
      </c>
      <c r="GM89" s="23">
        <f>EXP(-LN(2)/25)*GM88+(1-EXP(-LN(2)/25))/(LN(2)/25)*Calculateur!GH89*Calculateur!GJ89*VLOOKUP('Données projet'!$B$17,Paramètres!$A$1:$I$89,3,0)*0.475*44/12</f>
        <v>0</v>
      </c>
      <c r="GN89" s="23">
        <f>EXP(-LN(2)/2)*GN88+(1-EXP(-LN(2)/2))/(LN(2)/2)*GH89*GK89*VLOOKUP('Données projet'!$B$17,Paramètres!$A$1:$I$89,3,0)*0.475*44/12</f>
        <v>1.5448164485489761E-8</v>
      </c>
      <c r="GO89" s="23">
        <f t="shared" si="81"/>
        <v>1.5448164485489761E-8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8.6692307692307597</v>
      </c>
      <c r="GU89" s="13">
        <f>IF('Données projet'!$A$270&gt;35,GU88+GT89-HC88,IF(A89&lt;'Données projet'!$A$270,$GR$205^A89,IF(A89='Données projet'!$A$270,'Données projet'!$B$270,GU88+GT89-HC88)))</f>
        <v>302.2923076923077</v>
      </c>
      <c r="GV89" s="18">
        <f>GU89*VLOOKUP('Données projet'!$B$18,Paramètres!$A$1:$I$89,3,0)*VLOOKUP('Données projet'!$B$18,Paramètres!$A$1:$I$89,5,0)</f>
        <v>141.47280000000001</v>
      </c>
      <c r="GW89" s="14">
        <f t="shared" si="105"/>
        <v>36.634197520987641</v>
      </c>
      <c r="GX89" s="22">
        <f t="shared" si="82"/>
        <v>310.20302068238681</v>
      </c>
      <c r="GY89" s="62">
        <f t="shared" si="83"/>
        <v>603.53635401572012</v>
      </c>
      <c r="GZ89" s="62">
        <f ca="1">AVERAGE(OFFSET($GY$3,0,0,'Données projet'!$E$18+1,1))-AVERAGE(OFFSET($H$3,0,0,'Données projet'!$E$18+1,1))</f>
        <v>284.88646502866419</v>
      </c>
      <c r="HA89" s="62">
        <f t="shared" si="106"/>
        <v>190.4880882944471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>
        <f>EXP(-LN(2)/35)*HG88+(1-EXP(-LN(2)/35))/(LN(2)/35)*HC89*HD89*VLOOKUP('Données projet'!$B$18,Paramètres!$A$1:$I$89,3,0)*0.475*44/12</f>
        <v>0</v>
      </c>
      <c r="HH89" s="23">
        <f>EXP(-LN(2)/25)*HH88+(1-EXP(-LN(2)/25))/(LN(2)/25)*Calculateur!HC89*Calculateur!HE89*VLOOKUP('Données projet'!$B$18,Paramètres!$A$1:$I$89,3,0)*0.475*44/12</f>
        <v>0</v>
      </c>
      <c r="HI89" s="23">
        <f>EXP(-LN(2)/2)*HI88+(1-EXP(-LN(2)/2))/(LN(2)/2)*HC89*HF89*VLOOKUP('Données projet'!$B$18,Paramètres!$A$1:$I$89,3,0)*0.475*44/12</f>
        <v>0</v>
      </c>
      <c r="HJ89" s="24">
        <f t="shared" si="84"/>
        <v>0</v>
      </c>
    </row>
    <row r="90" spans="1:218" s="5" customFormat="1" x14ac:dyDescent="0.25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2">
        <f t="shared" si="86"/>
        <v>0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0</v>
      </c>
      <c r="H90" s="70">
        <f t="shared" si="56"/>
        <v>256.66666666666669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3.5897435897435912</v>
      </c>
      <c r="N90" s="14">
        <f>IF('Données projet'!$A$36&gt;35,N89+M90-V89,IF(A90&lt;'Données projet'!$A$36,$K$205^A90,IF(A90='Données projet'!$A$36,'Données projet'!$B$36,N89+M90-V89)))</f>
        <v>226.41025641025632</v>
      </c>
      <c r="O90" s="14">
        <f>N90*VLOOKUP('Données projet'!$B$9,Paramètres!$A$1:$I$89,3,0)*VLOOKUP('Données projet'!$B$9,Paramètres!$A$1:$I$89,5,0)</f>
        <v>215.45199999999988</v>
      </c>
      <c r="P90" s="14">
        <f t="shared" si="87"/>
        <v>53.125201841889961</v>
      </c>
      <c r="Q90" s="22">
        <f t="shared" si="54"/>
        <v>467.77195987462483</v>
      </c>
      <c r="R90" s="62">
        <f t="shared" si="55"/>
        <v>761.10529320795808</v>
      </c>
      <c r="S90" s="62">
        <f ca="1">AVERAGE(OFFSET($R$3,0,0,'Données projet'!$E$9+1,1))-AVERAGE(OFFSET($H$3,0,0,'Données projet'!$E$9+1,1))</f>
        <v>367.11183928586667</v>
      </c>
      <c r="T90" s="62">
        <f t="shared" si="88"/>
        <v>281.52963027844595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0</v>
      </c>
      <c r="AA90" s="23">
        <f>EXP(-LN(2)/25)*AA89+(1-EXP(-LN(2)/25))/(LN(2)/25)*Calculateur!V90*Calculateur!X90*VLOOKUP('Données projet'!$B$9,Paramètres!$A$1:$I$89,3,0)*0.475*44/12</f>
        <v>0</v>
      </c>
      <c r="AB90" s="23">
        <f>EXP(-LN(2)/2)*AB89+(1-EXP(-LN(2)/2))/(LN(2)/2)*V90*Y90*VLOOKUP('Données projet'!$B$9,Paramètres!$A$1:$I$89,3,0)*0.475*44/12</f>
        <v>0</v>
      </c>
      <c r="AC90" s="24">
        <f t="shared" si="57"/>
        <v>0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5.6</v>
      </c>
      <c r="AI90" s="14">
        <f>IF('Données projet'!$A$62&gt;35,AI89+AH90-AQ89,IF(A90&lt;'Données projet'!$A$62,$AF$205^A90,IF(A90='Données projet'!$A$62,'Données projet'!$B$62,AI89+AH90-AQ89)))</f>
        <v>279.2</v>
      </c>
      <c r="AJ90" s="14">
        <f>AI90*VLOOKUP('Données projet'!$B$10,Paramètres!$A$1:$I$89,3,0)*VLOOKUP('Données projet'!$B$10,Paramètres!$A$1:$I$89,5,0)</f>
        <v>252.62015999999997</v>
      </c>
      <c r="AK90" s="14">
        <f t="shared" si="89"/>
        <v>61.14666777229877</v>
      </c>
      <c r="AL90" s="22">
        <f t="shared" si="58"/>
        <v>546.47722503675357</v>
      </c>
      <c r="AM90" s="62">
        <f t="shared" si="59"/>
        <v>839.81055837008694</v>
      </c>
      <c r="AN90" s="62">
        <f ca="1">AVERAGE(OFFSET($AM$3,0,0,'Données projet'!$E$10+1,1))-AVERAGE(OFFSET($H$3,0,0,'Données projet'!$E$10+1,1))</f>
        <v>428.8489304403459</v>
      </c>
      <c r="AO90" s="62">
        <f t="shared" si="90"/>
        <v>247.01165577562966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0</v>
      </c>
      <c r="AV90" s="23">
        <f>EXP(-LN(2)/25)*AV89+(1-EXP(-LN(2)/25))/(LN(2)/25)*Calculateur!AQ90*Calculateur!AS90*VLOOKUP('Données projet'!$B$10,Paramètres!$A$1:$I$89,3,0)*0.475*44/12</f>
        <v>0</v>
      </c>
      <c r="AW90" s="23">
        <f>EXP(-LN(2)/2)*AW89+(1-EXP(-LN(2)/2))/(LN(2)/2)*AQ90*AT90*VLOOKUP('Données projet'!$B$10,Paramètres!$A$1:$I$89,3,0)*0.475*44/12</f>
        <v>0</v>
      </c>
      <c r="AX90" s="23">
        <f t="shared" si="60"/>
        <v>0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5.6</v>
      </c>
      <c r="BD90" s="13">
        <f>IF('Données projet'!$A$88&gt;35,BD89+BC90-BL89,IF(A90&lt;'Données projet'!$A$88,$BA$205^A90,IF(A90='Données projet'!$A$88,'Données projet'!$B$88,BD89+BC90-BL89)))</f>
        <v>279.2</v>
      </c>
      <c r="BE90" s="14">
        <f>BD90*VLOOKUP('Données projet'!$B$11,Paramètres!$A$1:$I$89,3,0)*VLOOKUP('Données projet'!$B$11,Paramètres!$A$1:$I$89,5,0)</f>
        <v>283.10879999999997</v>
      </c>
      <c r="BF90" s="14">
        <f t="shared" si="91"/>
        <v>67.623564901653808</v>
      </c>
      <c r="BG90" s="22">
        <f t="shared" si="61"/>
        <v>610.85886887038032</v>
      </c>
      <c r="BH90" s="62">
        <f t="shared" si="62"/>
        <v>904.19220220371358</v>
      </c>
      <c r="BI90" s="62">
        <f ca="1">AVERAGE(OFFSET($BH$3,0,0,'Données projet'!$E$11+1,1))-AVERAGE(OFFSET($H$3,0,0,'Données projet'!$E$11+1,1))</f>
        <v>475.47920969424894</v>
      </c>
      <c r="BJ90" s="62">
        <f t="shared" si="92"/>
        <v>271.73544012419364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>
        <f>EXP(-LN(2)/35)*BP89+(1-EXP(-LN(2)/35))/(LN(2)/35)*BL90*BM90*VLOOKUP('Données projet'!$B$11,Paramètres!$A$1:$I$89,3,0)*0.475*44/12</f>
        <v>0</v>
      </c>
      <c r="BQ90" s="23">
        <f>EXP(-LN(2)/25)*BQ89+(1-EXP(-LN(2)/25))/(LN(2)/25)*Calculateur!BL90*Calculateur!BN90*VLOOKUP('Données projet'!$B$11,Paramètres!$A$1:$I$89,3,0)*0.475*44/12</f>
        <v>0</v>
      </c>
      <c r="BR90" s="23">
        <f>EXP(-LN(2)/2)*BR89+(1-EXP(-LN(2)/2))/(LN(2)/2)*BL90*BO90*VLOOKUP('Données projet'!$B$11,Paramètres!$A$1:$I$89,3,0)*0.475*44/12</f>
        <v>0</v>
      </c>
      <c r="BS90" s="24">
        <f t="shared" si="63"/>
        <v>0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2.2737367544323206E-13</v>
      </c>
      <c r="BZ90" s="14">
        <f>BY90*VLOOKUP('Données projet'!$B$12,Paramètres!$A$1:$I$89,3,0)*VLOOKUP('Données projet'!$B$12,Paramètres!$A$1:$I$89,5,0)</f>
        <v>1.2710188457276673E-13</v>
      </c>
      <c r="CA90" s="14">
        <f t="shared" si="93"/>
        <v>1.856866851063998E-12</v>
      </c>
      <c r="CB90" s="22">
        <f t="shared" si="64"/>
        <v>3.4554122145673649E-12</v>
      </c>
      <c r="CC90" s="62">
        <f t="shared" si="65"/>
        <v>293.33333333333678</v>
      </c>
      <c r="CD90" s="62">
        <f ca="1">AVERAGE(OFFSET($CC$3,0,0,'Données projet'!$E$12+1,1))-AVERAGE(OFFSET($H$3,0,0,'Données projet'!$E$12+1,1))</f>
        <v>323.98185264074681</v>
      </c>
      <c r="CE90" s="62">
        <f t="shared" si="94"/>
        <v>301.22207291854005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>
        <f>EXP(-LN(2)/35)*CK89+(1-EXP(-LN(2)/35))/(LN(2)/35)*CG90*CH90*VLOOKUP('Données projet'!$B$12,Paramètres!$A$1:$I$89,3,0)*0.475*44/12</f>
        <v>1.4431516172080265</v>
      </c>
      <c r="CL90" s="23">
        <f>EXP(-LN(2)/25)*CL89+(1-EXP(-LN(2)/25))/(LN(2)/25)*Calculateur!CG90*Calculateur!CI90*VLOOKUP('Données projet'!$B$12,Paramètres!$A$1:$I$89,3,0)*0.475*44/12</f>
        <v>1.6981004752772513</v>
      </c>
      <c r="CM90" s="23">
        <f>EXP(-LN(2)/2)*CM89+(1-EXP(-LN(2)/2))/(LN(2)/2)*CG90*CJ90*VLOOKUP('Données projet'!$B$12,Paramètres!$A$1:$I$89,3,0)*0.475*44/12</f>
        <v>1.603636793518086E-8</v>
      </c>
      <c r="CN90" s="24">
        <f t="shared" si="66"/>
        <v>3.1412521085216456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4.2</v>
      </c>
      <c r="CT90" s="13">
        <f>IF('Données projet'!$A$140&gt;35,CT89+CS90-DB89,IF(A90&lt;'Données projet'!$A$140,$CQ$205^A90,IF(A90='Données projet'!$A$140,'Données projet'!$B$140,CT89+CS90-DB89)))</f>
        <v>208.39999999999998</v>
      </c>
      <c r="CU90" s="18">
        <f>CT90*VLOOKUP('Données projet'!$B$13,Paramètres!$A$1:$I$89,3,0)*VLOOKUP('Données projet'!$B$13,Paramètres!$A$1:$I$89,5,0)</f>
        <v>237.32591999999997</v>
      </c>
      <c r="CV90" s="14">
        <f t="shared" si="95"/>
        <v>57.863814499223359</v>
      </c>
      <c r="CW90" s="22">
        <f t="shared" si="67"/>
        <v>514.12212091948061</v>
      </c>
      <c r="CX90" s="62">
        <f t="shared" si="68"/>
        <v>807.45545425281398</v>
      </c>
      <c r="CY90" s="62">
        <f ca="1">AVERAGE(OFFSET($CX$3,0,0,'Données projet'!$E$13+1,1))-AVERAGE(OFFSET($H$3,0,0,'Données projet'!$E$13+1,1))</f>
        <v>399.78832690250164</v>
      </c>
      <c r="CZ90" s="62">
        <f t="shared" si="96"/>
        <v>174.32967064896343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>
        <f>EXP(-LN(2)/35)*DF89+(1-EXP(-LN(2)/35))/(LN(2)/35)*DB90*DC90*VLOOKUP('Données projet'!$B$13,Paramètres!$A$1:$I$89,3,0)*0.475*44/12</f>
        <v>0</v>
      </c>
      <c r="DG90" s="23">
        <f>EXP(-LN(2)/25)*DG89+(1-EXP(-LN(2)/25))/(LN(2)/25)*Calculateur!DB90*Calculateur!DD90*VLOOKUP('Données projet'!$B$13,Paramètres!$A$1:$I$89,3,0)*0.475*44/12</f>
        <v>0</v>
      </c>
      <c r="DH90" s="23">
        <f>EXP(-LN(2)/2)*DH89+(1-EXP(-LN(2)/2))/(LN(2)/2)*DB90*DE90*VLOOKUP('Données projet'!$B$13,Paramètres!$A$1:$I$89,3,0)*0.475*44/12</f>
        <v>0</v>
      </c>
      <c r="DI90" s="24">
        <f t="shared" si="69"/>
        <v>0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5.6</v>
      </c>
      <c r="DO90" s="13">
        <f>IF('Données projet'!$A$166&gt;35,DO89+DN90-DW89,IF(A90&lt;'Données projet'!$A$166,$DL$205^A90,IF(A90='Données projet'!$A$166,'Données projet'!$B$166,DO89+DN90-DW89)))</f>
        <v>279.2</v>
      </c>
      <c r="DP90" s="18">
        <f>DO90*VLOOKUP('Données projet'!$B$14,Paramètres!$A$1:$I$89,3,0)*VLOOKUP('Données projet'!$B$14,Paramètres!$A$1:$I$89,5,0)</f>
        <v>235.19808</v>
      </c>
      <c r="DQ90" s="14">
        <f t="shared" si="97"/>
        <v>57.40516187330315</v>
      </c>
      <c r="DR90" s="22">
        <f t="shared" si="70"/>
        <v>509.61731292933632</v>
      </c>
      <c r="DS90" s="62">
        <f t="shared" si="71"/>
        <v>802.95064626266958</v>
      </c>
      <c r="DT90" s="62">
        <f ca="1">AVERAGE(OFFSET($DS$3,0,0,'Données projet'!$E$14+1,1))-AVERAGE(OFFSET($H$3,0,0,'Données projet'!$E$14+1,1))</f>
        <v>402.15128814037058</v>
      </c>
      <c r="DU90" s="62">
        <f t="shared" si="98"/>
        <v>232.85411068442738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>
        <f>EXP(-LN(2)/35)*EA89+(1-EXP(-LN(2)/35))/(LN(2)/35)*DW90*DX90*VLOOKUP('Données projet'!$B$14,Paramètres!$A$1:$I$89,3,0)*0.475*44/12</f>
        <v>0</v>
      </c>
      <c r="EB90" s="23">
        <f>EXP(-LN(2)/25)*EB89+(1-EXP(-LN(2)/25))/(LN(2)/25)*Calculateur!DW90*Calculateur!DY90*VLOOKUP('Données projet'!$B$14,Paramètres!$A$1:$I$89,3,0)*0.475*44/12</f>
        <v>0</v>
      </c>
      <c r="EC90" s="23">
        <f>EXP(-LN(2)/2)*EC89+(1-EXP(-LN(2)/2))/(LN(2)/2)*DW90*DZ90*VLOOKUP('Données projet'!$B$14,Paramètres!$A$1:$I$89,3,0)*0.475*44/12</f>
        <v>0</v>
      </c>
      <c r="ED90" s="24">
        <f t="shared" si="72"/>
        <v>0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4.4871794871794917</v>
      </c>
      <c r="EJ90" s="13">
        <f>IF('Données projet'!$A$192&gt;35,EJ89+EI90-ER89,IF(A90&lt;'Données projet'!$A$192,$EG$205^A90,IF(A90='Données projet'!$A$192,'Données projet'!$B$192,EJ89+EI90-ER89)))</f>
        <v>347.43589743589769</v>
      </c>
      <c r="EK90" s="18">
        <f>EJ90*VLOOKUP('Données projet'!$B$15,Paramètres!$A$1:$I$89,3,0)*VLOOKUP('Données projet'!$B$15,Paramètres!$A$1:$I$89,5,0)</f>
        <v>363.14000000000033</v>
      </c>
      <c r="EL90" s="14">
        <f t="shared" si="99"/>
        <v>84.262342837716815</v>
      </c>
      <c r="EM90" s="22">
        <f t="shared" si="73"/>
        <v>779.22574710902393</v>
      </c>
      <c r="EN90" s="62">
        <f t="shared" si="74"/>
        <v>1072.5590804423573</v>
      </c>
      <c r="EO90" s="62">
        <f ca="1">AVERAGE(OFFSET($EN$3,0,0,'Données projet'!$E$15+1,1))-AVERAGE(OFFSET($H$3,0,0,'Données projet'!$E$15+1,1))</f>
        <v>595.89992279024398</v>
      </c>
      <c r="EP90" s="62">
        <f t="shared" si="100"/>
        <v>378.16197659288338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>
        <f>EXP(-LN(2)/35)*EV89+(1-EXP(-LN(2)/35))/(LN(2)/35)*ER90*ES90*VLOOKUP('Données projet'!$B$15,Paramètres!$A$1:$I$89,3,0)*0.475*44/12</f>
        <v>0</v>
      </c>
      <c r="EW90" s="23">
        <f>EXP(-LN(2)/25)*EW89+(1-EXP(-LN(2)/25))/(LN(2)/25)*Calculateur!ER90*Calculateur!ET90*VLOOKUP('Données projet'!$B$15,Paramètres!$A$1:$I$89,3,0)*0.475*44/12</f>
        <v>0</v>
      </c>
      <c r="EX90" s="23">
        <f>EXP(-LN(2)/2)*EX89+(1-EXP(-LN(2)/2))/(LN(2)/2)*ER90*EU90*VLOOKUP('Données projet'!$B$15,Paramètres!$A$1:$I$89,3,0)*0.475*44/12</f>
        <v>0</v>
      </c>
      <c r="EY90" s="24">
        <f t="shared" si="75"/>
        <v>0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-2.2737367544323206E-13</v>
      </c>
      <c r="FF90" s="18">
        <f>FE90*VLOOKUP('Données projet'!$B$16,Paramètres!$A$1:$I$89,3,0)*VLOOKUP('Données projet'!$B$16,Paramètres!$A$1:$I$89,5,0)</f>
        <v>-1.3596945791505279E-13</v>
      </c>
      <c r="FG90" s="14" t="e">
        <f t="shared" si="101"/>
        <v>#NUM!</v>
      </c>
      <c r="FH90" s="22" t="e">
        <f t="shared" si="76"/>
        <v>#NUM!</v>
      </c>
      <c r="FI90" s="62" t="e">
        <f t="shared" si="77"/>
        <v>#NUM!</v>
      </c>
      <c r="FJ90" s="62">
        <f ca="1">AVERAGE(OFFSET($FI$3,0,0,'Données projet'!$E$16+1,1))-AVERAGE(OFFSET($H$3,0,0,'Données projet'!$E$16+1,1))</f>
        <v>257.56116197646924</v>
      </c>
      <c r="FK90" s="62">
        <f t="shared" si="102"/>
        <v>269.95556918835888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>
        <f>EXP(-LN(2)/35)*FQ89+(1-EXP(-LN(2)/35))/(LN(2)/35)*FM90*FN90*VLOOKUP('Données projet'!$B$16,Paramètres!$A$1:$I$89,3,0)*0.475*44/12</f>
        <v>4.7157592135035831</v>
      </c>
      <c r="FR90" s="23">
        <f>EXP(-LN(2)/25)*FR89+(1-EXP(-LN(2)/25))/(LN(2)/25)*Calculateur!FM90*Calculateur!FO90*VLOOKUP('Données projet'!$B$16,Paramètres!$A$1:$I$89,3,0)*0.475*44/12</f>
        <v>3.3238224878957476</v>
      </c>
      <c r="FS90" s="23">
        <f>EXP(-LN(2)/2)*FS89+(1-EXP(-LN(2)/2))/(LN(2)/2)*FM90*FP90*VLOOKUP('Données projet'!$B$16,Paramètres!$A$1:$I$89,3,0)*0.475*44/12</f>
        <v>2.2532978633470603E-8</v>
      </c>
      <c r="FT90" s="24">
        <f t="shared" si="78"/>
        <v>8.0395817239323097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-2.8421709430404007E-13</v>
      </c>
      <c r="GA90" s="18">
        <f>FZ90*VLOOKUP('Données projet'!$B$17,Paramètres!$A$1:$I$89,3,0)*VLOOKUP('Données projet'!$B$17,Paramètres!$A$1:$I$89,5,0)</f>
        <v>-1.69961822393816E-13</v>
      </c>
      <c r="GB90" s="14" t="e">
        <f t="shared" si="103"/>
        <v>#NUM!</v>
      </c>
      <c r="GC90" s="22" t="e">
        <f t="shared" si="79"/>
        <v>#NUM!</v>
      </c>
      <c r="GD90" s="62" t="e">
        <f t="shared" si="80"/>
        <v>#NUM!</v>
      </c>
      <c r="GE90" s="62">
        <f ca="1">AVERAGE(OFFSET($GD$3,0,0,'Données projet'!$E$17+1,1))-AVERAGE(OFFSET($H$3,0,0,'Données projet'!$E$17+1,1))</f>
        <v>289.12367833861299</v>
      </c>
      <c r="GF90" s="62">
        <f t="shared" si="104"/>
        <v>229.06617320689003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>
        <f>EXP(-LN(2)/35)*GL89+(1-EXP(-LN(2)/35))/(LN(2)/35)*GH90*GI90*VLOOKUP('Données projet'!$B$17,Paramètres!$A$1:$I$89,3,0)*0.475*44/12</f>
        <v>0</v>
      </c>
      <c r="GM90" s="23">
        <f>EXP(-LN(2)/25)*GM89+(1-EXP(-LN(2)/25))/(LN(2)/25)*Calculateur!GH90*Calculateur!GJ90*VLOOKUP('Données projet'!$B$17,Paramètres!$A$1:$I$89,3,0)*0.475*44/12</f>
        <v>0</v>
      </c>
      <c r="GN90" s="23">
        <f>EXP(-LN(2)/2)*GN89+(1-EXP(-LN(2)/2))/(LN(2)/2)*GH90*GK90*VLOOKUP('Données projet'!$B$17,Paramètres!$A$1:$I$89,3,0)*0.475*44/12</f>
        <v>1.0923501864575003E-8</v>
      </c>
      <c r="GO90" s="23">
        <f t="shared" si="81"/>
        <v>1.0923501864575003E-8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8.6692307692307597</v>
      </c>
      <c r="GU90" s="13">
        <f>IF('Données projet'!$A$270&gt;35,GU89+GT90-HC89,IF(A90&lt;'Données projet'!$A$270,$GR$205^A90,IF(A90='Données projet'!$A$270,'Données projet'!$B$270,GU89+GT90-HC89)))</f>
        <v>310.96153846153845</v>
      </c>
      <c r="GV90" s="18">
        <f>GU90*VLOOKUP('Données projet'!$B$18,Paramètres!$A$1:$I$89,3,0)*VLOOKUP('Données projet'!$B$18,Paramètres!$A$1:$I$89,5,0)</f>
        <v>145.53</v>
      </c>
      <c r="GW90" s="14">
        <f t="shared" si="105"/>
        <v>37.560980425605734</v>
      </c>
      <c r="GX90" s="22">
        <f t="shared" si="82"/>
        <v>318.8834575745966</v>
      </c>
      <c r="GY90" s="62">
        <f t="shared" si="83"/>
        <v>612.21679090792986</v>
      </c>
      <c r="GZ90" s="62">
        <f ca="1">AVERAGE(OFFSET($GY$3,0,0,'Données projet'!$E$18+1,1))-AVERAGE(OFFSET($H$3,0,0,'Données projet'!$E$18+1,1))</f>
        <v>284.88646502866419</v>
      </c>
      <c r="HA90" s="62">
        <f t="shared" si="106"/>
        <v>190.4880882944471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>
        <f>EXP(-LN(2)/35)*HG89+(1-EXP(-LN(2)/35))/(LN(2)/35)*HC90*HD90*VLOOKUP('Données projet'!$B$18,Paramètres!$A$1:$I$89,3,0)*0.475*44/12</f>
        <v>0</v>
      </c>
      <c r="HH90" s="23">
        <f>EXP(-LN(2)/25)*HH89+(1-EXP(-LN(2)/25))/(LN(2)/25)*Calculateur!HC90*Calculateur!HE90*VLOOKUP('Données projet'!$B$18,Paramètres!$A$1:$I$89,3,0)*0.475*44/12</f>
        <v>0</v>
      </c>
      <c r="HI90" s="23">
        <f>EXP(-LN(2)/2)*HI89+(1-EXP(-LN(2)/2))/(LN(2)/2)*HC90*HF90*VLOOKUP('Données projet'!$B$18,Paramètres!$A$1:$I$89,3,0)*0.475*44/12</f>
        <v>0</v>
      </c>
      <c r="HJ90" s="24">
        <f t="shared" si="84"/>
        <v>0</v>
      </c>
    </row>
    <row r="91" spans="1:218" s="5" customFormat="1" x14ac:dyDescent="0.25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2">
        <f t="shared" si="86"/>
        <v>0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0</v>
      </c>
      <c r="H91" s="70">
        <f t="shared" si="56"/>
        <v>256.66666666666669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3.5897435897435912</v>
      </c>
      <c r="N91" s="14">
        <f>IF('Données projet'!$A$36&gt;35,N90+M91-V90,IF(A91&lt;'Données projet'!$A$36,$K$205^A91,IF(A91='Données projet'!$A$36,'Données projet'!$B$36,N90+M91-V90)))</f>
        <v>229.99999999999991</v>
      </c>
      <c r="O91" s="14">
        <f>N91*VLOOKUP('Données projet'!$B$9,Paramètres!$A$1:$I$89,3,0)*VLOOKUP('Données projet'!$B$9,Paramètres!$A$1:$I$89,5,0)</f>
        <v>218.86799999999994</v>
      </c>
      <c r="P91" s="14">
        <f t="shared" si="87"/>
        <v>53.868777293257502</v>
      </c>
      <c r="Q91" s="22">
        <f t="shared" si="54"/>
        <v>475.01655378575668</v>
      </c>
      <c r="R91" s="62">
        <f t="shared" si="55"/>
        <v>768.34988711909</v>
      </c>
      <c r="S91" s="62">
        <f ca="1">AVERAGE(OFFSET($R$3,0,0,'Données projet'!$E$9+1,1))-AVERAGE(OFFSET($H$3,0,0,'Données projet'!$E$9+1,1))</f>
        <v>367.11183928586667</v>
      </c>
      <c r="T91" s="62">
        <f t="shared" si="88"/>
        <v>281.52963027844595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0</v>
      </c>
      <c r="AA91" s="23">
        <f>EXP(-LN(2)/25)*AA90+(1-EXP(-LN(2)/25))/(LN(2)/25)*Calculateur!V91*Calculateur!X91*VLOOKUP('Données projet'!$B$9,Paramètres!$A$1:$I$89,3,0)*0.475*44/12</f>
        <v>0</v>
      </c>
      <c r="AB91" s="23">
        <f>EXP(-LN(2)/2)*AB90+(1-EXP(-LN(2)/2))/(LN(2)/2)*V91*Y91*VLOOKUP('Données projet'!$B$9,Paramètres!$A$1:$I$89,3,0)*0.475*44/12</f>
        <v>0</v>
      </c>
      <c r="AC91" s="24">
        <f t="shared" si="57"/>
        <v>0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5.6</v>
      </c>
      <c r="AI91" s="14">
        <f>IF('Données projet'!$A$62&gt;35,AI90+AH91-AQ90,IF(A91&lt;'Données projet'!$A$62,$AF$205^A91,IF(A91='Données projet'!$A$62,'Données projet'!$B$62,AI90+AH91-AQ90)))</f>
        <v>284.8</v>
      </c>
      <c r="AJ91" s="14">
        <f>AI91*VLOOKUP('Données projet'!$B$10,Paramètres!$A$1:$I$89,3,0)*VLOOKUP('Données projet'!$B$10,Paramètres!$A$1:$I$89,5,0)</f>
        <v>257.68704000000002</v>
      </c>
      <c r="AK91" s="14">
        <f t="shared" si="89"/>
        <v>62.229092239243343</v>
      </c>
      <c r="AL91" s="22">
        <f t="shared" si="58"/>
        <v>557.18726365001555</v>
      </c>
      <c r="AM91" s="62">
        <f t="shared" si="59"/>
        <v>850.52059698334892</v>
      </c>
      <c r="AN91" s="62">
        <f ca="1">AVERAGE(OFFSET($AM$3,0,0,'Données projet'!$E$10+1,1))-AVERAGE(OFFSET($H$3,0,0,'Données projet'!$E$10+1,1))</f>
        <v>428.8489304403459</v>
      </c>
      <c r="AO91" s="62">
        <f t="shared" si="90"/>
        <v>247.01165577562966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0</v>
      </c>
      <c r="AV91" s="23">
        <f>EXP(-LN(2)/25)*AV90+(1-EXP(-LN(2)/25))/(LN(2)/25)*Calculateur!AQ91*Calculateur!AS91*VLOOKUP('Données projet'!$B$10,Paramètres!$A$1:$I$89,3,0)*0.475*44/12</f>
        <v>0</v>
      </c>
      <c r="AW91" s="23">
        <f>EXP(-LN(2)/2)*AW90+(1-EXP(-LN(2)/2))/(LN(2)/2)*AQ91*AT91*VLOOKUP('Données projet'!$B$10,Paramètres!$A$1:$I$89,3,0)*0.475*44/12</f>
        <v>0</v>
      </c>
      <c r="AX91" s="23">
        <f t="shared" si="60"/>
        <v>0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5.6</v>
      </c>
      <c r="BD91" s="13">
        <f>IF('Données projet'!$A$88&gt;35,BD90+BC91-BL90,IF(A91&lt;'Données projet'!$A$88,$BA$205^A91,IF(A91='Données projet'!$A$88,'Données projet'!$B$88,BD90+BC91-BL90)))</f>
        <v>284.8</v>
      </c>
      <c r="BE91" s="14">
        <f>BD91*VLOOKUP('Données projet'!$B$11,Paramètres!$A$1:$I$89,3,0)*VLOOKUP('Données projet'!$B$11,Paramètres!$A$1:$I$89,5,0)</f>
        <v>288.78720000000004</v>
      </c>
      <c r="BF91" s="14">
        <f t="shared" si="91"/>
        <v>68.820644053442436</v>
      </c>
      <c r="BG91" s="22">
        <f t="shared" si="61"/>
        <v>622.83366172641229</v>
      </c>
      <c r="BH91" s="62">
        <f t="shared" si="62"/>
        <v>916.16699505974566</v>
      </c>
      <c r="BI91" s="62">
        <f ca="1">AVERAGE(OFFSET($BH$3,0,0,'Données projet'!$E$11+1,1))-AVERAGE(OFFSET($H$3,0,0,'Données projet'!$E$11+1,1))</f>
        <v>475.47920969424894</v>
      </c>
      <c r="BJ91" s="62">
        <f t="shared" si="92"/>
        <v>271.73544012419364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>
        <f>EXP(-LN(2)/35)*BP90+(1-EXP(-LN(2)/35))/(LN(2)/35)*BL91*BM91*VLOOKUP('Données projet'!$B$11,Paramètres!$A$1:$I$89,3,0)*0.475*44/12</f>
        <v>0</v>
      </c>
      <c r="BQ91" s="23">
        <f>EXP(-LN(2)/25)*BQ90+(1-EXP(-LN(2)/25))/(LN(2)/25)*Calculateur!BL91*Calculateur!BN91*VLOOKUP('Données projet'!$B$11,Paramètres!$A$1:$I$89,3,0)*0.475*44/12</f>
        <v>0</v>
      </c>
      <c r="BR91" s="23">
        <f>EXP(-LN(2)/2)*BR90+(1-EXP(-LN(2)/2))/(LN(2)/2)*BL91*BO91*VLOOKUP('Données projet'!$B$11,Paramètres!$A$1:$I$89,3,0)*0.475*44/12</f>
        <v>0</v>
      </c>
      <c r="BS91" s="24">
        <f t="shared" si="63"/>
        <v>0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2.2737367544323206E-13</v>
      </c>
      <c r="BZ91" s="14">
        <f>BY91*VLOOKUP('Données projet'!$B$12,Paramètres!$A$1:$I$89,3,0)*VLOOKUP('Données projet'!$B$12,Paramètres!$A$1:$I$89,5,0)</f>
        <v>1.2710188457276673E-13</v>
      </c>
      <c r="CA91" s="14">
        <f t="shared" si="93"/>
        <v>1.856866851063998E-12</v>
      </c>
      <c r="CB91" s="22">
        <f t="shared" si="64"/>
        <v>3.4554122145673649E-12</v>
      </c>
      <c r="CC91" s="62">
        <f t="shared" si="65"/>
        <v>293.33333333333678</v>
      </c>
      <c r="CD91" s="62">
        <f ca="1">AVERAGE(OFFSET($CC$3,0,0,'Données projet'!$E$12+1,1))-AVERAGE(OFFSET($H$3,0,0,'Données projet'!$E$12+1,1))</f>
        <v>323.98185264074681</v>
      </c>
      <c r="CE91" s="62">
        <f t="shared" si="94"/>
        <v>301.22207291854005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>
        <f>EXP(-LN(2)/35)*CK90+(1-EXP(-LN(2)/35))/(LN(2)/35)*CG91*CH91*VLOOKUP('Données projet'!$B$12,Paramètres!$A$1:$I$89,3,0)*0.475*44/12</f>
        <v>1.4148522942301476</v>
      </c>
      <c r="CL91" s="23">
        <f>EXP(-LN(2)/25)*CL90+(1-EXP(-LN(2)/25))/(LN(2)/25)*Calculateur!CG91*Calculateur!CI91*VLOOKUP('Données projet'!$B$12,Paramètres!$A$1:$I$89,3,0)*0.475*44/12</f>
        <v>1.651665828481572</v>
      </c>
      <c r="CM91" s="23">
        <f>EXP(-LN(2)/2)*CM90+(1-EXP(-LN(2)/2))/(LN(2)/2)*CG91*CJ91*VLOOKUP('Données projet'!$B$12,Paramètres!$A$1:$I$89,3,0)*0.475*44/12</f>
        <v>1.13394245125689E-8</v>
      </c>
      <c r="CN91" s="24">
        <f t="shared" si="66"/>
        <v>3.0665181340511438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4.2</v>
      </c>
      <c r="CT91" s="13">
        <f>IF('Données projet'!$A$140&gt;35,CT90+CS91-DB90,IF(A91&lt;'Données projet'!$A$140,$CQ$205^A91,IF(A91='Données projet'!$A$140,'Données projet'!$B$140,CT90+CS91-DB90)))</f>
        <v>212.59999999999997</v>
      </c>
      <c r="CU91" s="18">
        <f>CT91*VLOOKUP('Données projet'!$B$13,Paramètres!$A$1:$I$89,3,0)*VLOOKUP('Données projet'!$B$13,Paramètres!$A$1:$I$89,5,0)</f>
        <v>242.10887999999997</v>
      </c>
      <c r="CV91" s="14">
        <f t="shared" si="95"/>
        <v>58.89303500061628</v>
      </c>
      <c r="CW91" s="22">
        <f t="shared" si="67"/>
        <v>524.24500195940652</v>
      </c>
      <c r="CX91" s="62">
        <f t="shared" si="68"/>
        <v>817.57833529273989</v>
      </c>
      <c r="CY91" s="62">
        <f ca="1">AVERAGE(OFFSET($CX$3,0,0,'Données projet'!$E$13+1,1))-AVERAGE(OFFSET($H$3,0,0,'Données projet'!$E$13+1,1))</f>
        <v>399.78832690250164</v>
      </c>
      <c r="CZ91" s="62">
        <f t="shared" si="96"/>
        <v>174.32967064896343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>
        <f>EXP(-LN(2)/35)*DF90+(1-EXP(-LN(2)/35))/(LN(2)/35)*DB91*DC91*VLOOKUP('Données projet'!$B$13,Paramètres!$A$1:$I$89,3,0)*0.475*44/12</f>
        <v>0</v>
      </c>
      <c r="DG91" s="23">
        <f>EXP(-LN(2)/25)*DG90+(1-EXP(-LN(2)/25))/(LN(2)/25)*Calculateur!DB91*Calculateur!DD91*VLOOKUP('Données projet'!$B$13,Paramètres!$A$1:$I$89,3,0)*0.475*44/12</f>
        <v>0</v>
      </c>
      <c r="DH91" s="23">
        <f>EXP(-LN(2)/2)*DH90+(1-EXP(-LN(2)/2))/(LN(2)/2)*DB91*DE91*VLOOKUP('Données projet'!$B$13,Paramètres!$A$1:$I$89,3,0)*0.475*44/12</f>
        <v>0</v>
      </c>
      <c r="DI91" s="24">
        <f t="shared" si="69"/>
        <v>0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5.6</v>
      </c>
      <c r="DO91" s="13">
        <f>IF('Données projet'!$A$166&gt;35,DO90+DN91-DW90,IF(A91&lt;'Données projet'!$A$166,$DL$205^A91,IF(A91='Données projet'!$A$166,'Données projet'!$B$166,DO90+DN91-DW90)))</f>
        <v>284.8</v>
      </c>
      <c r="DP91" s="18">
        <f>DO91*VLOOKUP('Données projet'!$B$14,Paramètres!$A$1:$I$89,3,0)*VLOOKUP('Données projet'!$B$14,Paramètres!$A$1:$I$89,5,0)</f>
        <v>239.91552000000004</v>
      </c>
      <c r="DQ91" s="14">
        <f t="shared" si="97"/>
        <v>58.421353826263946</v>
      </c>
      <c r="DR91" s="22">
        <f t="shared" si="70"/>
        <v>519.60338858074306</v>
      </c>
      <c r="DS91" s="62">
        <f t="shared" si="71"/>
        <v>812.93672191407632</v>
      </c>
      <c r="DT91" s="62">
        <f ca="1">AVERAGE(OFFSET($DS$3,0,0,'Données projet'!$E$14+1,1))-AVERAGE(OFFSET($H$3,0,0,'Données projet'!$E$14+1,1))</f>
        <v>402.15128814037058</v>
      </c>
      <c r="DU91" s="62">
        <f t="shared" si="98"/>
        <v>232.85411068442738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>
        <f>EXP(-LN(2)/35)*EA90+(1-EXP(-LN(2)/35))/(LN(2)/35)*DW91*DX91*VLOOKUP('Données projet'!$B$14,Paramètres!$A$1:$I$89,3,0)*0.475*44/12</f>
        <v>0</v>
      </c>
      <c r="EB91" s="23">
        <f>EXP(-LN(2)/25)*EB90+(1-EXP(-LN(2)/25))/(LN(2)/25)*Calculateur!DW91*Calculateur!DY91*VLOOKUP('Données projet'!$B$14,Paramètres!$A$1:$I$89,3,0)*0.475*44/12</f>
        <v>0</v>
      </c>
      <c r="EC91" s="23">
        <f>EXP(-LN(2)/2)*EC90+(1-EXP(-LN(2)/2))/(LN(2)/2)*DW91*DZ91*VLOOKUP('Données projet'!$B$14,Paramètres!$A$1:$I$89,3,0)*0.475*44/12</f>
        <v>0</v>
      </c>
      <c r="ED91" s="24">
        <f t="shared" si="72"/>
        <v>0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4.4871794871794917</v>
      </c>
      <c r="EJ91" s="13">
        <f>IF('Données projet'!$A$192&gt;35,EJ90+EI91-ER90,IF(A91&lt;'Données projet'!$A$192,$EG$205^A91,IF(A91='Données projet'!$A$192,'Données projet'!$B$192,EJ90+EI91-ER90)))</f>
        <v>351.92307692307719</v>
      </c>
      <c r="EK91" s="18">
        <f>EJ91*VLOOKUP('Données projet'!$B$15,Paramètres!$A$1:$I$89,3,0)*VLOOKUP('Données projet'!$B$15,Paramètres!$A$1:$I$89,5,0)</f>
        <v>367.83000000000027</v>
      </c>
      <c r="EL91" s="14">
        <f t="shared" si="99"/>
        <v>85.223209190035149</v>
      </c>
      <c r="EM91" s="22">
        <f t="shared" si="73"/>
        <v>789.06767267264502</v>
      </c>
      <c r="EN91" s="62">
        <f t="shared" si="74"/>
        <v>1082.4010060059784</v>
      </c>
      <c r="EO91" s="62">
        <f ca="1">AVERAGE(OFFSET($EN$3,0,0,'Données projet'!$E$15+1,1))-AVERAGE(OFFSET($H$3,0,0,'Données projet'!$E$15+1,1))</f>
        <v>595.89992279024398</v>
      </c>
      <c r="EP91" s="62">
        <f t="shared" si="100"/>
        <v>378.16197659288338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>
        <f>EXP(-LN(2)/35)*EV90+(1-EXP(-LN(2)/35))/(LN(2)/35)*ER91*ES91*VLOOKUP('Données projet'!$B$15,Paramètres!$A$1:$I$89,3,0)*0.475*44/12</f>
        <v>0</v>
      </c>
      <c r="EW91" s="23">
        <f>EXP(-LN(2)/25)*EW90+(1-EXP(-LN(2)/25))/(LN(2)/25)*Calculateur!ER91*Calculateur!ET91*VLOOKUP('Données projet'!$B$15,Paramètres!$A$1:$I$89,3,0)*0.475*44/12</f>
        <v>0</v>
      </c>
      <c r="EX91" s="23">
        <f>EXP(-LN(2)/2)*EX90+(1-EXP(-LN(2)/2))/(LN(2)/2)*ER91*EU91*VLOOKUP('Données projet'!$B$15,Paramètres!$A$1:$I$89,3,0)*0.475*44/12</f>
        <v>0</v>
      </c>
      <c r="EY91" s="24">
        <f t="shared" si="75"/>
        <v>0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-2.2737367544323206E-13</v>
      </c>
      <c r="FF91" s="18">
        <f>FE91*VLOOKUP('Données projet'!$B$16,Paramètres!$A$1:$I$89,3,0)*VLOOKUP('Données projet'!$B$16,Paramètres!$A$1:$I$89,5,0)</f>
        <v>-1.3596945791505279E-13</v>
      </c>
      <c r="FG91" s="14" t="e">
        <f t="shared" si="101"/>
        <v>#NUM!</v>
      </c>
      <c r="FH91" s="22" t="e">
        <f t="shared" si="76"/>
        <v>#NUM!</v>
      </c>
      <c r="FI91" s="62" t="e">
        <f t="shared" si="77"/>
        <v>#NUM!</v>
      </c>
      <c r="FJ91" s="62">
        <f ca="1">AVERAGE(OFFSET($FI$3,0,0,'Données projet'!$E$16+1,1))-AVERAGE(OFFSET($H$3,0,0,'Données projet'!$E$16+1,1))</f>
        <v>257.56116197646924</v>
      </c>
      <c r="FK91" s="62">
        <f t="shared" si="102"/>
        <v>269.95556918835888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>
        <f>EXP(-LN(2)/35)*FQ90+(1-EXP(-LN(2)/35))/(LN(2)/35)*FM91*FN91*VLOOKUP('Données projet'!$B$16,Paramètres!$A$1:$I$89,3,0)*0.475*44/12</f>
        <v>4.6232860516558842</v>
      </c>
      <c r="FR91" s="23">
        <f>EXP(-LN(2)/25)*FR90+(1-EXP(-LN(2)/25))/(LN(2)/25)*Calculateur!FM91*Calculateur!FO91*VLOOKUP('Données projet'!$B$16,Paramètres!$A$1:$I$89,3,0)*0.475*44/12</f>
        <v>3.2329323871720104</v>
      </c>
      <c r="FS91" s="23">
        <f>EXP(-LN(2)/2)*FS90+(1-EXP(-LN(2)/2))/(LN(2)/2)*FM91*FP91*VLOOKUP('Données projet'!$B$16,Paramètres!$A$1:$I$89,3,0)*0.475*44/12</f>
        <v>1.5933221992058648E-8</v>
      </c>
      <c r="FT91" s="24">
        <f t="shared" si="78"/>
        <v>7.8562184547611169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-2.8421709430404007E-13</v>
      </c>
      <c r="GA91" s="18">
        <f>FZ91*VLOOKUP('Données projet'!$B$17,Paramètres!$A$1:$I$89,3,0)*VLOOKUP('Données projet'!$B$17,Paramètres!$A$1:$I$89,5,0)</f>
        <v>-1.69961822393816E-13</v>
      </c>
      <c r="GB91" s="14" t="e">
        <f t="shared" si="103"/>
        <v>#NUM!</v>
      </c>
      <c r="GC91" s="22" t="e">
        <f t="shared" si="79"/>
        <v>#NUM!</v>
      </c>
      <c r="GD91" s="62" t="e">
        <f t="shared" si="80"/>
        <v>#NUM!</v>
      </c>
      <c r="GE91" s="62">
        <f ca="1">AVERAGE(OFFSET($GD$3,0,0,'Données projet'!$E$17+1,1))-AVERAGE(OFFSET($H$3,0,0,'Données projet'!$E$17+1,1))</f>
        <v>289.12367833861299</v>
      </c>
      <c r="GF91" s="62">
        <f t="shared" si="104"/>
        <v>229.06617320689003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>
        <f>EXP(-LN(2)/35)*GL90+(1-EXP(-LN(2)/35))/(LN(2)/35)*GH91*GI91*VLOOKUP('Données projet'!$B$17,Paramètres!$A$1:$I$89,3,0)*0.475*44/12</f>
        <v>0</v>
      </c>
      <c r="GM91" s="23">
        <f>EXP(-LN(2)/25)*GM90+(1-EXP(-LN(2)/25))/(LN(2)/25)*Calculateur!GH91*Calculateur!GJ91*VLOOKUP('Données projet'!$B$17,Paramètres!$A$1:$I$89,3,0)*0.475*44/12</f>
        <v>0</v>
      </c>
      <c r="GN91" s="23">
        <f>EXP(-LN(2)/2)*GN90+(1-EXP(-LN(2)/2))/(LN(2)/2)*GH91*GK91*VLOOKUP('Données projet'!$B$17,Paramètres!$A$1:$I$89,3,0)*0.475*44/12</f>
        <v>7.7240822427448807E-9</v>
      </c>
      <c r="GO91" s="23">
        <f t="shared" si="81"/>
        <v>7.7240822427448807E-9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8.6692307692307597</v>
      </c>
      <c r="GU91" s="13">
        <f>IF('Données projet'!$A$270&gt;35,GU90+GT91-HC90,IF(A91&lt;'Données projet'!$A$270,$GR$205^A91,IF(A91='Données projet'!$A$270,'Données projet'!$B$270,GU90+GT91-HC90)))</f>
        <v>319.6307692307692</v>
      </c>
      <c r="GV91" s="18">
        <f>GU91*VLOOKUP('Données projet'!$B$18,Paramètres!$A$1:$I$89,3,0)*VLOOKUP('Données projet'!$B$18,Paramètres!$A$1:$I$89,5,0)</f>
        <v>149.5872</v>
      </c>
      <c r="GW91" s="14">
        <f t="shared" si="105"/>
        <v>38.484760298912072</v>
      </c>
      <c r="GX91" s="22">
        <f t="shared" si="82"/>
        <v>327.55866418727186</v>
      </c>
      <c r="GY91" s="62">
        <f t="shared" si="83"/>
        <v>620.89199752060517</v>
      </c>
      <c r="GZ91" s="62">
        <f ca="1">AVERAGE(OFFSET($GY$3,0,0,'Données projet'!$E$18+1,1))-AVERAGE(OFFSET($H$3,0,0,'Données projet'!$E$18+1,1))</f>
        <v>284.88646502866419</v>
      </c>
      <c r="HA91" s="62">
        <f t="shared" si="106"/>
        <v>190.4880882944471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>
        <f>EXP(-LN(2)/35)*HG90+(1-EXP(-LN(2)/35))/(LN(2)/35)*HC91*HD91*VLOOKUP('Données projet'!$B$18,Paramètres!$A$1:$I$89,3,0)*0.475*44/12</f>
        <v>0</v>
      </c>
      <c r="HH91" s="23">
        <f>EXP(-LN(2)/25)*HH90+(1-EXP(-LN(2)/25))/(LN(2)/25)*Calculateur!HC91*Calculateur!HE91*VLOOKUP('Données projet'!$B$18,Paramètres!$A$1:$I$89,3,0)*0.475*44/12</f>
        <v>0</v>
      </c>
      <c r="HI91" s="23">
        <f>EXP(-LN(2)/2)*HI90+(1-EXP(-LN(2)/2))/(LN(2)/2)*HC91*HF91*VLOOKUP('Données projet'!$B$18,Paramètres!$A$1:$I$89,3,0)*0.475*44/12</f>
        <v>0</v>
      </c>
      <c r="HJ91" s="24">
        <f t="shared" si="84"/>
        <v>0</v>
      </c>
    </row>
    <row r="92" spans="1:218" s="5" customFormat="1" x14ac:dyDescent="0.25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2">
        <f t="shared" si="86"/>
        <v>0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0</v>
      </c>
      <c r="H92" s="70">
        <f t="shared" si="56"/>
        <v>256.66666666666669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3.5897435897435912</v>
      </c>
      <c r="N92" s="14">
        <f>IF('Données projet'!$A$36&gt;35,N91+M92-V91,IF(A92&lt;'Données projet'!$A$36,$K$205^A92,IF(A92='Données projet'!$A$36,'Données projet'!$B$36,N91+M92-V91)))</f>
        <v>233.58974358974351</v>
      </c>
      <c r="O92" s="14">
        <f>N92*VLOOKUP('Données projet'!$B$9,Paramètres!$A$1:$I$89,3,0)*VLOOKUP('Données projet'!$B$9,Paramètres!$A$1:$I$89,5,0)</f>
        <v>222.28399999999993</v>
      </c>
      <c r="P92" s="14">
        <f t="shared" si="87"/>
        <v>54.611003042838703</v>
      </c>
      <c r="Q92" s="22">
        <f t="shared" si="54"/>
        <v>482.25879696627726</v>
      </c>
      <c r="R92" s="62">
        <f t="shared" si="55"/>
        <v>775.59213029961052</v>
      </c>
      <c r="S92" s="62">
        <f ca="1">AVERAGE(OFFSET($R$3,0,0,'Données projet'!$E$9+1,1))-AVERAGE(OFFSET($H$3,0,0,'Données projet'!$E$9+1,1))</f>
        <v>367.11183928586667</v>
      </c>
      <c r="T92" s="62">
        <f t="shared" si="88"/>
        <v>281.52963027844595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0</v>
      </c>
      <c r="AA92" s="23">
        <f>EXP(-LN(2)/25)*AA91+(1-EXP(-LN(2)/25))/(LN(2)/25)*Calculateur!V92*Calculateur!X92*VLOOKUP('Données projet'!$B$9,Paramètres!$A$1:$I$89,3,0)*0.475*44/12</f>
        <v>0</v>
      </c>
      <c r="AB92" s="23">
        <f>EXP(-LN(2)/2)*AB91+(1-EXP(-LN(2)/2))/(LN(2)/2)*V92*Y92*VLOOKUP('Données projet'!$B$9,Paramètres!$A$1:$I$89,3,0)*0.475*44/12</f>
        <v>0</v>
      </c>
      <c r="AC92" s="24">
        <f t="shared" si="57"/>
        <v>0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5.6</v>
      </c>
      <c r="AI92" s="14">
        <f>IF('Données projet'!$A$62&gt;35,AI91+AH92-AQ91,IF(A92&lt;'Données projet'!$A$62,$AF$205^A92,IF(A92='Données projet'!$A$62,'Données projet'!$B$62,AI91+AH92-AQ91)))</f>
        <v>290.40000000000003</v>
      </c>
      <c r="AJ92" s="14">
        <f>AI92*VLOOKUP('Données projet'!$B$10,Paramètres!$A$1:$I$89,3,0)*VLOOKUP('Données projet'!$B$10,Paramètres!$A$1:$I$89,5,0)</f>
        <v>262.75392000000005</v>
      </c>
      <c r="AK92" s="14">
        <f t="shared" si="89"/>
        <v>63.309041956360382</v>
      </c>
      <c r="AL92" s="22">
        <f t="shared" si="58"/>
        <v>567.89299207399438</v>
      </c>
      <c r="AM92" s="62">
        <f t="shared" si="59"/>
        <v>861.22632540732775</v>
      </c>
      <c r="AN92" s="62">
        <f ca="1">AVERAGE(OFFSET($AM$3,0,0,'Données projet'!$E$10+1,1))-AVERAGE(OFFSET($H$3,0,0,'Données projet'!$E$10+1,1))</f>
        <v>428.8489304403459</v>
      </c>
      <c r="AO92" s="62">
        <f t="shared" si="90"/>
        <v>247.01165577562966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0</v>
      </c>
      <c r="AV92" s="23">
        <f>EXP(-LN(2)/25)*AV91+(1-EXP(-LN(2)/25))/(LN(2)/25)*Calculateur!AQ92*Calculateur!AS92*VLOOKUP('Données projet'!$B$10,Paramètres!$A$1:$I$89,3,0)*0.475*44/12</f>
        <v>0</v>
      </c>
      <c r="AW92" s="23">
        <f>EXP(-LN(2)/2)*AW91+(1-EXP(-LN(2)/2))/(LN(2)/2)*AQ92*AT92*VLOOKUP('Données projet'!$B$10,Paramètres!$A$1:$I$89,3,0)*0.475*44/12</f>
        <v>0</v>
      </c>
      <c r="AX92" s="23">
        <f t="shared" si="60"/>
        <v>0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5.6</v>
      </c>
      <c r="BD92" s="13">
        <f>IF('Données projet'!$A$88&gt;35,BD91+BC92-BL91,IF(A92&lt;'Données projet'!$A$88,$BA$205^A92,IF(A92='Données projet'!$A$88,'Données projet'!$B$88,BD91+BC92-BL91)))</f>
        <v>290.40000000000003</v>
      </c>
      <c r="BE92" s="14">
        <f>BD92*VLOOKUP('Données projet'!$B$11,Paramètres!$A$1:$I$89,3,0)*VLOOKUP('Données projet'!$B$11,Paramètres!$A$1:$I$89,5,0)</f>
        <v>294.46560000000005</v>
      </c>
      <c r="BF92" s="14">
        <f t="shared" si="91"/>
        <v>70.014986320104285</v>
      </c>
      <c r="BG92" s="22">
        <f t="shared" si="61"/>
        <v>634.8036878408484</v>
      </c>
      <c r="BH92" s="62">
        <f t="shared" si="62"/>
        <v>928.13702117418165</v>
      </c>
      <c r="BI92" s="62">
        <f ca="1">AVERAGE(OFFSET($BH$3,0,0,'Données projet'!$E$11+1,1))-AVERAGE(OFFSET($H$3,0,0,'Données projet'!$E$11+1,1))</f>
        <v>475.47920969424894</v>
      </c>
      <c r="BJ92" s="62">
        <f t="shared" si="92"/>
        <v>271.73544012419364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>
        <f>EXP(-LN(2)/35)*BP91+(1-EXP(-LN(2)/35))/(LN(2)/35)*BL92*BM92*VLOOKUP('Données projet'!$B$11,Paramètres!$A$1:$I$89,3,0)*0.475*44/12</f>
        <v>0</v>
      </c>
      <c r="BQ92" s="23">
        <f>EXP(-LN(2)/25)*BQ91+(1-EXP(-LN(2)/25))/(LN(2)/25)*Calculateur!BL92*Calculateur!BN92*VLOOKUP('Données projet'!$B$11,Paramètres!$A$1:$I$89,3,0)*0.475*44/12</f>
        <v>0</v>
      </c>
      <c r="BR92" s="23">
        <f>EXP(-LN(2)/2)*BR91+(1-EXP(-LN(2)/2))/(LN(2)/2)*BL92*BO92*VLOOKUP('Données projet'!$B$11,Paramètres!$A$1:$I$89,3,0)*0.475*44/12</f>
        <v>0</v>
      </c>
      <c r="BS92" s="24">
        <f t="shared" si="63"/>
        <v>0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2.2737367544323206E-13</v>
      </c>
      <c r="BZ92" s="14">
        <f>BY92*VLOOKUP('Données projet'!$B$12,Paramètres!$A$1:$I$89,3,0)*VLOOKUP('Données projet'!$B$12,Paramètres!$A$1:$I$89,5,0)</f>
        <v>1.2710188457276673E-13</v>
      </c>
      <c r="CA92" s="14">
        <f t="shared" si="93"/>
        <v>1.856866851063998E-12</v>
      </c>
      <c r="CB92" s="22">
        <f t="shared" si="64"/>
        <v>3.4554122145673649E-12</v>
      </c>
      <c r="CC92" s="62">
        <f t="shared" si="65"/>
        <v>293.33333333333678</v>
      </c>
      <c r="CD92" s="62">
        <f ca="1">AVERAGE(OFFSET($CC$3,0,0,'Données projet'!$E$12+1,1))-AVERAGE(OFFSET($H$3,0,0,'Données projet'!$E$12+1,1))</f>
        <v>323.98185264074681</v>
      </c>
      <c r="CE92" s="62">
        <f t="shared" si="94"/>
        <v>301.22207291854005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>
        <f>EXP(-LN(2)/35)*CK91+(1-EXP(-LN(2)/35))/(LN(2)/35)*CG92*CH92*VLOOKUP('Données projet'!$B$12,Paramètres!$A$1:$I$89,3,0)*0.475*44/12</f>
        <v>1.3871079037149823</v>
      </c>
      <c r="CL92" s="23">
        <f>EXP(-LN(2)/25)*CL91+(1-EXP(-LN(2)/25))/(LN(2)/25)*Calculateur!CG92*Calculateur!CI92*VLOOKUP('Données projet'!$B$12,Paramètres!$A$1:$I$89,3,0)*0.475*44/12</f>
        <v>1.6065009395444123</v>
      </c>
      <c r="CM92" s="23">
        <f>EXP(-LN(2)/2)*CM91+(1-EXP(-LN(2)/2))/(LN(2)/2)*CG92*CJ92*VLOOKUP('Données projet'!$B$12,Paramètres!$A$1:$I$89,3,0)*0.475*44/12</f>
        <v>8.0181839675904301E-9</v>
      </c>
      <c r="CN92" s="24">
        <f t="shared" si="66"/>
        <v>2.9936088512775787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4.2</v>
      </c>
      <c r="CT92" s="13">
        <f>IF('Données projet'!$A$140&gt;35,CT91+CS92-DB91,IF(A92&lt;'Données projet'!$A$140,$CQ$205^A92,IF(A92='Données projet'!$A$140,'Données projet'!$B$140,CT91+CS92-DB91)))</f>
        <v>216.79999999999995</v>
      </c>
      <c r="CU92" s="18">
        <f>CT92*VLOOKUP('Données projet'!$B$13,Paramètres!$A$1:$I$89,3,0)*VLOOKUP('Données projet'!$B$13,Paramètres!$A$1:$I$89,5,0)</f>
        <v>246.89183999999995</v>
      </c>
      <c r="CV92" s="14">
        <f t="shared" si="95"/>
        <v>59.919891335499585</v>
      </c>
      <c r="CW92" s="22">
        <f t="shared" si="67"/>
        <v>534.36376540932827</v>
      </c>
      <c r="CX92" s="62">
        <f t="shared" si="68"/>
        <v>827.69709874266164</v>
      </c>
      <c r="CY92" s="62">
        <f ca="1">AVERAGE(OFFSET($CX$3,0,0,'Données projet'!$E$13+1,1))-AVERAGE(OFFSET($H$3,0,0,'Données projet'!$E$13+1,1))</f>
        <v>399.78832690250164</v>
      </c>
      <c r="CZ92" s="62">
        <f t="shared" si="96"/>
        <v>174.32967064896343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>
        <f>EXP(-LN(2)/35)*DF91+(1-EXP(-LN(2)/35))/(LN(2)/35)*DB92*DC92*VLOOKUP('Données projet'!$B$13,Paramètres!$A$1:$I$89,3,0)*0.475*44/12</f>
        <v>0</v>
      </c>
      <c r="DG92" s="23">
        <f>EXP(-LN(2)/25)*DG91+(1-EXP(-LN(2)/25))/(LN(2)/25)*Calculateur!DB92*Calculateur!DD92*VLOOKUP('Données projet'!$B$13,Paramètres!$A$1:$I$89,3,0)*0.475*44/12</f>
        <v>0</v>
      </c>
      <c r="DH92" s="23">
        <f>EXP(-LN(2)/2)*DH91+(1-EXP(-LN(2)/2))/(LN(2)/2)*DB92*DE92*VLOOKUP('Données projet'!$B$13,Paramètres!$A$1:$I$89,3,0)*0.475*44/12</f>
        <v>0</v>
      </c>
      <c r="DI92" s="24">
        <f t="shared" si="69"/>
        <v>0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5.6</v>
      </c>
      <c r="DO92" s="13">
        <f>IF('Données projet'!$A$166&gt;35,DO91+DN92-DW91,IF(A92&lt;'Données projet'!$A$166,$DL$205^A92,IF(A92='Données projet'!$A$166,'Données projet'!$B$166,DO91+DN92-DW91)))</f>
        <v>290.40000000000003</v>
      </c>
      <c r="DP92" s="18">
        <f>DO92*VLOOKUP('Données projet'!$B$14,Paramètres!$A$1:$I$89,3,0)*VLOOKUP('Données projet'!$B$14,Paramètres!$A$1:$I$89,5,0)</f>
        <v>244.63296000000005</v>
      </c>
      <c r="DQ92" s="14">
        <f t="shared" si="97"/>
        <v>59.435222456963288</v>
      </c>
      <c r="DR92" s="22">
        <f t="shared" si="70"/>
        <v>529.58541777921107</v>
      </c>
      <c r="DS92" s="62">
        <f t="shared" si="71"/>
        <v>822.91875111254444</v>
      </c>
      <c r="DT92" s="62">
        <f ca="1">AVERAGE(OFFSET($DS$3,0,0,'Données projet'!$E$14+1,1))-AVERAGE(OFFSET($H$3,0,0,'Données projet'!$E$14+1,1))</f>
        <v>402.15128814037058</v>
      </c>
      <c r="DU92" s="62">
        <f t="shared" si="98"/>
        <v>232.85411068442738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>
        <f>EXP(-LN(2)/35)*EA91+(1-EXP(-LN(2)/35))/(LN(2)/35)*DW92*DX92*VLOOKUP('Données projet'!$B$14,Paramètres!$A$1:$I$89,3,0)*0.475*44/12</f>
        <v>0</v>
      </c>
      <c r="EB92" s="23">
        <f>EXP(-LN(2)/25)*EB91+(1-EXP(-LN(2)/25))/(LN(2)/25)*Calculateur!DW92*Calculateur!DY92*VLOOKUP('Données projet'!$B$14,Paramètres!$A$1:$I$89,3,0)*0.475*44/12</f>
        <v>0</v>
      </c>
      <c r="EC92" s="23">
        <f>EXP(-LN(2)/2)*EC91+(1-EXP(-LN(2)/2))/(LN(2)/2)*DW92*DZ92*VLOOKUP('Données projet'!$B$14,Paramètres!$A$1:$I$89,3,0)*0.475*44/12</f>
        <v>0</v>
      </c>
      <c r="ED92" s="24">
        <f t="shared" si="72"/>
        <v>0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4.4871794871794917</v>
      </c>
      <c r="EJ92" s="13">
        <f>IF('Données projet'!$A$192&gt;35,EJ91+EI92-ER91,IF(A92&lt;'Données projet'!$A$192,$EG$205^A92,IF(A92='Données projet'!$A$192,'Données projet'!$B$192,EJ91+EI92-ER91)))</f>
        <v>356.41025641025669</v>
      </c>
      <c r="EK92" s="18">
        <f>EJ92*VLOOKUP('Données projet'!$B$15,Paramètres!$A$1:$I$89,3,0)*VLOOKUP('Données projet'!$B$15,Paramètres!$A$1:$I$89,5,0)</f>
        <v>372.52000000000032</v>
      </c>
      <c r="EL92" s="14">
        <f t="shared" si="99"/>
        <v>86.182650486569059</v>
      </c>
      <c r="EM92" s="22">
        <f t="shared" si="73"/>
        <v>798.90711626410837</v>
      </c>
      <c r="EN92" s="62">
        <f t="shared" si="74"/>
        <v>1092.2404495974417</v>
      </c>
      <c r="EO92" s="62">
        <f ca="1">AVERAGE(OFFSET($EN$3,0,0,'Données projet'!$E$15+1,1))-AVERAGE(OFFSET($H$3,0,0,'Données projet'!$E$15+1,1))</f>
        <v>595.89992279024398</v>
      </c>
      <c r="EP92" s="62">
        <f t="shared" si="100"/>
        <v>378.16197659288338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>
        <f>EXP(-LN(2)/35)*EV91+(1-EXP(-LN(2)/35))/(LN(2)/35)*ER92*ES92*VLOOKUP('Données projet'!$B$15,Paramètres!$A$1:$I$89,3,0)*0.475*44/12</f>
        <v>0</v>
      </c>
      <c r="EW92" s="23">
        <f>EXP(-LN(2)/25)*EW91+(1-EXP(-LN(2)/25))/(LN(2)/25)*Calculateur!ER92*Calculateur!ET92*VLOOKUP('Données projet'!$B$15,Paramètres!$A$1:$I$89,3,0)*0.475*44/12</f>
        <v>0</v>
      </c>
      <c r="EX92" s="23">
        <f>EXP(-LN(2)/2)*EX91+(1-EXP(-LN(2)/2))/(LN(2)/2)*ER92*EU92*VLOOKUP('Données projet'!$B$15,Paramètres!$A$1:$I$89,3,0)*0.475*44/12</f>
        <v>0</v>
      </c>
      <c r="EY92" s="24">
        <f t="shared" si="75"/>
        <v>0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-2.2737367544323206E-13</v>
      </c>
      <c r="FF92" s="18">
        <f>FE92*VLOOKUP('Données projet'!$B$16,Paramètres!$A$1:$I$89,3,0)*VLOOKUP('Données projet'!$B$16,Paramètres!$A$1:$I$89,5,0)</f>
        <v>-1.3596945791505279E-13</v>
      </c>
      <c r="FG92" s="14" t="e">
        <f t="shared" si="101"/>
        <v>#NUM!</v>
      </c>
      <c r="FH92" s="22" t="e">
        <f t="shared" si="76"/>
        <v>#NUM!</v>
      </c>
      <c r="FI92" s="62" t="e">
        <f t="shared" si="77"/>
        <v>#NUM!</v>
      </c>
      <c r="FJ92" s="62">
        <f ca="1">AVERAGE(OFFSET($FI$3,0,0,'Données projet'!$E$16+1,1))-AVERAGE(OFFSET($H$3,0,0,'Données projet'!$E$16+1,1))</f>
        <v>257.56116197646924</v>
      </c>
      <c r="FK92" s="62">
        <f t="shared" si="102"/>
        <v>269.95556918835888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>
        <f>EXP(-LN(2)/35)*FQ91+(1-EXP(-LN(2)/35))/(LN(2)/35)*FM92*FN92*VLOOKUP('Données projet'!$B$16,Paramètres!$A$1:$I$89,3,0)*0.475*44/12</f>
        <v>4.5326262321089592</v>
      </c>
      <c r="FR92" s="23">
        <f>EXP(-LN(2)/25)*FR91+(1-EXP(-LN(2)/25))/(LN(2)/25)*Calculateur!FM92*Calculateur!FO92*VLOOKUP('Données projet'!$B$16,Paramètres!$A$1:$I$89,3,0)*0.475*44/12</f>
        <v>3.1445276810322667</v>
      </c>
      <c r="FS92" s="23">
        <f>EXP(-LN(2)/2)*FS91+(1-EXP(-LN(2)/2))/(LN(2)/2)*FM92*FP92*VLOOKUP('Données projet'!$B$16,Paramètres!$A$1:$I$89,3,0)*0.475*44/12</f>
        <v>1.1266489316735302E-8</v>
      </c>
      <c r="FT92" s="24">
        <f t="shared" si="78"/>
        <v>7.6771539244077145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-2.8421709430404007E-13</v>
      </c>
      <c r="GA92" s="18">
        <f>FZ92*VLOOKUP('Données projet'!$B$17,Paramètres!$A$1:$I$89,3,0)*VLOOKUP('Données projet'!$B$17,Paramètres!$A$1:$I$89,5,0)</f>
        <v>-1.69961822393816E-13</v>
      </c>
      <c r="GB92" s="14" t="e">
        <f t="shared" si="103"/>
        <v>#NUM!</v>
      </c>
      <c r="GC92" s="22" t="e">
        <f t="shared" si="79"/>
        <v>#NUM!</v>
      </c>
      <c r="GD92" s="62" t="e">
        <f t="shared" si="80"/>
        <v>#NUM!</v>
      </c>
      <c r="GE92" s="62">
        <f ca="1">AVERAGE(OFFSET($GD$3,0,0,'Données projet'!$E$17+1,1))-AVERAGE(OFFSET($H$3,0,0,'Données projet'!$E$17+1,1))</f>
        <v>289.12367833861299</v>
      </c>
      <c r="GF92" s="62">
        <f t="shared" si="104"/>
        <v>229.06617320689003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>
        <f>EXP(-LN(2)/35)*GL91+(1-EXP(-LN(2)/35))/(LN(2)/35)*GH92*GI92*VLOOKUP('Données projet'!$B$17,Paramètres!$A$1:$I$89,3,0)*0.475*44/12</f>
        <v>0</v>
      </c>
      <c r="GM92" s="23">
        <f>EXP(-LN(2)/25)*GM91+(1-EXP(-LN(2)/25))/(LN(2)/25)*Calculateur!GH92*Calculateur!GJ92*VLOOKUP('Données projet'!$B$17,Paramètres!$A$1:$I$89,3,0)*0.475*44/12</f>
        <v>0</v>
      </c>
      <c r="GN92" s="23">
        <f>EXP(-LN(2)/2)*GN91+(1-EXP(-LN(2)/2))/(LN(2)/2)*GH92*GK92*VLOOKUP('Données projet'!$B$17,Paramètres!$A$1:$I$89,3,0)*0.475*44/12</f>
        <v>5.4617509322875017E-9</v>
      </c>
      <c r="GO92" s="23">
        <f t="shared" si="81"/>
        <v>5.4617509322875017E-9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8.6692307692307597</v>
      </c>
      <c r="GU92" s="13">
        <f>IF('Données projet'!$A$270&gt;35,GU91+GT92-HC91,IF(A92&lt;'Données projet'!$A$270,$GR$205^A92,IF(A92='Données projet'!$A$270,'Données projet'!$B$270,GU91+GT92-HC91)))</f>
        <v>328.29999999999995</v>
      </c>
      <c r="GV92" s="18">
        <f>GU92*VLOOKUP('Données projet'!$B$18,Paramètres!$A$1:$I$89,3,0)*VLOOKUP('Données projet'!$B$18,Paramètres!$A$1:$I$89,5,0)</f>
        <v>153.64439999999996</v>
      </c>
      <c r="GW92" s="14">
        <f t="shared" si="105"/>
        <v>39.405627951004654</v>
      </c>
      <c r="GX92" s="22">
        <f t="shared" si="82"/>
        <v>336.22879868133299</v>
      </c>
      <c r="GY92" s="62">
        <f t="shared" si="83"/>
        <v>629.5621320146663</v>
      </c>
      <c r="GZ92" s="62">
        <f ca="1">AVERAGE(OFFSET($GY$3,0,0,'Données projet'!$E$18+1,1))-AVERAGE(OFFSET($H$3,0,0,'Données projet'!$E$18+1,1))</f>
        <v>284.88646502866419</v>
      </c>
      <c r="HA92" s="62">
        <f t="shared" si="106"/>
        <v>190.4880882944471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>
        <f>EXP(-LN(2)/35)*HG91+(1-EXP(-LN(2)/35))/(LN(2)/35)*HC92*HD92*VLOOKUP('Données projet'!$B$18,Paramètres!$A$1:$I$89,3,0)*0.475*44/12</f>
        <v>0</v>
      </c>
      <c r="HH92" s="23">
        <f>EXP(-LN(2)/25)*HH91+(1-EXP(-LN(2)/25))/(LN(2)/25)*Calculateur!HC92*Calculateur!HE92*VLOOKUP('Données projet'!$B$18,Paramètres!$A$1:$I$89,3,0)*0.475*44/12</f>
        <v>0</v>
      </c>
      <c r="HI92" s="23">
        <f>EXP(-LN(2)/2)*HI91+(1-EXP(-LN(2)/2))/(LN(2)/2)*HC92*HF92*VLOOKUP('Données projet'!$B$18,Paramètres!$A$1:$I$89,3,0)*0.475*44/12</f>
        <v>0</v>
      </c>
      <c r="HJ92" s="24">
        <f t="shared" si="84"/>
        <v>0</v>
      </c>
    </row>
    <row r="93" spans="1:218" s="5" customFormat="1" x14ac:dyDescent="0.25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2">
        <f t="shared" si="86"/>
        <v>0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0</v>
      </c>
      <c r="H93" s="70">
        <f t="shared" si="56"/>
        <v>256.66666666666669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>
        <f>VLOOKUP(A93,'Données projet'!$A$35:$I$55,2,0)</f>
        <v>237.17948717948718</v>
      </c>
      <c r="L93" s="13">
        <f>VLOOKUP(A93,'Données projet'!$A$35:$I$55,9,0)</f>
        <v>3.5897435897435912</v>
      </c>
      <c r="M93" s="13">
        <f t="array" ref="M93">INDEX(L:L,MIN(IF(ISNUMBER(L93:L289),ROW(L93:L289),"")))</f>
        <v>3.5897435897435912</v>
      </c>
      <c r="N93" s="14">
        <f>IF('Données projet'!$A$36&gt;35,N92+M93-V92,IF(A93&lt;'Données projet'!$A$36,$K$205^A93,IF(A93='Données projet'!$A$36,'Données projet'!$B$36,N92+M93-V92)))</f>
        <v>237.1794871794871</v>
      </c>
      <c r="O93" s="14">
        <f>N93*VLOOKUP('Données projet'!$B$9,Paramètres!$A$1:$I$89,3,0)*VLOOKUP('Données projet'!$B$9,Paramètres!$A$1:$I$89,5,0)</f>
        <v>225.69999999999993</v>
      </c>
      <c r="P93" s="14">
        <f t="shared" si="87"/>
        <v>55.351902227969966</v>
      </c>
      <c r="Q93" s="22">
        <f t="shared" si="54"/>
        <v>489.49872971371423</v>
      </c>
      <c r="R93" s="62">
        <f t="shared" si="55"/>
        <v>782.83206304704754</v>
      </c>
      <c r="S93" s="62">
        <f ca="1">AVERAGE(OFFSET($R$3,0,0,'Données projet'!$E$9+1,1))-AVERAGE(OFFSET($H$3,0,0,'Données projet'!$E$9+1,1))</f>
        <v>367.11183928586667</v>
      </c>
      <c r="T93" s="62">
        <f t="shared" si="88"/>
        <v>281.52963027844595</v>
      </c>
      <c r="U93" s="16">
        <f>IF(ISNA(VLOOKUP(A93,'Données projet'!$A$35:$I$55,3,0)),0,VLOOKUP(A93,'Données projet'!$A$35:$I$55,3,0))</f>
        <v>8</v>
      </c>
      <c r="V93" s="16">
        <f>IF(ISNA(VLOOKUP(A93,'Données projet'!$A$35:$I$55,4,0)),0,VLOOKUP(A93,'Données projet'!$A$35:$I$55,4,0))</f>
        <v>25.641025641025639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0</v>
      </c>
      <c r="AA93" s="23">
        <f>EXP(-LN(2)/25)*AA92+(1-EXP(-LN(2)/25))/(LN(2)/25)*Calculateur!V93*Calculateur!X93*VLOOKUP('Données projet'!$B$9,Paramètres!$A$1:$I$89,3,0)*0.475*44/12</f>
        <v>0</v>
      </c>
      <c r="AB93" s="23">
        <f>EXP(-LN(2)/2)*AB92+(1-EXP(-LN(2)/2))/(LN(2)/2)*V93*Y93*VLOOKUP('Données projet'!$B$9,Paramètres!$A$1:$I$89,3,0)*0.475*44/12</f>
        <v>0</v>
      </c>
      <c r="AC93" s="24">
        <f t="shared" si="57"/>
        <v>0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>
        <f>VLOOKUP(A93,'Données projet'!$A$61:$I$81,2,0)</f>
        <v>296</v>
      </c>
      <c r="AG93" s="13">
        <f>VLOOKUP(A93,'Données projet'!$A$61:$I$81,9,0)</f>
        <v>5.6</v>
      </c>
      <c r="AH93" s="13">
        <f t="array" ref="AH93">INDEX(AG:AG,MIN(IF(ISNUMBER(AG93:AG289),ROW(AG93:AG289),"")))</f>
        <v>5.6</v>
      </c>
      <c r="AI93" s="14">
        <f>IF('Données projet'!$A$62&gt;35,AI92+AH93-AQ92,IF(A93&lt;'Données projet'!$A$62,$AF$205^A93,IF(A93='Données projet'!$A$62,'Données projet'!$B$62,AI92+AH93-AQ92)))</f>
        <v>296.00000000000006</v>
      </c>
      <c r="AJ93" s="14">
        <f>AI93*VLOOKUP('Données projet'!$B$10,Paramètres!$A$1:$I$89,3,0)*VLOOKUP('Données projet'!$B$10,Paramètres!$A$1:$I$89,5,0)</f>
        <v>267.82080000000008</v>
      </c>
      <c r="AK93" s="14">
        <f t="shared" si="89"/>
        <v>64.386570147897373</v>
      </c>
      <c r="AL93" s="22">
        <f t="shared" si="58"/>
        <v>578.59450300758806</v>
      </c>
      <c r="AM93" s="62">
        <f t="shared" si="59"/>
        <v>871.92783634092143</v>
      </c>
      <c r="AN93" s="62">
        <f ca="1">AVERAGE(OFFSET($AM$3,0,0,'Données projet'!$E$10+1,1))-AVERAGE(OFFSET($H$3,0,0,'Données projet'!$E$10+1,1))</f>
        <v>428.8489304403459</v>
      </c>
      <c r="AO93" s="62">
        <f t="shared" si="90"/>
        <v>247.01165577562966</v>
      </c>
      <c r="AP93" s="16">
        <f>IF(ISNA(VLOOKUP(A93,'Données projet'!$A$61:$I$81,3,0)),0,VLOOKUP(A93,'Données projet'!$A$61:$I$81,3,0))</f>
        <v>7</v>
      </c>
      <c r="AQ93" s="16">
        <f>IF(ISNA(VLOOKUP(A93,'Données projet'!$A$61:$I$81,4,0)),0,VLOOKUP(A93,'Données projet'!$A$61:$I$81,4,0))</f>
        <v>42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projet'!$B$10,Paramètres!$A$1:$I$89,3,0)*0.475*44/12</f>
        <v>0</v>
      </c>
      <c r="AV93" s="23">
        <f>EXP(-LN(2)/25)*AV92+(1-EXP(-LN(2)/25))/(LN(2)/25)*Calculateur!AQ93*Calculateur!AS93*VLOOKUP('Données projet'!$B$10,Paramètres!$A$1:$I$89,3,0)*0.475*44/12</f>
        <v>0</v>
      </c>
      <c r="AW93" s="23">
        <f>EXP(-LN(2)/2)*AW92+(1-EXP(-LN(2)/2))/(LN(2)/2)*AQ93*AT93*VLOOKUP('Données projet'!$B$10,Paramètres!$A$1:$I$89,3,0)*0.475*44/12</f>
        <v>0</v>
      </c>
      <c r="AX93" s="23">
        <f t="shared" si="60"/>
        <v>0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>
        <f>VLOOKUP(A93,'Données projet'!$A$87:$I$107,2,0)</f>
        <v>296</v>
      </c>
      <c r="BB93" s="13">
        <f>VLOOKUP(A93,'Données projet'!$A$87:$I$107,9,0)</f>
        <v>5.6</v>
      </c>
      <c r="BC93" s="13">
        <f t="array" ref="BC93">INDEX(BB:BB,MIN(IF(ISNUMBER(BB93:BB289),ROW(BB93:BB289),"")))</f>
        <v>5.6</v>
      </c>
      <c r="BD93" s="13">
        <f>IF('Données projet'!$A$88&gt;35,BD92+BC93-BL92,IF(A93&lt;'Données projet'!$A$88,$BA$205^A93,IF(A93='Données projet'!$A$88,'Données projet'!$B$88,BD92+BC93-BL92)))</f>
        <v>296.00000000000006</v>
      </c>
      <c r="BE93" s="14">
        <f>BD93*VLOOKUP('Données projet'!$B$11,Paramètres!$A$1:$I$89,3,0)*VLOOKUP('Données projet'!$B$11,Paramètres!$A$1:$I$89,5,0)</f>
        <v>300.14400000000006</v>
      </c>
      <c r="BF93" s="14">
        <f t="shared" si="91"/>
        <v>71.206650563609855</v>
      </c>
      <c r="BG93" s="22">
        <f t="shared" si="61"/>
        <v>646.76904973162061</v>
      </c>
      <c r="BH93" s="62">
        <f t="shared" si="62"/>
        <v>940.10238306495398</v>
      </c>
      <c r="BI93" s="62">
        <f ca="1">AVERAGE(OFFSET($BH$3,0,0,'Données projet'!$E$11+1,1))-AVERAGE(OFFSET($H$3,0,0,'Données projet'!$E$11+1,1))</f>
        <v>475.47920969424894</v>
      </c>
      <c r="BJ93" s="62">
        <f t="shared" si="92"/>
        <v>271.73544012419364</v>
      </c>
      <c r="BK93" s="16">
        <f>IF(ISNA(VLOOKUP(A93,'Données projet'!$A$87:$I$107,3,0)),0,VLOOKUP(A93,'Données projet'!$A$87:$I$107,3,0))</f>
        <v>7</v>
      </c>
      <c r="BL93" s="16">
        <f>IF(ISNA(VLOOKUP(A93,'Données projet'!$A$87:$I$107,4,0)),0,VLOOKUP(A93,'Données projet'!$A$87:$I$107,4,0))</f>
        <v>42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>
        <f>EXP(-LN(2)/35)*BP92+(1-EXP(-LN(2)/35))/(LN(2)/35)*BL93*BM93*VLOOKUP('Données projet'!$B$11,Paramètres!$A$1:$I$89,3,0)*0.475*44/12</f>
        <v>0</v>
      </c>
      <c r="BQ93" s="23">
        <f>EXP(-LN(2)/25)*BQ92+(1-EXP(-LN(2)/25))/(LN(2)/25)*Calculateur!BL93*Calculateur!BN93*VLOOKUP('Données projet'!$B$11,Paramètres!$A$1:$I$89,3,0)*0.475*44/12</f>
        <v>0</v>
      </c>
      <c r="BR93" s="23">
        <f>EXP(-LN(2)/2)*BR92+(1-EXP(-LN(2)/2))/(LN(2)/2)*BL93*BO93*VLOOKUP('Données projet'!$B$11,Paramètres!$A$1:$I$89,3,0)*0.475*44/12</f>
        <v>0</v>
      </c>
      <c r="BS93" s="24">
        <f t="shared" si="63"/>
        <v>0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2.2737367544323206E-13</v>
      </c>
      <c r="BZ93" s="14">
        <f>BY93*VLOOKUP('Données projet'!$B$12,Paramètres!$A$1:$I$89,3,0)*VLOOKUP('Données projet'!$B$12,Paramètres!$A$1:$I$89,5,0)</f>
        <v>1.2710188457276673E-13</v>
      </c>
      <c r="CA93" s="14">
        <f t="shared" si="93"/>
        <v>1.856866851063998E-12</v>
      </c>
      <c r="CB93" s="22">
        <f t="shared" si="64"/>
        <v>3.4554122145673649E-12</v>
      </c>
      <c r="CC93" s="62">
        <f t="shared" si="65"/>
        <v>293.33333333333678</v>
      </c>
      <c r="CD93" s="62">
        <f ca="1">AVERAGE(OFFSET($CC$3,0,0,'Données projet'!$E$12+1,1))-AVERAGE(OFFSET($H$3,0,0,'Données projet'!$E$12+1,1))</f>
        <v>323.98185264074681</v>
      </c>
      <c r="CE93" s="62">
        <f t="shared" si="94"/>
        <v>301.22207291854005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>
        <f>EXP(-LN(2)/35)*CK92+(1-EXP(-LN(2)/35))/(LN(2)/35)*CG93*CH93*VLOOKUP('Données projet'!$B$12,Paramètres!$A$1:$I$89,3,0)*0.475*44/12</f>
        <v>1.3599075637754121</v>
      </c>
      <c r="CL93" s="23">
        <f>EXP(-LN(2)/25)*CL92+(1-EXP(-LN(2)/25))/(LN(2)/25)*Calculateur!CG93*Calculateur!CI93*VLOOKUP('Données projet'!$B$12,Paramètres!$A$1:$I$89,3,0)*0.475*44/12</f>
        <v>1.5625710868703577</v>
      </c>
      <c r="CM93" s="23">
        <f>EXP(-LN(2)/2)*CM92+(1-EXP(-LN(2)/2))/(LN(2)/2)*CG93*CJ93*VLOOKUP('Données projet'!$B$12,Paramètres!$A$1:$I$89,3,0)*0.475*44/12</f>
        <v>5.6697122562844499E-9</v>
      </c>
      <c r="CN93" s="24">
        <f t="shared" si="66"/>
        <v>2.9224786563154823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>
        <f>VLOOKUP(A93,'Données projet'!$A$139:$I$159,2,0)</f>
        <v>221</v>
      </c>
      <c r="CR93" s="13">
        <f>VLOOKUP(A93,'Données projet'!$A$139:$I$159,9,0)</f>
        <v>4.2</v>
      </c>
      <c r="CS93" s="13">
        <f t="array" ref="CS93">INDEX(CR:CR,MIN(IF(ISNUMBER(CR93:CR289),ROW(CR93:CR289),"")))</f>
        <v>4.2</v>
      </c>
      <c r="CT93" s="13">
        <f>IF('Données projet'!$A$140&gt;35,CT92+CS93-DB92,IF(A93&lt;'Données projet'!$A$140,$CQ$205^A93,IF(A93='Données projet'!$A$140,'Données projet'!$B$140,CT92+CS93-DB92)))</f>
        <v>220.99999999999994</v>
      </c>
      <c r="CU93" s="18">
        <f>CT93*VLOOKUP('Données projet'!$B$13,Paramètres!$A$1:$I$89,3,0)*VLOOKUP('Données projet'!$B$13,Paramètres!$A$1:$I$89,5,0)</f>
        <v>251.67479999999995</v>
      </c>
      <c r="CV93" s="14">
        <f t="shared" si="95"/>
        <v>60.944434584138449</v>
      </c>
      <c r="CW93" s="22">
        <f t="shared" si="67"/>
        <v>544.47850023404101</v>
      </c>
      <c r="CX93" s="62">
        <f t="shared" si="68"/>
        <v>837.81183356737438</v>
      </c>
      <c r="CY93" s="62">
        <f ca="1">AVERAGE(OFFSET($CX$3,0,0,'Données projet'!$E$13+1,1))-AVERAGE(OFFSET($H$3,0,0,'Données projet'!$E$13+1,1))</f>
        <v>399.78832690250164</v>
      </c>
      <c r="CZ93" s="62">
        <f t="shared" si="96"/>
        <v>174.32967064896343</v>
      </c>
      <c r="DA93" s="16">
        <f>IF(ISNA(VLOOKUP(A93,'Données projet'!$A$139:$I$159,3,0)),0,VLOOKUP(A93,'Données projet'!$A$139:$I$159,3,0))</f>
        <v>6</v>
      </c>
      <c r="DB93" s="16">
        <f>IF(ISNA(VLOOKUP(A93,'Données projet'!$A$139:$I$159,4,0)),0,VLOOKUP(A93,'Données projet'!$A$139:$I$159,4,0))</f>
        <v>28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>
        <f>EXP(-LN(2)/35)*DF92+(1-EXP(-LN(2)/35))/(LN(2)/35)*DB93*DC93*VLOOKUP('Données projet'!$B$13,Paramètres!$A$1:$I$89,3,0)*0.475*44/12</f>
        <v>0</v>
      </c>
      <c r="DG93" s="23">
        <f>EXP(-LN(2)/25)*DG92+(1-EXP(-LN(2)/25))/(LN(2)/25)*Calculateur!DB93*Calculateur!DD93*VLOOKUP('Données projet'!$B$13,Paramètres!$A$1:$I$89,3,0)*0.475*44/12</f>
        <v>0</v>
      </c>
      <c r="DH93" s="23">
        <f>EXP(-LN(2)/2)*DH92+(1-EXP(-LN(2)/2))/(LN(2)/2)*DB93*DE93*VLOOKUP('Données projet'!$B$13,Paramètres!$A$1:$I$89,3,0)*0.475*44/12</f>
        <v>0</v>
      </c>
      <c r="DI93" s="24">
        <f t="shared" si="69"/>
        <v>0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>
        <f>VLOOKUP(A93,'Données projet'!$A$165:$I$185,2,0)</f>
        <v>296</v>
      </c>
      <c r="DM93" s="13">
        <f>VLOOKUP(A93,'Données projet'!$A$165:$I$185,9,0)</f>
        <v>5.6</v>
      </c>
      <c r="DN93" s="13">
        <f t="array" ref="DN93">INDEX(DM:DM,MIN(IF(ISNUMBER(DM93:DM289),ROW(DM93:DM289),"")))</f>
        <v>5.6</v>
      </c>
      <c r="DO93" s="13">
        <f>IF('Données projet'!$A$166&gt;35,DO92+DN93-DW92,IF(A93&lt;'Données projet'!$A$166,$DL$205^A93,IF(A93='Données projet'!$A$166,'Données projet'!$B$166,DO92+DN93-DW92)))</f>
        <v>296.00000000000006</v>
      </c>
      <c r="DP93" s="18">
        <f>DO93*VLOOKUP('Données projet'!$B$14,Paramètres!$A$1:$I$89,3,0)*VLOOKUP('Données projet'!$B$14,Paramètres!$A$1:$I$89,5,0)</f>
        <v>249.35040000000006</v>
      </c>
      <c r="DQ93" s="14">
        <f t="shared" si="97"/>
        <v>60.446817732908166</v>
      </c>
      <c r="DR93" s="22">
        <f t="shared" si="70"/>
        <v>539.56348755148178</v>
      </c>
      <c r="DS93" s="62">
        <f t="shared" si="71"/>
        <v>832.89682088481504</v>
      </c>
      <c r="DT93" s="62">
        <f ca="1">AVERAGE(OFFSET($DS$3,0,0,'Données projet'!$E$14+1,1))-AVERAGE(OFFSET($H$3,0,0,'Données projet'!$E$14+1,1))</f>
        <v>402.15128814037058</v>
      </c>
      <c r="DU93" s="62">
        <f t="shared" si="98"/>
        <v>232.85411068442738</v>
      </c>
      <c r="DV93" s="16">
        <f>IF(ISNA(VLOOKUP(A93,'Données projet'!$A$165:$I$185,3,0)),0,VLOOKUP(A93,'Données projet'!$A$165:$I$185,3,0))</f>
        <v>7</v>
      </c>
      <c r="DW93" s="16">
        <f>IF(ISNA(VLOOKUP(A93,'Données projet'!$A$165:$I$185,4,0)),0,VLOOKUP(A93,'Données projet'!$A$165:$I$185,4,0))</f>
        <v>42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>
        <f>EXP(-LN(2)/35)*EA92+(1-EXP(-LN(2)/35))/(LN(2)/35)*DW93*DX93*VLOOKUP('Données projet'!$B$14,Paramètres!$A$1:$I$89,3,0)*0.475*44/12</f>
        <v>0</v>
      </c>
      <c r="EB93" s="23">
        <f>EXP(-LN(2)/25)*EB92+(1-EXP(-LN(2)/25))/(LN(2)/25)*Calculateur!DW93*Calculateur!DY93*VLOOKUP('Données projet'!$B$14,Paramètres!$A$1:$I$89,3,0)*0.475*44/12</f>
        <v>0</v>
      </c>
      <c r="EC93" s="23">
        <f>EXP(-LN(2)/2)*EC92+(1-EXP(-LN(2)/2))/(LN(2)/2)*DW93*DZ93*VLOOKUP('Données projet'!$B$14,Paramètres!$A$1:$I$89,3,0)*0.475*44/12</f>
        <v>0</v>
      </c>
      <c r="ED93" s="24">
        <f t="shared" si="72"/>
        <v>0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>
        <f>VLOOKUP(A93,'Données projet'!$A$191:$I$211,2,0)</f>
        <v>360.89743589743591</v>
      </c>
      <c r="EH93" s="13">
        <f>VLOOKUP(A93,'Données projet'!$A$191:$I$211,9,0)</f>
        <v>4.4871794871794917</v>
      </c>
      <c r="EI93" s="13">
        <f t="array" ref="EI93">INDEX(EH:EH,MIN(IF(ISNUMBER(EH93:EH289),ROW(EH93:EH289),"")))</f>
        <v>4.4871794871794917</v>
      </c>
      <c r="EJ93" s="13">
        <f>IF('Données projet'!$A$192&gt;35,EJ92+EI93-ER92,IF(A93&lt;'Données projet'!$A$192,$EG$205^A93,IF(A93='Données projet'!$A$192,'Données projet'!$B$192,EJ92+EI93-ER92)))</f>
        <v>360.8974358974362</v>
      </c>
      <c r="EK93" s="18">
        <f>EJ93*VLOOKUP('Données projet'!$B$15,Paramètres!$A$1:$I$89,3,0)*VLOOKUP('Données projet'!$B$15,Paramètres!$A$1:$I$89,5,0)</f>
        <v>377.21000000000038</v>
      </c>
      <c r="EL93" s="14">
        <f t="shared" si="99"/>
        <v>87.140686743435865</v>
      </c>
      <c r="EM93" s="22">
        <f t="shared" si="73"/>
        <v>808.74411274481815</v>
      </c>
      <c r="EN93" s="62">
        <f t="shared" si="74"/>
        <v>1102.0774460781515</v>
      </c>
      <c r="EO93" s="62">
        <f ca="1">AVERAGE(OFFSET($EN$3,0,0,'Données projet'!$E$15+1,1))-AVERAGE(OFFSET($H$3,0,0,'Données projet'!$E$15+1,1))</f>
        <v>595.89992279024398</v>
      </c>
      <c r="EP93" s="62">
        <f t="shared" si="100"/>
        <v>378.16197659288338</v>
      </c>
      <c r="EQ93" s="16">
        <f>IF(ISNA(VLOOKUP(A93,'Données projet'!$A$191:$I$211,3,0)),0,VLOOKUP(A93,'Données projet'!$A$191:$I$211,3,0))</f>
        <v>8</v>
      </c>
      <c r="ER93" s="16">
        <f>IF(ISNA(VLOOKUP(A93,'Données projet'!$A$191:$I$211,4,0)),0,VLOOKUP(A93,'Données projet'!$A$191:$I$211,4,0))</f>
        <v>26.282051282051281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>
        <f>EXP(-LN(2)/35)*EV92+(1-EXP(-LN(2)/35))/(LN(2)/35)*ER93*ES93*VLOOKUP('Données projet'!$B$15,Paramètres!$A$1:$I$89,3,0)*0.475*44/12</f>
        <v>0</v>
      </c>
      <c r="EW93" s="23">
        <f>EXP(-LN(2)/25)*EW92+(1-EXP(-LN(2)/25))/(LN(2)/25)*Calculateur!ER93*Calculateur!ET93*VLOOKUP('Données projet'!$B$15,Paramètres!$A$1:$I$89,3,0)*0.475*44/12</f>
        <v>0</v>
      </c>
      <c r="EX93" s="23">
        <f>EXP(-LN(2)/2)*EX92+(1-EXP(-LN(2)/2))/(LN(2)/2)*ER93*EU93*VLOOKUP('Données projet'!$B$15,Paramètres!$A$1:$I$89,3,0)*0.475*44/12</f>
        <v>0</v>
      </c>
      <c r="EY93" s="24">
        <f t="shared" si="75"/>
        <v>0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-2.2737367544323206E-13</v>
      </c>
      <c r="FF93" s="18">
        <f>FE93*VLOOKUP('Données projet'!$B$16,Paramètres!$A$1:$I$89,3,0)*VLOOKUP('Données projet'!$B$16,Paramètres!$A$1:$I$89,5,0)</f>
        <v>-1.3596945791505279E-13</v>
      </c>
      <c r="FG93" s="14" t="e">
        <f t="shared" si="101"/>
        <v>#NUM!</v>
      </c>
      <c r="FH93" s="22" t="e">
        <f t="shared" si="76"/>
        <v>#NUM!</v>
      </c>
      <c r="FI93" s="62" t="e">
        <f t="shared" si="77"/>
        <v>#NUM!</v>
      </c>
      <c r="FJ93" s="62">
        <f ca="1">AVERAGE(OFFSET($FI$3,0,0,'Données projet'!$E$16+1,1))-AVERAGE(OFFSET($H$3,0,0,'Données projet'!$E$16+1,1))</f>
        <v>257.56116197646924</v>
      </c>
      <c r="FK93" s="62">
        <f t="shared" si="102"/>
        <v>269.95556918835888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>
        <f>EXP(-LN(2)/35)*FQ92+(1-EXP(-LN(2)/35))/(LN(2)/35)*FM93*FN93*VLOOKUP('Données projet'!$B$16,Paramètres!$A$1:$I$89,3,0)*0.475*44/12</f>
        <v>4.4437441963263193</v>
      </c>
      <c r="FR93" s="23">
        <f>EXP(-LN(2)/25)*FR92+(1-EXP(-LN(2)/25))/(LN(2)/25)*Calculateur!FM93*Calculateur!FO93*VLOOKUP('Données projet'!$B$16,Paramètres!$A$1:$I$89,3,0)*0.475*44/12</f>
        <v>3.0585404062309154</v>
      </c>
      <c r="FS93" s="23">
        <f>EXP(-LN(2)/2)*FS92+(1-EXP(-LN(2)/2))/(LN(2)/2)*FM93*FP93*VLOOKUP('Données projet'!$B$16,Paramètres!$A$1:$I$89,3,0)*0.475*44/12</f>
        <v>7.9666109960293242E-9</v>
      </c>
      <c r="FT93" s="24">
        <f t="shared" si="78"/>
        <v>7.5022846105238461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-2.8421709430404007E-13</v>
      </c>
      <c r="GA93" s="18">
        <f>FZ93*VLOOKUP('Données projet'!$B$17,Paramètres!$A$1:$I$89,3,0)*VLOOKUP('Données projet'!$B$17,Paramètres!$A$1:$I$89,5,0)</f>
        <v>-1.69961822393816E-13</v>
      </c>
      <c r="GB93" s="14" t="e">
        <f t="shared" si="103"/>
        <v>#NUM!</v>
      </c>
      <c r="GC93" s="22" t="e">
        <f t="shared" si="79"/>
        <v>#NUM!</v>
      </c>
      <c r="GD93" s="62" t="e">
        <f t="shared" si="80"/>
        <v>#NUM!</v>
      </c>
      <c r="GE93" s="62">
        <f ca="1">AVERAGE(OFFSET($GD$3,0,0,'Données projet'!$E$17+1,1))-AVERAGE(OFFSET($H$3,0,0,'Données projet'!$E$17+1,1))</f>
        <v>289.12367833861299</v>
      </c>
      <c r="GF93" s="62">
        <f t="shared" si="104"/>
        <v>229.06617320689003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>
        <f>EXP(-LN(2)/35)*GL92+(1-EXP(-LN(2)/35))/(LN(2)/35)*GH93*GI93*VLOOKUP('Données projet'!$B$17,Paramètres!$A$1:$I$89,3,0)*0.475*44/12</f>
        <v>0</v>
      </c>
      <c r="GM93" s="23">
        <f>EXP(-LN(2)/25)*GM92+(1-EXP(-LN(2)/25))/(LN(2)/25)*Calculateur!GH93*Calculateur!GJ93*VLOOKUP('Données projet'!$B$17,Paramètres!$A$1:$I$89,3,0)*0.475*44/12</f>
        <v>0</v>
      </c>
      <c r="GN93" s="23">
        <f>EXP(-LN(2)/2)*GN92+(1-EXP(-LN(2)/2))/(LN(2)/2)*GH93*GK93*VLOOKUP('Données projet'!$B$17,Paramètres!$A$1:$I$89,3,0)*0.475*44/12</f>
        <v>3.8620411213724403E-9</v>
      </c>
      <c r="GO93" s="23">
        <f t="shared" si="81"/>
        <v>3.8620411213724403E-9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8.6692307692307597</v>
      </c>
      <c r="GU93" s="13">
        <f>IF('Données projet'!$A$270&gt;35,GU92+GT93-HC92,IF(A93&lt;'Données projet'!$A$270,$GR$205^A93,IF(A93='Données projet'!$A$270,'Données projet'!$B$270,GU92+GT93-HC92)))</f>
        <v>336.96923076923071</v>
      </c>
      <c r="GV93" s="18">
        <f>GU93*VLOOKUP('Données projet'!$B$18,Paramètres!$A$1:$I$89,3,0)*VLOOKUP('Données projet'!$B$18,Paramètres!$A$1:$I$89,5,0)</f>
        <v>157.70159999999998</v>
      </c>
      <c r="GW93" s="14">
        <f t="shared" si="105"/>
        <v>40.323669122930177</v>
      </c>
      <c r="GX93" s="22">
        <f t="shared" si="82"/>
        <v>344.89401038910336</v>
      </c>
      <c r="GY93" s="62">
        <f t="shared" si="83"/>
        <v>638.22734372243667</v>
      </c>
      <c r="GZ93" s="62">
        <f ca="1">AVERAGE(OFFSET($GY$3,0,0,'Données projet'!$E$18+1,1))-AVERAGE(OFFSET($H$3,0,0,'Données projet'!$E$18+1,1))</f>
        <v>284.88646502866419</v>
      </c>
      <c r="HA93" s="62">
        <f t="shared" si="106"/>
        <v>190.4880882944471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>
        <f>EXP(-LN(2)/35)*HG92+(1-EXP(-LN(2)/35))/(LN(2)/35)*HC93*HD93*VLOOKUP('Données projet'!$B$18,Paramètres!$A$1:$I$89,3,0)*0.475*44/12</f>
        <v>0</v>
      </c>
      <c r="HH93" s="23">
        <f>EXP(-LN(2)/25)*HH92+(1-EXP(-LN(2)/25))/(LN(2)/25)*Calculateur!HC93*Calculateur!HE93*VLOOKUP('Données projet'!$B$18,Paramètres!$A$1:$I$89,3,0)*0.475*44/12</f>
        <v>0</v>
      </c>
      <c r="HI93" s="23">
        <f>EXP(-LN(2)/2)*HI92+(1-EXP(-LN(2)/2))/(LN(2)/2)*HC93*HF93*VLOOKUP('Données projet'!$B$18,Paramètres!$A$1:$I$89,3,0)*0.475*44/12</f>
        <v>0</v>
      </c>
      <c r="HJ93" s="24">
        <f t="shared" si="84"/>
        <v>0</v>
      </c>
    </row>
    <row r="94" spans="1:218" s="5" customFormat="1" x14ac:dyDescent="0.25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2">
        <f t="shared" si="86"/>
        <v>0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0</v>
      </c>
      <c r="H94" s="70">
        <f t="shared" si="56"/>
        <v>256.66666666666669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3.5897435897435854</v>
      </c>
      <c r="N94" s="14">
        <f>IF('Données projet'!$A$36&gt;35,N93+M94-V93,IF(A94&lt;'Données projet'!$A$36,$K$205^A94,IF(A94='Données projet'!$A$36,'Données projet'!$B$36,N93+M94-V93)))</f>
        <v>215.12820512820505</v>
      </c>
      <c r="O94" s="14">
        <f>N94*VLOOKUP('Données projet'!$B$9,Paramètres!$A$1:$I$89,3,0)*VLOOKUP('Données projet'!$B$9,Paramètres!$A$1:$I$89,5,0)</f>
        <v>204.71599999999992</v>
      </c>
      <c r="P94" s="14">
        <f t="shared" si="87"/>
        <v>50.779191757337983</v>
      </c>
      <c r="Q94" s="22">
        <f t="shared" si="54"/>
        <v>444.98745897736353</v>
      </c>
      <c r="R94" s="62">
        <f t="shared" si="55"/>
        <v>738.32079231069679</v>
      </c>
      <c r="S94" s="62">
        <f ca="1">AVERAGE(OFFSET($R$3,0,0,'Données projet'!$E$9+1,1))-AVERAGE(OFFSET($H$3,0,0,'Données projet'!$E$9+1,1))</f>
        <v>367.11183928586667</v>
      </c>
      <c r="T94" s="62">
        <f t="shared" si="88"/>
        <v>281.52963027844595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0</v>
      </c>
      <c r="AA94" s="23">
        <f>EXP(-LN(2)/25)*AA93+(1-EXP(-LN(2)/25))/(LN(2)/25)*Calculateur!V94*Calculateur!X94*VLOOKUP('Données projet'!$B$9,Paramètres!$A$1:$I$89,3,0)*0.475*44/12</f>
        <v>0</v>
      </c>
      <c r="AB94" s="23">
        <f>EXP(-LN(2)/2)*AB93+(1-EXP(-LN(2)/2))/(LN(2)/2)*V94*Y94*VLOOKUP('Données projet'!$B$9,Paramètres!$A$1:$I$89,3,0)*0.475*44/12</f>
        <v>0</v>
      </c>
      <c r="AC94" s="24">
        <f t="shared" si="57"/>
        <v>0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4.9000000000000004</v>
      </c>
      <c r="AI94" s="14">
        <f>IF('Données projet'!$A$62&gt;35,AI93+AH94-AQ93,IF(A94&lt;'Données projet'!$A$62,$AF$205^A94,IF(A94='Données projet'!$A$62,'Données projet'!$B$62,AI93+AH94-AQ93)))</f>
        <v>258.90000000000003</v>
      </c>
      <c r="AJ94" s="14">
        <f>AI94*VLOOKUP('Données projet'!$B$10,Paramètres!$A$1:$I$89,3,0)*VLOOKUP('Données projet'!$B$10,Paramètres!$A$1:$I$89,5,0)</f>
        <v>234.25272000000001</v>
      </c>
      <c r="AK94" s="14">
        <f t="shared" si="89"/>
        <v>57.201236231171301</v>
      </c>
      <c r="AL94" s="22">
        <f t="shared" si="58"/>
        <v>507.61564043595672</v>
      </c>
      <c r="AM94" s="62">
        <f t="shared" si="59"/>
        <v>800.94897376928998</v>
      </c>
      <c r="AN94" s="62">
        <f ca="1">AVERAGE(OFFSET($AM$3,0,0,'Données projet'!$E$10+1,1))-AVERAGE(OFFSET($H$3,0,0,'Données projet'!$E$10+1,1))</f>
        <v>428.8489304403459</v>
      </c>
      <c r="AO94" s="62">
        <f t="shared" si="90"/>
        <v>247.01165577562966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0</v>
      </c>
      <c r="AV94" s="23">
        <f>EXP(-LN(2)/25)*AV93+(1-EXP(-LN(2)/25))/(LN(2)/25)*Calculateur!AQ94*Calculateur!AS94*VLOOKUP('Données projet'!$B$10,Paramètres!$A$1:$I$89,3,0)*0.475*44/12</f>
        <v>0</v>
      </c>
      <c r="AW94" s="23">
        <f>EXP(-LN(2)/2)*AW93+(1-EXP(-LN(2)/2))/(LN(2)/2)*AQ94*AT94*VLOOKUP('Données projet'!$B$10,Paramètres!$A$1:$I$89,3,0)*0.475*44/12</f>
        <v>0</v>
      </c>
      <c r="AX94" s="23">
        <f t="shared" si="60"/>
        <v>0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4.9000000000000004</v>
      </c>
      <c r="BD94" s="13">
        <f>IF('Données projet'!$A$88&gt;35,BD93+BC94-BL93,IF(A94&lt;'Données projet'!$A$88,$BA$205^A94,IF(A94='Données projet'!$A$88,'Données projet'!$B$88,BD93+BC94-BL93)))</f>
        <v>258.90000000000003</v>
      </c>
      <c r="BE94" s="14">
        <f>BD94*VLOOKUP('Données projet'!$B$11,Paramètres!$A$1:$I$89,3,0)*VLOOKUP('Données projet'!$B$11,Paramètres!$A$1:$I$89,5,0)</f>
        <v>262.52460000000002</v>
      </c>
      <c r="BF94" s="14">
        <f t="shared" si="91"/>
        <v>63.260217631774687</v>
      </c>
      <c r="BG94" s="22">
        <f t="shared" si="61"/>
        <v>567.40855737534105</v>
      </c>
      <c r="BH94" s="62">
        <f t="shared" si="62"/>
        <v>860.74189070867442</v>
      </c>
      <c r="BI94" s="62">
        <f ca="1">AVERAGE(OFFSET($BH$3,0,0,'Données projet'!$E$11+1,1))-AVERAGE(OFFSET($H$3,0,0,'Données projet'!$E$11+1,1))</f>
        <v>475.47920969424894</v>
      </c>
      <c r="BJ94" s="62">
        <f t="shared" si="92"/>
        <v>271.73544012419364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>
        <f>EXP(-LN(2)/35)*BP93+(1-EXP(-LN(2)/35))/(LN(2)/35)*BL94*BM94*VLOOKUP('Données projet'!$B$11,Paramètres!$A$1:$I$89,3,0)*0.475*44/12</f>
        <v>0</v>
      </c>
      <c r="BQ94" s="23">
        <f>EXP(-LN(2)/25)*BQ93+(1-EXP(-LN(2)/25))/(LN(2)/25)*Calculateur!BL94*Calculateur!BN94*VLOOKUP('Données projet'!$B$11,Paramètres!$A$1:$I$89,3,0)*0.475*44/12</f>
        <v>0</v>
      </c>
      <c r="BR94" s="23">
        <f>EXP(-LN(2)/2)*BR93+(1-EXP(-LN(2)/2))/(LN(2)/2)*BL94*BO94*VLOOKUP('Données projet'!$B$11,Paramètres!$A$1:$I$89,3,0)*0.475*44/12</f>
        <v>0</v>
      </c>
      <c r="BS94" s="24">
        <f t="shared" si="63"/>
        <v>0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2.2737367544323206E-13</v>
      </c>
      <c r="BZ94" s="14">
        <f>BY94*VLOOKUP('Données projet'!$B$12,Paramètres!$A$1:$I$89,3,0)*VLOOKUP('Données projet'!$B$12,Paramètres!$A$1:$I$89,5,0)</f>
        <v>1.2710188457276673E-13</v>
      </c>
      <c r="CA94" s="14">
        <f t="shared" si="93"/>
        <v>1.856866851063998E-12</v>
      </c>
      <c r="CB94" s="22">
        <f t="shared" si="64"/>
        <v>3.4554122145673649E-12</v>
      </c>
      <c r="CC94" s="62">
        <f t="shared" si="65"/>
        <v>293.33333333333678</v>
      </c>
      <c r="CD94" s="62">
        <f ca="1">AVERAGE(OFFSET($CC$3,0,0,'Données projet'!$E$12+1,1))-AVERAGE(OFFSET($H$3,0,0,'Données projet'!$E$12+1,1))</f>
        <v>323.98185264074681</v>
      </c>
      <c r="CE94" s="62">
        <f t="shared" si="94"/>
        <v>301.22207291854005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>
        <f>EXP(-LN(2)/35)*CK93+(1-EXP(-LN(2)/35))/(LN(2)/35)*CG94*CH94*VLOOKUP('Données projet'!$B$12,Paramètres!$A$1:$I$89,3,0)*0.475*44/12</f>
        <v>1.3332406059114876</v>
      </c>
      <c r="CL94" s="23">
        <f>EXP(-LN(2)/25)*CL93+(1-EXP(-LN(2)/25))/(LN(2)/25)*Calculateur!CG94*Calculateur!CI94*VLOOKUP('Données projet'!$B$12,Paramètres!$A$1:$I$89,3,0)*0.475*44/12</f>
        <v>1.5198424983278456</v>
      </c>
      <c r="CM94" s="23">
        <f>EXP(-LN(2)/2)*CM93+(1-EXP(-LN(2)/2))/(LN(2)/2)*CG94*CJ94*VLOOKUP('Données projet'!$B$12,Paramètres!$A$1:$I$89,3,0)*0.475*44/12</f>
        <v>4.0090919837952151E-9</v>
      </c>
      <c r="CN94" s="24">
        <f t="shared" si="66"/>
        <v>2.8530831082484256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3.7</v>
      </c>
      <c r="CT94" s="13">
        <f>IF('Données projet'!$A$140&gt;35,CT93+CS94-DB93,IF(A94&lt;'Données projet'!$A$140,$CQ$205^A94,IF(A94='Données projet'!$A$140,'Données projet'!$B$140,CT93+CS94-DB93)))</f>
        <v>196.69999999999993</v>
      </c>
      <c r="CU94" s="18">
        <f>CT94*VLOOKUP('Données projet'!$B$13,Paramètres!$A$1:$I$89,3,0)*VLOOKUP('Données projet'!$B$13,Paramètres!$A$1:$I$89,5,0)</f>
        <v>224.00195999999994</v>
      </c>
      <c r="CV94" s="14">
        <f t="shared" si="95"/>
        <v>54.983777263895199</v>
      </c>
      <c r="CW94" s="22">
        <f t="shared" si="67"/>
        <v>485.90015906795071</v>
      </c>
      <c r="CX94" s="62">
        <f t="shared" si="68"/>
        <v>779.23349240128402</v>
      </c>
      <c r="CY94" s="62">
        <f ca="1">AVERAGE(OFFSET($CX$3,0,0,'Données projet'!$E$13+1,1))-AVERAGE(OFFSET($H$3,0,0,'Données projet'!$E$13+1,1))</f>
        <v>399.78832690250164</v>
      </c>
      <c r="CZ94" s="62">
        <f t="shared" si="96"/>
        <v>174.32967064896343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>
        <f>EXP(-LN(2)/35)*DF93+(1-EXP(-LN(2)/35))/(LN(2)/35)*DB94*DC94*VLOOKUP('Données projet'!$B$13,Paramètres!$A$1:$I$89,3,0)*0.475*44/12</f>
        <v>0</v>
      </c>
      <c r="DG94" s="23">
        <f>EXP(-LN(2)/25)*DG93+(1-EXP(-LN(2)/25))/(LN(2)/25)*Calculateur!DB94*Calculateur!DD94*VLOOKUP('Données projet'!$B$13,Paramètres!$A$1:$I$89,3,0)*0.475*44/12</f>
        <v>0</v>
      </c>
      <c r="DH94" s="23">
        <f>EXP(-LN(2)/2)*DH93+(1-EXP(-LN(2)/2))/(LN(2)/2)*DB94*DE94*VLOOKUP('Données projet'!$B$13,Paramètres!$A$1:$I$89,3,0)*0.475*44/12</f>
        <v>0</v>
      </c>
      <c r="DI94" s="24">
        <f t="shared" si="69"/>
        <v>0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4.9000000000000004</v>
      </c>
      <c r="DO94" s="13">
        <f>IF('Données projet'!$A$166&gt;35,DO93+DN94-DW93,IF(A94&lt;'Données projet'!$A$166,$DL$205^A94,IF(A94='Données projet'!$A$166,'Données projet'!$B$166,DO93+DN94-DW93)))</f>
        <v>258.90000000000003</v>
      </c>
      <c r="DP94" s="18">
        <f>DO94*VLOOKUP('Données projet'!$B$14,Paramètres!$A$1:$I$89,3,0)*VLOOKUP('Données projet'!$B$14,Paramètres!$A$1:$I$89,5,0)</f>
        <v>218.09736000000007</v>
      </c>
      <c r="DQ94" s="14">
        <f t="shared" si="97"/>
        <v>53.701147500486194</v>
      </c>
      <c r="DR94" s="22">
        <f t="shared" si="70"/>
        <v>473.38240056334689</v>
      </c>
      <c r="DS94" s="62">
        <f t="shared" si="71"/>
        <v>766.71573389668015</v>
      </c>
      <c r="DT94" s="62">
        <f ca="1">AVERAGE(OFFSET($DS$3,0,0,'Données projet'!$E$14+1,1))-AVERAGE(OFFSET($H$3,0,0,'Données projet'!$E$14+1,1))</f>
        <v>402.15128814037058</v>
      </c>
      <c r="DU94" s="62">
        <f t="shared" si="98"/>
        <v>232.85411068442738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>
        <f>EXP(-LN(2)/35)*EA93+(1-EXP(-LN(2)/35))/(LN(2)/35)*DW94*DX94*VLOOKUP('Données projet'!$B$14,Paramètres!$A$1:$I$89,3,0)*0.475*44/12</f>
        <v>0</v>
      </c>
      <c r="EB94" s="23">
        <f>EXP(-LN(2)/25)*EB93+(1-EXP(-LN(2)/25))/(LN(2)/25)*Calculateur!DW94*Calculateur!DY94*VLOOKUP('Données projet'!$B$14,Paramètres!$A$1:$I$89,3,0)*0.475*44/12</f>
        <v>0</v>
      </c>
      <c r="EC94" s="23">
        <f>EXP(-LN(2)/2)*EC93+(1-EXP(-LN(2)/2))/(LN(2)/2)*DW94*DZ94*VLOOKUP('Données projet'!$B$14,Paramètres!$A$1:$I$89,3,0)*0.475*44/12</f>
        <v>0</v>
      </c>
      <c r="ED94" s="24">
        <f t="shared" si="72"/>
        <v>0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4.1025641025640995</v>
      </c>
      <c r="EJ94" s="13">
        <f>IF('Données projet'!$A$192&gt;35,EJ93+EI94-ER93,IF(A94&lt;'Données projet'!$A$192,$EG$205^A94,IF(A94='Données projet'!$A$192,'Données projet'!$B$192,EJ93+EI94-ER93)))</f>
        <v>338.71794871794901</v>
      </c>
      <c r="EK94" s="18">
        <f>EJ94*VLOOKUP('Données projet'!$B$15,Paramètres!$A$1:$I$89,3,0)*VLOOKUP('Données projet'!$B$15,Paramètres!$A$1:$I$89,5,0)</f>
        <v>354.0280000000003</v>
      </c>
      <c r="EL94" s="14">
        <f t="shared" si="99"/>
        <v>82.391365099845245</v>
      </c>
      <c r="EM94" s="22">
        <f t="shared" si="73"/>
        <v>760.09706088223095</v>
      </c>
      <c r="EN94" s="62">
        <f t="shared" si="74"/>
        <v>1053.4303942155643</v>
      </c>
      <c r="EO94" s="62">
        <f ca="1">AVERAGE(OFFSET($EN$3,0,0,'Données projet'!$E$15+1,1))-AVERAGE(OFFSET($H$3,0,0,'Données projet'!$E$15+1,1))</f>
        <v>595.89992279024398</v>
      </c>
      <c r="EP94" s="62">
        <f t="shared" si="100"/>
        <v>378.16197659288338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>
        <f>EXP(-LN(2)/35)*EV93+(1-EXP(-LN(2)/35))/(LN(2)/35)*ER94*ES94*VLOOKUP('Données projet'!$B$15,Paramètres!$A$1:$I$89,3,0)*0.475*44/12</f>
        <v>0</v>
      </c>
      <c r="EW94" s="23">
        <f>EXP(-LN(2)/25)*EW93+(1-EXP(-LN(2)/25))/(LN(2)/25)*Calculateur!ER94*Calculateur!ET94*VLOOKUP('Données projet'!$B$15,Paramètres!$A$1:$I$89,3,0)*0.475*44/12</f>
        <v>0</v>
      </c>
      <c r="EX94" s="23">
        <f>EXP(-LN(2)/2)*EX93+(1-EXP(-LN(2)/2))/(LN(2)/2)*ER94*EU94*VLOOKUP('Données projet'!$B$15,Paramètres!$A$1:$I$89,3,0)*0.475*44/12</f>
        <v>0</v>
      </c>
      <c r="EY94" s="24">
        <f t="shared" si="75"/>
        <v>0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-2.2737367544323206E-13</v>
      </c>
      <c r="FF94" s="18">
        <f>FE94*VLOOKUP('Données projet'!$B$16,Paramètres!$A$1:$I$89,3,0)*VLOOKUP('Données projet'!$B$16,Paramètres!$A$1:$I$89,5,0)</f>
        <v>-1.3596945791505279E-13</v>
      </c>
      <c r="FG94" s="14" t="e">
        <f t="shared" si="101"/>
        <v>#NUM!</v>
      </c>
      <c r="FH94" s="22" t="e">
        <f t="shared" si="76"/>
        <v>#NUM!</v>
      </c>
      <c r="FI94" s="62" t="e">
        <f t="shared" si="77"/>
        <v>#NUM!</v>
      </c>
      <c r="FJ94" s="62">
        <f ca="1">AVERAGE(OFFSET($FI$3,0,0,'Données projet'!$E$16+1,1))-AVERAGE(OFFSET($H$3,0,0,'Données projet'!$E$16+1,1))</f>
        <v>257.56116197646924</v>
      </c>
      <c r="FK94" s="62">
        <f t="shared" si="102"/>
        <v>269.95556918835888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>
        <f>EXP(-LN(2)/35)*FQ93+(1-EXP(-LN(2)/35))/(LN(2)/35)*FM94*FN94*VLOOKUP('Données projet'!$B$16,Paramètres!$A$1:$I$89,3,0)*0.475*44/12</f>
        <v>4.3566050830526883</v>
      </c>
      <c r="FR94" s="23">
        <f>EXP(-LN(2)/25)*FR93+(1-EXP(-LN(2)/25))/(LN(2)/25)*Calculateur!FM94*Calculateur!FO94*VLOOKUP('Données projet'!$B$16,Paramètres!$A$1:$I$89,3,0)*0.475*44/12</f>
        <v>2.9749044579808812</v>
      </c>
      <c r="FS94" s="23">
        <f>EXP(-LN(2)/2)*FS93+(1-EXP(-LN(2)/2))/(LN(2)/2)*FM94*FP94*VLOOKUP('Données projet'!$B$16,Paramètres!$A$1:$I$89,3,0)*0.475*44/12</f>
        <v>5.6332446583676508E-9</v>
      </c>
      <c r="FT94" s="24">
        <f t="shared" si="78"/>
        <v>7.3315095466668145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-2.8421709430404007E-13</v>
      </c>
      <c r="GA94" s="18">
        <f>FZ94*VLOOKUP('Données projet'!$B$17,Paramètres!$A$1:$I$89,3,0)*VLOOKUP('Données projet'!$B$17,Paramètres!$A$1:$I$89,5,0)</f>
        <v>-1.69961822393816E-13</v>
      </c>
      <c r="GB94" s="14" t="e">
        <f t="shared" si="103"/>
        <v>#NUM!</v>
      </c>
      <c r="GC94" s="22" t="e">
        <f t="shared" si="79"/>
        <v>#NUM!</v>
      </c>
      <c r="GD94" s="62" t="e">
        <f t="shared" si="80"/>
        <v>#NUM!</v>
      </c>
      <c r="GE94" s="62">
        <f ca="1">AVERAGE(OFFSET($GD$3,0,0,'Données projet'!$E$17+1,1))-AVERAGE(OFFSET($H$3,0,0,'Données projet'!$E$17+1,1))</f>
        <v>289.12367833861299</v>
      </c>
      <c r="GF94" s="62">
        <f t="shared" si="104"/>
        <v>229.06617320689003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>
        <f>EXP(-LN(2)/35)*GL93+(1-EXP(-LN(2)/35))/(LN(2)/35)*GH94*GI94*VLOOKUP('Données projet'!$B$17,Paramètres!$A$1:$I$89,3,0)*0.475*44/12</f>
        <v>0</v>
      </c>
      <c r="GM94" s="23">
        <f>EXP(-LN(2)/25)*GM93+(1-EXP(-LN(2)/25))/(LN(2)/25)*Calculateur!GH94*Calculateur!GJ94*VLOOKUP('Données projet'!$B$17,Paramètres!$A$1:$I$89,3,0)*0.475*44/12</f>
        <v>0</v>
      </c>
      <c r="GN94" s="23">
        <f>EXP(-LN(2)/2)*GN93+(1-EXP(-LN(2)/2))/(LN(2)/2)*GH94*GK94*VLOOKUP('Données projet'!$B$17,Paramètres!$A$1:$I$89,3,0)*0.475*44/12</f>
        <v>2.7308754661437508E-9</v>
      </c>
      <c r="GO94" s="23">
        <f t="shared" si="81"/>
        <v>2.7308754661437508E-9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>
        <f>VLOOKUP(A94,'Données projet'!$A$269:$I$289,2,0)</f>
        <v>345.63846153846151</v>
      </c>
      <c r="GS94" s="13">
        <f>VLOOKUP(A94,'Données projet'!$A$269:$I$289,9,0)</f>
        <v>8.6692307692307597</v>
      </c>
      <c r="GT94" s="13">
        <f t="array" ref="GT94">INDEX(GS:GS,MIN(IF(ISNUMBER(GS94:GS290),ROW(GS94:GS290),"")))</f>
        <v>8.6692307692307597</v>
      </c>
      <c r="GU94" s="13">
        <f>IF('Données projet'!$A$270&gt;35,GU93+GT94-HC93,IF(A94&lt;'Données projet'!$A$270,$GR$205^A94,IF(A94='Données projet'!$A$270,'Données projet'!$B$270,GU93+GT94-HC93)))</f>
        <v>345.63846153846146</v>
      </c>
      <c r="GV94" s="18">
        <f>GU94*VLOOKUP('Données projet'!$B$18,Paramètres!$A$1:$I$89,3,0)*VLOOKUP('Données projet'!$B$18,Paramètres!$A$1:$I$89,5,0)</f>
        <v>161.75879999999995</v>
      </c>
      <c r="GW94" s="14">
        <f t="shared" si="105"/>
        <v>41.23896489267198</v>
      </c>
      <c r="GX94" s="22">
        <f t="shared" si="82"/>
        <v>353.55444052140359</v>
      </c>
      <c r="GY94" s="62">
        <f t="shared" si="83"/>
        <v>646.88777385473691</v>
      </c>
      <c r="GZ94" s="62">
        <f ca="1">AVERAGE(OFFSET($GY$3,0,0,'Données projet'!$E$18+1,1))-AVERAGE(OFFSET($H$3,0,0,'Données projet'!$E$18+1,1))</f>
        <v>284.88646502866419</v>
      </c>
      <c r="HA94" s="62">
        <f t="shared" si="106"/>
        <v>190.4880882944471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>
        <f>EXP(-LN(2)/35)*HG93+(1-EXP(-LN(2)/35))/(LN(2)/35)*HC94*HD94*VLOOKUP('Données projet'!$B$18,Paramètres!$A$1:$I$89,3,0)*0.475*44/12</f>
        <v>0</v>
      </c>
      <c r="HH94" s="23">
        <f>EXP(-LN(2)/25)*HH93+(1-EXP(-LN(2)/25))/(LN(2)/25)*Calculateur!HC94*Calculateur!HE94*VLOOKUP('Données projet'!$B$18,Paramètres!$A$1:$I$89,3,0)*0.475*44/12</f>
        <v>0</v>
      </c>
      <c r="HI94" s="23">
        <f>EXP(-LN(2)/2)*HI93+(1-EXP(-LN(2)/2))/(LN(2)/2)*HC94*HF94*VLOOKUP('Données projet'!$B$18,Paramètres!$A$1:$I$89,3,0)*0.475*44/12</f>
        <v>0</v>
      </c>
      <c r="HJ94" s="24">
        <f t="shared" si="84"/>
        <v>0</v>
      </c>
    </row>
    <row r="95" spans="1:218" s="5" customFormat="1" x14ac:dyDescent="0.25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2">
        <f t="shared" si="86"/>
        <v>0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0</v>
      </c>
      <c r="H95" s="70">
        <f t="shared" si="56"/>
        <v>256.66666666666669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3.5897435897435854</v>
      </c>
      <c r="N95" s="14">
        <f>IF('Données projet'!$A$36&gt;35,N94+M95-V94,IF(A95&lt;'Données projet'!$A$36,$K$205^A95,IF(A95='Données projet'!$A$36,'Données projet'!$B$36,N94+M95-V94)))</f>
        <v>218.71794871794864</v>
      </c>
      <c r="O95" s="14">
        <f>N95*VLOOKUP('Données projet'!$B$9,Paramètres!$A$1:$I$89,3,0)*VLOOKUP('Données projet'!$B$9,Paramètres!$A$1:$I$89,5,0)</f>
        <v>208.13199999999992</v>
      </c>
      <c r="P95" s="14">
        <f t="shared" si="87"/>
        <v>51.527168668357106</v>
      </c>
      <c r="Q95" s="22">
        <f t="shared" si="54"/>
        <v>452.23971876405511</v>
      </c>
      <c r="R95" s="62">
        <f t="shared" si="55"/>
        <v>745.57305209738843</v>
      </c>
      <c r="S95" s="62">
        <f ca="1">AVERAGE(OFFSET($R$3,0,0,'Données projet'!$E$9+1,1))-AVERAGE(OFFSET($H$3,0,0,'Données projet'!$E$9+1,1))</f>
        <v>367.11183928586667</v>
      </c>
      <c r="T95" s="62">
        <f t="shared" si="88"/>
        <v>281.52963027844595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0</v>
      </c>
      <c r="AA95" s="23">
        <f>EXP(-LN(2)/25)*AA94+(1-EXP(-LN(2)/25))/(LN(2)/25)*Calculateur!V95*Calculateur!X95*VLOOKUP('Données projet'!$B$9,Paramètres!$A$1:$I$89,3,0)*0.475*44/12</f>
        <v>0</v>
      </c>
      <c r="AB95" s="23">
        <f>EXP(-LN(2)/2)*AB94+(1-EXP(-LN(2)/2))/(LN(2)/2)*V95*Y95*VLOOKUP('Données projet'!$B$9,Paramètres!$A$1:$I$89,3,0)*0.475*44/12</f>
        <v>0</v>
      </c>
      <c r="AC95" s="24">
        <f t="shared" si="57"/>
        <v>0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4.9000000000000004</v>
      </c>
      <c r="AI95" s="14">
        <f>IF('Données projet'!$A$62&gt;35,AI94+AH95-AQ94,IF(A95&lt;'Données projet'!$A$62,$AF$205^A95,IF(A95='Données projet'!$A$62,'Données projet'!$B$62,AI94+AH95-AQ94)))</f>
        <v>263.8</v>
      </c>
      <c r="AJ95" s="14">
        <f>AI95*VLOOKUP('Données projet'!$B$10,Paramètres!$A$1:$I$89,3,0)*VLOOKUP('Données projet'!$B$10,Paramètres!$A$1:$I$89,5,0)</f>
        <v>238.68624</v>
      </c>
      <c r="AK95" s="14">
        <f t="shared" si="89"/>
        <v>58.156778382060871</v>
      </c>
      <c r="AL95" s="22">
        <f t="shared" si="58"/>
        <v>517.00159034875594</v>
      </c>
      <c r="AM95" s="62">
        <f t="shared" si="59"/>
        <v>810.33492368208931</v>
      </c>
      <c r="AN95" s="62">
        <f ca="1">AVERAGE(OFFSET($AM$3,0,0,'Données projet'!$E$10+1,1))-AVERAGE(OFFSET($H$3,0,0,'Données projet'!$E$10+1,1))</f>
        <v>428.8489304403459</v>
      </c>
      <c r="AO95" s="62">
        <f t="shared" si="90"/>
        <v>247.01165577562966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0</v>
      </c>
      <c r="AV95" s="23">
        <f>EXP(-LN(2)/25)*AV94+(1-EXP(-LN(2)/25))/(LN(2)/25)*Calculateur!AQ95*Calculateur!AS95*VLOOKUP('Données projet'!$B$10,Paramètres!$A$1:$I$89,3,0)*0.475*44/12</f>
        <v>0</v>
      </c>
      <c r="AW95" s="23">
        <f>EXP(-LN(2)/2)*AW94+(1-EXP(-LN(2)/2))/(LN(2)/2)*AQ95*AT95*VLOOKUP('Données projet'!$B$10,Paramètres!$A$1:$I$89,3,0)*0.475*44/12</f>
        <v>0</v>
      </c>
      <c r="AX95" s="23">
        <f t="shared" si="60"/>
        <v>0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4.9000000000000004</v>
      </c>
      <c r="BD95" s="13">
        <f>IF('Données projet'!$A$88&gt;35,BD94+BC95-BL94,IF(A95&lt;'Données projet'!$A$88,$BA$205^A95,IF(A95='Données projet'!$A$88,'Données projet'!$B$88,BD94+BC95-BL94)))</f>
        <v>263.8</v>
      </c>
      <c r="BE95" s="14">
        <f>BD95*VLOOKUP('Données projet'!$B$11,Paramètres!$A$1:$I$89,3,0)*VLOOKUP('Données projet'!$B$11,Paramètres!$A$1:$I$89,5,0)</f>
        <v>267.49320000000006</v>
      </c>
      <c r="BF95" s="14">
        <f t="shared" si="91"/>
        <v>64.316974590266341</v>
      </c>
      <c r="BG95" s="22">
        <f t="shared" si="61"/>
        <v>577.90272074471397</v>
      </c>
      <c r="BH95" s="62">
        <f t="shared" si="62"/>
        <v>871.23605407804735</v>
      </c>
      <c r="BI95" s="62">
        <f ca="1">AVERAGE(OFFSET($BH$3,0,0,'Données projet'!$E$11+1,1))-AVERAGE(OFFSET($H$3,0,0,'Données projet'!$E$11+1,1))</f>
        <v>475.47920969424894</v>
      </c>
      <c r="BJ95" s="62">
        <f t="shared" si="92"/>
        <v>271.73544012419364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>
        <f>EXP(-LN(2)/35)*BP94+(1-EXP(-LN(2)/35))/(LN(2)/35)*BL95*BM95*VLOOKUP('Données projet'!$B$11,Paramètres!$A$1:$I$89,3,0)*0.475*44/12</f>
        <v>0</v>
      </c>
      <c r="BQ95" s="23">
        <f>EXP(-LN(2)/25)*BQ94+(1-EXP(-LN(2)/25))/(LN(2)/25)*Calculateur!BL95*Calculateur!BN95*VLOOKUP('Données projet'!$B$11,Paramètres!$A$1:$I$89,3,0)*0.475*44/12</f>
        <v>0</v>
      </c>
      <c r="BR95" s="23">
        <f>EXP(-LN(2)/2)*BR94+(1-EXP(-LN(2)/2))/(LN(2)/2)*BL95*BO95*VLOOKUP('Données projet'!$B$11,Paramètres!$A$1:$I$89,3,0)*0.475*44/12</f>
        <v>0</v>
      </c>
      <c r="BS95" s="24">
        <f t="shared" si="63"/>
        <v>0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2.2737367544323206E-13</v>
      </c>
      <c r="BZ95" s="14">
        <f>BY95*VLOOKUP('Données projet'!$B$12,Paramètres!$A$1:$I$89,3,0)*VLOOKUP('Données projet'!$B$12,Paramètres!$A$1:$I$89,5,0)</f>
        <v>1.2710188457276673E-13</v>
      </c>
      <c r="CA95" s="14">
        <f t="shared" si="93"/>
        <v>1.856866851063998E-12</v>
      </c>
      <c r="CB95" s="22">
        <f t="shared" si="64"/>
        <v>3.4554122145673649E-12</v>
      </c>
      <c r="CC95" s="62">
        <f t="shared" si="65"/>
        <v>293.33333333333678</v>
      </c>
      <c r="CD95" s="62">
        <f ca="1">AVERAGE(OFFSET($CC$3,0,0,'Données projet'!$E$12+1,1))-AVERAGE(OFFSET($H$3,0,0,'Données projet'!$E$12+1,1))</f>
        <v>323.98185264074681</v>
      </c>
      <c r="CE95" s="62">
        <f t="shared" si="94"/>
        <v>301.22207291854005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>
        <f>EXP(-LN(2)/35)*CK94+(1-EXP(-LN(2)/35))/(LN(2)/35)*CG95*CH95*VLOOKUP('Données projet'!$B$12,Paramètres!$A$1:$I$89,3,0)*0.475*44/12</f>
        <v>1.3070965708260365</v>
      </c>
      <c r="CL95" s="23">
        <f>EXP(-LN(2)/25)*CL94+(1-EXP(-LN(2)/25))/(LN(2)/25)*Calculateur!CG95*Calculateur!CI95*VLOOKUP('Données projet'!$B$12,Paramètres!$A$1:$I$89,3,0)*0.475*44/12</f>
        <v>1.4782823252860273</v>
      </c>
      <c r="CM95" s="23">
        <f>EXP(-LN(2)/2)*CM94+(1-EXP(-LN(2)/2))/(LN(2)/2)*CG95*CJ95*VLOOKUP('Données projet'!$B$12,Paramètres!$A$1:$I$89,3,0)*0.475*44/12</f>
        <v>2.8348561281422249E-9</v>
      </c>
      <c r="CN95" s="24">
        <f t="shared" si="66"/>
        <v>2.7853788989469201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3.7</v>
      </c>
      <c r="CT95" s="13">
        <f>IF('Données projet'!$A$140&gt;35,CT94+CS95-DB94,IF(A95&lt;'Données projet'!$A$140,$CQ$205^A95,IF(A95='Données projet'!$A$140,'Données projet'!$B$140,CT94+CS95-DB94)))</f>
        <v>200.39999999999992</v>
      </c>
      <c r="CU95" s="18">
        <f>CT95*VLOOKUP('Données projet'!$B$13,Paramètres!$A$1:$I$89,3,0)*VLOOKUP('Données projet'!$B$13,Paramètres!$A$1:$I$89,5,0)</f>
        <v>228.21551999999991</v>
      </c>
      <c r="CV95" s="14">
        <f t="shared" si="95"/>
        <v>55.896660499583774</v>
      </c>
      <c r="CW95" s="22">
        <f t="shared" si="67"/>
        <v>494.82871437010823</v>
      </c>
      <c r="CX95" s="62">
        <f t="shared" si="68"/>
        <v>788.16204770344154</v>
      </c>
      <c r="CY95" s="62">
        <f ca="1">AVERAGE(OFFSET($CX$3,0,0,'Données projet'!$E$13+1,1))-AVERAGE(OFFSET($H$3,0,0,'Données projet'!$E$13+1,1))</f>
        <v>399.78832690250164</v>
      </c>
      <c r="CZ95" s="62">
        <f t="shared" si="96"/>
        <v>174.32967064896343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>
        <f>EXP(-LN(2)/35)*DF94+(1-EXP(-LN(2)/35))/(LN(2)/35)*DB95*DC95*VLOOKUP('Données projet'!$B$13,Paramètres!$A$1:$I$89,3,0)*0.475*44/12</f>
        <v>0</v>
      </c>
      <c r="DG95" s="23">
        <f>EXP(-LN(2)/25)*DG94+(1-EXP(-LN(2)/25))/(LN(2)/25)*Calculateur!DB95*Calculateur!DD95*VLOOKUP('Données projet'!$B$13,Paramètres!$A$1:$I$89,3,0)*0.475*44/12</f>
        <v>0</v>
      </c>
      <c r="DH95" s="23">
        <f>EXP(-LN(2)/2)*DH94+(1-EXP(-LN(2)/2))/(LN(2)/2)*DB95*DE95*VLOOKUP('Données projet'!$B$13,Paramètres!$A$1:$I$89,3,0)*0.475*44/12</f>
        <v>0</v>
      </c>
      <c r="DI95" s="24">
        <f t="shared" si="69"/>
        <v>0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4.9000000000000004</v>
      </c>
      <c r="DO95" s="13">
        <f>IF('Données projet'!$A$166&gt;35,DO94+DN95-DW94,IF(A95&lt;'Données projet'!$A$166,$DL$205^A95,IF(A95='Données projet'!$A$166,'Données projet'!$B$166,DO94+DN95-DW94)))</f>
        <v>263.8</v>
      </c>
      <c r="DP95" s="18">
        <f>DO95*VLOOKUP('Données projet'!$B$14,Paramètres!$A$1:$I$89,3,0)*VLOOKUP('Données projet'!$B$14,Paramètres!$A$1:$I$89,5,0)</f>
        <v>222.22512000000006</v>
      </c>
      <c r="DQ95" s="14">
        <f t="shared" si="97"/>
        <v>54.598220944501897</v>
      </c>
      <c r="DR95" s="22">
        <f t="shared" si="70"/>
        <v>482.13398547834095</v>
      </c>
      <c r="DS95" s="62">
        <f t="shared" si="71"/>
        <v>775.4673188116742</v>
      </c>
      <c r="DT95" s="62">
        <f ca="1">AVERAGE(OFFSET($DS$3,0,0,'Données projet'!$E$14+1,1))-AVERAGE(OFFSET($H$3,0,0,'Données projet'!$E$14+1,1))</f>
        <v>402.15128814037058</v>
      </c>
      <c r="DU95" s="62">
        <f t="shared" si="98"/>
        <v>232.85411068442738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>
        <f>EXP(-LN(2)/35)*EA94+(1-EXP(-LN(2)/35))/(LN(2)/35)*DW95*DX95*VLOOKUP('Données projet'!$B$14,Paramètres!$A$1:$I$89,3,0)*0.475*44/12</f>
        <v>0</v>
      </c>
      <c r="EB95" s="23">
        <f>EXP(-LN(2)/25)*EB94+(1-EXP(-LN(2)/25))/(LN(2)/25)*Calculateur!DW95*Calculateur!DY95*VLOOKUP('Données projet'!$B$14,Paramètres!$A$1:$I$89,3,0)*0.475*44/12</f>
        <v>0</v>
      </c>
      <c r="EC95" s="23">
        <f>EXP(-LN(2)/2)*EC94+(1-EXP(-LN(2)/2))/(LN(2)/2)*DW95*DZ95*VLOOKUP('Données projet'!$B$14,Paramètres!$A$1:$I$89,3,0)*0.475*44/12</f>
        <v>0</v>
      </c>
      <c r="ED95" s="24">
        <f t="shared" si="72"/>
        <v>0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4.1025641025640995</v>
      </c>
      <c r="EJ95" s="13">
        <f>IF('Données projet'!$A$192&gt;35,EJ94+EI95-ER94,IF(A95&lt;'Données projet'!$A$192,$EG$205^A95,IF(A95='Données projet'!$A$192,'Données projet'!$B$192,EJ94+EI95-ER94)))</f>
        <v>342.8205128205131</v>
      </c>
      <c r="EK95" s="18">
        <f>EJ95*VLOOKUP('Données projet'!$B$15,Paramètres!$A$1:$I$89,3,0)*VLOOKUP('Données projet'!$B$15,Paramètres!$A$1:$I$89,5,0)</f>
        <v>358.31600000000032</v>
      </c>
      <c r="EL95" s="14">
        <f t="shared" si="99"/>
        <v>83.272514787836741</v>
      </c>
      <c r="EM95" s="22">
        <f t="shared" si="73"/>
        <v>769.09999658881623</v>
      </c>
      <c r="EN95" s="62">
        <f t="shared" si="74"/>
        <v>1062.4333299221496</v>
      </c>
      <c r="EO95" s="62">
        <f ca="1">AVERAGE(OFFSET($EN$3,0,0,'Données projet'!$E$15+1,1))-AVERAGE(OFFSET($H$3,0,0,'Données projet'!$E$15+1,1))</f>
        <v>595.89992279024398</v>
      </c>
      <c r="EP95" s="62">
        <f t="shared" si="100"/>
        <v>378.16197659288338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>
        <f>EXP(-LN(2)/35)*EV94+(1-EXP(-LN(2)/35))/(LN(2)/35)*ER95*ES95*VLOOKUP('Données projet'!$B$15,Paramètres!$A$1:$I$89,3,0)*0.475*44/12</f>
        <v>0</v>
      </c>
      <c r="EW95" s="23">
        <f>EXP(-LN(2)/25)*EW94+(1-EXP(-LN(2)/25))/(LN(2)/25)*Calculateur!ER95*Calculateur!ET95*VLOOKUP('Données projet'!$B$15,Paramètres!$A$1:$I$89,3,0)*0.475*44/12</f>
        <v>0</v>
      </c>
      <c r="EX95" s="23">
        <f>EXP(-LN(2)/2)*EX94+(1-EXP(-LN(2)/2))/(LN(2)/2)*ER95*EU95*VLOOKUP('Données projet'!$B$15,Paramètres!$A$1:$I$89,3,0)*0.475*44/12</f>
        <v>0</v>
      </c>
      <c r="EY95" s="24">
        <f t="shared" si="75"/>
        <v>0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-2.2737367544323206E-13</v>
      </c>
      <c r="FF95" s="18">
        <f>FE95*VLOOKUP('Données projet'!$B$16,Paramètres!$A$1:$I$89,3,0)*VLOOKUP('Données projet'!$B$16,Paramètres!$A$1:$I$89,5,0)</f>
        <v>-1.3596945791505279E-13</v>
      </c>
      <c r="FG95" s="14" t="e">
        <f t="shared" si="101"/>
        <v>#NUM!</v>
      </c>
      <c r="FH95" s="22" t="e">
        <f t="shared" si="76"/>
        <v>#NUM!</v>
      </c>
      <c r="FI95" s="62" t="e">
        <f t="shared" si="77"/>
        <v>#NUM!</v>
      </c>
      <c r="FJ95" s="62">
        <f ca="1">AVERAGE(OFFSET($FI$3,0,0,'Données projet'!$E$16+1,1))-AVERAGE(OFFSET($H$3,0,0,'Données projet'!$E$16+1,1))</f>
        <v>257.56116197646924</v>
      </c>
      <c r="FK95" s="62">
        <f t="shared" si="102"/>
        <v>269.95556918835888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>
        <f>EXP(-LN(2)/35)*FQ94+(1-EXP(-LN(2)/35))/(LN(2)/35)*FM95*FN95*VLOOKUP('Données projet'!$B$16,Paramètres!$A$1:$I$89,3,0)*0.475*44/12</f>
        <v>4.2711747146407424</v>
      </c>
      <c r="FR95" s="23">
        <f>EXP(-LN(2)/25)*FR94+(1-EXP(-LN(2)/25))/(LN(2)/25)*Calculateur!FM95*Calculateur!FO95*VLOOKUP('Données projet'!$B$16,Paramètres!$A$1:$I$89,3,0)*0.475*44/12</f>
        <v>2.8935555391339678</v>
      </c>
      <c r="FS95" s="23">
        <f>EXP(-LN(2)/2)*FS94+(1-EXP(-LN(2)/2))/(LN(2)/2)*FM95*FP95*VLOOKUP('Données projet'!$B$16,Paramètres!$A$1:$I$89,3,0)*0.475*44/12</f>
        <v>3.9833054980146621E-9</v>
      </c>
      <c r="FT95" s="24">
        <f t="shared" si="78"/>
        <v>7.1647302577580154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-2.8421709430404007E-13</v>
      </c>
      <c r="GA95" s="18">
        <f>FZ95*VLOOKUP('Données projet'!$B$17,Paramètres!$A$1:$I$89,3,0)*VLOOKUP('Données projet'!$B$17,Paramètres!$A$1:$I$89,5,0)</f>
        <v>-1.69961822393816E-13</v>
      </c>
      <c r="GB95" s="14" t="e">
        <f t="shared" si="103"/>
        <v>#NUM!</v>
      </c>
      <c r="GC95" s="22" t="e">
        <f t="shared" si="79"/>
        <v>#NUM!</v>
      </c>
      <c r="GD95" s="62" t="e">
        <f t="shared" si="80"/>
        <v>#NUM!</v>
      </c>
      <c r="GE95" s="62">
        <f ca="1">AVERAGE(OFFSET($GD$3,0,0,'Données projet'!$E$17+1,1))-AVERAGE(OFFSET($H$3,0,0,'Données projet'!$E$17+1,1))</f>
        <v>289.12367833861299</v>
      </c>
      <c r="GF95" s="62">
        <f t="shared" si="104"/>
        <v>229.06617320689003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>
        <f>EXP(-LN(2)/35)*GL94+(1-EXP(-LN(2)/35))/(LN(2)/35)*GH95*GI95*VLOOKUP('Données projet'!$B$17,Paramètres!$A$1:$I$89,3,0)*0.475*44/12</f>
        <v>0</v>
      </c>
      <c r="GM95" s="23">
        <f>EXP(-LN(2)/25)*GM94+(1-EXP(-LN(2)/25))/(LN(2)/25)*Calculateur!GH95*Calculateur!GJ95*VLOOKUP('Données projet'!$B$17,Paramètres!$A$1:$I$89,3,0)*0.475*44/12</f>
        <v>0</v>
      </c>
      <c r="GN95" s="23">
        <f>EXP(-LN(2)/2)*GN94+(1-EXP(-LN(2)/2))/(LN(2)/2)*GH95*GK95*VLOOKUP('Données projet'!$B$17,Paramètres!$A$1:$I$89,3,0)*0.475*44/12</f>
        <v>1.9310205606862202E-9</v>
      </c>
      <c r="GO95" s="23">
        <f t="shared" si="81"/>
        <v>1.9310205606862202E-9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8.7730769230769283</v>
      </c>
      <c r="GU95" s="13">
        <f>IF('Données projet'!$A$270&gt;35,GU94+GT95-HC94,IF(A95&lt;'Données projet'!$A$270,$GR$205^A95,IF(A95='Données projet'!$A$270,'Données projet'!$B$270,GU94+GT95-HC94)))</f>
        <v>354.41153846153838</v>
      </c>
      <c r="GV95" s="18">
        <f>GU95*VLOOKUP('Données projet'!$B$18,Paramètres!$A$1:$I$89,3,0)*VLOOKUP('Données projet'!$B$18,Paramètres!$A$1:$I$89,5,0)</f>
        <v>165.86459999999997</v>
      </c>
      <c r="GW95" s="14">
        <f t="shared" si="105"/>
        <v>42.162508255168433</v>
      </c>
      <c r="GX95" s="22">
        <f t="shared" si="82"/>
        <v>362.31388021108495</v>
      </c>
      <c r="GY95" s="62">
        <f t="shared" si="83"/>
        <v>655.64721354441826</v>
      </c>
      <c r="GZ95" s="62">
        <f ca="1">AVERAGE(OFFSET($GY$3,0,0,'Données projet'!$E$18+1,1))-AVERAGE(OFFSET($H$3,0,0,'Données projet'!$E$18+1,1))</f>
        <v>284.88646502866419</v>
      </c>
      <c r="HA95" s="62">
        <f t="shared" si="106"/>
        <v>190.4880882944471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>
        <f>EXP(-LN(2)/35)*HG94+(1-EXP(-LN(2)/35))/(LN(2)/35)*HC95*HD95*VLOOKUP('Données projet'!$B$18,Paramètres!$A$1:$I$89,3,0)*0.475*44/12</f>
        <v>0</v>
      </c>
      <c r="HH95" s="23">
        <f>EXP(-LN(2)/25)*HH94+(1-EXP(-LN(2)/25))/(LN(2)/25)*Calculateur!HC95*Calculateur!HE95*VLOOKUP('Données projet'!$B$18,Paramètres!$A$1:$I$89,3,0)*0.475*44/12</f>
        <v>0</v>
      </c>
      <c r="HI95" s="23">
        <f>EXP(-LN(2)/2)*HI94+(1-EXP(-LN(2)/2))/(LN(2)/2)*HC95*HF95*VLOOKUP('Données projet'!$B$18,Paramètres!$A$1:$I$89,3,0)*0.475*44/12</f>
        <v>0</v>
      </c>
      <c r="HJ95" s="24">
        <f t="shared" si="84"/>
        <v>0</v>
      </c>
    </row>
    <row r="96" spans="1:218" s="5" customFormat="1" x14ac:dyDescent="0.25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2">
        <f t="shared" si="86"/>
        <v>0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0</v>
      </c>
      <c r="H96" s="70">
        <f t="shared" si="56"/>
        <v>256.66666666666669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3.5897435897435854</v>
      </c>
      <c r="N96" s="14">
        <f>IF('Données projet'!$A$36&gt;35,N95+M96-V95,IF(A96&lt;'Données projet'!$A$36,$K$205^A96,IF(A96='Données projet'!$A$36,'Données projet'!$B$36,N95+M96-V95)))</f>
        <v>222.30769230769224</v>
      </c>
      <c r="O96" s="14">
        <f>N96*VLOOKUP('Données projet'!$B$9,Paramètres!$A$1:$I$89,3,0)*VLOOKUP('Données projet'!$B$9,Paramètres!$A$1:$I$89,5,0)</f>
        <v>211.54799999999992</v>
      </c>
      <c r="P96" s="14">
        <f t="shared" si="87"/>
        <v>52.273717915363171</v>
      </c>
      <c r="Q96" s="22">
        <f t="shared" si="54"/>
        <v>459.489492035924</v>
      </c>
      <c r="R96" s="62">
        <f t="shared" si="55"/>
        <v>752.82282536925732</v>
      </c>
      <c r="S96" s="62">
        <f ca="1">AVERAGE(OFFSET($R$3,0,0,'Données projet'!$E$9+1,1))-AVERAGE(OFFSET($H$3,0,0,'Données projet'!$E$9+1,1))</f>
        <v>367.11183928586667</v>
      </c>
      <c r="T96" s="62">
        <f t="shared" si="88"/>
        <v>281.52963027844595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0</v>
      </c>
      <c r="AA96" s="23">
        <f>EXP(-LN(2)/25)*AA95+(1-EXP(-LN(2)/25))/(LN(2)/25)*Calculateur!V96*Calculateur!X96*VLOOKUP('Données projet'!$B$9,Paramètres!$A$1:$I$89,3,0)*0.475*44/12</f>
        <v>0</v>
      </c>
      <c r="AB96" s="23">
        <f>EXP(-LN(2)/2)*AB95+(1-EXP(-LN(2)/2))/(LN(2)/2)*V96*Y96*VLOOKUP('Données projet'!$B$9,Paramètres!$A$1:$I$89,3,0)*0.475*44/12</f>
        <v>0</v>
      </c>
      <c r="AC96" s="24">
        <f t="shared" si="57"/>
        <v>0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4.9000000000000004</v>
      </c>
      <c r="AI96" s="14">
        <f>IF('Données projet'!$A$62&gt;35,AI95+AH96-AQ95,IF(A96&lt;'Données projet'!$A$62,$AF$205^A96,IF(A96='Données projet'!$A$62,'Données projet'!$B$62,AI95+AH96-AQ95)))</f>
        <v>268.7</v>
      </c>
      <c r="AJ96" s="14">
        <f>AI96*VLOOKUP('Données projet'!$B$10,Paramètres!$A$1:$I$89,3,0)*VLOOKUP('Données projet'!$B$10,Paramètres!$A$1:$I$89,5,0)</f>
        <v>243.11975999999996</v>
      </c>
      <c r="AK96" s="14">
        <f t="shared" si="89"/>
        <v>59.110256668778533</v>
      </c>
      <c r="AL96" s="22">
        <f t="shared" si="58"/>
        <v>526.3839456981226</v>
      </c>
      <c r="AM96" s="62">
        <f t="shared" si="59"/>
        <v>819.71727903145597</v>
      </c>
      <c r="AN96" s="62">
        <f ca="1">AVERAGE(OFFSET($AM$3,0,0,'Données projet'!$E$10+1,1))-AVERAGE(OFFSET($H$3,0,0,'Données projet'!$E$10+1,1))</f>
        <v>428.8489304403459</v>
      </c>
      <c r="AO96" s="62">
        <f t="shared" si="90"/>
        <v>247.01165577562966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0</v>
      </c>
      <c r="AV96" s="23">
        <f>EXP(-LN(2)/25)*AV95+(1-EXP(-LN(2)/25))/(LN(2)/25)*Calculateur!AQ96*Calculateur!AS96*VLOOKUP('Données projet'!$B$10,Paramètres!$A$1:$I$89,3,0)*0.475*44/12</f>
        <v>0</v>
      </c>
      <c r="AW96" s="23">
        <f>EXP(-LN(2)/2)*AW95+(1-EXP(-LN(2)/2))/(LN(2)/2)*AQ96*AT96*VLOOKUP('Données projet'!$B$10,Paramètres!$A$1:$I$89,3,0)*0.475*44/12</f>
        <v>0</v>
      </c>
      <c r="AX96" s="23">
        <f t="shared" si="60"/>
        <v>0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4.9000000000000004</v>
      </c>
      <c r="BD96" s="13">
        <f>IF('Données projet'!$A$88&gt;35,BD95+BC96-BL95,IF(A96&lt;'Données projet'!$A$88,$BA$205^A96,IF(A96='Données projet'!$A$88,'Données projet'!$B$88,BD95+BC96-BL95)))</f>
        <v>268.7</v>
      </c>
      <c r="BE96" s="14">
        <f>BD96*VLOOKUP('Données projet'!$B$11,Paramètres!$A$1:$I$89,3,0)*VLOOKUP('Données projet'!$B$11,Paramètres!$A$1:$I$89,5,0)</f>
        <v>272.46180000000004</v>
      </c>
      <c r="BF96" s="14">
        <f t="shared" si="91"/>
        <v>65.371449071921944</v>
      </c>
      <c r="BG96" s="22">
        <f t="shared" si="61"/>
        <v>588.39290880026408</v>
      </c>
      <c r="BH96" s="62">
        <f t="shared" si="62"/>
        <v>881.72624213359745</v>
      </c>
      <c r="BI96" s="62">
        <f ca="1">AVERAGE(OFFSET($BH$3,0,0,'Données projet'!$E$11+1,1))-AVERAGE(OFFSET($H$3,0,0,'Données projet'!$E$11+1,1))</f>
        <v>475.47920969424894</v>
      </c>
      <c r="BJ96" s="62">
        <f t="shared" si="92"/>
        <v>271.73544012419364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>
        <f>EXP(-LN(2)/35)*BP95+(1-EXP(-LN(2)/35))/(LN(2)/35)*BL96*BM96*VLOOKUP('Données projet'!$B$11,Paramètres!$A$1:$I$89,3,0)*0.475*44/12</f>
        <v>0</v>
      </c>
      <c r="BQ96" s="23">
        <f>EXP(-LN(2)/25)*BQ95+(1-EXP(-LN(2)/25))/(LN(2)/25)*Calculateur!BL96*Calculateur!BN96*VLOOKUP('Données projet'!$B$11,Paramètres!$A$1:$I$89,3,0)*0.475*44/12</f>
        <v>0</v>
      </c>
      <c r="BR96" s="23">
        <f>EXP(-LN(2)/2)*BR95+(1-EXP(-LN(2)/2))/(LN(2)/2)*BL96*BO96*VLOOKUP('Données projet'!$B$11,Paramètres!$A$1:$I$89,3,0)*0.475*44/12</f>
        <v>0</v>
      </c>
      <c r="BS96" s="24">
        <f t="shared" si="63"/>
        <v>0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2.2737367544323206E-13</v>
      </c>
      <c r="BZ96" s="14">
        <f>BY96*VLOOKUP('Données projet'!$B$12,Paramètres!$A$1:$I$89,3,0)*VLOOKUP('Données projet'!$B$12,Paramètres!$A$1:$I$89,5,0)</f>
        <v>1.2710188457276673E-13</v>
      </c>
      <c r="CA96" s="14">
        <f t="shared" si="93"/>
        <v>1.856866851063998E-12</v>
      </c>
      <c r="CB96" s="22">
        <f t="shared" si="64"/>
        <v>3.4554122145673649E-12</v>
      </c>
      <c r="CC96" s="62">
        <f t="shared" si="65"/>
        <v>293.33333333333678</v>
      </c>
      <c r="CD96" s="62">
        <f ca="1">AVERAGE(OFFSET($CC$3,0,0,'Données projet'!$E$12+1,1))-AVERAGE(OFFSET($H$3,0,0,'Données projet'!$E$12+1,1))</f>
        <v>323.98185264074681</v>
      </c>
      <c r="CE96" s="62">
        <f t="shared" si="94"/>
        <v>301.22207291854005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>
        <f>EXP(-LN(2)/35)*CK95+(1-EXP(-LN(2)/35))/(LN(2)/35)*CG96*CH96*VLOOKUP('Données projet'!$B$12,Paramètres!$A$1:$I$89,3,0)*0.475*44/12</f>
        <v>1.2814652043223242</v>
      </c>
      <c r="CL96" s="23">
        <f>EXP(-LN(2)/25)*CL95+(1-EXP(-LN(2)/25))/(LN(2)/25)*Calculateur!CG96*Calculateur!CI96*VLOOKUP('Données projet'!$B$12,Paramètres!$A$1:$I$89,3,0)*0.475*44/12</f>
        <v>1.4378586173615922</v>
      </c>
      <c r="CM96" s="23">
        <f>EXP(-LN(2)/2)*CM95+(1-EXP(-LN(2)/2))/(LN(2)/2)*CG96*CJ96*VLOOKUP('Données projet'!$B$12,Paramètres!$A$1:$I$89,3,0)*0.475*44/12</f>
        <v>2.0045459918976075E-9</v>
      </c>
      <c r="CN96" s="24">
        <f t="shared" si="66"/>
        <v>2.7193238236884625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3.7</v>
      </c>
      <c r="CT96" s="13">
        <f>IF('Données projet'!$A$140&gt;35,CT95+CS96-DB95,IF(A96&lt;'Données projet'!$A$140,$CQ$205^A96,IF(A96='Données projet'!$A$140,'Données projet'!$B$140,CT95+CS96-DB95)))</f>
        <v>204.09999999999991</v>
      </c>
      <c r="CU96" s="18">
        <f>CT96*VLOOKUP('Données projet'!$B$13,Paramètres!$A$1:$I$89,3,0)*VLOOKUP('Données projet'!$B$13,Paramètres!$A$1:$I$89,5,0)</f>
        <v>232.42907999999991</v>
      </c>
      <c r="CV96" s="14">
        <f t="shared" si="95"/>
        <v>56.807583845186841</v>
      </c>
      <c r="CW96" s="22">
        <f t="shared" si="67"/>
        <v>503.7538561970336</v>
      </c>
      <c r="CX96" s="62">
        <f t="shared" si="68"/>
        <v>797.08718953036691</v>
      </c>
      <c r="CY96" s="62">
        <f ca="1">AVERAGE(OFFSET($CX$3,0,0,'Données projet'!$E$13+1,1))-AVERAGE(OFFSET($H$3,0,0,'Données projet'!$E$13+1,1))</f>
        <v>399.78832690250164</v>
      </c>
      <c r="CZ96" s="62">
        <f t="shared" si="96"/>
        <v>174.32967064896343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>
        <f>EXP(-LN(2)/35)*DF95+(1-EXP(-LN(2)/35))/(LN(2)/35)*DB96*DC96*VLOOKUP('Données projet'!$B$13,Paramètres!$A$1:$I$89,3,0)*0.475*44/12</f>
        <v>0</v>
      </c>
      <c r="DG96" s="23">
        <f>EXP(-LN(2)/25)*DG95+(1-EXP(-LN(2)/25))/(LN(2)/25)*Calculateur!DB96*Calculateur!DD96*VLOOKUP('Données projet'!$B$13,Paramètres!$A$1:$I$89,3,0)*0.475*44/12</f>
        <v>0</v>
      </c>
      <c r="DH96" s="23">
        <f>EXP(-LN(2)/2)*DH95+(1-EXP(-LN(2)/2))/(LN(2)/2)*DB96*DE96*VLOOKUP('Données projet'!$B$13,Paramètres!$A$1:$I$89,3,0)*0.475*44/12</f>
        <v>0</v>
      </c>
      <c r="DI96" s="24">
        <f t="shared" si="69"/>
        <v>0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4.9000000000000004</v>
      </c>
      <c r="DO96" s="13">
        <f>IF('Données projet'!$A$166&gt;35,DO95+DN96-DW95,IF(A96&lt;'Données projet'!$A$166,$DL$205^A96,IF(A96='Données projet'!$A$166,'Données projet'!$B$166,DO95+DN96-DW95)))</f>
        <v>268.7</v>
      </c>
      <c r="DP96" s="18">
        <f>DO96*VLOOKUP('Données projet'!$B$14,Paramètres!$A$1:$I$89,3,0)*VLOOKUP('Données projet'!$B$14,Paramètres!$A$1:$I$89,5,0)</f>
        <v>226.35288000000003</v>
      </c>
      <c r="DQ96" s="14">
        <f t="shared" si="97"/>
        <v>55.493356810213015</v>
      </c>
      <c r="DR96" s="22">
        <f t="shared" si="70"/>
        <v>490.88219577778773</v>
      </c>
      <c r="DS96" s="62">
        <f t="shared" si="71"/>
        <v>784.21552911112099</v>
      </c>
      <c r="DT96" s="62">
        <f ca="1">AVERAGE(OFFSET($DS$3,0,0,'Données projet'!$E$14+1,1))-AVERAGE(OFFSET($H$3,0,0,'Données projet'!$E$14+1,1))</f>
        <v>402.15128814037058</v>
      </c>
      <c r="DU96" s="62">
        <f t="shared" si="98"/>
        <v>232.85411068442738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>
        <f>EXP(-LN(2)/35)*EA95+(1-EXP(-LN(2)/35))/(LN(2)/35)*DW96*DX96*VLOOKUP('Données projet'!$B$14,Paramètres!$A$1:$I$89,3,0)*0.475*44/12</f>
        <v>0</v>
      </c>
      <c r="EB96" s="23">
        <f>EXP(-LN(2)/25)*EB95+(1-EXP(-LN(2)/25))/(LN(2)/25)*Calculateur!DW96*Calculateur!DY96*VLOOKUP('Données projet'!$B$14,Paramètres!$A$1:$I$89,3,0)*0.475*44/12</f>
        <v>0</v>
      </c>
      <c r="EC96" s="23">
        <f>EXP(-LN(2)/2)*EC95+(1-EXP(-LN(2)/2))/(LN(2)/2)*DW96*DZ96*VLOOKUP('Données projet'!$B$14,Paramètres!$A$1:$I$89,3,0)*0.475*44/12</f>
        <v>0</v>
      </c>
      <c r="ED96" s="24">
        <f t="shared" si="72"/>
        <v>0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4.1025641025640995</v>
      </c>
      <c r="EJ96" s="13">
        <f>IF('Données projet'!$A$192&gt;35,EJ95+EI96-ER95,IF(A96&lt;'Données projet'!$A$192,$EG$205^A96,IF(A96='Données projet'!$A$192,'Données projet'!$B$192,EJ95+EI96-ER95)))</f>
        <v>346.92307692307719</v>
      </c>
      <c r="EK96" s="18">
        <f>EJ96*VLOOKUP('Données projet'!$B$15,Paramètres!$A$1:$I$89,3,0)*VLOOKUP('Données projet'!$B$15,Paramètres!$A$1:$I$89,5,0)</f>
        <v>362.60400000000033</v>
      </c>
      <c r="EL96" s="14">
        <f t="shared" si="99"/>
        <v>84.152437884852105</v>
      </c>
      <c r="EM96" s="22">
        <f t="shared" si="73"/>
        <v>778.10079598278446</v>
      </c>
      <c r="EN96" s="62">
        <f t="shared" si="74"/>
        <v>1071.4341293161178</v>
      </c>
      <c r="EO96" s="62">
        <f ca="1">AVERAGE(OFFSET($EN$3,0,0,'Données projet'!$E$15+1,1))-AVERAGE(OFFSET($H$3,0,0,'Données projet'!$E$15+1,1))</f>
        <v>595.89992279024398</v>
      </c>
      <c r="EP96" s="62">
        <f t="shared" si="100"/>
        <v>378.16197659288338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>
        <f>EXP(-LN(2)/35)*EV95+(1-EXP(-LN(2)/35))/(LN(2)/35)*ER96*ES96*VLOOKUP('Données projet'!$B$15,Paramètres!$A$1:$I$89,3,0)*0.475*44/12</f>
        <v>0</v>
      </c>
      <c r="EW96" s="23">
        <f>EXP(-LN(2)/25)*EW95+(1-EXP(-LN(2)/25))/(LN(2)/25)*Calculateur!ER96*Calculateur!ET96*VLOOKUP('Données projet'!$B$15,Paramètres!$A$1:$I$89,3,0)*0.475*44/12</f>
        <v>0</v>
      </c>
      <c r="EX96" s="23">
        <f>EXP(-LN(2)/2)*EX95+(1-EXP(-LN(2)/2))/(LN(2)/2)*ER96*EU96*VLOOKUP('Données projet'!$B$15,Paramètres!$A$1:$I$89,3,0)*0.475*44/12</f>
        <v>0</v>
      </c>
      <c r="EY96" s="24">
        <f t="shared" si="75"/>
        <v>0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-2.2737367544323206E-13</v>
      </c>
      <c r="FF96" s="18">
        <f>FE96*VLOOKUP('Données projet'!$B$16,Paramètres!$A$1:$I$89,3,0)*VLOOKUP('Données projet'!$B$16,Paramètres!$A$1:$I$89,5,0)</f>
        <v>-1.3596945791505279E-13</v>
      </c>
      <c r="FG96" s="14" t="e">
        <f t="shared" si="101"/>
        <v>#NUM!</v>
      </c>
      <c r="FH96" s="22" t="e">
        <f t="shared" si="76"/>
        <v>#NUM!</v>
      </c>
      <c r="FI96" s="62" t="e">
        <f t="shared" si="77"/>
        <v>#NUM!</v>
      </c>
      <c r="FJ96" s="62">
        <f ca="1">AVERAGE(OFFSET($FI$3,0,0,'Données projet'!$E$16+1,1))-AVERAGE(OFFSET($H$3,0,0,'Données projet'!$E$16+1,1))</f>
        <v>257.56116197646924</v>
      </c>
      <c r="FK96" s="62">
        <f t="shared" si="102"/>
        <v>269.95556918835888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>
        <f>EXP(-LN(2)/35)*FQ95+(1-EXP(-LN(2)/35))/(LN(2)/35)*FM96*FN96*VLOOKUP('Données projet'!$B$16,Paramètres!$A$1:$I$89,3,0)*0.475*44/12</f>
        <v>4.1874195836459753</v>
      </c>
      <c r="FR96" s="23">
        <f>EXP(-LN(2)/25)*FR95+(1-EXP(-LN(2)/25))/(LN(2)/25)*Calculateur!FM96*Calculateur!FO96*VLOOKUP('Données projet'!$B$16,Paramètres!$A$1:$I$89,3,0)*0.475*44/12</f>
        <v>2.8144311107508768</v>
      </c>
      <c r="FS96" s="23">
        <f>EXP(-LN(2)/2)*FS95+(1-EXP(-LN(2)/2))/(LN(2)/2)*FM96*FP96*VLOOKUP('Données projet'!$B$16,Paramètres!$A$1:$I$89,3,0)*0.475*44/12</f>
        <v>2.8166223291838254E-9</v>
      </c>
      <c r="FT96" s="24">
        <f t="shared" si="78"/>
        <v>7.0018506972134746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-2.8421709430404007E-13</v>
      </c>
      <c r="GA96" s="18">
        <f>FZ96*VLOOKUP('Données projet'!$B$17,Paramètres!$A$1:$I$89,3,0)*VLOOKUP('Données projet'!$B$17,Paramètres!$A$1:$I$89,5,0)</f>
        <v>-1.69961822393816E-13</v>
      </c>
      <c r="GB96" s="14" t="e">
        <f t="shared" si="103"/>
        <v>#NUM!</v>
      </c>
      <c r="GC96" s="22" t="e">
        <f t="shared" si="79"/>
        <v>#NUM!</v>
      </c>
      <c r="GD96" s="62" t="e">
        <f t="shared" si="80"/>
        <v>#NUM!</v>
      </c>
      <c r="GE96" s="62">
        <f ca="1">AVERAGE(OFFSET($GD$3,0,0,'Données projet'!$E$17+1,1))-AVERAGE(OFFSET($H$3,0,0,'Données projet'!$E$17+1,1))</f>
        <v>289.12367833861299</v>
      </c>
      <c r="GF96" s="62">
        <f t="shared" si="104"/>
        <v>229.06617320689003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>
        <f>EXP(-LN(2)/35)*GL95+(1-EXP(-LN(2)/35))/(LN(2)/35)*GH96*GI96*VLOOKUP('Données projet'!$B$17,Paramètres!$A$1:$I$89,3,0)*0.475*44/12</f>
        <v>0</v>
      </c>
      <c r="GM96" s="23">
        <f>EXP(-LN(2)/25)*GM95+(1-EXP(-LN(2)/25))/(LN(2)/25)*Calculateur!GH96*Calculateur!GJ96*VLOOKUP('Données projet'!$B$17,Paramètres!$A$1:$I$89,3,0)*0.475*44/12</f>
        <v>0</v>
      </c>
      <c r="GN96" s="23">
        <f>EXP(-LN(2)/2)*GN95+(1-EXP(-LN(2)/2))/(LN(2)/2)*GH96*GK96*VLOOKUP('Données projet'!$B$17,Paramètres!$A$1:$I$89,3,0)*0.475*44/12</f>
        <v>1.3654377330718754E-9</v>
      </c>
      <c r="GO96" s="23">
        <f t="shared" si="81"/>
        <v>1.3654377330718754E-9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8.7730769230769283</v>
      </c>
      <c r="GU96" s="13">
        <f>IF('Données projet'!$A$270&gt;35,GU95+GT96-HC95,IF(A96&lt;'Données projet'!$A$270,$GR$205^A96,IF(A96='Données projet'!$A$270,'Données projet'!$B$270,GU95+GT96-HC95)))</f>
        <v>363.18461538461531</v>
      </c>
      <c r="GV96" s="18">
        <f>GU96*VLOOKUP('Données projet'!$B$18,Paramètres!$A$1:$I$89,3,0)*VLOOKUP('Données projet'!$B$18,Paramètres!$A$1:$I$89,5,0)</f>
        <v>169.97039999999998</v>
      </c>
      <c r="GW96" s="14">
        <f t="shared" si="105"/>
        <v>43.083394102790791</v>
      </c>
      <c r="GX96" s="22">
        <f t="shared" si="82"/>
        <v>371.06869139569397</v>
      </c>
      <c r="GY96" s="62">
        <f t="shared" si="83"/>
        <v>664.40202472902729</v>
      </c>
      <c r="GZ96" s="62">
        <f ca="1">AVERAGE(OFFSET($GY$3,0,0,'Données projet'!$E$18+1,1))-AVERAGE(OFFSET($H$3,0,0,'Données projet'!$E$18+1,1))</f>
        <v>284.88646502866419</v>
      </c>
      <c r="HA96" s="62">
        <f t="shared" si="106"/>
        <v>190.4880882944471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>
        <f>EXP(-LN(2)/35)*HG95+(1-EXP(-LN(2)/35))/(LN(2)/35)*HC96*HD96*VLOOKUP('Données projet'!$B$18,Paramètres!$A$1:$I$89,3,0)*0.475*44/12</f>
        <v>0</v>
      </c>
      <c r="HH96" s="23">
        <f>EXP(-LN(2)/25)*HH95+(1-EXP(-LN(2)/25))/(LN(2)/25)*Calculateur!HC96*Calculateur!HE96*VLOOKUP('Données projet'!$B$18,Paramètres!$A$1:$I$89,3,0)*0.475*44/12</f>
        <v>0</v>
      </c>
      <c r="HI96" s="23">
        <f>EXP(-LN(2)/2)*HI95+(1-EXP(-LN(2)/2))/(LN(2)/2)*HC96*HF96*VLOOKUP('Données projet'!$B$18,Paramètres!$A$1:$I$89,3,0)*0.475*44/12</f>
        <v>0</v>
      </c>
      <c r="HJ96" s="24">
        <f t="shared" si="84"/>
        <v>0</v>
      </c>
    </row>
    <row r="97" spans="1:218" s="5" customFormat="1" x14ac:dyDescent="0.25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2">
        <f t="shared" si="86"/>
        <v>0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0</v>
      </c>
      <c r="H97" s="70">
        <f t="shared" si="56"/>
        <v>256.66666666666669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3.5897435897435854</v>
      </c>
      <c r="N97" s="14">
        <f>IF('Données projet'!$A$36&gt;35,N96+M97-V96,IF(A97&lt;'Données projet'!$A$36,$K$205^A97,IF(A97='Données projet'!$A$36,'Données projet'!$B$36,N96+M97-V96)))</f>
        <v>225.89743589743583</v>
      </c>
      <c r="O97" s="14">
        <f>N97*VLOOKUP('Données projet'!$B$9,Paramètres!$A$1:$I$89,3,0)*VLOOKUP('Données projet'!$B$9,Paramètres!$A$1:$I$89,5,0)</f>
        <v>214.96399999999994</v>
      </c>
      <c r="P97" s="14">
        <f t="shared" si="87"/>
        <v>53.018865213249249</v>
      </c>
      <c r="Q97" s="22">
        <f t="shared" si="54"/>
        <v>466.73682357974229</v>
      </c>
      <c r="R97" s="62">
        <f t="shared" si="55"/>
        <v>760.07015691307561</v>
      </c>
      <c r="S97" s="62">
        <f ca="1">AVERAGE(OFFSET($R$3,0,0,'Données projet'!$E$9+1,1))-AVERAGE(OFFSET($H$3,0,0,'Données projet'!$E$9+1,1))</f>
        <v>367.11183928586667</v>
      </c>
      <c r="T97" s="62">
        <f t="shared" si="88"/>
        <v>281.52963027844595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0</v>
      </c>
      <c r="AA97" s="23">
        <f>EXP(-LN(2)/25)*AA96+(1-EXP(-LN(2)/25))/(LN(2)/25)*Calculateur!V97*Calculateur!X97*VLOOKUP('Données projet'!$B$9,Paramètres!$A$1:$I$89,3,0)*0.475*44/12</f>
        <v>0</v>
      </c>
      <c r="AB97" s="23">
        <f>EXP(-LN(2)/2)*AB96+(1-EXP(-LN(2)/2))/(LN(2)/2)*V97*Y97*VLOOKUP('Données projet'!$B$9,Paramètres!$A$1:$I$89,3,0)*0.475*44/12</f>
        <v>0</v>
      </c>
      <c r="AC97" s="24">
        <f t="shared" si="57"/>
        <v>0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4.9000000000000004</v>
      </c>
      <c r="AI97" s="14">
        <f>IF('Données projet'!$A$62&gt;35,AI96+AH97-AQ96,IF(A97&lt;'Données projet'!$A$62,$AF$205^A97,IF(A97='Données projet'!$A$62,'Données projet'!$B$62,AI96+AH97-AQ96)))</f>
        <v>273.59999999999997</v>
      </c>
      <c r="AJ97" s="14">
        <f>AI97*VLOOKUP('Données projet'!$B$10,Paramètres!$A$1:$I$89,3,0)*VLOOKUP('Données projet'!$B$10,Paramètres!$A$1:$I$89,5,0)</f>
        <v>247.55327999999994</v>
      </c>
      <c r="AK97" s="14">
        <f t="shared" si="89"/>
        <v>60.061713068870255</v>
      </c>
      <c r="AL97" s="22">
        <f t="shared" si="58"/>
        <v>535.76277959494894</v>
      </c>
      <c r="AM97" s="62">
        <f t="shared" si="59"/>
        <v>829.09611292828231</v>
      </c>
      <c r="AN97" s="62">
        <f ca="1">AVERAGE(OFFSET($AM$3,0,0,'Données projet'!$E$10+1,1))-AVERAGE(OFFSET($H$3,0,0,'Données projet'!$E$10+1,1))</f>
        <v>428.8489304403459</v>
      </c>
      <c r="AO97" s="62">
        <f t="shared" si="90"/>
        <v>247.01165577562966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0</v>
      </c>
      <c r="AV97" s="23">
        <f>EXP(-LN(2)/25)*AV96+(1-EXP(-LN(2)/25))/(LN(2)/25)*Calculateur!AQ97*Calculateur!AS97*VLOOKUP('Données projet'!$B$10,Paramètres!$A$1:$I$89,3,0)*0.475*44/12</f>
        <v>0</v>
      </c>
      <c r="AW97" s="23">
        <f>EXP(-LN(2)/2)*AW96+(1-EXP(-LN(2)/2))/(LN(2)/2)*AQ97*AT97*VLOOKUP('Données projet'!$B$10,Paramètres!$A$1:$I$89,3,0)*0.475*44/12</f>
        <v>0</v>
      </c>
      <c r="AX97" s="23">
        <f t="shared" si="60"/>
        <v>0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4.9000000000000004</v>
      </c>
      <c r="BD97" s="13">
        <f>IF('Données projet'!$A$88&gt;35,BD96+BC97-BL96,IF(A97&lt;'Données projet'!$A$88,$BA$205^A97,IF(A97='Données projet'!$A$88,'Données projet'!$B$88,BD96+BC97-BL96)))</f>
        <v>273.59999999999997</v>
      </c>
      <c r="BE97" s="14">
        <f>BD97*VLOOKUP('Données projet'!$B$11,Paramètres!$A$1:$I$89,3,0)*VLOOKUP('Données projet'!$B$11,Paramètres!$A$1:$I$89,5,0)</f>
        <v>277.43039999999996</v>
      </c>
      <c r="BF97" s="14">
        <f t="shared" si="91"/>
        <v>66.423687500715673</v>
      </c>
      <c r="BG97" s="22">
        <f t="shared" si="61"/>
        <v>598.87920239707967</v>
      </c>
      <c r="BH97" s="62">
        <f t="shared" si="62"/>
        <v>892.21253573041304</v>
      </c>
      <c r="BI97" s="62">
        <f ca="1">AVERAGE(OFFSET($BH$3,0,0,'Données projet'!$E$11+1,1))-AVERAGE(OFFSET($H$3,0,0,'Données projet'!$E$11+1,1))</f>
        <v>475.47920969424894</v>
      </c>
      <c r="BJ97" s="62">
        <f t="shared" si="92"/>
        <v>271.73544012419364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>
        <f>EXP(-LN(2)/35)*BP96+(1-EXP(-LN(2)/35))/(LN(2)/35)*BL97*BM97*VLOOKUP('Données projet'!$B$11,Paramètres!$A$1:$I$89,3,0)*0.475*44/12</f>
        <v>0</v>
      </c>
      <c r="BQ97" s="23">
        <f>EXP(-LN(2)/25)*BQ96+(1-EXP(-LN(2)/25))/(LN(2)/25)*Calculateur!BL97*Calculateur!BN97*VLOOKUP('Données projet'!$B$11,Paramètres!$A$1:$I$89,3,0)*0.475*44/12</f>
        <v>0</v>
      </c>
      <c r="BR97" s="23">
        <f>EXP(-LN(2)/2)*BR96+(1-EXP(-LN(2)/2))/(LN(2)/2)*BL97*BO97*VLOOKUP('Données projet'!$B$11,Paramètres!$A$1:$I$89,3,0)*0.475*44/12</f>
        <v>0</v>
      </c>
      <c r="BS97" s="24">
        <f t="shared" si="63"/>
        <v>0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2.2737367544323206E-13</v>
      </c>
      <c r="BZ97" s="14">
        <f>BY97*VLOOKUP('Données projet'!$B$12,Paramètres!$A$1:$I$89,3,0)*VLOOKUP('Données projet'!$B$12,Paramètres!$A$1:$I$89,5,0)</f>
        <v>1.2710188457276673E-13</v>
      </c>
      <c r="CA97" s="14">
        <f t="shared" si="93"/>
        <v>1.856866851063998E-12</v>
      </c>
      <c r="CB97" s="22">
        <f t="shared" si="64"/>
        <v>3.4554122145673649E-12</v>
      </c>
      <c r="CC97" s="62">
        <f t="shared" si="65"/>
        <v>293.33333333333678</v>
      </c>
      <c r="CD97" s="62">
        <f ca="1">AVERAGE(OFFSET($CC$3,0,0,'Données projet'!$E$12+1,1))-AVERAGE(OFFSET($H$3,0,0,'Données projet'!$E$12+1,1))</f>
        <v>323.98185264074681</v>
      </c>
      <c r="CE97" s="62">
        <f t="shared" si="94"/>
        <v>301.22207291854005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>
        <f>EXP(-LN(2)/35)*CK96+(1-EXP(-LN(2)/35))/(LN(2)/35)*CG97*CH97*VLOOKUP('Données projet'!$B$12,Paramètres!$A$1:$I$89,3,0)*0.475*44/12</f>
        <v>1.2563364532821599</v>
      </c>
      <c r="CL97" s="23">
        <f>EXP(-LN(2)/25)*CL96+(1-EXP(-LN(2)/25))/(LN(2)/25)*Calculateur!CG97*Calculateur!CI97*VLOOKUP('Données projet'!$B$12,Paramètres!$A$1:$I$89,3,0)*0.475*44/12</f>
        <v>1.398540297856141</v>
      </c>
      <c r="CM97" s="23">
        <f>EXP(-LN(2)/2)*CM96+(1-EXP(-LN(2)/2))/(LN(2)/2)*CG97*CJ97*VLOOKUP('Données projet'!$B$12,Paramètres!$A$1:$I$89,3,0)*0.475*44/12</f>
        <v>1.4174280640711125E-9</v>
      </c>
      <c r="CN97" s="24">
        <f t="shared" si="66"/>
        <v>2.6548767525557286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3.7</v>
      </c>
      <c r="CT97" s="13">
        <f>IF('Données projet'!$A$140&gt;35,CT96+CS97-DB96,IF(A97&lt;'Données projet'!$A$140,$CQ$205^A97,IF(A97='Données projet'!$A$140,'Données projet'!$B$140,CT96+CS97-DB96)))</f>
        <v>207.7999999999999</v>
      </c>
      <c r="CU97" s="18">
        <f>CT97*VLOOKUP('Données projet'!$B$13,Paramètres!$A$1:$I$89,3,0)*VLOOKUP('Données projet'!$B$13,Paramètres!$A$1:$I$89,5,0)</f>
        <v>236.64263999999991</v>
      </c>
      <c r="CV97" s="14">
        <f t="shared" si="95"/>
        <v>57.716586928517103</v>
      </c>
      <c r="CW97" s="22">
        <f t="shared" si="67"/>
        <v>512.67565356716716</v>
      </c>
      <c r="CX97" s="62">
        <f t="shared" si="68"/>
        <v>806.00898690050053</v>
      </c>
      <c r="CY97" s="62">
        <f ca="1">AVERAGE(OFFSET($CX$3,0,0,'Données projet'!$E$13+1,1))-AVERAGE(OFFSET($H$3,0,0,'Données projet'!$E$13+1,1))</f>
        <v>399.78832690250164</v>
      </c>
      <c r="CZ97" s="62">
        <f t="shared" si="96"/>
        <v>174.32967064896343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>
        <f>EXP(-LN(2)/35)*DF96+(1-EXP(-LN(2)/35))/(LN(2)/35)*DB97*DC97*VLOOKUP('Données projet'!$B$13,Paramètres!$A$1:$I$89,3,0)*0.475*44/12</f>
        <v>0</v>
      </c>
      <c r="DG97" s="23">
        <f>EXP(-LN(2)/25)*DG96+(1-EXP(-LN(2)/25))/(LN(2)/25)*Calculateur!DB97*Calculateur!DD97*VLOOKUP('Données projet'!$B$13,Paramètres!$A$1:$I$89,3,0)*0.475*44/12</f>
        <v>0</v>
      </c>
      <c r="DH97" s="23">
        <f>EXP(-LN(2)/2)*DH96+(1-EXP(-LN(2)/2))/(LN(2)/2)*DB97*DE97*VLOOKUP('Données projet'!$B$13,Paramètres!$A$1:$I$89,3,0)*0.475*44/12</f>
        <v>0</v>
      </c>
      <c r="DI97" s="24">
        <f t="shared" si="69"/>
        <v>0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4.9000000000000004</v>
      </c>
      <c r="DO97" s="13">
        <f>IF('Données projet'!$A$166&gt;35,DO96+DN97-DW96,IF(A97&lt;'Données projet'!$A$166,$DL$205^A97,IF(A97='Données projet'!$A$166,'Données projet'!$B$166,DO96+DN97-DW96)))</f>
        <v>273.59999999999997</v>
      </c>
      <c r="DP97" s="18">
        <f>DO97*VLOOKUP('Données projet'!$B$14,Paramètres!$A$1:$I$89,3,0)*VLOOKUP('Données projet'!$B$14,Paramètres!$A$1:$I$89,5,0)</f>
        <v>230.48063999999999</v>
      </c>
      <c r="DQ97" s="14">
        <f t="shared" si="97"/>
        <v>56.386594506599792</v>
      </c>
      <c r="DR97" s="22">
        <f t="shared" si="70"/>
        <v>499.62710009899462</v>
      </c>
      <c r="DS97" s="62">
        <f t="shared" si="71"/>
        <v>792.96043343232793</v>
      </c>
      <c r="DT97" s="62">
        <f ca="1">AVERAGE(OFFSET($DS$3,0,0,'Données projet'!$E$14+1,1))-AVERAGE(OFFSET($H$3,0,0,'Données projet'!$E$14+1,1))</f>
        <v>402.15128814037058</v>
      </c>
      <c r="DU97" s="62">
        <f t="shared" si="98"/>
        <v>232.85411068442738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>
        <f>EXP(-LN(2)/35)*EA96+(1-EXP(-LN(2)/35))/(LN(2)/35)*DW97*DX97*VLOOKUP('Données projet'!$B$14,Paramètres!$A$1:$I$89,3,0)*0.475*44/12</f>
        <v>0</v>
      </c>
      <c r="EB97" s="23">
        <f>EXP(-LN(2)/25)*EB96+(1-EXP(-LN(2)/25))/(LN(2)/25)*Calculateur!DW97*Calculateur!DY97*VLOOKUP('Données projet'!$B$14,Paramètres!$A$1:$I$89,3,0)*0.475*44/12</f>
        <v>0</v>
      </c>
      <c r="EC97" s="23">
        <f>EXP(-LN(2)/2)*EC96+(1-EXP(-LN(2)/2))/(LN(2)/2)*DW97*DZ97*VLOOKUP('Données projet'!$B$14,Paramètres!$A$1:$I$89,3,0)*0.475*44/12</f>
        <v>0</v>
      </c>
      <c r="ED97" s="24">
        <f t="shared" si="72"/>
        <v>0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4.1025641025640995</v>
      </c>
      <c r="EJ97" s="13">
        <f>IF('Données projet'!$A$192&gt;35,EJ96+EI97-ER96,IF(A97&lt;'Données projet'!$A$192,$EG$205^A97,IF(A97='Données projet'!$A$192,'Données projet'!$B$192,EJ96+EI97-ER96)))</f>
        <v>351.02564102564128</v>
      </c>
      <c r="EK97" s="18">
        <f>EJ97*VLOOKUP('Données projet'!$B$15,Paramètres!$A$1:$I$89,3,0)*VLOOKUP('Données projet'!$B$15,Paramètres!$A$1:$I$89,5,0)</f>
        <v>366.89200000000028</v>
      </c>
      <c r="EL97" s="14">
        <f t="shared" si="99"/>
        <v>85.031150574049036</v>
      </c>
      <c r="EM97" s="22">
        <f t="shared" si="73"/>
        <v>787.09948724980256</v>
      </c>
      <c r="EN97" s="62">
        <f t="shared" si="74"/>
        <v>1080.4328205831359</v>
      </c>
      <c r="EO97" s="62">
        <f ca="1">AVERAGE(OFFSET($EN$3,0,0,'Données projet'!$E$15+1,1))-AVERAGE(OFFSET($H$3,0,0,'Données projet'!$E$15+1,1))</f>
        <v>595.89992279024398</v>
      </c>
      <c r="EP97" s="62">
        <f t="shared" si="100"/>
        <v>378.16197659288338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>
        <f>EXP(-LN(2)/35)*EV96+(1-EXP(-LN(2)/35))/(LN(2)/35)*ER97*ES97*VLOOKUP('Données projet'!$B$15,Paramètres!$A$1:$I$89,3,0)*0.475*44/12</f>
        <v>0</v>
      </c>
      <c r="EW97" s="23">
        <f>EXP(-LN(2)/25)*EW96+(1-EXP(-LN(2)/25))/(LN(2)/25)*Calculateur!ER97*Calculateur!ET97*VLOOKUP('Données projet'!$B$15,Paramètres!$A$1:$I$89,3,0)*0.475*44/12</f>
        <v>0</v>
      </c>
      <c r="EX97" s="23">
        <f>EXP(-LN(2)/2)*EX96+(1-EXP(-LN(2)/2))/(LN(2)/2)*ER97*EU97*VLOOKUP('Données projet'!$B$15,Paramètres!$A$1:$I$89,3,0)*0.475*44/12</f>
        <v>0</v>
      </c>
      <c r="EY97" s="24">
        <f t="shared" si="75"/>
        <v>0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-2.2737367544323206E-13</v>
      </c>
      <c r="FF97" s="18">
        <f>FE97*VLOOKUP('Données projet'!$B$16,Paramètres!$A$1:$I$89,3,0)*VLOOKUP('Données projet'!$B$16,Paramètres!$A$1:$I$89,5,0)</f>
        <v>-1.3596945791505279E-13</v>
      </c>
      <c r="FG97" s="14" t="e">
        <f t="shared" si="101"/>
        <v>#NUM!</v>
      </c>
      <c r="FH97" s="22" t="e">
        <f t="shared" si="76"/>
        <v>#NUM!</v>
      </c>
      <c r="FI97" s="62" t="e">
        <f t="shared" si="77"/>
        <v>#NUM!</v>
      </c>
      <c r="FJ97" s="62">
        <f ca="1">AVERAGE(OFFSET($FI$3,0,0,'Données projet'!$E$16+1,1))-AVERAGE(OFFSET($H$3,0,0,'Données projet'!$E$16+1,1))</f>
        <v>257.56116197646924</v>
      </c>
      <c r="FK97" s="62">
        <f t="shared" si="102"/>
        <v>269.95556918835888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>
        <f>EXP(-LN(2)/35)*FQ96+(1-EXP(-LN(2)/35))/(LN(2)/35)*FM97*FN97*VLOOKUP('Données projet'!$B$16,Paramètres!$A$1:$I$89,3,0)*0.475*44/12</f>
        <v>4.1053068396844301</v>
      </c>
      <c r="FR97" s="23">
        <f>EXP(-LN(2)/25)*FR96+(1-EXP(-LN(2)/25))/(LN(2)/25)*Calculateur!FM97*Calculateur!FO97*VLOOKUP('Données projet'!$B$16,Paramètres!$A$1:$I$89,3,0)*0.475*44/12</f>
        <v>2.7374703440228942</v>
      </c>
      <c r="FS97" s="23">
        <f>EXP(-LN(2)/2)*FS96+(1-EXP(-LN(2)/2))/(LN(2)/2)*FM97*FP97*VLOOKUP('Données projet'!$B$16,Paramètres!$A$1:$I$89,3,0)*0.475*44/12</f>
        <v>1.991652749007331E-9</v>
      </c>
      <c r="FT97" s="24">
        <f t="shared" si="78"/>
        <v>6.8427771856989779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-2.8421709430404007E-13</v>
      </c>
      <c r="GA97" s="18">
        <f>FZ97*VLOOKUP('Données projet'!$B$17,Paramètres!$A$1:$I$89,3,0)*VLOOKUP('Données projet'!$B$17,Paramètres!$A$1:$I$89,5,0)</f>
        <v>-1.69961822393816E-13</v>
      </c>
      <c r="GB97" s="14" t="e">
        <f t="shared" si="103"/>
        <v>#NUM!</v>
      </c>
      <c r="GC97" s="22" t="e">
        <f t="shared" si="79"/>
        <v>#NUM!</v>
      </c>
      <c r="GD97" s="62" t="e">
        <f t="shared" si="80"/>
        <v>#NUM!</v>
      </c>
      <c r="GE97" s="62">
        <f ca="1">AVERAGE(OFFSET($GD$3,0,0,'Données projet'!$E$17+1,1))-AVERAGE(OFFSET($H$3,0,0,'Données projet'!$E$17+1,1))</f>
        <v>289.12367833861299</v>
      </c>
      <c r="GF97" s="62">
        <f t="shared" si="104"/>
        <v>229.06617320689003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>
        <f>EXP(-LN(2)/35)*GL96+(1-EXP(-LN(2)/35))/(LN(2)/35)*GH97*GI97*VLOOKUP('Données projet'!$B$17,Paramètres!$A$1:$I$89,3,0)*0.475*44/12</f>
        <v>0</v>
      </c>
      <c r="GM97" s="23">
        <f>EXP(-LN(2)/25)*GM96+(1-EXP(-LN(2)/25))/(LN(2)/25)*Calculateur!GH97*Calculateur!GJ97*VLOOKUP('Données projet'!$B$17,Paramètres!$A$1:$I$89,3,0)*0.475*44/12</f>
        <v>0</v>
      </c>
      <c r="GN97" s="23">
        <f>EXP(-LN(2)/2)*GN96+(1-EXP(-LN(2)/2))/(LN(2)/2)*GH97*GK97*VLOOKUP('Données projet'!$B$17,Paramètres!$A$1:$I$89,3,0)*0.475*44/12</f>
        <v>9.6551028034311009E-10</v>
      </c>
      <c r="GO97" s="23">
        <f t="shared" si="81"/>
        <v>9.6551028034311009E-10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8.7730769230769283</v>
      </c>
      <c r="GU97" s="13">
        <f>IF('Données projet'!$A$270&gt;35,GU96+GT97-HC96,IF(A97&lt;'Données projet'!$A$270,$GR$205^A97,IF(A97='Données projet'!$A$270,'Données projet'!$B$270,GU96+GT97-HC96)))</f>
        <v>371.95769230769224</v>
      </c>
      <c r="GV97" s="18">
        <f>GU97*VLOOKUP('Données projet'!$B$18,Paramètres!$A$1:$I$89,3,0)*VLOOKUP('Données projet'!$B$18,Paramètres!$A$1:$I$89,5,0)</f>
        <v>174.07619999999997</v>
      </c>
      <c r="GW97" s="14">
        <f t="shared" si="105"/>
        <v>44.001694016087448</v>
      </c>
      <c r="GX97" s="22">
        <f t="shared" si="82"/>
        <v>379.81899874468553</v>
      </c>
      <c r="GY97" s="62">
        <f t="shared" si="83"/>
        <v>673.15233207801884</v>
      </c>
      <c r="GZ97" s="62">
        <f ca="1">AVERAGE(OFFSET($GY$3,0,0,'Données projet'!$E$18+1,1))-AVERAGE(OFFSET($H$3,0,0,'Données projet'!$E$18+1,1))</f>
        <v>284.88646502866419</v>
      </c>
      <c r="HA97" s="62">
        <f t="shared" si="106"/>
        <v>190.4880882944471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>
        <f>EXP(-LN(2)/35)*HG96+(1-EXP(-LN(2)/35))/(LN(2)/35)*HC97*HD97*VLOOKUP('Données projet'!$B$18,Paramètres!$A$1:$I$89,3,0)*0.475*44/12</f>
        <v>0</v>
      </c>
      <c r="HH97" s="23">
        <f>EXP(-LN(2)/25)*HH96+(1-EXP(-LN(2)/25))/(LN(2)/25)*Calculateur!HC97*Calculateur!HE97*VLOOKUP('Données projet'!$B$18,Paramètres!$A$1:$I$89,3,0)*0.475*44/12</f>
        <v>0</v>
      </c>
      <c r="HI97" s="23">
        <f>EXP(-LN(2)/2)*HI96+(1-EXP(-LN(2)/2))/(LN(2)/2)*HC97*HF97*VLOOKUP('Données projet'!$B$18,Paramètres!$A$1:$I$89,3,0)*0.475*44/12</f>
        <v>0</v>
      </c>
      <c r="HJ97" s="24">
        <f t="shared" si="84"/>
        <v>0</v>
      </c>
    </row>
    <row r="98" spans="1:218" s="5" customFormat="1" x14ac:dyDescent="0.25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2">
        <f t="shared" si="86"/>
        <v>0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0</v>
      </c>
      <c r="H98" s="70">
        <f t="shared" si="56"/>
        <v>256.66666666666669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>
        <f>VLOOKUP(A98,'Données projet'!$A$35:$I$55,2,0)</f>
        <v>229.48717948717947</v>
      </c>
      <c r="L98" s="13">
        <f>VLOOKUP(A98,'Données projet'!$A$35:$I$55,9,0)</f>
        <v>3.5897435897435854</v>
      </c>
      <c r="M98" s="13">
        <f t="array" ref="M98">INDEX(L:L,MIN(IF(ISNUMBER(L98:L294),ROW(L98:L294),"")))</f>
        <v>3.5897435897435854</v>
      </c>
      <c r="N98" s="14">
        <f>IF('Données projet'!$A$36&gt;35,N97+M98-V97,IF(A98&lt;'Données projet'!$A$36,$K$205^A98,IF(A98='Données projet'!$A$36,'Données projet'!$B$36,N97+M98-V97)))</f>
        <v>229.48717948717942</v>
      </c>
      <c r="O98" s="14">
        <f>N98*VLOOKUP('Données projet'!$B$9,Paramètres!$A$1:$I$89,3,0)*VLOOKUP('Données projet'!$B$9,Paramètres!$A$1:$I$89,5,0)</f>
        <v>218.37999999999994</v>
      </c>
      <c r="P98" s="14">
        <f t="shared" si="87"/>
        <v>53.762635412761199</v>
      </c>
      <c r="Q98" s="22">
        <f t="shared" si="54"/>
        <v>473.98175667722558</v>
      </c>
      <c r="R98" s="62">
        <f t="shared" si="55"/>
        <v>767.31509001055883</v>
      </c>
      <c r="S98" s="62">
        <f ca="1">AVERAGE(OFFSET($R$3,0,0,'Données projet'!$E$9+1,1))-AVERAGE(OFFSET($H$3,0,0,'Données projet'!$E$9+1,1))</f>
        <v>367.11183928586667</v>
      </c>
      <c r="T98" s="62">
        <f t="shared" si="88"/>
        <v>281.52963027844595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0</v>
      </c>
      <c r="AA98" s="23">
        <f>EXP(-LN(2)/25)*AA97+(1-EXP(-LN(2)/25))/(LN(2)/25)*Calculateur!V98*Calculateur!X98*VLOOKUP('Données projet'!$B$9,Paramètres!$A$1:$I$89,3,0)*0.475*44/12</f>
        <v>0</v>
      </c>
      <c r="AB98" s="23">
        <f>EXP(-LN(2)/2)*AB97+(1-EXP(-LN(2)/2))/(LN(2)/2)*V98*Y98*VLOOKUP('Données projet'!$B$9,Paramètres!$A$1:$I$89,3,0)*0.475*44/12</f>
        <v>0</v>
      </c>
      <c r="AC98" s="24">
        <f t="shared" si="57"/>
        <v>0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4.9000000000000004</v>
      </c>
      <c r="AI98" s="14">
        <f>IF('Données projet'!$A$62&gt;35,AI97+AH98-AQ97,IF(A98&lt;'Données projet'!$A$62,$AF$205^A98,IF(A98='Données projet'!$A$62,'Données projet'!$B$62,AI97+AH98-AQ97)))</f>
        <v>278.49999999999994</v>
      </c>
      <c r="AJ98" s="14">
        <f>AI98*VLOOKUP('Données projet'!$B$10,Paramètres!$A$1:$I$89,3,0)*VLOOKUP('Données projet'!$B$10,Paramètres!$A$1:$I$89,5,0)</f>
        <v>251.98679999999993</v>
      </c>
      <c r="AK98" s="14">
        <f t="shared" si="89"/>
        <v>61.011187970195053</v>
      </c>
      <c r="AL98" s="22">
        <f t="shared" si="58"/>
        <v>545.13816238142283</v>
      </c>
      <c r="AM98" s="62">
        <f t="shared" si="59"/>
        <v>838.4714957147562</v>
      </c>
      <c r="AN98" s="62">
        <f ca="1">AVERAGE(OFFSET($AM$3,0,0,'Données projet'!$E$10+1,1))-AVERAGE(OFFSET($H$3,0,0,'Données projet'!$E$10+1,1))</f>
        <v>428.8489304403459</v>
      </c>
      <c r="AO98" s="62">
        <f t="shared" si="90"/>
        <v>247.01165577562966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0</v>
      </c>
      <c r="AV98" s="23">
        <f>EXP(-LN(2)/25)*AV97+(1-EXP(-LN(2)/25))/(LN(2)/25)*Calculateur!AQ98*Calculateur!AS98*VLOOKUP('Données projet'!$B$10,Paramètres!$A$1:$I$89,3,0)*0.475*44/12</f>
        <v>0</v>
      </c>
      <c r="AW98" s="23">
        <f>EXP(-LN(2)/2)*AW97+(1-EXP(-LN(2)/2))/(LN(2)/2)*AQ98*AT98*VLOOKUP('Données projet'!$B$10,Paramètres!$A$1:$I$89,3,0)*0.475*44/12</f>
        <v>0</v>
      </c>
      <c r="AX98" s="23">
        <f t="shared" si="60"/>
        <v>0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4.9000000000000004</v>
      </c>
      <c r="BD98" s="13">
        <f>IF('Données projet'!$A$88&gt;35,BD97+BC98-BL97,IF(A98&lt;'Données projet'!$A$88,$BA$205^A98,IF(A98='Données projet'!$A$88,'Données projet'!$B$88,BD97+BC98-BL97)))</f>
        <v>278.49999999999994</v>
      </c>
      <c r="BE98" s="14">
        <f>BD98*VLOOKUP('Données projet'!$B$11,Paramètres!$A$1:$I$89,3,0)*VLOOKUP('Données projet'!$B$11,Paramètres!$A$1:$I$89,5,0)</f>
        <v>282.399</v>
      </c>
      <c r="BF98" s="14">
        <f t="shared" si="91"/>
        <v>67.473734542548371</v>
      </c>
      <c r="BG98" s="22">
        <f t="shared" si="61"/>
        <v>609.36167932827175</v>
      </c>
      <c r="BH98" s="62">
        <f t="shared" si="62"/>
        <v>902.69501266160501</v>
      </c>
      <c r="BI98" s="62">
        <f ca="1">AVERAGE(OFFSET($BH$3,0,0,'Données projet'!$E$11+1,1))-AVERAGE(OFFSET($H$3,0,0,'Données projet'!$E$11+1,1))</f>
        <v>475.47920969424894</v>
      </c>
      <c r="BJ98" s="62">
        <f t="shared" si="92"/>
        <v>271.73544012419364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>
        <f>EXP(-LN(2)/35)*BP97+(1-EXP(-LN(2)/35))/(LN(2)/35)*BL98*BM98*VLOOKUP('Données projet'!$B$11,Paramètres!$A$1:$I$89,3,0)*0.475*44/12</f>
        <v>0</v>
      </c>
      <c r="BQ98" s="23">
        <f>EXP(-LN(2)/25)*BQ97+(1-EXP(-LN(2)/25))/(LN(2)/25)*Calculateur!BL98*Calculateur!BN98*VLOOKUP('Données projet'!$B$11,Paramètres!$A$1:$I$89,3,0)*0.475*44/12</f>
        <v>0</v>
      </c>
      <c r="BR98" s="23">
        <f>EXP(-LN(2)/2)*BR97+(1-EXP(-LN(2)/2))/(LN(2)/2)*BL98*BO98*VLOOKUP('Données projet'!$B$11,Paramètres!$A$1:$I$89,3,0)*0.475*44/12</f>
        <v>0</v>
      </c>
      <c r="BS98" s="24">
        <f t="shared" si="63"/>
        <v>0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2.2737367544323206E-13</v>
      </c>
      <c r="BZ98" s="14">
        <f>BY98*VLOOKUP('Données projet'!$B$12,Paramètres!$A$1:$I$89,3,0)*VLOOKUP('Données projet'!$B$12,Paramètres!$A$1:$I$89,5,0)</f>
        <v>1.2710188457276673E-13</v>
      </c>
      <c r="CA98" s="14">
        <f t="shared" si="93"/>
        <v>1.856866851063998E-12</v>
      </c>
      <c r="CB98" s="22">
        <f t="shared" si="64"/>
        <v>3.4554122145673649E-12</v>
      </c>
      <c r="CC98" s="62">
        <f t="shared" si="65"/>
        <v>293.33333333333678</v>
      </c>
      <c r="CD98" s="62">
        <f ca="1">AVERAGE(OFFSET($CC$3,0,0,'Données projet'!$E$12+1,1))-AVERAGE(OFFSET($H$3,0,0,'Données projet'!$E$12+1,1))</f>
        <v>323.98185264074681</v>
      </c>
      <c r="CE98" s="62">
        <f t="shared" si="94"/>
        <v>301.22207291854005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>
        <f>EXP(-LN(2)/35)*CK97+(1-EXP(-LN(2)/35))/(LN(2)/35)*CG98*CH98*VLOOKUP('Données projet'!$B$12,Paramètres!$A$1:$I$89,3,0)*0.475*44/12</f>
        <v>1.2317004617228684</v>
      </c>
      <c r="CL98" s="23">
        <f>EXP(-LN(2)/25)*CL97+(1-EXP(-LN(2)/25))/(LN(2)/25)*Calculateur!CG98*Calculateur!CI98*VLOOKUP('Données projet'!$B$12,Paramètres!$A$1:$I$89,3,0)*0.475*44/12</f>
        <v>1.360297139865227</v>
      </c>
      <c r="CM98" s="23">
        <f>EXP(-LN(2)/2)*CM97+(1-EXP(-LN(2)/2))/(LN(2)/2)*CG98*CJ98*VLOOKUP('Données projet'!$B$12,Paramètres!$A$1:$I$89,3,0)*0.475*44/12</f>
        <v>1.0022729959488038E-9</v>
      </c>
      <c r="CN98" s="24">
        <f t="shared" si="66"/>
        <v>2.5919976025903684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3.7</v>
      </c>
      <c r="CT98" s="13">
        <f>IF('Données projet'!$A$140&gt;35,CT97+CS98-DB97,IF(A98&lt;'Données projet'!$A$140,$CQ$205^A98,IF(A98='Données projet'!$A$140,'Données projet'!$B$140,CT97+CS98-DB97)))</f>
        <v>211.49999999999989</v>
      </c>
      <c r="CU98" s="18">
        <f>CT98*VLOOKUP('Données projet'!$B$13,Paramètres!$A$1:$I$89,3,0)*VLOOKUP('Données projet'!$B$13,Paramètres!$A$1:$I$89,5,0)</f>
        <v>240.85619999999989</v>
      </c>
      <c r="CV98" s="14">
        <f t="shared" si="95"/>
        <v>58.623707885373882</v>
      </c>
      <c r="CW98" s="22">
        <f t="shared" si="67"/>
        <v>521.59417290035935</v>
      </c>
      <c r="CX98" s="62">
        <f t="shared" si="68"/>
        <v>814.92750623369261</v>
      </c>
      <c r="CY98" s="62">
        <f ca="1">AVERAGE(OFFSET($CX$3,0,0,'Données projet'!$E$13+1,1))-AVERAGE(OFFSET($H$3,0,0,'Données projet'!$E$13+1,1))</f>
        <v>399.78832690250164</v>
      </c>
      <c r="CZ98" s="62">
        <f t="shared" si="96"/>
        <v>174.32967064896343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>
        <f>EXP(-LN(2)/35)*DF97+(1-EXP(-LN(2)/35))/(LN(2)/35)*DB98*DC98*VLOOKUP('Données projet'!$B$13,Paramètres!$A$1:$I$89,3,0)*0.475*44/12</f>
        <v>0</v>
      </c>
      <c r="DG98" s="23">
        <f>EXP(-LN(2)/25)*DG97+(1-EXP(-LN(2)/25))/(LN(2)/25)*Calculateur!DB98*Calculateur!DD98*VLOOKUP('Données projet'!$B$13,Paramètres!$A$1:$I$89,3,0)*0.475*44/12</f>
        <v>0</v>
      </c>
      <c r="DH98" s="23">
        <f>EXP(-LN(2)/2)*DH97+(1-EXP(-LN(2)/2))/(LN(2)/2)*DB98*DE98*VLOOKUP('Données projet'!$B$13,Paramètres!$A$1:$I$89,3,0)*0.475*44/12</f>
        <v>0</v>
      </c>
      <c r="DI98" s="24">
        <f t="shared" si="69"/>
        <v>0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4.9000000000000004</v>
      </c>
      <c r="DO98" s="13">
        <f>IF('Données projet'!$A$166&gt;35,DO97+DN98-DW97,IF(A98&lt;'Données projet'!$A$166,$DL$205^A98,IF(A98='Données projet'!$A$166,'Données projet'!$B$166,DO97+DN98-DW97)))</f>
        <v>278.49999999999994</v>
      </c>
      <c r="DP98" s="18">
        <f>DO98*VLOOKUP('Données projet'!$B$14,Paramètres!$A$1:$I$89,3,0)*VLOOKUP('Données projet'!$B$14,Paramètres!$A$1:$I$89,5,0)</f>
        <v>234.60839999999999</v>
      </c>
      <c r="DQ98" s="14">
        <f t="shared" si="97"/>
        <v>57.277971950226913</v>
      </c>
      <c r="DR98" s="22">
        <f t="shared" si="70"/>
        <v>508.36876447997855</v>
      </c>
      <c r="DS98" s="62">
        <f t="shared" si="71"/>
        <v>801.70209781331187</v>
      </c>
      <c r="DT98" s="62">
        <f ca="1">AVERAGE(OFFSET($DS$3,0,0,'Données projet'!$E$14+1,1))-AVERAGE(OFFSET($H$3,0,0,'Données projet'!$E$14+1,1))</f>
        <v>402.15128814037058</v>
      </c>
      <c r="DU98" s="62">
        <f t="shared" si="98"/>
        <v>232.85411068442738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>
        <f>EXP(-LN(2)/35)*EA97+(1-EXP(-LN(2)/35))/(LN(2)/35)*DW98*DX98*VLOOKUP('Données projet'!$B$14,Paramètres!$A$1:$I$89,3,0)*0.475*44/12</f>
        <v>0</v>
      </c>
      <c r="EB98" s="23">
        <f>EXP(-LN(2)/25)*EB97+(1-EXP(-LN(2)/25))/(LN(2)/25)*Calculateur!DW98*Calculateur!DY98*VLOOKUP('Données projet'!$B$14,Paramètres!$A$1:$I$89,3,0)*0.475*44/12</f>
        <v>0</v>
      </c>
      <c r="EC98" s="23">
        <f>EXP(-LN(2)/2)*EC97+(1-EXP(-LN(2)/2))/(LN(2)/2)*DW98*DZ98*VLOOKUP('Données projet'!$B$14,Paramètres!$A$1:$I$89,3,0)*0.475*44/12</f>
        <v>0</v>
      </c>
      <c r="ED98" s="24">
        <f t="shared" si="72"/>
        <v>0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4.1025641025640995</v>
      </c>
      <c r="EJ98" s="13">
        <f>IF('Données projet'!$A$192&gt;35,EJ97+EI98-ER97,IF(A98&lt;'Données projet'!$A$192,$EG$205^A98,IF(A98='Données projet'!$A$192,'Données projet'!$B$192,EJ97+EI98-ER97)))</f>
        <v>355.12820512820537</v>
      </c>
      <c r="EK98" s="18">
        <f>EJ98*VLOOKUP('Données projet'!$B$15,Paramètres!$A$1:$I$89,3,0)*VLOOKUP('Données projet'!$B$15,Paramètres!$A$1:$I$89,5,0)</f>
        <v>371.18000000000029</v>
      </c>
      <c r="EL98" s="14">
        <f t="shared" si="99"/>
        <v>85.908668638537549</v>
      </c>
      <c r="EM98" s="22">
        <f t="shared" si="73"/>
        <v>796.09609787878674</v>
      </c>
      <c r="EN98" s="62">
        <f t="shared" si="74"/>
        <v>1089.4294312121201</v>
      </c>
      <c r="EO98" s="62">
        <f ca="1">AVERAGE(OFFSET($EN$3,0,0,'Données projet'!$E$15+1,1))-AVERAGE(OFFSET($H$3,0,0,'Données projet'!$E$15+1,1))</f>
        <v>595.89992279024398</v>
      </c>
      <c r="EP98" s="62">
        <f t="shared" si="100"/>
        <v>378.16197659288338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>
        <f>EXP(-LN(2)/35)*EV97+(1-EXP(-LN(2)/35))/(LN(2)/35)*ER98*ES98*VLOOKUP('Données projet'!$B$15,Paramètres!$A$1:$I$89,3,0)*0.475*44/12</f>
        <v>0</v>
      </c>
      <c r="EW98" s="23">
        <f>EXP(-LN(2)/25)*EW97+(1-EXP(-LN(2)/25))/(LN(2)/25)*Calculateur!ER98*Calculateur!ET98*VLOOKUP('Données projet'!$B$15,Paramètres!$A$1:$I$89,3,0)*0.475*44/12</f>
        <v>0</v>
      </c>
      <c r="EX98" s="23">
        <f>EXP(-LN(2)/2)*EX97+(1-EXP(-LN(2)/2))/(LN(2)/2)*ER98*EU98*VLOOKUP('Données projet'!$B$15,Paramètres!$A$1:$I$89,3,0)*0.475*44/12</f>
        <v>0</v>
      </c>
      <c r="EY98" s="24">
        <f t="shared" si="75"/>
        <v>0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-2.2737367544323206E-13</v>
      </c>
      <c r="FF98" s="18">
        <f>FE98*VLOOKUP('Données projet'!$B$16,Paramètres!$A$1:$I$89,3,0)*VLOOKUP('Données projet'!$B$16,Paramètres!$A$1:$I$89,5,0)</f>
        <v>-1.3596945791505279E-13</v>
      </c>
      <c r="FG98" s="14" t="e">
        <f t="shared" si="101"/>
        <v>#NUM!</v>
      </c>
      <c r="FH98" s="22" t="e">
        <f t="shared" si="76"/>
        <v>#NUM!</v>
      </c>
      <c r="FI98" s="62" t="e">
        <f t="shared" si="77"/>
        <v>#NUM!</v>
      </c>
      <c r="FJ98" s="62">
        <f ca="1">AVERAGE(OFFSET($FI$3,0,0,'Données projet'!$E$16+1,1))-AVERAGE(OFFSET($H$3,0,0,'Données projet'!$E$16+1,1))</f>
        <v>257.56116197646924</v>
      </c>
      <c r="FK98" s="62">
        <f t="shared" si="102"/>
        <v>269.95556918835888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>
        <f>EXP(-LN(2)/35)*FQ97+(1-EXP(-LN(2)/35))/(LN(2)/35)*FM98*FN98*VLOOKUP('Données projet'!$B$16,Paramètres!$A$1:$I$89,3,0)*0.475*44/12</f>
        <v>4.0248042765481422</v>
      </c>
      <c r="FR98" s="23">
        <f>EXP(-LN(2)/25)*FR97+(1-EXP(-LN(2)/25))/(LN(2)/25)*Calculateur!FM98*Calculateur!FO98*VLOOKUP('Données projet'!$B$16,Paramètres!$A$1:$I$89,3,0)*0.475*44/12</f>
        <v>2.6626140735082795</v>
      </c>
      <c r="FS98" s="23">
        <f>EXP(-LN(2)/2)*FS97+(1-EXP(-LN(2)/2))/(LN(2)/2)*FM98*FP98*VLOOKUP('Données projet'!$B$16,Paramètres!$A$1:$I$89,3,0)*0.475*44/12</f>
        <v>1.4083111645919127E-9</v>
      </c>
      <c r="FT98" s="24">
        <f t="shared" si="78"/>
        <v>6.687418351464733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-2.8421709430404007E-13</v>
      </c>
      <c r="GA98" s="18">
        <f>FZ98*VLOOKUP('Données projet'!$B$17,Paramètres!$A$1:$I$89,3,0)*VLOOKUP('Données projet'!$B$17,Paramètres!$A$1:$I$89,5,0)</f>
        <v>-1.69961822393816E-13</v>
      </c>
      <c r="GB98" s="14" t="e">
        <f t="shared" si="103"/>
        <v>#NUM!</v>
      </c>
      <c r="GC98" s="22" t="e">
        <f t="shared" si="79"/>
        <v>#NUM!</v>
      </c>
      <c r="GD98" s="62" t="e">
        <f t="shared" si="80"/>
        <v>#NUM!</v>
      </c>
      <c r="GE98" s="62">
        <f ca="1">AVERAGE(OFFSET($GD$3,0,0,'Données projet'!$E$17+1,1))-AVERAGE(OFFSET($H$3,0,0,'Données projet'!$E$17+1,1))</f>
        <v>289.12367833861299</v>
      </c>
      <c r="GF98" s="62">
        <f t="shared" si="104"/>
        <v>229.06617320689003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>
        <f>EXP(-LN(2)/35)*GL97+(1-EXP(-LN(2)/35))/(LN(2)/35)*GH98*GI98*VLOOKUP('Données projet'!$B$17,Paramètres!$A$1:$I$89,3,0)*0.475*44/12</f>
        <v>0</v>
      </c>
      <c r="GM98" s="23">
        <f>EXP(-LN(2)/25)*GM97+(1-EXP(-LN(2)/25))/(LN(2)/25)*Calculateur!GH98*Calculateur!GJ98*VLOOKUP('Données projet'!$B$17,Paramètres!$A$1:$I$89,3,0)*0.475*44/12</f>
        <v>0</v>
      </c>
      <c r="GN98" s="23">
        <f>EXP(-LN(2)/2)*GN97+(1-EXP(-LN(2)/2))/(LN(2)/2)*GH98*GK98*VLOOKUP('Données projet'!$B$17,Paramètres!$A$1:$I$89,3,0)*0.475*44/12</f>
        <v>6.8271886653593771E-10</v>
      </c>
      <c r="GO98" s="23">
        <f t="shared" si="81"/>
        <v>6.8271886653593771E-10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8.7730769230769283</v>
      </c>
      <c r="GU98" s="13">
        <f>IF('Données projet'!$A$270&gt;35,GU97+GT98-HC97,IF(A98&lt;'Données projet'!$A$270,$GR$205^A98,IF(A98='Données projet'!$A$270,'Données projet'!$B$270,GU97+GT98-HC97)))</f>
        <v>380.73076923076917</v>
      </c>
      <c r="GV98" s="18">
        <f>GU98*VLOOKUP('Données projet'!$B$18,Paramètres!$A$1:$I$89,3,0)*VLOOKUP('Données projet'!$B$18,Paramètres!$A$1:$I$89,5,0)</f>
        <v>178.18199999999996</v>
      </c>
      <c r="GW98" s="14">
        <f t="shared" si="105"/>
        <v>44.917476006361952</v>
      </c>
      <c r="GX98" s="22">
        <f t="shared" si="82"/>
        <v>388.56492071108028</v>
      </c>
      <c r="GY98" s="62">
        <f t="shared" si="83"/>
        <v>681.89825404441353</v>
      </c>
      <c r="GZ98" s="62">
        <f ca="1">AVERAGE(OFFSET($GY$3,0,0,'Données projet'!$E$18+1,1))-AVERAGE(OFFSET($H$3,0,0,'Données projet'!$E$18+1,1))</f>
        <v>284.88646502866419</v>
      </c>
      <c r="HA98" s="62">
        <f t="shared" si="106"/>
        <v>190.4880882944471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>
        <f>EXP(-LN(2)/35)*HG97+(1-EXP(-LN(2)/35))/(LN(2)/35)*HC98*HD98*VLOOKUP('Données projet'!$B$18,Paramètres!$A$1:$I$89,3,0)*0.475*44/12</f>
        <v>0</v>
      </c>
      <c r="HH98" s="23">
        <f>EXP(-LN(2)/25)*HH97+(1-EXP(-LN(2)/25))/(LN(2)/25)*Calculateur!HC98*Calculateur!HE98*VLOOKUP('Données projet'!$B$18,Paramètres!$A$1:$I$89,3,0)*0.475*44/12</f>
        <v>0</v>
      </c>
      <c r="HI98" s="23">
        <f>EXP(-LN(2)/2)*HI97+(1-EXP(-LN(2)/2))/(LN(2)/2)*HC98*HF98*VLOOKUP('Données projet'!$B$18,Paramètres!$A$1:$I$89,3,0)*0.475*44/12</f>
        <v>0</v>
      </c>
      <c r="HJ98" s="24">
        <f t="shared" si="84"/>
        <v>0</v>
      </c>
    </row>
    <row r="99" spans="1:218" s="5" customFormat="1" x14ac:dyDescent="0.25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2">
        <f t="shared" si="86"/>
        <v>0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0</v>
      </c>
      <c r="H99" s="70">
        <f t="shared" si="56"/>
        <v>256.66666666666669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3.3333333333333313</v>
      </c>
      <c r="N99" s="14">
        <f>IF('Données projet'!$A$36&gt;35,N98+M99-V98,IF(A99&lt;'Données projet'!$A$36,$K$205^A99,IF(A99='Données projet'!$A$36,'Données projet'!$B$36,N98+M99-V98)))</f>
        <v>232.82051282051276</v>
      </c>
      <c r="O99" s="14">
        <f>N99*VLOOKUP('Données projet'!$B$9,Paramètres!$A$1:$I$89,3,0)*VLOOKUP('Données projet'!$B$9,Paramètres!$A$1:$I$89,5,0)</f>
        <v>221.55199999999994</v>
      </c>
      <c r="P99" s="14">
        <f t="shared" si="87"/>
        <v>54.452067119881683</v>
      </c>
      <c r="Q99" s="22">
        <f t="shared" ref="Q99:Q130" si="107">(O99+P99)*0.475*44/12</f>
        <v>480.70708356712709</v>
      </c>
      <c r="R99" s="62">
        <f t="shared" si="55"/>
        <v>774.0404169004604</v>
      </c>
      <c r="S99" s="62">
        <f ca="1">AVERAGE(OFFSET($R$3,0,0,'Données projet'!$E$9+1,1))-AVERAGE(OFFSET($H$3,0,0,'Données projet'!$E$9+1,1))</f>
        <v>367.11183928586667</v>
      </c>
      <c r="T99" s="62">
        <f t="shared" si="88"/>
        <v>281.52963027844595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0</v>
      </c>
      <c r="AA99" s="23">
        <f>EXP(-LN(2)/25)*AA98+(1-EXP(-LN(2)/25))/(LN(2)/25)*Calculateur!V99*Calculateur!X99*VLOOKUP('Données projet'!$B$9,Paramètres!$A$1:$I$89,3,0)*0.475*44/12</f>
        <v>0</v>
      </c>
      <c r="AB99" s="23">
        <f>EXP(-LN(2)/2)*AB98+(1-EXP(-LN(2)/2))/(LN(2)/2)*V99*Y99*VLOOKUP('Données projet'!$B$9,Paramètres!$A$1:$I$89,3,0)*0.475*44/12</f>
        <v>0</v>
      </c>
      <c r="AC99" s="24">
        <f t="shared" si="57"/>
        <v>0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4.9000000000000004</v>
      </c>
      <c r="AI99" s="14">
        <f>IF('Données projet'!$A$62&gt;35,AI98+AH99-AQ98,IF(A99&lt;'Données projet'!$A$62,$AF$205^A99,IF(A99='Données projet'!$A$62,'Données projet'!$B$62,AI98+AH99-AQ98)))</f>
        <v>283.39999999999992</v>
      </c>
      <c r="AJ99" s="14">
        <f>AI99*VLOOKUP('Données projet'!$B$10,Paramètres!$A$1:$I$89,3,0)*VLOOKUP('Données projet'!$B$10,Paramètres!$A$1:$I$89,5,0)</f>
        <v>256.42031999999989</v>
      </c>
      <c r="AK99" s="14">
        <f t="shared" si="89"/>
        <v>61.958720258016918</v>
      </c>
      <c r="AL99" s="22">
        <f t="shared" si="58"/>
        <v>554.51016178271254</v>
      </c>
      <c r="AM99" s="62">
        <f t="shared" si="59"/>
        <v>847.84349511604591</v>
      </c>
      <c r="AN99" s="62">
        <f ca="1">AVERAGE(OFFSET($AM$3,0,0,'Données projet'!$E$10+1,1))-AVERAGE(OFFSET($H$3,0,0,'Données projet'!$E$10+1,1))</f>
        <v>428.8489304403459</v>
      </c>
      <c r="AO99" s="62">
        <f t="shared" si="90"/>
        <v>247.01165577562966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0</v>
      </c>
      <c r="AV99" s="23">
        <f>EXP(-LN(2)/25)*AV98+(1-EXP(-LN(2)/25))/(LN(2)/25)*Calculateur!AQ99*Calculateur!AS99*VLOOKUP('Données projet'!$B$10,Paramètres!$A$1:$I$89,3,0)*0.475*44/12</f>
        <v>0</v>
      </c>
      <c r="AW99" s="23">
        <f>EXP(-LN(2)/2)*AW98+(1-EXP(-LN(2)/2))/(LN(2)/2)*AQ99*AT99*VLOOKUP('Données projet'!$B$10,Paramètres!$A$1:$I$89,3,0)*0.475*44/12</f>
        <v>0</v>
      </c>
      <c r="AX99" s="23">
        <f t="shared" si="60"/>
        <v>0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4.9000000000000004</v>
      </c>
      <c r="BD99" s="13">
        <f>IF('Données projet'!$A$88&gt;35,BD98+BC99-BL98,IF(A99&lt;'Données projet'!$A$88,$BA$205^A99,IF(A99='Données projet'!$A$88,'Données projet'!$B$88,BD98+BC99-BL98)))</f>
        <v>283.39999999999992</v>
      </c>
      <c r="BE99" s="14">
        <f>BD99*VLOOKUP('Données projet'!$B$11,Paramètres!$A$1:$I$89,3,0)*VLOOKUP('Données projet'!$B$11,Paramètres!$A$1:$I$89,5,0)</f>
        <v>287.36759999999992</v>
      </c>
      <c r="BF99" s="14">
        <f t="shared" si="91"/>
        <v>68.521633201565123</v>
      </c>
      <c r="BG99" s="22">
        <f t="shared" si="61"/>
        <v>619.84041449272581</v>
      </c>
      <c r="BH99" s="62">
        <f t="shared" si="62"/>
        <v>913.17374782605907</v>
      </c>
      <c r="BI99" s="62">
        <f ca="1">AVERAGE(OFFSET($BH$3,0,0,'Données projet'!$E$11+1,1))-AVERAGE(OFFSET($H$3,0,0,'Données projet'!$E$11+1,1))</f>
        <v>475.47920969424894</v>
      </c>
      <c r="BJ99" s="62">
        <f t="shared" si="92"/>
        <v>271.73544012419364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>
        <f>EXP(-LN(2)/35)*BP98+(1-EXP(-LN(2)/35))/(LN(2)/35)*BL99*BM99*VLOOKUP('Données projet'!$B$11,Paramètres!$A$1:$I$89,3,0)*0.475*44/12</f>
        <v>0</v>
      </c>
      <c r="BQ99" s="23">
        <f>EXP(-LN(2)/25)*BQ98+(1-EXP(-LN(2)/25))/(LN(2)/25)*Calculateur!BL99*Calculateur!BN99*VLOOKUP('Données projet'!$B$11,Paramètres!$A$1:$I$89,3,0)*0.475*44/12</f>
        <v>0</v>
      </c>
      <c r="BR99" s="23">
        <f>EXP(-LN(2)/2)*BR98+(1-EXP(-LN(2)/2))/(LN(2)/2)*BL99*BO99*VLOOKUP('Données projet'!$B$11,Paramètres!$A$1:$I$89,3,0)*0.475*44/12</f>
        <v>0</v>
      </c>
      <c r="BS99" s="24">
        <f t="shared" si="63"/>
        <v>0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2.2737367544323206E-13</v>
      </c>
      <c r="BZ99" s="14">
        <f>BY99*VLOOKUP('Données projet'!$B$12,Paramètres!$A$1:$I$89,3,0)*VLOOKUP('Données projet'!$B$12,Paramètres!$A$1:$I$89,5,0)</f>
        <v>1.2710188457276673E-13</v>
      </c>
      <c r="CA99" s="14">
        <f t="shared" si="93"/>
        <v>1.856866851063998E-12</v>
      </c>
      <c r="CB99" s="22">
        <f t="shared" si="64"/>
        <v>3.4554122145673649E-12</v>
      </c>
      <c r="CC99" s="62">
        <f t="shared" si="65"/>
        <v>293.33333333333678</v>
      </c>
      <c r="CD99" s="62">
        <f ca="1">AVERAGE(OFFSET($CC$3,0,0,'Données projet'!$E$12+1,1))-AVERAGE(OFFSET($H$3,0,0,'Données projet'!$E$12+1,1))</f>
        <v>323.98185264074681</v>
      </c>
      <c r="CE99" s="62">
        <f t="shared" si="94"/>
        <v>301.22207291854005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>
        <f>EXP(-LN(2)/35)*CK98+(1-EXP(-LN(2)/35))/(LN(2)/35)*CG99*CH99*VLOOKUP('Données projet'!$B$12,Paramètres!$A$1:$I$89,3,0)*0.475*44/12</f>
        <v>1.2075475669315836</v>
      </c>
      <c r="CL99" s="23">
        <f>EXP(-LN(2)/25)*CL98+(1-EXP(-LN(2)/25))/(LN(2)/25)*Calculateur!CG99*Calculateur!CI99*VLOOKUP('Données projet'!$B$12,Paramètres!$A$1:$I$89,3,0)*0.475*44/12</f>
        <v>1.3230997430406948</v>
      </c>
      <c r="CM99" s="23">
        <f>EXP(-LN(2)/2)*CM98+(1-EXP(-LN(2)/2))/(LN(2)/2)*CG99*CJ99*VLOOKUP('Données projet'!$B$12,Paramètres!$A$1:$I$89,3,0)*0.475*44/12</f>
        <v>7.0871403203555623E-10</v>
      </c>
      <c r="CN99" s="24">
        <f t="shared" si="66"/>
        <v>2.5306473106809921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3.7</v>
      </c>
      <c r="CT99" s="13">
        <f>IF('Données projet'!$A$140&gt;35,CT98+CS99-DB98,IF(A99&lt;'Données projet'!$A$140,$CQ$205^A99,IF(A99='Données projet'!$A$140,'Données projet'!$B$140,CT98+CS99-DB98)))</f>
        <v>215.19999999999987</v>
      </c>
      <c r="CU99" s="18">
        <f>CT99*VLOOKUP('Données projet'!$B$13,Paramètres!$A$1:$I$89,3,0)*VLOOKUP('Données projet'!$B$13,Paramètres!$A$1:$I$89,5,0)</f>
        <v>245.06975999999989</v>
      </c>
      <c r="CV99" s="14">
        <f t="shared" si="95"/>
        <v>59.528983440819111</v>
      </c>
      <c r="CW99" s="22">
        <f t="shared" si="67"/>
        <v>530.50947815942641</v>
      </c>
      <c r="CX99" s="62">
        <f t="shared" si="68"/>
        <v>823.84281149275967</v>
      </c>
      <c r="CY99" s="62">
        <f ca="1">AVERAGE(OFFSET($CX$3,0,0,'Données projet'!$E$13+1,1))-AVERAGE(OFFSET($H$3,0,0,'Données projet'!$E$13+1,1))</f>
        <v>399.78832690250164</v>
      </c>
      <c r="CZ99" s="62">
        <f t="shared" si="96"/>
        <v>174.32967064896343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>
        <f>EXP(-LN(2)/35)*DF98+(1-EXP(-LN(2)/35))/(LN(2)/35)*DB99*DC99*VLOOKUP('Données projet'!$B$13,Paramètres!$A$1:$I$89,3,0)*0.475*44/12</f>
        <v>0</v>
      </c>
      <c r="DG99" s="23">
        <f>EXP(-LN(2)/25)*DG98+(1-EXP(-LN(2)/25))/(LN(2)/25)*Calculateur!DB99*Calculateur!DD99*VLOOKUP('Données projet'!$B$13,Paramètres!$A$1:$I$89,3,0)*0.475*44/12</f>
        <v>0</v>
      </c>
      <c r="DH99" s="23">
        <f>EXP(-LN(2)/2)*DH98+(1-EXP(-LN(2)/2))/(LN(2)/2)*DB99*DE99*VLOOKUP('Données projet'!$B$13,Paramètres!$A$1:$I$89,3,0)*0.475*44/12</f>
        <v>0</v>
      </c>
      <c r="DI99" s="24">
        <f t="shared" si="69"/>
        <v>0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4.9000000000000004</v>
      </c>
      <c r="DO99" s="13">
        <f>IF('Données projet'!$A$166&gt;35,DO98+DN99-DW98,IF(A99&lt;'Données projet'!$A$166,$DL$205^A99,IF(A99='Données projet'!$A$166,'Données projet'!$B$166,DO98+DN99-DW98)))</f>
        <v>283.39999999999992</v>
      </c>
      <c r="DP99" s="18">
        <f>DO99*VLOOKUP('Données projet'!$B$14,Paramètres!$A$1:$I$89,3,0)*VLOOKUP('Données projet'!$B$14,Paramètres!$A$1:$I$89,5,0)</f>
        <v>238.73615999999996</v>
      </c>
      <c r="DQ99" s="14">
        <f t="shared" si="97"/>
        <v>58.167525647006343</v>
      </c>
      <c r="DR99" s="22">
        <f t="shared" si="70"/>
        <v>517.10725250186931</v>
      </c>
      <c r="DS99" s="62">
        <f t="shared" si="71"/>
        <v>810.44058583520268</v>
      </c>
      <c r="DT99" s="62">
        <f ca="1">AVERAGE(OFFSET($DS$3,0,0,'Données projet'!$E$14+1,1))-AVERAGE(OFFSET($H$3,0,0,'Données projet'!$E$14+1,1))</f>
        <v>402.15128814037058</v>
      </c>
      <c r="DU99" s="62">
        <f t="shared" si="98"/>
        <v>232.85411068442738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>
        <f>EXP(-LN(2)/35)*EA98+(1-EXP(-LN(2)/35))/(LN(2)/35)*DW99*DX99*VLOOKUP('Données projet'!$B$14,Paramètres!$A$1:$I$89,3,0)*0.475*44/12</f>
        <v>0</v>
      </c>
      <c r="EB99" s="23">
        <f>EXP(-LN(2)/25)*EB98+(1-EXP(-LN(2)/25))/(LN(2)/25)*Calculateur!DW99*Calculateur!DY99*VLOOKUP('Données projet'!$B$14,Paramètres!$A$1:$I$89,3,0)*0.475*44/12</f>
        <v>0</v>
      </c>
      <c r="EC99" s="23">
        <f>EXP(-LN(2)/2)*EC98+(1-EXP(-LN(2)/2))/(LN(2)/2)*DW99*DZ99*VLOOKUP('Données projet'!$B$14,Paramètres!$A$1:$I$89,3,0)*0.475*44/12</f>
        <v>0</v>
      </c>
      <c r="ED99" s="24">
        <f t="shared" si="72"/>
        <v>0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4.1025641025640995</v>
      </c>
      <c r="EJ99" s="13">
        <f>IF('Données projet'!$A$192&gt;35,EJ98+EI99-ER98,IF(A99&lt;'Données projet'!$A$192,$EG$205^A99,IF(A99='Données projet'!$A$192,'Données projet'!$B$192,EJ98+EI99-ER98)))</f>
        <v>359.23076923076945</v>
      </c>
      <c r="EK99" s="18">
        <f>EJ99*VLOOKUP('Données projet'!$B$15,Paramètres!$A$1:$I$89,3,0)*VLOOKUP('Données projet'!$B$15,Paramètres!$A$1:$I$89,5,0)</f>
        <v>375.46800000000025</v>
      </c>
      <c r="EL99" s="14">
        <f t="shared" si="99"/>
        <v>86.785007475774094</v>
      </c>
      <c r="EM99" s="22">
        <f t="shared" si="73"/>
        <v>805.09065468697361</v>
      </c>
      <c r="EN99" s="62">
        <f t="shared" si="74"/>
        <v>1098.423988020307</v>
      </c>
      <c r="EO99" s="62">
        <f ca="1">AVERAGE(OFFSET($EN$3,0,0,'Données projet'!$E$15+1,1))-AVERAGE(OFFSET($H$3,0,0,'Données projet'!$E$15+1,1))</f>
        <v>595.89992279024398</v>
      </c>
      <c r="EP99" s="62">
        <f t="shared" si="100"/>
        <v>378.16197659288338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>
        <f>EXP(-LN(2)/35)*EV98+(1-EXP(-LN(2)/35))/(LN(2)/35)*ER99*ES99*VLOOKUP('Données projet'!$B$15,Paramètres!$A$1:$I$89,3,0)*0.475*44/12</f>
        <v>0</v>
      </c>
      <c r="EW99" s="23">
        <f>EXP(-LN(2)/25)*EW98+(1-EXP(-LN(2)/25))/(LN(2)/25)*Calculateur!ER99*Calculateur!ET99*VLOOKUP('Données projet'!$B$15,Paramètres!$A$1:$I$89,3,0)*0.475*44/12</f>
        <v>0</v>
      </c>
      <c r="EX99" s="23">
        <f>EXP(-LN(2)/2)*EX98+(1-EXP(-LN(2)/2))/(LN(2)/2)*ER99*EU99*VLOOKUP('Données projet'!$B$15,Paramètres!$A$1:$I$89,3,0)*0.475*44/12</f>
        <v>0</v>
      </c>
      <c r="EY99" s="24">
        <f t="shared" si="75"/>
        <v>0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-2.2737367544323206E-13</v>
      </c>
      <c r="FF99" s="18">
        <f>FE99*VLOOKUP('Données projet'!$B$16,Paramètres!$A$1:$I$89,3,0)*VLOOKUP('Données projet'!$B$16,Paramètres!$A$1:$I$89,5,0)</f>
        <v>-1.3596945791505279E-13</v>
      </c>
      <c r="FG99" s="14" t="e">
        <f t="shared" si="101"/>
        <v>#NUM!</v>
      </c>
      <c r="FH99" s="22" t="e">
        <f t="shared" si="76"/>
        <v>#NUM!</v>
      </c>
      <c r="FI99" s="62" t="e">
        <f t="shared" si="77"/>
        <v>#NUM!</v>
      </c>
      <c r="FJ99" s="62">
        <f ca="1">AVERAGE(OFFSET($FI$3,0,0,'Données projet'!$E$16+1,1))-AVERAGE(OFFSET($H$3,0,0,'Données projet'!$E$16+1,1))</f>
        <v>257.56116197646924</v>
      </c>
      <c r="FK99" s="62">
        <f t="shared" si="102"/>
        <v>269.95556918835888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>
        <f>EXP(-LN(2)/35)*FQ98+(1-EXP(-LN(2)/35))/(LN(2)/35)*FM99*FN99*VLOOKUP('Données projet'!$B$16,Paramètres!$A$1:$I$89,3,0)*0.475*44/12</f>
        <v>3.9458803195732419</v>
      </c>
      <c r="FR99" s="23">
        <f>EXP(-LN(2)/25)*FR98+(1-EXP(-LN(2)/25))/(LN(2)/25)*Calculateur!FM99*Calculateur!FO99*VLOOKUP('Données projet'!$B$16,Paramètres!$A$1:$I$89,3,0)*0.475*44/12</f>
        <v>2.589804751647407</v>
      </c>
      <c r="FS99" s="23">
        <f>EXP(-LN(2)/2)*FS98+(1-EXP(-LN(2)/2))/(LN(2)/2)*FM99*FP99*VLOOKUP('Données projet'!$B$16,Paramètres!$A$1:$I$89,3,0)*0.475*44/12</f>
        <v>9.9582637450366552E-10</v>
      </c>
      <c r="FT99" s="24">
        <f t="shared" si="78"/>
        <v>6.5356850722164754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-2.8421709430404007E-13</v>
      </c>
      <c r="GA99" s="18">
        <f>FZ99*VLOOKUP('Données projet'!$B$17,Paramètres!$A$1:$I$89,3,0)*VLOOKUP('Données projet'!$B$17,Paramètres!$A$1:$I$89,5,0)</f>
        <v>-1.69961822393816E-13</v>
      </c>
      <c r="GB99" s="14" t="e">
        <f t="shared" si="103"/>
        <v>#NUM!</v>
      </c>
      <c r="GC99" s="22" t="e">
        <f t="shared" si="79"/>
        <v>#NUM!</v>
      </c>
      <c r="GD99" s="62" t="e">
        <f t="shared" si="80"/>
        <v>#NUM!</v>
      </c>
      <c r="GE99" s="62">
        <f ca="1">AVERAGE(OFFSET($GD$3,0,0,'Données projet'!$E$17+1,1))-AVERAGE(OFFSET($H$3,0,0,'Données projet'!$E$17+1,1))</f>
        <v>289.12367833861299</v>
      </c>
      <c r="GF99" s="62">
        <f t="shared" si="104"/>
        <v>229.06617320689003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>
        <f>EXP(-LN(2)/35)*GL98+(1-EXP(-LN(2)/35))/(LN(2)/35)*GH99*GI99*VLOOKUP('Données projet'!$B$17,Paramètres!$A$1:$I$89,3,0)*0.475*44/12</f>
        <v>0</v>
      </c>
      <c r="GM99" s="23">
        <f>EXP(-LN(2)/25)*GM98+(1-EXP(-LN(2)/25))/(LN(2)/25)*Calculateur!GH99*Calculateur!GJ99*VLOOKUP('Données projet'!$B$17,Paramètres!$A$1:$I$89,3,0)*0.475*44/12</f>
        <v>0</v>
      </c>
      <c r="GN99" s="23">
        <f>EXP(-LN(2)/2)*GN98+(1-EXP(-LN(2)/2))/(LN(2)/2)*GH99*GK99*VLOOKUP('Données projet'!$B$17,Paramètres!$A$1:$I$89,3,0)*0.475*44/12</f>
        <v>4.8275514017155504E-10</v>
      </c>
      <c r="GO99" s="23">
        <f t="shared" si="81"/>
        <v>4.8275514017155504E-10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8.7730769230769283</v>
      </c>
      <c r="GU99" s="13">
        <f>IF('Données projet'!$A$270&gt;35,GU98+GT99-HC98,IF(A99&lt;'Données projet'!$A$270,$GR$205^A99,IF(A99='Données projet'!$A$270,'Données projet'!$B$270,GU98+GT99-HC98)))</f>
        <v>389.5038461538461</v>
      </c>
      <c r="GV99" s="18">
        <f>GU99*VLOOKUP('Données projet'!$B$18,Paramètres!$A$1:$I$89,3,0)*VLOOKUP('Données projet'!$B$18,Paramètres!$A$1:$I$89,5,0)</f>
        <v>182.28779999999995</v>
      </c>
      <c r="GW99" s="14">
        <f t="shared" si="105"/>
        <v>45.830804771728936</v>
      </c>
      <c r="GX99" s="22">
        <f t="shared" si="82"/>
        <v>397.30656997742784</v>
      </c>
      <c r="GY99" s="62">
        <f t="shared" si="83"/>
        <v>690.63990331076116</v>
      </c>
      <c r="GZ99" s="62">
        <f ca="1">AVERAGE(OFFSET($GY$3,0,0,'Données projet'!$E$18+1,1))-AVERAGE(OFFSET($H$3,0,0,'Données projet'!$E$18+1,1))</f>
        <v>284.88646502866419</v>
      </c>
      <c r="HA99" s="62">
        <f t="shared" si="106"/>
        <v>190.4880882944471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>
        <f>EXP(-LN(2)/35)*HG98+(1-EXP(-LN(2)/35))/(LN(2)/35)*HC99*HD99*VLOOKUP('Données projet'!$B$18,Paramètres!$A$1:$I$89,3,0)*0.475*44/12</f>
        <v>0</v>
      </c>
      <c r="HH99" s="23">
        <f>EXP(-LN(2)/25)*HH98+(1-EXP(-LN(2)/25))/(LN(2)/25)*Calculateur!HC99*Calculateur!HE99*VLOOKUP('Données projet'!$B$18,Paramètres!$A$1:$I$89,3,0)*0.475*44/12</f>
        <v>0</v>
      </c>
      <c r="HI99" s="23">
        <f>EXP(-LN(2)/2)*HI98+(1-EXP(-LN(2)/2))/(LN(2)/2)*HC99*HF99*VLOOKUP('Données projet'!$B$18,Paramètres!$A$1:$I$89,3,0)*0.475*44/12</f>
        <v>0</v>
      </c>
      <c r="HJ99" s="24">
        <f t="shared" si="84"/>
        <v>0</v>
      </c>
    </row>
    <row r="100" spans="1:218" s="5" customFormat="1" x14ac:dyDescent="0.25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2">
        <f t="shared" si="86"/>
        <v>0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0</v>
      </c>
      <c r="H100" s="70">
        <f t="shared" si="56"/>
        <v>256.66666666666669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3.3333333333333313</v>
      </c>
      <c r="N100" s="14">
        <f>IF('Données projet'!$A$36&gt;35,N99+M100-V99,IF(A100&lt;'Données projet'!$A$36,$K$205^A100,IF(A100='Données projet'!$A$36,'Données projet'!$B$36,N99+M100-V99)))</f>
        <v>236.1538461538461</v>
      </c>
      <c r="O100" s="14">
        <f>N100*VLOOKUP('Données projet'!$B$9,Paramètres!$A$1:$I$89,3,0)*VLOOKUP('Données projet'!$B$9,Paramètres!$A$1:$I$89,5,0)</f>
        <v>224.72399999999993</v>
      </c>
      <c r="P100" s="14">
        <f t="shared" si="87"/>
        <v>55.140350790767556</v>
      </c>
      <c r="Q100" s="22">
        <f t="shared" si="107"/>
        <v>487.4304109605867</v>
      </c>
      <c r="R100" s="62">
        <f t="shared" si="55"/>
        <v>780.76374429392001</v>
      </c>
      <c r="S100" s="62">
        <f ca="1">AVERAGE(OFFSET($R$3,0,0,'Données projet'!$E$9+1,1))-AVERAGE(OFFSET($H$3,0,0,'Données projet'!$E$9+1,1))</f>
        <v>367.11183928586667</v>
      </c>
      <c r="T100" s="62">
        <f t="shared" si="88"/>
        <v>281.52963027844595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0</v>
      </c>
      <c r="AA100" s="23">
        <f>EXP(-LN(2)/25)*AA99+(1-EXP(-LN(2)/25))/(LN(2)/25)*Calculateur!V100*Calculateur!X100*VLOOKUP('Données projet'!$B$9,Paramètres!$A$1:$I$89,3,0)*0.475*44/12</f>
        <v>0</v>
      </c>
      <c r="AB100" s="23">
        <f>EXP(-LN(2)/2)*AB99+(1-EXP(-LN(2)/2))/(LN(2)/2)*V100*Y100*VLOOKUP('Données projet'!$B$9,Paramètres!$A$1:$I$89,3,0)*0.475*44/12</f>
        <v>0</v>
      </c>
      <c r="AC100" s="24">
        <f t="shared" si="57"/>
        <v>0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4.9000000000000004</v>
      </c>
      <c r="AI100" s="14">
        <f>IF('Données projet'!$A$62&gt;35,AI99+AH100-AQ99,IF(A100&lt;'Données projet'!$A$62,$AF$205^A100,IF(A100='Données projet'!$A$62,'Données projet'!$B$62,AI99+AH100-AQ99)))</f>
        <v>288.2999999999999</v>
      </c>
      <c r="AJ100" s="14">
        <f>AI100*VLOOKUP('Données projet'!$B$10,Paramètres!$A$1:$I$89,3,0)*VLOOKUP('Données projet'!$B$10,Paramètres!$A$1:$I$89,5,0)</f>
        <v>260.85383999999993</v>
      </c>
      <c r="AK100" s="14">
        <f t="shared" si="89"/>
        <v>62.904347395903763</v>
      </c>
      <c r="AL100" s="22">
        <f t="shared" si="58"/>
        <v>563.87884304786564</v>
      </c>
      <c r="AM100" s="62">
        <f t="shared" si="59"/>
        <v>857.21217638119901</v>
      </c>
      <c r="AN100" s="62">
        <f ca="1">AVERAGE(OFFSET($AM$3,0,0,'Données projet'!$E$10+1,1))-AVERAGE(OFFSET($H$3,0,0,'Données projet'!$E$10+1,1))</f>
        <v>428.8489304403459</v>
      </c>
      <c r="AO100" s="62">
        <f t="shared" si="90"/>
        <v>247.01165577562966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0</v>
      </c>
      <c r="AV100" s="23">
        <f>EXP(-LN(2)/25)*AV99+(1-EXP(-LN(2)/25))/(LN(2)/25)*Calculateur!AQ100*Calculateur!AS100*VLOOKUP('Données projet'!$B$10,Paramètres!$A$1:$I$89,3,0)*0.475*44/12</f>
        <v>0</v>
      </c>
      <c r="AW100" s="23">
        <f>EXP(-LN(2)/2)*AW99+(1-EXP(-LN(2)/2))/(LN(2)/2)*AQ100*AT100*VLOOKUP('Données projet'!$B$10,Paramètres!$A$1:$I$89,3,0)*0.475*44/12</f>
        <v>0</v>
      </c>
      <c r="AX100" s="23">
        <f t="shared" si="60"/>
        <v>0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4.9000000000000004</v>
      </c>
      <c r="BD100" s="13">
        <f>IF('Données projet'!$A$88&gt;35,BD99+BC100-BL99,IF(A100&lt;'Données projet'!$A$88,$BA$205^A100,IF(A100='Données projet'!$A$88,'Données projet'!$B$88,BD99+BC100-BL99)))</f>
        <v>288.2999999999999</v>
      </c>
      <c r="BE100" s="14">
        <f>BD100*VLOOKUP('Données projet'!$B$11,Paramètres!$A$1:$I$89,3,0)*VLOOKUP('Données projet'!$B$11,Paramètres!$A$1:$I$89,5,0)</f>
        <v>292.33619999999996</v>
      </c>
      <c r="BF100" s="14">
        <f t="shared" si="91"/>
        <v>69.56742490962327</v>
      </c>
      <c r="BG100" s="22">
        <f t="shared" si="61"/>
        <v>630.31548005092702</v>
      </c>
      <c r="BH100" s="62">
        <f t="shared" si="62"/>
        <v>923.64881338426039</v>
      </c>
      <c r="BI100" s="62">
        <f ca="1">AVERAGE(OFFSET($BH$3,0,0,'Données projet'!$E$11+1,1))-AVERAGE(OFFSET($H$3,0,0,'Données projet'!$E$11+1,1))</f>
        <v>475.47920969424894</v>
      </c>
      <c r="BJ100" s="62">
        <f t="shared" si="92"/>
        <v>271.73544012419364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>
        <f>EXP(-LN(2)/35)*BP99+(1-EXP(-LN(2)/35))/(LN(2)/35)*BL100*BM100*VLOOKUP('Données projet'!$B$11,Paramètres!$A$1:$I$89,3,0)*0.475*44/12</f>
        <v>0</v>
      </c>
      <c r="BQ100" s="23">
        <f>EXP(-LN(2)/25)*BQ99+(1-EXP(-LN(2)/25))/(LN(2)/25)*Calculateur!BL100*Calculateur!BN100*VLOOKUP('Données projet'!$B$11,Paramètres!$A$1:$I$89,3,0)*0.475*44/12</f>
        <v>0</v>
      </c>
      <c r="BR100" s="23">
        <f>EXP(-LN(2)/2)*BR99+(1-EXP(-LN(2)/2))/(LN(2)/2)*BL100*BO100*VLOOKUP('Données projet'!$B$11,Paramètres!$A$1:$I$89,3,0)*0.475*44/12</f>
        <v>0</v>
      </c>
      <c r="BS100" s="24">
        <f t="shared" si="63"/>
        <v>0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2.2737367544323206E-13</v>
      </c>
      <c r="BZ100" s="14">
        <f>BY100*VLOOKUP('Données projet'!$B$12,Paramètres!$A$1:$I$89,3,0)*VLOOKUP('Données projet'!$B$12,Paramètres!$A$1:$I$89,5,0)</f>
        <v>1.2710188457276673E-13</v>
      </c>
      <c r="CA100" s="14">
        <f t="shared" si="93"/>
        <v>1.856866851063998E-12</v>
      </c>
      <c r="CB100" s="22">
        <f t="shared" si="64"/>
        <v>3.4554122145673649E-12</v>
      </c>
      <c r="CC100" s="62">
        <f t="shared" si="65"/>
        <v>293.33333333333678</v>
      </c>
      <c r="CD100" s="62">
        <f ca="1">AVERAGE(OFFSET($CC$3,0,0,'Données projet'!$E$12+1,1))-AVERAGE(OFFSET($H$3,0,0,'Données projet'!$E$12+1,1))</f>
        <v>323.98185264074681</v>
      </c>
      <c r="CE100" s="62">
        <f t="shared" si="94"/>
        <v>301.22207291854005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>
        <f>EXP(-LN(2)/35)*CK99+(1-EXP(-LN(2)/35))/(LN(2)/35)*CG100*CH100*VLOOKUP('Données projet'!$B$12,Paramètres!$A$1:$I$89,3,0)*0.475*44/12</f>
        <v>1.1838682956753446</v>
      </c>
      <c r="CL100" s="23">
        <f>EXP(-LN(2)/25)*CL99+(1-EXP(-LN(2)/25))/(LN(2)/25)*Calculateur!CG100*Calculateur!CI100*VLOOKUP('Données projet'!$B$12,Paramètres!$A$1:$I$89,3,0)*0.475*44/12</f>
        <v>1.2869195109884555</v>
      </c>
      <c r="CM100" s="23">
        <f>EXP(-LN(2)/2)*CM99+(1-EXP(-LN(2)/2))/(LN(2)/2)*CG100*CJ100*VLOOKUP('Données projet'!$B$12,Paramètres!$A$1:$I$89,3,0)*0.475*44/12</f>
        <v>5.0113649797440188E-10</v>
      </c>
      <c r="CN100" s="24">
        <f t="shared" si="66"/>
        <v>2.4707878071649367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3.7</v>
      </c>
      <c r="CT100" s="13">
        <f>IF('Données projet'!$A$140&gt;35,CT99+CS100-DB99,IF(A100&lt;'Données projet'!$A$140,$CQ$205^A100,IF(A100='Données projet'!$A$140,'Données projet'!$B$140,CT99+CS100-DB99)))</f>
        <v>218.89999999999986</v>
      </c>
      <c r="CU100" s="18">
        <f>CT100*VLOOKUP('Données projet'!$B$13,Paramètres!$A$1:$I$89,3,0)*VLOOKUP('Données projet'!$B$13,Paramètres!$A$1:$I$89,5,0)</f>
        <v>249.28331999999983</v>
      </c>
      <c r="CV100" s="14">
        <f t="shared" si="95"/>
        <v>60.432448984705822</v>
      </c>
      <c r="CW100" s="22">
        <f t="shared" si="67"/>
        <v>539.42163098169567</v>
      </c>
      <c r="CX100" s="62">
        <f t="shared" si="68"/>
        <v>832.75496431502893</v>
      </c>
      <c r="CY100" s="62">
        <f ca="1">AVERAGE(OFFSET($CX$3,0,0,'Données projet'!$E$13+1,1))-AVERAGE(OFFSET($H$3,0,0,'Données projet'!$E$13+1,1))</f>
        <v>399.78832690250164</v>
      </c>
      <c r="CZ100" s="62">
        <f t="shared" si="96"/>
        <v>174.32967064896343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>
        <f>EXP(-LN(2)/35)*DF99+(1-EXP(-LN(2)/35))/(LN(2)/35)*DB100*DC100*VLOOKUP('Données projet'!$B$13,Paramètres!$A$1:$I$89,3,0)*0.475*44/12</f>
        <v>0</v>
      </c>
      <c r="DG100" s="23">
        <f>EXP(-LN(2)/25)*DG99+(1-EXP(-LN(2)/25))/(LN(2)/25)*Calculateur!DB100*Calculateur!DD100*VLOOKUP('Données projet'!$B$13,Paramètres!$A$1:$I$89,3,0)*0.475*44/12</f>
        <v>0</v>
      </c>
      <c r="DH100" s="23">
        <f>EXP(-LN(2)/2)*DH99+(1-EXP(-LN(2)/2))/(LN(2)/2)*DB100*DE100*VLOOKUP('Données projet'!$B$13,Paramètres!$A$1:$I$89,3,0)*0.475*44/12</f>
        <v>0</v>
      </c>
      <c r="DI100" s="24">
        <f t="shared" si="69"/>
        <v>0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4.9000000000000004</v>
      </c>
      <c r="DO100" s="13">
        <f>IF('Données projet'!$A$166&gt;35,DO99+DN100-DW99,IF(A100&lt;'Données projet'!$A$166,$DL$205^A100,IF(A100='Données projet'!$A$166,'Données projet'!$B$166,DO99+DN100-DW99)))</f>
        <v>288.2999999999999</v>
      </c>
      <c r="DP100" s="18">
        <f>DO100*VLOOKUP('Données projet'!$B$14,Paramètres!$A$1:$I$89,3,0)*VLOOKUP('Données projet'!$B$14,Paramètres!$A$1:$I$89,5,0)</f>
        <v>242.86391999999995</v>
      </c>
      <c r="DQ100" s="14">
        <f t="shared" si="97"/>
        <v>59.055290768146357</v>
      </c>
      <c r="DR100" s="22">
        <f t="shared" si="70"/>
        <v>525.84262542118813</v>
      </c>
      <c r="DS100" s="62">
        <f t="shared" si="71"/>
        <v>819.17595875452139</v>
      </c>
      <c r="DT100" s="62">
        <f ca="1">AVERAGE(OFFSET($DS$3,0,0,'Données projet'!$E$14+1,1))-AVERAGE(OFFSET($H$3,0,0,'Données projet'!$E$14+1,1))</f>
        <v>402.15128814037058</v>
      </c>
      <c r="DU100" s="62">
        <f t="shared" si="98"/>
        <v>232.85411068442738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>
        <f>EXP(-LN(2)/35)*EA99+(1-EXP(-LN(2)/35))/(LN(2)/35)*DW100*DX100*VLOOKUP('Données projet'!$B$14,Paramètres!$A$1:$I$89,3,0)*0.475*44/12</f>
        <v>0</v>
      </c>
      <c r="EB100" s="23">
        <f>EXP(-LN(2)/25)*EB99+(1-EXP(-LN(2)/25))/(LN(2)/25)*Calculateur!DW100*Calculateur!DY100*VLOOKUP('Données projet'!$B$14,Paramètres!$A$1:$I$89,3,0)*0.475*44/12</f>
        <v>0</v>
      </c>
      <c r="EC100" s="23">
        <f>EXP(-LN(2)/2)*EC99+(1-EXP(-LN(2)/2))/(LN(2)/2)*DW100*DZ100*VLOOKUP('Données projet'!$B$14,Paramètres!$A$1:$I$89,3,0)*0.475*44/12</f>
        <v>0</v>
      </c>
      <c r="ED100" s="24">
        <f t="shared" si="72"/>
        <v>0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4.1025641025640995</v>
      </c>
      <c r="EJ100" s="13">
        <f>IF('Données projet'!$A$192&gt;35,EJ99+EI100-ER99,IF(A100&lt;'Données projet'!$A$192,$EG$205^A100,IF(A100='Données projet'!$A$192,'Données projet'!$B$192,EJ99+EI100-ER99)))</f>
        <v>363.33333333333354</v>
      </c>
      <c r="EK100" s="18">
        <f>EJ100*VLOOKUP('Données projet'!$B$15,Paramètres!$A$1:$I$89,3,0)*VLOOKUP('Données projet'!$B$15,Paramètres!$A$1:$I$89,5,0)</f>
        <v>379.75600000000026</v>
      </c>
      <c r="EL100" s="14">
        <f t="shared" si="99"/>
        <v>87.660182111279411</v>
      </c>
      <c r="EM100" s="22">
        <f t="shared" si="73"/>
        <v>814.08318384381209</v>
      </c>
      <c r="EN100" s="62">
        <f t="shared" si="74"/>
        <v>1107.4165171771454</v>
      </c>
      <c r="EO100" s="62">
        <f ca="1">AVERAGE(OFFSET($EN$3,0,0,'Données projet'!$E$15+1,1))-AVERAGE(OFFSET($H$3,0,0,'Données projet'!$E$15+1,1))</f>
        <v>595.89992279024398</v>
      </c>
      <c r="EP100" s="62">
        <f t="shared" si="100"/>
        <v>378.16197659288338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>
        <f>EXP(-LN(2)/35)*EV99+(1-EXP(-LN(2)/35))/(LN(2)/35)*ER100*ES100*VLOOKUP('Données projet'!$B$15,Paramètres!$A$1:$I$89,3,0)*0.475*44/12</f>
        <v>0</v>
      </c>
      <c r="EW100" s="23">
        <f>EXP(-LN(2)/25)*EW99+(1-EXP(-LN(2)/25))/(LN(2)/25)*Calculateur!ER100*Calculateur!ET100*VLOOKUP('Données projet'!$B$15,Paramètres!$A$1:$I$89,3,0)*0.475*44/12</f>
        <v>0</v>
      </c>
      <c r="EX100" s="23">
        <f>EXP(-LN(2)/2)*EX99+(1-EXP(-LN(2)/2))/(LN(2)/2)*ER100*EU100*VLOOKUP('Données projet'!$B$15,Paramètres!$A$1:$I$89,3,0)*0.475*44/12</f>
        <v>0</v>
      </c>
      <c r="EY100" s="24">
        <f t="shared" si="75"/>
        <v>0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-2.2737367544323206E-13</v>
      </c>
      <c r="FF100" s="18">
        <f>FE100*VLOOKUP('Données projet'!$B$16,Paramètres!$A$1:$I$89,3,0)*VLOOKUP('Données projet'!$B$16,Paramètres!$A$1:$I$89,5,0)</f>
        <v>-1.3596945791505279E-13</v>
      </c>
      <c r="FG100" s="14" t="e">
        <f t="shared" si="101"/>
        <v>#NUM!</v>
      </c>
      <c r="FH100" s="22" t="e">
        <f t="shared" si="76"/>
        <v>#NUM!</v>
      </c>
      <c r="FI100" s="62" t="e">
        <f t="shared" si="77"/>
        <v>#NUM!</v>
      </c>
      <c r="FJ100" s="62">
        <f ca="1">AVERAGE(OFFSET($FI$3,0,0,'Données projet'!$E$16+1,1))-AVERAGE(OFFSET($H$3,0,0,'Données projet'!$E$16+1,1))</f>
        <v>257.56116197646924</v>
      </c>
      <c r="FK100" s="62">
        <f t="shared" si="102"/>
        <v>269.95556918835888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>
        <f>EXP(-LN(2)/35)*FQ99+(1-EXP(-LN(2)/35))/(LN(2)/35)*FM100*FN100*VLOOKUP('Données projet'!$B$16,Paramètres!$A$1:$I$89,3,0)*0.475*44/12</f>
        <v>3.8685040132557589</v>
      </c>
      <c r="FR100" s="23">
        <f>EXP(-LN(2)/25)*FR99+(1-EXP(-LN(2)/25))/(LN(2)/25)*Calculateur!FM100*Calculateur!FO100*VLOOKUP('Données projet'!$B$16,Paramètres!$A$1:$I$89,3,0)*0.475*44/12</f>
        <v>2.5189864045216956</v>
      </c>
      <c r="FS100" s="23">
        <f>EXP(-LN(2)/2)*FS99+(1-EXP(-LN(2)/2))/(LN(2)/2)*FM100*FP100*VLOOKUP('Données projet'!$B$16,Paramètres!$A$1:$I$89,3,0)*0.475*44/12</f>
        <v>7.0415558229595635E-10</v>
      </c>
      <c r="FT100" s="24">
        <f t="shared" si="78"/>
        <v>6.3874904184816108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-2.8421709430404007E-13</v>
      </c>
      <c r="GA100" s="18">
        <f>FZ100*VLOOKUP('Données projet'!$B$17,Paramètres!$A$1:$I$89,3,0)*VLOOKUP('Données projet'!$B$17,Paramètres!$A$1:$I$89,5,0)</f>
        <v>-1.69961822393816E-13</v>
      </c>
      <c r="GB100" s="14" t="e">
        <f t="shared" si="103"/>
        <v>#NUM!</v>
      </c>
      <c r="GC100" s="22" t="e">
        <f t="shared" si="79"/>
        <v>#NUM!</v>
      </c>
      <c r="GD100" s="62" t="e">
        <f t="shared" si="80"/>
        <v>#NUM!</v>
      </c>
      <c r="GE100" s="62">
        <f ca="1">AVERAGE(OFFSET($GD$3,0,0,'Données projet'!$E$17+1,1))-AVERAGE(OFFSET($H$3,0,0,'Données projet'!$E$17+1,1))</f>
        <v>289.12367833861299</v>
      </c>
      <c r="GF100" s="62">
        <f t="shared" si="104"/>
        <v>229.06617320689003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>
        <f>EXP(-LN(2)/35)*GL99+(1-EXP(-LN(2)/35))/(LN(2)/35)*GH100*GI100*VLOOKUP('Données projet'!$B$17,Paramètres!$A$1:$I$89,3,0)*0.475*44/12</f>
        <v>0</v>
      </c>
      <c r="GM100" s="23">
        <f>EXP(-LN(2)/25)*GM99+(1-EXP(-LN(2)/25))/(LN(2)/25)*Calculateur!GH100*Calculateur!GJ100*VLOOKUP('Données projet'!$B$17,Paramètres!$A$1:$I$89,3,0)*0.475*44/12</f>
        <v>0</v>
      </c>
      <c r="GN100" s="23">
        <f>EXP(-LN(2)/2)*GN99+(1-EXP(-LN(2)/2))/(LN(2)/2)*GH100*GK100*VLOOKUP('Données projet'!$B$17,Paramètres!$A$1:$I$89,3,0)*0.475*44/12</f>
        <v>3.4135943326796886E-10</v>
      </c>
      <c r="GO100" s="23">
        <f t="shared" si="81"/>
        <v>3.4135943326796886E-10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>
        <f>VLOOKUP(A100,'Données projet'!$A$269:$I$289,2,0)</f>
        <v>398.27692307692308</v>
      </c>
      <c r="GS100" s="13">
        <f>VLOOKUP(A100,'Données projet'!$A$269:$I$289,9,0)</f>
        <v>8.7730769230769283</v>
      </c>
      <c r="GT100" s="13">
        <f t="array" ref="GT100">INDEX(GS:GS,MIN(IF(ISNUMBER(GS100:GS296),ROW(GS100:GS296),"")))</f>
        <v>8.7730769230769283</v>
      </c>
      <c r="GU100" s="13">
        <f>IF('Données projet'!$A$270&gt;35,GU99+GT100-HC99,IF(A100&lt;'Données projet'!$A$270,$GR$205^A100,IF(A100='Données projet'!$A$270,'Données projet'!$B$270,GU99+GT100-HC99)))</f>
        <v>398.27692307692303</v>
      </c>
      <c r="GV100" s="18">
        <f>GU100*VLOOKUP('Données projet'!$B$18,Paramètres!$A$1:$I$89,3,0)*VLOOKUP('Données projet'!$B$18,Paramètres!$A$1:$I$89,5,0)</f>
        <v>186.39359999999999</v>
      </c>
      <c r="GW100" s="14">
        <f t="shared" si="105"/>
        <v>46.741741929451358</v>
      </c>
      <c r="GX100" s="22">
        <f t="shared" si="82"/>
        <v>406.04405386046113</v>
      </c>
      <c r="GY100" s="62">
        <f t="shared" si="83"/>
        <v>699.37738719379445</v>
      </c>
      <c r="GZ100" s="62">
        <f ca="1">AVERAGE(OFFSET($GY$3,0,0,'Données projet'!$E$18+1,1))-AVERAGE(OFFSET($H$3,0,0,'Données projet'!$E$18+1,1))</f>
        <v>284.88646502866419</v>
      </c>
      <c r="HA100" s="62">
        <f t="shared" si="106"/>
        <v>190.4880882944471</v>
      </c>
      <c r="HB100" s="16">
        <f>IF(ISNA(VLOOKUP(A100,'Données projet'!$A$269:$I$289,3,0)),0,VLOOKUP(A100,'Données projet'!$A$269:$I$289,3,0))</f>
        <v>5</v>
      </c>
      <c r="HC100" s="16">
        <f>IF(ISNA(VLOOKUP(A100,'Données projet'!$A$269:$I$289,4,0)),0,VLOOKUP(A100,'Données projet'!$A$269:$I$289,4,0))</f>
        <v>79.669230769230765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>
        <f>EXP(-LN(2)/35)*HG99+(1-EXP(-LN(2)/35))/(LN(2)/35)*HC100*HD100*VLOOKUP('Données projet'!$B$18,Paramètres!$A$1:$I$89,3,0)*0.475*44/12</f>
        <v>0</v>
      </c>
      <c r="HH100" s="23">
        <f>EXP(-LN(2)/25)*HH99+(1-EXP(-LN(2)/25))/(LN(2)/25)*Calculateur!HC100*Calculateur!HE100*VLOOKUP('Données projet'!$B$18,Paramètres!$A$1:$I$89,3,0)*0.475*44/12</f>
        <v>0</v>
      </c>
      <c r="HI100" s="23">
        <f>EXP(-LN(2)/2)*HI99+(1-EXP(-LN(2)/2))/(LN(2)/2)*HC100*HF100*VLOOKUP('Données projet'!$B$18,Paramètres!$A$1:$I$89,3,0)*0.475*44/12</f>
        <v>0</v>
      </c>
      <c r="HJ100" s="24">
        <f t="shared" si="84"/>
        <v>0</v>
      </c>
    </row>
    <row r="101" spans="1:218" s="5" customFormat="1" x14ac:dyDescent="0.25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2">
        <f t="shared" si="86"/>
        <v>0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0</v>
      </c>
      <c r="H101" s="70">
        <f t="shared" si="56"/>
        <v>256.66666666666669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3.3333333333333313</v>
      </c>
      <c r="N101" s="14">
        <f>IF('Données projet'!$A$36&gt;35,N100+M101-V100,IF(A101&lt;'Données projet'!$A$36,$K$205^A101,IF(A101='Données projet'!$A$36,'Données projet'!$B$36,N100+M101-V100)))</f>
        <v>239.48717948717945</v>
      </c>
      <c r="O101" s="14">
        <f>N101*VLOOKUP('Données projet'!$B$9,Paramètres!$A$1:$I$89,3,0)*VLOOKUP('Données projet'!$B$9,Paramètres!$A$1:$I$89,5,0)</f>
        <v>227.89599999999999</v>
      </c>
      <c r="P101" s="14">
        <f t="shared" si="87"/>
        <v>55.827504502630809</v>
      </c>
      <c r="Q101" s="22">
        <f t="shared" si="107"/>
        <v>494.15177034208205</v>
      </c>
      <c r="R101" s="62">
        <f t="shared" si="55"/>
        <v>787.4851036754153</v>
      </c>
      <c r="S101" s="62">
        <f ca="1">AVERAGE(OFFSET($R$3,0,0,'Données projet'!$E$9+1,1))-AVERAGE(OFFSET($H$3,0,0,'Données projet'!$E$9+1,1))</f>
        <v>367.11183928586667</v>
      </c>
      <c r="T101" s="62">
        <f t="shared" si="88"/>
        <v>281.52963027844595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0</v>
      </c>
      <c r="AA101" s="23">
        <f>EXP(-LN(2)/25)*AA100+(1-EXP(-LN(2)/25))/(LN(2)/25)*Calculateur!V101*Calculateur!X101*VLOOKUP('Données projet'!$B$9,Paramètres!$A$1:$I$89,3,0)*0.475*44/12</f>
        <v>0</v>
      </c>
      <c r="AB101" s="23">
        <f>EXP(-LN(2)/2)*AB100+(1-EXP(-LN(2)/2))/(LN(2)/2)*V101*Y101*VLOOKUP('Données projet'!$B$9,Paramètres!$A$1:$I$89,3,0)*0.475*44/12</f>
        <v>0</v>
      </c>
      <c r="AC101" s="24">
        <f t="shared" si="57"/>
        <v>0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4.9000000000000004</v>
      </c>
      <c r="AI101" s="14">
        <f>IF('Données projet'!$A$62&gt;35,AI100+AH101-AQ100,IF(A101&lt;'Données projet'!$A$62,$AF$205^A101,IF(A101='Données projet'!$A$62,'Données projet'!$B$62,AI100+AH101-AQ100)))</f>
        <v>293.19999999999987</v>
      </c>
      <c r="AJ101" s="14">
        <f>AI101*VLOOKUP('Données projet'!$B$10,Paramètres!$A$1:$I$89,3,0)*VLOOKUP('Données projet'!$B$10,Paramètres!$A$1:$I$89,5,0)</f>
        <v>265.28735999999992</v>
      </c>
      <c r="AK101" s="14">
        <f t="shared" si="89"/>
        <v>63.84810550096995</v>
      </c>
      <c r="AL101" s="22">
        <f t="shared" si="58"/>
        <v>573.24426908085582</v>
      </c>
      <c r="AM101" s="62">
        <f t="shared" si="59"/>
        <v>866.57760241418919</v>
      </c>
      <c r="AN101" s="62">
        <f ca="1">AVERAGE(OFFSET($AM$3,0,0,'Données projet'!$E$10+1,1))-AVERAGE(OFFSET($H$3,0,0,'Données projet'!$E$10+1,1))</f>
        <v>428.8489304403459</v>
      </c>
      <c r="AO101" s="62">
        <f t="shared" si="90"/>
        <v>247.01165577562966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0</v>
      </c>
      <c r="AV101" s="23">
        <f>EXP(-LN(2)/25)*AV100+(1-EXP(-LN(2)/25))/(LN(2)/25)*Calculateur!AQ101*Calculateur!AS101*VLOOKUP('Données projet'!$B$10,Paramètres!$A$1:$I$89,3,0)*0.475*44/12</f>
        <v>0</v>
      </c>
      <c r="AW101" s="23">
        <f>EXP(-LN(2)/2)*AW100+(1-EXP(-LN(2)/2))/(LN(2)/2)*AQ101*AT101*VLOOKUP('Données projet'!$B$10,Paramètres!$A$1:$I$89,3,0)*0.475*44/12</f>
        <v>0</v>
      </c>
      <c r="AX101" s="23">
        <f t="shared" si="60"/>
        <v>0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4.9000000000000004</v>
      </c>
      <c r="BD101" s="13">
        <f>IF('Données projet'!$A$88&gt;35,BD100+BC101-BL100,IF(A101&lt;'Données projet'!$A$88,$BA$205^A101,IF(A101='Données projet'!$A$88,'Données projet'!$B$88,BD100+BC101-BL100)))</f>
        <v>293.19999999999987</v>
      </c>
      <c r="BE101" s="14">
        <f>BD101*VLOOKUP('Données projet'!$B$11,Paramètres!$A$1:$I$89,3,0)*VLOOKUP('Données projet'!$B$11,Paramètres!$A$1:$I$89,5,0)</f>
        <v>297.30479999999989</v>
      </c>
      <c r="BF101" s="14">
        <f t="shared" si="91"/>
        <v>70.611149609504906</v>
      </c>
      <c r="BG101" s="22">
        <f t="shared" si="61"/>
        <v>640.78694556988739</v>
      </c>
      <c r="BH101" s="62">
        <f t="shared" si="62"/>
        <v>934.12027890322065</v>
      </c>
      <c r="BI101" s="62">
        <f ca="1">AVERAGE(OFFSET($BH$3,0,0,'Données projet'!$E$11+1,1))-AVERAGE(OFFSET($H$3,0,0,'Données projet'!$E$11+1,1))</f>
        <v>475.47920969424894</v>
      </c>
      <c r="BJ101" s="62">
        <f t="shared" si="92"/>
        <v>271.73544012419364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>
        <f>EXP(-LN(2)/35)*BP100+(1-EXP(-LN(2)/35))/(LN(2)/35)*BL101*BM101*VLOOKUP('Données projet'!$B$11,Paramètres!$A$1:$I$89,3,0)*0.475*44/12</f>
        <v>0</v>
      </c>
      <c r="BQ101" s="23">
        <f>EXP(-LN(2)/25)*BQ100+(1-EXP(-LN(2)/25))/(LN(2)/25)*Calculateur!BL101*Calculateur!BN101*VLOOKUP('Données projet'!$B$11,Paramètres!$A$1:$I$89,3,0)*0.475*44/12</f>
        <v>0</v>
      </c>
      <c r="BR101" s="23">
        <f>EXP(-LN(2)/2)*BR100+(1-EXP(-LN(2)/2))/(LN(2)/2)*BL101*BO101*VLOOKUP('Données projet'!$B$11,Paramètres!$A$1:$I$89,3,0)*0.475*44/12</f>
        <v>0</v>
      </c>
      <c r="BS101" s="24">
        <f t="shared" si="63"/>
        <v>0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2.2737367544323206E-13</v>
      </c>
      <c r="BZ101" s="14">
        <f>BY101*VLOOKUP('Données projet'!$B$12,Paramètres!$A$1:$I$89,3,0)*VLOOKUP('Données projet'!$B$12,Paramètres!$A$1:$I$89,5,0)</f>
        <v>1.2710188457276673E-13</v>
      </c>
      <c r="CA101" s="14">
        <f t="shared" si="93"/>
        <v>1.856866851063998E-12</v>
      </c>
      <c r="CB101" s="22">
        <f t="shared" si="64"/>
        <v>3.4554122145673649E-12</v>
      </c>
      <c r="CC101" s="62">
        <f t="shared" si="65"/>
        <v>293.33333333333678</v>
      </c>
      <c r="CD101" s="62">
        <f ca="1">AVERAGE(OFFSET($CC$3,0,0,'Données projet'!$E$12+1,1))-AVERAGE(OFFSET($H$3,0,0,'Données projet'!$E$12+1,1))</f>
        <v>323.98185264074681</v>
      </c>
      <c r="CE101" s="62">
        <f t="shared" si="94"/>
        <v>301.22207291854005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>
        <f>EXP(-LN(2)/35)*CK100+(1-EXP(-LN(2)/35))/(LN(2)/35)*CG101*CH101*VLOOKUP('Données projet'!$B$12,Paramètres!$A$1:$I$89,3,0)*0.475*44/12</f>
        <v>1.1606533604855112</v>
      </c>
      <c r="CL101" s="23">
        <f>EXP(-LN(2)/25)*CL100+(1-EXP(-LN(2)/25))/(LN(2)/25)*Calculateur!CG101*Calculateur!CI101*VLOOKUP('Données projet'!$B$12,Paramètres!$A$1:$I$89,3,0)*0.475*44/12</f>
        <v>1.2517286292843204</v>
      </c>
      <c r="CM101" s="23">
        <f>EXP(-LN(2)/2)*CM100+(1-EXP(-LN(2)/2))/(LN(2)/2)*CG101*CJ101*VLOOKUP('Données projet'!$B$12,Paramètres!$A$1:$I$89,3,0)*0.475*44/12</f>
        <v>3.5435701601777812E-10</v>
      </c>
      <c r="CN101" s="24">
        <f t="shared" si="66"/>
        <v>2.4123819901241883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3.7</v>
      </c>
      <c r="CT101" s="13">
        <f>IF('Données projet'!$A$140&gt;35,CT100+CS101-DB100,IF(A101&lt;'Données projet'!$A$140,$CQ$205^A101,IF(A101='Données projet'!$A$140,'Données projet'!$B$140,CT100+CS101-DB100)))</f>
        <v>222.59999999999985</v>
      </c>
      <c r="CU101" s="18">
        <f>CT101*VLOOKUP('Données projet'!$B$13,Paramètres!$A$1:$I$89,3,0)*VLOOKUP('Données projet'!$B$13,Paramètres!$A$1:$I$89,5,0)</f>
        <v>253.49687999999981</v>
      </c>
      <c r="CV101" s="14">
        <f t="shared" si="95"/>
        <v>61.334138641955079</v>
      </c>
      <c r="CW101" s="22">
        <f t="shared" si="67"/>
        <v>548.33069080140467</v>
      </c>
      <c r="CX101" s="62">
        <f t="shared" si="68"/>
        <v>841.66402413473793</v>
      </c>
      <c r="CY101" s="62">
        <f ca="1">AVERAGE(OFFSET($CX$3,0,0,'Données projet'!$E$13+1,1))-AVERAGE(OFFSET($H$3,0,0,'Données projet'!$E$13+1,1))</f>
        <v>399.78832690250164</v>
      </c>
      <c r="CZ101" s="62">
        <f t="shared" si="96"/>
        <v>174.32967064896343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>
        <f>EXP(-LN(2)/35)*DF100+(1-EXP(-LN(2)/35))/(LN(2)/35)*DB101*DC101*VLOOKUP('Données projet'!$B$13,Paramètres!$A$1:$I$89,3,0)*0.475*44/12</f>
        <v>0</v>
      </c>
      <c r="DG101" s="23">
        <f>EXP(-LN(2)/25)*DG100+(1-EXP(-LN(2)/25))/(LN(2)/25)*Calculateur!DB101*Calculateur!DD101*VLOOKUP('Données projet'!$B$13,Paramètres!$A$1:$I$89,3,0)*0.475*44/12</f>
        <v>0</v>
      </c>
      <c r="DH101" s="23">
        <f>EXP(-LN(2)/2)*DH100+(1-EXP(-LN(2)/2))/(LN(2)/2)*DB101*DE101*VLOOKUP('Données projet'!$B$13,Paramètres!$A$1:$I$89,3,0)*0.475*44/12</f>
        <v>0</v>
      </c>
      <c r="DI101" s="24">
        <f t="shared" si="69"/>
        <v>0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4.9000000000000004</v>
      </c>
      <c r="DO101" s="13">
        <f>IF('Données projet'!$A$166&gt;35,DO100+DN101-DW100,IF(A101&lt;'Données projet'!$A$166,$DL$205^A101,IF(A101='Données projet'!$A$166,'Données projet'!$B$166,DO100+DN101-DW100)))</f>
        <v>293.19999999999987</v>
      </c>
      <c r="DP101" s="18">
        <f>DO101*VLOOKUP('Données projet'!$B$14,Paramètres!$A$1:$I$89,3,0)*VLOOKUP('Données projet'!$B$14,Paramètres!$A$1:$I$89,5,0)</f>
        <v>246.99167999999992</v>
      </c>
      <c r="DQ101" s="14">
        <f t="shared" si="97"/>
        <v>59.941301220789747</v>
      </c>
      <c r="DR101" s="22">
        <f t="shared" si="70"/>
        <v>534.57494229287533</v>
      </c>
      <c r="DS101" s="62">
        <f t="shared" si="71"/>
        <v>827.90827562620871</v>
      </c>
      <c r="DT101" s="62">
        <f ca="1">AVERAGE(OFFSET($DS$3,0,0,'Données projet'!$E$14+1,1))-AVERAGE(OFFSET($H$3,0,0,'Données projet'!$E$14+1,1))</f>
        <v>402.15128814037058</v>
      </c>
      <c r="DU101" s="62">
        <f t="shared" si="98"/>
        <v>232.85411068442738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>
        <f>EXP(-LN(2)/35)*EA100+(1-EXP(-LN(2)/35))/(LN(2)/35)*DW101*DX101*VLOOKUP('Données projet'!$B$14,Paramètres!$A$1:$I$89,3,0)*0.475*44/12</f>
        <v>0</v>
      </c>
      <c r="EB101" s="23">
        <f>EXP(-LN(2)/25)*EB100+(1-EXP(-LN(2)/25))/(LN(2)/25)*Calculateur!DW101*Calculateur!DY101*VLOOKUP('Données projet'!$B$14,Paramètres!$A$1:$I$89,3,0)*0.475*44/12</f>
        <v>0</v>
      </c>
      <c r="EC101" s="23">
        <f>EXP(-LN(2)/2)*EC100+(1-EXP(-LN(2)/2))/(LN(2)/2)*DW101*DZ101*VLOOKUP('Données projet'!$B$14,Paramètres!$A$1:$I$89,3,0)*0.475*44/12</f>
        <v>0</v>
      </c>
      <c r="ED101" s="24">
        <f t="shared" si="72"/>
        <v>0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4.1025641025640995</v>
      </c>
      <c r="EJ101" s="13">
        <f>IF('Données projet'!$A$192&gt;35,EJ100+EI101-ER100,IF(A101&lt;'Données projet'!$A$192,$EG$205^A101,IF(A101='Données projet'!$A$192,'Données projet'!$B$192,EJ100+EI101-ER100)))</f>
        <v>367.43589743589763</v>
      </c>
      <c r="EK101" s="18">
        <f>EJ101*VLOOKUP('Données projet'!$B$15,Paramètres!$A$1:$I$89,3,0)*VLOOKUP('Données projet'!$B$15,Paramètres!$A$1:$I$89,5,0)</f>
        <v>384.04400000000021</v>
      </c>
      <c r="EL101" s="14">
        <f t="shared" si="99"/>
        <v>88.534207211718865</v>
      </c>
      <c r="EM101" s="22">
        <f t="shared" si="73"/>
        <v>823.07371089374408</v>
      </c>
      <c r="EN101" s="62">
        <f t="shared" si="74"/>
        <v>1116.4070442270774</v>
      </c>
      <c r="EO101" s="62">
        <f ca="1">AVERAGE(OFFSET($EN$3,0,0,'Données projet'!$E$15+1,1))-AVERAGE(OFFSET($H$3,0,0,'Données projet'!$E$15+1,1))</f>
        <v>595.89992279024398</v>
      </c>
      <c r="EP101" s="62">
        <f t="shared" si="100"/>
        <v>378.16197659288338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>
        <f>EXP(-LN(2)/35)*EV100+(1-EXP(-LN(2)/35))/(LN(2)/35)*ER101*ES101*VLOOKUP('Données projet'!$B$15,Paramètres!$A$1:$I$89,3,0)*0.475*44/12</f>
        <v>0</v>
      </c>
      <c r="EW101" s="23">
        <f>EXP(-LN(2)/25)*EW100+(1-EXP(-LN(2)/25))/(LN(2)/25)*Calculateur!ER101*Calculateur!ET101*VLOOKUP('Données projet'!$B$15,Paramètres!$A$1:$I$89,3,0)*0.475*44/12</f>
        <v>0</v>
      </c>
      <c r="EX101" s="23">
        <f>EXP(-LN(2)/2)*EX100+(1-EXP(-LN(2)/2))/(LN(2)/2)*ER101*EU101*VLOOKUP('Données projet'!$B$15,Paramètres!$A$1:$I$89,3,0)*0.475*44/12</f>
        <v>0</v>
      </c>
      <c r="EY101" s="24">
        <f t="shared" si="75"/>
        <v>0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-2.2737367544323206E-13</v>
      </c>
      <c r="FF101" s="18">
        <f>FE101*VLOOKUP('Données projet'!$B$16,Paramètres!$A$1:$I$89,3,0)*VLOOKUP('Données projet'!$B$16,Paramètres!$A$1:$I$89,5,0)</f>
        <v>-1.3596945791505279E-13</v>
      </c>
      <c r="FG101" s="14" t="e">
        <f t="shared" si="101"/>
        <v>#NUM!</v>
      </c>
      <c r="FH101" s="22" t="e">
        <f t="shared" si="76"/>
        <v>#NUM!</v>
      </c>
      <c r="FI101" s="62" t="e">
        <f t="shared" si="77"/>
        <v>#NUM!</v>
      </c>
      <c r="FJ101" s="62">
        <f ca="1">AVERAGE(OFFSET($FI$3,0,0,'Données projet'!$E$16+1,1))-AVERAGE(OFFSET($H$3,0,0,'Données projet'!$E$16+1,1))</f>
        <v>257.56116197646924</v>
      </c>
      <c r="FK101" s="62">
        <f t="shared" si="102"/>
        <v>269.95556918835888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>
        <f>EXP(-LN(2)/35)*FQ100+(1-EXP(-LN(2)/35))/(LN(2)/35)*FM101*FN101*VLOOKUP('Données projet'!$B$16,Paramètres!$A$1:$I$89,3,0)*0.475*44/12</f>
        <v>3.792645009110275</v>
      </c>
      <c r="FR101" s="23">
        <f>EXP(-LN(2)/25)*FR100+(1-EXP(-LN(2)/25))/(LN(2)/25)*Calculateur!FM101*Calculateur!FO101*VLOOKUP('Données projet'!$B$16,Paramètres!$A$1:$I$89,3,0)*0.475*44/12</f>
        <v>2.4501045888223123</v>
      </c>
      <c r="FS101" s="23">
        <f>EXP(-LN(2)/2)*FS100+(1-EXP(-LN(2)/2))/(LN(2)/2)*FM101*FP101*VLOOKUP('Données projet'!$B$16,Paramètres!$A$1:$I$89,3,0)*0.475*44/12</f>
        <v>4.9791318725183276E-10</v>
      </c>
      <c r="FT101" s="24">
        <f t="shared" si="78"/>
        <v>6.2427495984304997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-2.8421709430404007E-13</v>
      </c>
      <c r="GA101" s="18">
        <f>FZ101*VLOOKUP('Données projet'!$B$17,Paramètres!$A$1:$I$89,3,0)*VLOOKUP('Données projet'!$B$17,Paramètres!$A$1:$I$89,5,0)</f>
        <v>-1.69961822393816E-13</v>
      </c>
      <c r="GB101" s="14" t="e">
        <f t="shared" si="103"/>
        <v>#NUM!</v>
      </c>
      <c r="GC101" s="22" t="e">
        <f t="shared" si="79"/>
        <v>#NUM!</v>
      </c>
      <c r="GD101" s="62" t="e">
        <f t="shared" si="80"/>
        <v>#NUM!</v>
      </c>
      <c r="GE101" s="62">
        <f ca="1">AVERAGE(OFFSET($GD$3,0,0,'Données projet'!$E$17+1,1))-AVERAGE(OFFSET($H$3,0,0,'Données projet'!$E$17+1,1))</f>
        <v>289.12367833861299</v>
      </c>
      <c r="GF101" s="62">
        <f t="shared" si="104"/>
        <v>229.06617320689003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>
        <f>EXP(-LN(2)/35)*GL100+(1-EXP(-LN(2)/35))/(LN(2)/35)*GH101*GI101*VLOOKUP('Données projet'!$B$17,Paramètres!$A$1:$I$89,3,0)*0.475*44/12</f>
        <v>0</v>
      </c>
      <c r="GM101" s="23">
        <f>EXP(-LN(2)/25)*GM100+(1-EXP(-LN(2)/25))/(LN(2)/25)*Calculateur!GH101*Calculateur!GJ101*VLOOKUP('Données projet'!$B$17,Paramètres!$A$1:$I$89,3,0)*0.475*44/12</f>
        <v>0</v>
      </c>
      <c r="GN101" s="23">
        <f>EXP(-LN(2)/2)*GN100+(1-EXP(-LN(2)/2))/(LN(2)/2)*GH101*GK101*VLOOKUP('Données projet'!$B$17,Paramètres!$A$1:$I$89,3,0)*0.475*44/12</f>
        <v>2.4137757008577752E-10</v>
      </c>
      <c r="GO101" s="23">
        <f t="shared" si="81"/>
        <v>2.4137757008577752E-10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7.8564102564102525</v>
      </c>
      <c r="GU101" s="13">
        <f>IF('Données projet'!$A$270&gt;35,GU100+GT101-HC100,IF(A101&lt;'Données projet'!$A$270,$GR$205^A101,IF(A101='Données projet'!$A$270,'Données projet'!$B$270,GU100+GT101-HC100)))</f>
        <v>326.46410256410252</v>
      </c>
      <c r="GV101" s="18">
        <f>GU101*VLOOKUP('Données projet'!$B$18,Paramètres!$A$1:$I$89,3,0)*VLOOKUP('Données projet'!$B$18,Paramètres!$A$1:$I$89,5,0)</f>
        <v>152.78519999999997</v>
      </c>
      <c r="GW101" s="14">
        <f t="shared" si="105"/>
        <v>39.210852996881968</v>
      </c>
      <c r="GX101" s="22">
        <f t="shared" si="82"/>
        <v>334.39312563623599</v>
      </c>
      <c r="GY101" s="62">
        <f t="shared" si="83"/>
        <v>627.72645896956931</v>
      </c>
      <c r="GZ101" s="62">
        <f ca="1">AVERAGE(OFFSET($GY$3,0,0,'Données projet'!$E$18+1,1))-AVERAGE(OFFSET($H$3,0,0,'Données projet'!$E$18+1,1))</f>
        <v>284.88646502866419</v>
      </c>
      <c r="HA101" s="62">
        <f t="shared" si="106"/>
        <v>190.4880882944471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>
        <f>EXP(-LN(2)/35)*HG100+(1-EXP(-LN(2)/35))/(LN(2)/35)*HC101*HD101*VLOOKUP('Données projet'!$B$18,Paramètres!$A$1:$I$89,3,0)*0.475*44/12</f>
        <v>0</v>
      </c>
      <c r="HH101" s="23">
        <f>EXP(-LN(2)/25)*HH100+(1-EXP(-LN(2)/25))/(LN(2)/25)*Calculateur!HC101*Calculateur!HE101*VLOOKUP('Données projet'!$B$18,Paramètres!$A$1:$I$89,3,0)*0.475*44/12</f>
        <v>0</v>
      </c>
      <c r="HI101" s="23">
        <f>EXP(-LN(2)/2)*HI100+(1-EXP(-LN(2)/2))/(LN(2)/2)*HC101*HF101*VLOOKUP('Données projet'!$B$18,Paramètres!$A$1:$I$89,3,0)*0.475*44/12</f>
        <v>0</v>
      </c>
      <c r="HJ101" s="24">
        <f t="shared" si="84"/>
        <v>0</v>
      </c>
    </row>
    <row r="102" spans="1:218" s="5" customFormat="1" x14ac:dyDescent="0.25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2">
        <f t="shared" si="86"/>
        <v>0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0</v>
      </c>
      <c r="H102" s="70">
        <f t="shared" si="56"/>
        <v>256.66666666666669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3.3333333333333313</v>
      </c>
      <c r="N102" s="14">
        <f>IF('Données projet'!$A$36&gt;35,N101+M102-V101,IF(A102&lt;'Données projet'!$A$36,$K$205^A102,IF(A102='Données projet'!$A$36,'Données projet'!$B$36,N101+M102-V101)))</f>
        <v>242.82051282051279</v>
      </c>
      <c r="O102" s="14">
        <f>N102*VLOOKUP('Données projet'!$B$9,Paramètres!$A$1:$I$89,3,0)*VLOOKUP('Données projet'!$B$9,Paramètres!$A$1:$I$89,5,0)</f>
        <v>231.06799999999998</v>
      </c>
      <c r="P102" s="14">
        <f t="shared" si="87"/>
        <v>56.513545800555768</v>
      </c>
      <c r="Q102" s="22">
        <f t="shared" si="107"/>
        <v>500.87119226930128</v>
      </c>
      <c r="R102" s="62">
        <f t="shared" si="55"/>
        <v>794.20452560263459</v>
      </c>
      <c r="S102" s="62">
        <f ca="1">AVERAGE(OFFSET($R$3,0,0,'Données projet'!$E$9+1,1))-AVERAGE(OFFSET($H$3,0,0,'Données projet'!$E$9+1,1))</f>
        <v>367.11183928586667</v>
      </c>
      <c r="T102" s="62">
        <f t="shared" si="88"/>
        <v>281.52963027844595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0</v>
      </c>
      <c r="AA102" s="23">
        <f>EXP(-LN(2)/25)*AA101+(1-EXP(-LN(2)/25))/(LN(2)/25)*Calculateur!V102*Calculateur!X102*VLOOKUP('Données projet'!$B$9,Paramètres!$A$1:$I$89,3,0)*0.475*44/12</f>
        <v>0</v>
      </c>
      <c r="AB102" s="23">
        <f>EXP(-LN(2)/2)*AB101+(1-EXP(-LN(2)/2))/(LN(2)/2)*V102*Y102*VLOOKUP('Données projet'!$B$9,Paramètres!$A$1:$I$89,3,0)*0.475*44/12</f>
        <v>0</v>
      </c>
      <c r="AC102" s="24">
        <f t="shared" si="57"/>
        <v>0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4.9000000000000004</v>
      </c>
      <c r="AI102" s="14">
        <f>IF('Données projet'!$A$62&gt;35,AI101+AH102-AQ101,IF(A102&lt;'Données projet'!$A$62,$AF$205^A102,IF(A102='Données projet'!$A$62,'Données projet'!$B$62,AI101+AH102-AQ101)))</f>
        <v>298.09999999999985</v>
      </c>
      <c r="AJ102" s="14">
        <f>AI102*VLOOKUP('Données projet'!$B$10,Paramètres!$A$1:$I$89,3,0)*VLOOKUP('Données projet'!$B$10,Paramètres!$A$1:$I$89,5,0)</f>
        <v>269.72087999999985</v>
      </c>
      <c r="AK102" s="14">
        <f t="shared" si="89"/>
        <v>64.790029413946939</v>
      </c>
      <c r="AL102" s="22">
        <f t="shared" si="58"/>
        <v>582.60650056262409</v>
      </c>
      <c r="AM102" s="62">
        <f t="shared" si="59"/>
        <v>875.93983389595746</v>
      </c>
      <c r="AN102" s="62">
        <f ca="1">AVERAGE(OFFSET($AM$3,0,0,'Données projet'!$E$10+1,1))-AVERAGE(OFFSET($H$3,0,0,'Données projet'!$E$10+1,1))</f>
        <v>428.8489304403459</v>
      </c>
      <c r="AO102" s="62">
        <f t="shared" si="90"/>
        <v>247.01165577562966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0</v>
      </c>
      <c r="AV102" s="23">
        <f>EXP(-LN(2)/25)*AV101+(1-EXP(-LN(2)/25))/(LN(2)/25)*Calculateur!AQ102*Calculateur!AS102*VLOOKUP('Données projet'!$B$10,Paramètres!$A$1:$I$89,3,0)*0.475*44/12</f>
        <v>0</v>
      </c>
      <c r="AW102" s="23">
        <f>EXP(-LN(2)/2)*AW101+(1-EXP(-LN(2)/2))/(LN(2)/2)*AQ102*AT102*VLOOKUP('Données projet'!$B$10,Paramètres!$A$1:$I$89,3,0)*0.475*44/12</f>
        <v>0</v>
      </c>
      <c r="AX102" s="23">
        <f t="shared" si="60"/>
        <v>0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4.9000000000000004</v>
      </c>
      <c r="BD102" s="13">
        <f>IF('Données projet'!$A$88&gt;35,BD101+BC102-BL101,IF(A102&lt;'Données projet'!$A$88,$BA$205^A102,IF(A102='Données projet'!$A$88,'Données projet'!$B$88,BD101+BC102-BL101)))</f>
        <v>298.09999999999985</v>
      </c>
      <c r="BE102" s="14">
        <f>BD102*VLOOKUP('Données projet'!$B$11,Paramètres!$A$1:$I$89,3,0)*VLOOKUP('Données projet'!$B$11,Paramètres!$A$1:$I$89,5,0)</f>
        <v>302.27339999999987</v>
      </c>
      <c r="BF102" s="14">
        <f t="shared" si="91"/>
        <v>71.652845832409739</v>
      </c>
      <c r="BG102" s="22">
        <f t="shared" si="61"/>
        <v>651.25487815811346</v>
      </c>
      <c r="BH102" s="62">
        <f t="shared" si="62"/>
        <v>944.58821149144683</v>
      </c>
      <c r="BI102" s="62">
        <f ca="1">AVERAGE(OFFSET($BH$3,0,0,'Données projet'!$E$11+1,1))-AVERAGE(OFFSET($H$3,0,0,'Données projet'!$E$11+1,1))</f>
        <v>475.47920969424894</v>
      </c>
      <c r="BJ102" s="62">
        <f t="shared" si="92"/>
        <v>271.73544012419364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>
        <f>EXP(-LN(2)/35)*BP101+(1-EXP(-LN(2)/35))/(LN(2)/35)*BL102*BM102*VLOOKUP('Données projet'!$B$11,Paramètres!$A$1:$I$89,3,0)*0.475*44/12</f>
        <v>0</v>
      </c>
      <c r="BQ102" s="23">
        <f>EXP(-LN(2)/25)*BQ101+(1-EXP(-LN(2)/25))/(LN(2)/25)*Calculateur!BL102*Calculateur!BN102*VLOOKUP('Données projet'!$B$11,Paramètres!$A$1:$I$89,3,0)*0.475*44/12</f>
        <v>0</v>
      </c>
      <c r="BR102" s="23">
        <f>EXP(-LN(2)/2)*BR101+(1-EXP(-LN(2)/2))/(LN(2)/2)*BL102*BO102*VLOOKUP('Données projet'!$B$11,Paramètres!$A$1:$I$89,3,0)*0.475*44/12</f>
        <v>0</v>
      </c>
      <c r="BS102" s="24">
        <f t="shared" si="63"/>
        <v>0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2.2737367544323206E-13</v>
      </c>
      <c r="BZ102" s="14">
        <f>BY102*VLOOKUP('Données projet'!$B$12,Paramètres!$A$1:$I$89,3,0)*VLOOKUP('Données projet'!$B$12,Paramètres!$A$1:$I$89,5,0)</f>
        <v>1.2710188457276673E-13</v>
      </c>
      <c r="CA102" s="14">
        <f t="shared" si="93"/>
        <v>1.856866851063998E-12</v>
      </c>
      <c r="CB102" s="22">
        <f t="shared" si="64"/>
        <v>3.4554122145673649E-12</v>
      </c>
      <c r="CC102" s="62">
        <f t="shared" si="65"/>
        <v>293.33333333333678</v>
      </c>
      <c r="CD102" s="62">
        <f ca="1">AVERAGE(OFFSET($CC$3,0,0,'Données projet'!$E$12+1,1))-AVERAGE(OFFSET($H$3,0,0,'Données projet'!$E$12+1,1))</f>
        <v>323.98185264074681</v>
      </c>
      <c r="CE102" s="62">
        <f t="shared" si="94"/>
        <v>301.22207291854005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>
        <f>EXP(-LN(2)/35)*CK101+(1-EXP(-LN(2)/35))/(LN(2)/35)*CG102*CH102*VLOOKUP('Données projet'!$B$12,Paramètres!$A$1:$I$89,3,0)*0.475*44/12</f>
        <v>1.1378936560150381</v>
      </c>
      <c r="CL102" s="23">
        <f>EXP(-LN(2)/25)*CL101+(1-EXP(-LN(2)/25))/(LN(2)/25)*Calculateur!CG102*Calculateur!CI102*VLOOKUP('Données projet'!$B$12,Paramètres!$A$1:$I$89,3,0)*0.475*44/12</f>
        <v>1.2175000440909929</v>
      </c>
      <c r="CM102" s="23">
        <f>EXP(-LN(2)/2)*CM101+(1-EXP(-LN(2)/2))/(LN(2)/2)*CG102*CJ102*VLOOKUP('Données projet'!$B$12,Paramètres!$A$1:$I$89,3,0)*0.475*44/12</f>
        <v>2.5056824898720094E-10</v>
      </c>
      <c r="CN102" s="24">
        <f t="shared" si="66"/>
        <v>2.3553937003565997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3.7</v>
      </c>
      <c r="CT102" s="13">
        <f>IF('Données projet'!$A$140&gt;35,CT101+CS102-DB101,IF(A102&lt;'Données projet'!$A$140,$CQ$205^A102,IF(A102='Données projet'!$A$140,'Données projet'!$B$140,CT101+CS102-DB101)))</f>
        <v>226.29999999999984</v>
      </c>
      <c r="CU102" s="18">
        <f>CT102*VLOOKUP('Données projet'!$B$13,Paramètres!$A$1:$I$89,3,0)*VLOOKUP('Données projet'!$B$13,Paramètres!$A$1:$I$89,5,0)</f>
        <v>257.71043999999978</v>
      </c>
      <c r="CV102" s="14">
        <f t="shared" si="95"/>
        <v>62.234085338028208</v>
      </c>
      <c r="CW102" s="22">
        <f t="shared" si="67"/>
        <v>557.23671496373197</v>
      </c>
      <c r="CX102" s="62">
        <f t="shared" si="68"/>
        <v>850.57004829706534</v>
      </c>
      <c r="CY102" s="62">
        <f ca="1">AVERAGE(OFFSET($CX$3,0,0,'Données projet'!$E$13+1,1))-AVERAGE(OFFSET($H$3,0,0,'Données projet'!$E$13+1,1))</f>
        <v>399.78832690250164</v>
      </c>
      <c r="CZ102" s="62">
        <f t="shared" si="96"/>
        <v>174.32967064896343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>
        <f>EXP(-LN(2)/35)*DF101+(1-EXP(-LN(2)/35))/(LN(2)/35)*DB102*DC102*VLOOKUP('Données projet'!$B$13,Paramètres!$A$1:$I$89,3,0)*0.475*44/12</f>
        <v>0</v>
      </c>
      <c r="DG102" s="23">
        <f>EXP(-LN(2)/25)*DG101+(1-EXP(-LN(2)/25))/(LN(2)/25)*Calculateur!DB102*Calculateur!DD102*VLOOKUP('Données projet'!$B$13,Paramètres!$A$1:$I$89,3,0)*0.475*44/12</f>
        <v>0</v>
      </c>
      <c r="DH102" s="23">
        <f>EXP(-LN(2)/2)*DH101+(1-EXP(-LN(2)/2))/(LN(2)/2)*DB102*DE102*VLOOKUP('Données projet'!$B$13,Paramètres!$A$1:$I$89,3,0)*0.475*44/12</f>
        <v>0</v>
      </c>
      <c r="DI102" s="24">
        <f t="shared" si="69"/>
        <v>0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4.9000000000000004</v>
      </c>
      <c r="DO102" s="13">
        <f>IF('Données projet'!$A$166&gt;35,DO101+DN102-DW101,IF(A102&lt;'Données projet'!$A$166,$DL$205^A102,IF(A102='Données projet'!$A$166,'Données projet'!$B$166,DO101+DN102-DW101)))</f>
        <v>298.09999999999985</v>
      </c>
      <c r="DP102" s="18">
        <f>DO102*VLOOKUP('Données projet'!$B$14,Paramètres!$A$1:$I$89,3,0)*VLOOKUP('Données projet'!$B$14,Paramètres!$A$1:$I$89,5,0)</f>
        <v>251.11943999999991</v>
      </c>
      <c r="DQ102" s="14">
        <f t="shared" si="97"/>
        <v>60.825589713796923</v>
      </c>
      <c r="DR102" s="22">
        <f t="shared" si="70"/>
        <v>543.30426008486279</v>
      </c>
      <c r="DS102" s="62">
        <f t="shared" si="71"/>
        <v>836.63759341819605</v>
      </c>
      <c r="DT102" s="62">
        <f ca="1">AVERAGE(OFFSET($DS$3,0,0,'Données projet'!$E$14+1,1))-AVERAGE(OFFSET($H$3,0,0,'Données projet'!$E$14+1,1))</f>
        <v>402.15128814037058</v>
      </c>
      <c r="DU102" s="62">
        <f t="shared" si="98"/>
        <v>232.85411068442738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>
        <f>EXP(-LN(2)/35)*EA101+(1-EXP(-LN(2)/35))/(LN(2)/35)*DW102*DX102*VLOOKUP('Données projet'!$B$14,Paramètres!$A$1:$I$89,3,0)*0.475*44/12</f>
        <v>0</v>
      </c>
      <c r="EB102" s="23">
        <f>EXP(-LN(2)/25)*EB101+(1-EXP(-LN(2)/25))/(LN(2)/25)*Calculateur!DW102*Calculateur!DY102*VLOOKUP('Données projet'!$B$14,Paramètres!$A$1:$I$89,3,0)*0.475*44/12</f>
        <v>0</v>
      </c>
      <c r="EC102" s="23">
        <f>EXP(-LN(2)/2)*EC101+(1-EXP(-LN(2)/2))/(LN(2)/2)*DW102*DZ102*VLOOKUP('Données projet'!$B$14,Paramètres!$A$1:$I$89,3,0)*0.475*44/12</f>
        <v>0</v>
      </c>
      <c r="ED102" s="24">
        <f t="shared" si="72"/>
        <v>0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4.1025641025640995</v>
      </c>
      <c r="EJ102" s="13">
        <f>IF('Données projet'!$A$192&gt;35,EJ101+EI102-ER101,IF(A102&lt;'Données projet'!$A$192,$EG$205^A102,IF(A102='Données projet'!$A$192,'Données projet'!$B$192,EJ101+EI102-ER101)))</f>
        <v>371.53846153846172</v>
      </c>
      <c r="EK102" s="18">
        <f>EJ102*VLOOKUP('Données projet'!$B$15,Paramètres!$A$1:$I$89,3,0)*VLOOKUP('Données projet'!$B$15,Paramètres!$A$1:$I$89,5,0)</f>
        <v>388.33200000000022</v>
      </c>
      <c r="EL102" s="14">
        <f t="shared" si="99"/>
        <v>89.407097097381993</v>
      </c>
      <c r="EM102" s="22">
        <f t="shared" si="73"/>
        <v>832.06226077794065</v>
      </c>
      <c r="EN102" s="62">
        <f t="shared" si="74"/>
        <v>1125.395594111274</v>
      </c>
      <c r="EO102" s="62">
        <f ca="1">AVERAGE(OFFSET($EN$3,0,0,'Données projet'!$E$15+1,1))-AVERAGE(OFFSET($H$3,0,0,'Données projet'!$E$15+1,1))</f>
        <v>595.89992279024398</v>
      </c>
      <c r="EP102" s="62">
        <f t="shared" si="100"/>
        <v>378.16197659288338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>
        <f>EXP(-LN(2)/35)*EV101+(1-EXP(-LN(2)/35))/(LN(2)/35)*ER102*ES102*VLOOKUP('Données projet'!$B$15,Paramètres!$A$1:$I$89,3,0)*0.475*44/12</f>
        <v>0</v>
      </c>
      <c r="EW102" s="23">
        <f>EXP(-LN(2)/25)*EW101+(1-EXP(-LN(2)/25))/(LN(2)/25)*Calculateur!ER102*Calculateur!ET102*VLOOKUP('Données projet'!$B$15,Paramètres!$A$1:$I$89,3,0)*0.475*44/12</f>
        <v>0</v>
      </c>
      <c r="EX102" s="23">
        <f>EXP(-LN(2)/2)*EX101+(1-EXP(-LN(2)/2))/(LN(2)/2)*ER102*EU102*VLOOKUP('Données projet'!$B$15,Paramètres!$A$1:$I$89,3,0)*0.475*44/12</f>
        <v>0</v>
      </c>
      <c r="EY102" s="24">
        <f t="shared" si="75"/>
        <v>0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-2.2737367544323206E-13</v>
      </c>
      <c r="FF102" s="18">
        <f>FE102*VLOOKUP('Données projet'!$B$16,Paramètres!$A$1:$I$89,3,0)*VLOOKUP('Données projet'!$B$16,Paramètres!$A$1:$I$89,5,0)</f>
        <v>-1.3596945791505279E-13</v>
      </c>
      <c r="FG102" s="14" t="e">
        <f t="shared" si="101"/>
        <v>#NUM!</v>
      </c>
      <c r="FH102" s="22" t="e">
        <f t="shared" si="76"/>
        <v>#NUM!</v>
      </c>
      <c r="FI102" s="62" t="e">
        <f t="shared" si="77"/>
        <v>#NUM!</v>
      </c>
      <c r="FJ102" s="62">
        <f ca="1">AVERAGE(OFFSET($FI$3,0,0,'Données projet'!$E$16+1,1))-AVERAGE(OFFSET($H$3,0,0,'Données projet'!$E$16+1,1))</f>
        <v>257.56116197646924</v>
      </c>
      <c r="FK102" s="62">
        <f t="shared" si="102"/>
        <v>269.95556918835888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>
        <f>EXP(-LN(2)/35)*FQ101+(1-EXP(-LN(2)/35))/(LN(2)/35)*FM102*FN102*VLOOKUP('Données projet'!$B$16,Paramètres!$A$1:$I$89,3,0)*0.475*44/12</f>
        <v>3.71827355376666</v>
      </c>
      <c r="FR102" s="23">
        <f>EXP(-LN(2)/25)*FR101+(1-EXP(-LN(2)/25))/(LN(2)/25)*Calculateur!FM102*Calculateur!FO102*VLOOKUP('Données projet'!$B$16,Paramètres!$A$1:$I$89,3,0)*0.475*44/12</f>
        <v>2.3831063499955656</v>
      </c>
      <c r="FS102" s="23">
        <f>EXP(-LN(2)/2)*FS101+(1-EXP(-LN(2)/2))/(LN(2)/2)*FM102*FP102*VLOOKUP('Données projet'!$B$16,Paramètres!$A$1:$I$89,3,0)*0.475*44/12</f>
        <v>3.5207779114797818E-10</v>
      </c>
      <c r="FT102" s="24">
        <f t="shared" si="78"/>
        <v>6.1013799041143031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-2.8421709430404007E-13</v>
      </c>
      <c r="GA102" s="18">
        <f>FZ102*VLOOKUP('Données projet'!$B$17,Paramètres!$A$1:$I$89,3,0)*VLOOKUP('Données projet'!$B$17,Paramètres!$A$1:$I$89,5,0)</f>
        <v>-1.69961822393816E-13</v>
      </c>
      <c r="GB102" s="14" t="e">
        <f t="shared" si="103"/>
        <v>#NUM!</v>
      </c>
      <c r="GC102" s="22" t="e">
        <f t="shared" si="79"/>
        <v>#NUM!</v>
      </c>
      <c r="GD102" s="62" t="e">
        <f t="shared" si="80"/>
        <v>#NUM!</v>
      </c>
      <c r="GE102" s="62">
        <f ca="1">AVERAGE(OFFSET($GD$3,0,0,'Données projet'!$E$17+1,1))-AVERAGE(OFFSET($H$3,0,0,'Données projet'!$E$17+1,1))</f>
        <v>289.12367833861299</v>
      </c>
      <c r="GF102" s="62">
        <f t="shared" si="104"/>
        <v>229.06617320689003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>
        <f>EXP(-LN(2)/35)*GL101+(1-EXP(-LN(2)/35))/(LN(2)/35)*GH102*GI102*VLOOKUP('Données projet'!$B$17,Paramètres!$A$1:$I$89,3,0)*0.475*44/12</f>
        <v>0</v>
      </c>
      <c r="GM102" s="23">
        <f>EXP(-LN(2)/25)*GM101+(1-EXP(-LN(2)/25))/(LN(2)/25)*Calculateur!GH102*Calculateur!GJ102*VLOOKUP('Données projet'!$B$17,Paramètres!$A$1:$I$89,3,0)*0.475*44/12</f>
        <v>0</v>
      </c>
      <c r="GN102" s="23">
        <f>EXP(-LN(2)/2)*GN101+(1-EXP(-LN(2)/2))/(LN(2)/2)*GH102*GK102*VLOOKUP('Données projet'!$B$17,Paramètres!$A$1:$I$89,3,0)*0.475*44/12</f>
        <v>1.7067971663398443E-10</v>
      </c>
      <c r="GO102" s="23">
        <f t="shared" si="81"/>
        <v>1.7067971663398443E-10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7.8564102564102525</v>
      </c>
      <c r="GU102" s="13">
        <f>IF('Données projet'!$A$270&gt;35,GU101+GT102-HC101,IF(A102&lt;'Données projet'!$A$270,$GR$205^A102,IF(A102='Données projet'!$A$270,'Données projet'!$B$270,GU101+GT102-HC101)))</f>
        <v>334.32051282051276</v>
      </c>
      <c r="GV102" s="18">
        <f>GU102*VLOOKUP('Données projet'!$B$18,Paramètres!$A$1:$I$89,3,0)*VLOOKUP('Données projet'!$B$18,Paramètres!$A$1:$I$89,5,0)</f>
        <v>156.46199999999999</v>
      </c>
      <c r="GW102" s="14">
        <f t="shared" si="105"/>
        <v>40.043474088256666</v>
      </c>
      <c r="GX102" s="22">
        <f t="shared" si="82"/>
        <v>342.24703403704694</v>
      </c>
      <c r="GY102" s="62">
        <f t="shared" si="83"/>
        <v>635.58036737038026</v>
      </c>
      <c r="GZ102" s="62">
        <f ca="1">AVERAGE(OFFSET($GY$3,0,0,'Données projet'!$E$18+1,1))-AVERAGE(OFFSET($H$3,0,0,'Données projet'!$E$18+1,1))</f>
        <v>284.88646502866419</v>
      </c>
      <c r="HA102" s="62">
        <f t="shared" si="106"/>
        <v>190.4880882944471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>
        <f>EXP(-LN(2)/35)*HG101+(1-EXP(-LN(2)/35))/(LN(2)/35)*HC102*HD102*VLOOKUP('Données projet'!$B$18,Paramètres!$A$1:$I$89,3,0)*0.475*44/12</f>
        <v>0</v>
      </c>
      <c r="HH102" s="23">
        <f>EXP(-LN(2)/25)*HH101+(1-EXP(-LN(2)/25))/(LN(2)/25)*Calculateur!HC102*Calculateur!HE102*VLOOKUP('Données projet'!$B$18,Paramètres!$A$1:$I$89,3,0)*0.475*44/12</f>
        <v>0</v>
      </c>
      <c r="HI102" s="23">
        <f>EXP(-LN(2)/2)*HI101+(1-EXP(-LN(2)/2))/(LN(2)/2)*HC102*HF102*VLOOKUP('Données projet'!$B$18,Paramètres!$A$1:$I$89,3,0)*0.475*44/12</f>
        <v>0</v>
      </c>
      <c r="HJ102" s="24">
        <f t="shared" si="84"/>
        <v>0</v>
      </c>
    </row>
    <row r="103" spans="1:218" s="5" customFormat="1" x14ac:dyDescent="0.25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2">
        <f t="shared" si="86"/>
        <v>0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0</v>
      </c>
      <c r="H103" s="70">
        <f t="shared" si="56"/>
        <v>256.66666666666669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>
        <f>VLOOKUP(A103,'Données projet'!$A$35:$I$55,2,0)</f>
        <v>246.15384615384613</v>
      </c>
      <c r="L103" s="13">
        <f>VLOOKUP(A103,'Données projet'!$A$35:$I$55,9,0)</f>
        <v>3.3333333333333313</v>
      </c>
      <c r="M103" s="13">
        <f t="array" ref="M103">INDEX(L:L,MIN(IF(ISNUMBER(L103:L299),ROW(L103:L299),"")))</f>
        <v>3.3333333333333313</v>
      </c>
      <c r="N103" s="14">
        <f>IF('Données projet'!$A$36&gt;35,N102+M103-V102,IF(A103&lt;'Données projet'!$A$36,$K$205^A103,IF(A103='Données projet'!$A$36,'Données projet'!$B$36,N102+M103-V102)))</f>
        <v>246.15384615384613</v>
      </c>
      <c r="O103" s="14">
        <f>N103*VLOOKUP('Données projet'!$B$9,Paramètres!$A$1:$I$89,3,0)*VLOOKUP('Données projet'!$B$9,Paramètres!$A$1:$I$89,5,0)</f>
        <v>234.23999999999998</v>
      </c>
      <c r="P103" s="14">
        <f t="shared" si="87"/>
        <v>57.19849172024869</v>
      </c>
      <c r="Q103" s="22">
        <f t="shared" si="107"/>
        <v>507.58870641276644</v>
      </c>
      <c r="R103" s="62">
        <f t="shared" si="55"/>
        <v>800.9220397460997</v>
      </c>
      <c r="S103" s="62">
        <f ca="1">AVERAGE(OFFSET($R$3,0,0,'Données projet'!$E$9+1,1))-AVERAGE(OFFSET($H$3,0,0,'Données projet'!$E$9+1,1))</f>
        <v>367.11183928586667</v>
      </c>
      <c r="T103" s="62">
        <f t="shared" si="88"/>
        <v>281.52963027844595</v>
      </c>
      <c r="U103" s="16">
        <f>IF(ISNA(VLOOKUP(A103,'Données projet'!$A$35:$I$55,3,0)),0,VLOOKUP(A103,'Données projet'!$A$35:$I$55,3,0))</f>
        <v>9</v>
      </c>
      <c r="V103" s="16">
        <f>IF(ISNA(VLOOKUP(A103,'Données projet'!$A$35:$I$55,4,0)),0,VLOOKUP(A103,'Données projet'!$A$35:$I$55,4,0))</f>
        <v>23.717948717948715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0</v>
      </c>
      <c r="AA103" s="23">
        <f>EXP(-LN(2)/25)*AA102+(1-EXP(-LN(2)/25))/(LN(2)/25)*Calculateur!V103*Calculateur!X103*VLOOKUP('Données projet'!$B$9,Paramètres!$A$1:$I$89,3,0)*0.475*44/12</f>
        <v>0</v>
      </c>
      <c r="AB103" s="23">
        <f>EXP(-LN(2)/2)*AB102+(1-EXP(-LN(2)/2))/(LN(2)/2)*V103*Y103*VLOOKUP('Données projet'!$B$9,Paramètres!$A$1:$I$89,3,0)*0.475*44/12</f>
        <v>0</v>
      </c>
      <c r="AC103" s="24">
        <f t="shared" si="57"/>
        <v>0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>
        <f>VLOOKUP(A103,'Données projet'!$A$61:$I$81,2,0)</f>
        <v>303</v>
      </c>
      <c r="AG103" s="13">
        <f>VLOOKUP(A103,'Données projet'!$A$61:$I$81,9,0)</f>
        <v>4.9000000000000004</v>
      </c>
      <c r="AH103" s="13">
        <f t="array" ref="AH103">INDEX(AG:AG,MIN(IF(ISNUMBER(AG103:AG299),ROW(AG103:AG299),"")))</f>
        <v>4.9000000000000004</v>
      </c>
      <c r="AI103" s="14">
        <f>IF('Données projet'!$A$62&gt;35,AI102+AH103-AQ102,IF(A103&lt;'Données projet'!$A$62,$AF$205^A103,IF(A103='Données projet'!$A$62,'Données projet'!$B$62,AI102+AH103-AQ102)))</f>
        <v>302.99999999999983</v>
      </c>
      <c r="AJ103" s="14">
        <f>AI103*VLOOKUP('Données projet'!$B$10,Paramètres!$A$1:$I$89,3,0)*VLOOKUP('Données projet'!$B$10,Paramètres!$A$1:$I$89,5,0)</f>
        <v>274.15439999999984</v>
      </c>
      <c r="AK103" s="14">
        <f t="shared" si="89"/>
        <v>65.730152764515779</v>
      </c>
      <c r="AL103" s="22">
        <f t="shared" si="58"/>
        <v>591.9655960648646</v>
      </c>
      <c r="AM103" s="62">
        <f t="shared" si="59"/>
        <v>885.29892939819797</v>
      </c>
      <c r="AN103" s="62">
        <f ca="1">AVERAGE(OFFSET($AM$3,0,0,'Données projet'!$E$10+1,1))-AVERAGE(OFFSET($H$3,0,0,'Données projet'!$E$10+1,1))</f>
        <v>428.8489304403459</v>
      </c>
      <c r="AO103" s="62">
        <f t="shared" si="90"/>
        <v>247.01165577562966</v>
      </c>
      <c r="AP103" s="16">
        <f>IF(ISNA(VLOOKUP(A103,'Données projet'!$A$61:$I$81,3,0)),0,VLOOKUP(A103,'Données projet'!$A$61:$I$81,3,0))</f>
        <v>8</v>
      </c>
      <c r="AQ103" s="16">
        <f>IF(ISNA(VLOOKUP(A103,'Données projet'!$A$61:$I$81,4,0)),0,VLOOKUP(A103,'Données projet'!$A$61:$I$81,4,0))</f>
        <v>42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0</v>
      </c>
      <c r="AV103" s="23">
        <f>EXP(-LN(2)/25)*AV102+(1-EXP(-LN(2)/25))/(LN(2)/25)*Calculateur!AQ103*Calculateur!AS103*VLOOKUP('Données projet'!$B$10,Paramètres!$A$1:$I$89,3,0)*0.475*44/12</f>
        <v>0</v>
      </c>
      <c r="AW103" s="23">
        <f>EXP(-LN(2)/2)*AW102+(1-EXP(-LN(2)/2))/(LN(2)/2)*AQ103*AT103*VLOOKUP('Données projet'!$B$10,Paramètres!$A$1:$I$89,3,0)*0.475*44/12</f>
        <v>0</v>
      </c>
      <c r="AX103" s="23">
        <f t="shared" si="60"/>
        <v>0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>
        <f>VLOOKUP(A103,'Données projet'!$A$87:$I$107,2,0)</f>
        <v>303</v>
      </c>
      <c r="BB103" s="13">
        <f>VLOOKUP(A103,'Données projet'!$A$87:$I$107,9,0)</f>
        <v>4.9000000000000004</v>
      </c>
      <c r="BC103" s="13">
        <f t="array" ref="BC103">INDEX(BB:BB,MIN(IF(ISNUMBER(BB103:BB299),ROW(BB103:BB299),"")))</f>
        <v>4.9000000000000004</v>
      </c>
      <c r="BD103" s="13">
        <f>IF('Données projet'!$A$88&gt;35,BD102+BC103-BL102,IF(A103&lt;'Données projet'!$A$88,$BA$205^A103,IF(A103='Données projet'!$A$88,'Données projet'!$B$88,BD102+BC103-BL102)))</f>
        <v>302.99999999999983</v>
      </c>
      <c r="BE103" s="14">
        <f>BD103*VLOOKUP('Données projet'!$B$11,Paramètres!$A$1:$I$89,3,0)*VLOOKUP('Données projet'!$B$11,Paramètres!$A$1:$I$89,5,0)</f>
        <v>307.24199999999985</v>
      </c>
      <c r="BF103" s="14">
        <f t="shared" si="91"/>
        <v>72.692550770207774</v>
      </c>
      <c r="BG103" s="22">
        <f t="shared" si="61"/>
        <v>661.71934259144484</v>
      </c>
      <c r="BH103" s="62">
        <f t="shared" si="62"/>
        <v>955.05267592477821</v>
      </c>
      <c r="BI103" s="62">
        <f ca="1">AVERAGE(OFFSET($BH$3,0,0,'Données projet'!$E$11+1,1))-AVERAGE(OFFSET($H$3,0,0,'Données projet'!$E$11+1,1))</f>
        <v>475.47920969424894</v>
      </c>
      <c r="BJ103" s="62">
        <f t="shared" si="92"/>
        <v>271.73544012419364</v>
      </c>
      <c r="BK103" s="16">
        <f>IF(ISNA(VLOOKUP(A103,'Données projet'!$A$87:$I$107,3,0)),0,VLOOKUP(A103,'Données projet'!$A$87:$I$107,3,0))</f>
        <v>8</v>
      </c>
      <c r="BL103" s="16">
        <f>IF(ISNA(VLOOKUP(A103,'Données projet'!$A$87:$I$107,4,0)),0,VLOOKUP(A103,'Données projet'!$A$87:$I$107,4,0))</f>
        <v>42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>
        <f>EXP(-LN(2)/35)*BP102+(1-EXP(-LN(2)/35))/(LN(2)/35)*BL103*BM103*VLOOKUP('Données projet'!$B$11,Paramètres!$A$1:$I$89,3,0)*0.475*44/12</f>
        <v>0</v>
      </c>
      <c r="BQ103" s="23">
        <f>EXP(-LN(2)/25)*BQ102+(1-EXP(-LN(2)/25))/(LN(2)/25)*Calculateur!BL103*Calculateur!BN103*VLOOKUP('Données projet'!$B$11,Paramètres!$A$1:$I$89,3,0)*0.475*44/12</f>
        <v>0</v>
      </c>
      <c r="BR103" s="23">
        <f>EXP(-LN(2)/2)*BR102+(1-EXP(-LN(2)/2))/(LN(2)/2)*BL103*BO103*VLOOKUP('Données projet'!$B$11,Paramètres!$A$1:$I$89,3,0)*0.475*44/12</f>
        <v>0</v>
      </c>
      <c r="BS103" s="24">
        <f t="shared" si="63"/>
        <v>0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2.2737367544323206E-13</v>
      </c>
      <c r="BZ103" s="14">
        <f>BY103*VLOOKUP('Données projet'!$B$12,Paramètres!$A$1:$I$89,3,0)*VLOOKUP('Données projet'!$B$12,Paramètres!$A$1:$I$89,5,0)</f>
        <v>1.2710188457276673E-13</v>
      </c>
      <c r="CA103" s="14">
        <f t="shared" si="93"/>
        <v>1.856866851063998E-12</v>
      </c>
      <c r="CB103" s="22">
        <f t="shared" si="64"/>
        <v>3.4554122145673649E-12</v>
      </c>
      <c r="CC103" s="62">
        <f t="shared" si="65"/>
        <v>293.33333333333678</v>
      </c>
      <c r="CD103" s="62">
        <f ca="1">AVERAGE(OFFSET($CC$3,0,0,'Données projet'!$E$12+1,1))-AVERAGE(OFFSET($H$3,0,0,'Données projet'!$E$12+1,1))</f>
        <v>323.98185264074681</v>
      </c>
      <c r="CE103" s="62">
        <f t="shared" si="94"/>
        <v>301.22207291854005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>
        <f>EXP(-LN(2)/35)*CK102+(1-EXP(-LN(2)/35))/(LN(2)/35)*CG103*CH103*VLOOKUP('Données projet'!$B$12,Paramètres!$A$1:$I$89,3,0)*0.475*44/12</f>
        <v>1.1155802554671819</v>
      </c>
      <c r="CL103" s="23">
        <f>EXP(-LN(2)/25)*CL102+(1-EXP(-LN(2)/25))/(LN(2)/25)*Calculateur!CG103*Calculateur!CI103*VLOOKUP('Données projet'!$B$12,Paramètres!$A$1:$I$89,3,0)*0.475*44/12</f>
        <v>1.1842074413597801</v>
      </c>
      <c r="CM103" s="23">
        <f>EXP(-LN(2)/2)*CM102+(1-EXP(-LN(2)/2))/(LN(2)/2)*CG103*CJ103*VLOOKUP('Données projet'!$B$12,Paramètres!$A$1:$I$89,3,0)*0.475*44/12</f>
        <v>1.7717850800888906E-10</v>
      </c>
      <c r="CN103" s="24">
        <f t="shared" si="66"/>
        <v>2.2997876970041404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>
        <f>VLOOKUP(A103,'Données projet'!$A$139:$I$159,2,0)</f>
        <v>230</v>
      </c>
      <c r="CR103" s="13">
        <f>VLOOKUP(A103,'Données projet'!$A$139:$I$159,9,0)</f>
        <v>3.7</v>
      </c>
      <c r="CS103" s="13">
        <f t="array" ref="CS103">INDEX(CR:CR,MIN(IF(ISNUMBER(CR103:CR299),ROW(CR103:CR299),"")))</f>
        <v>3.7</v>
      </c>
      <c r="CT103" s="13">
        <f>IF('Données projet'!$A$140&gt;35,CT102+CS103-DB102,IF(A103&lt;'Données projet'!$A$140,$CQ$205^A103,IF(A103='Données projet'!$A$140,'Données projet'!$B$140,CT102+CS103-DB102)))</f>
        <v>229.99999999999983</v>
      </c>
      <c r="CU103" s="18">
        <f>CT103*VLOOKUP('Données projet'!$B$13,Paramètres!$A$1:$I$89,3,0)*VLOOKUP('Données projet'!$B$13,Paramètres!$A$1:$I$89,5,0)</f>
        <v>261.92399999999981</v>
      </c>
      <c r="CV103" s="14">
        <f t="shared" si="95"/>
        <v>63.132320859995588</v>
      </c>
      <c r="CW103" s="22">
        <f t="shared" si="67"/>
        <v>566.13975883115859</v>
      </c>
      <c r="CX103" s="62">
        <f t="shared" si="68"/>
        <v>859.47309216449185</v>
      </c>
      <c r="CY103" s="62">
        <f ca="1">AVERAGE(OFFSET($CX$3,0,0,'Données projet'!$E$13+1,1))-AVERAGE(OFFSET($H$3,0,0,'Données projet'!$E$13+1,1))</f>
        <v>399.78832690250164</v>
      </c>
      <c r="CZ103" s="62">
        <f t="shared" si="96"/>
        <v>174.32967064896343</v>
      </c>
      <c r="DA103" s="16">
        <f>IF(ISNA(VLOOKUP(A103,'Données projet'!$A$139:$I$159,3,0)),0,VLOOKUP(A103,'Données projet'!$A$139:$I$159,3,0))</f>
        <v>7</v>
      </c>
      <c r="DB103" s="16">
        <f>IF(ISNA(VLOOKUP(A103,'Données projet'!$A$139:$I$159,4,0)),0,VLOOKUP(A103,'Données projet'!$A$139:$I$159,4,0))</f>
        <v>28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>
        <f>EXP(-LN(2)/35)*DF102+(1-EXP(-LN(2)/35))/(LN(2)/35)*DB103*DC103*VLOOKUP('Données projet'!$B$13,Paramètres!$A$1:$I$89,3,0)*0.475*44/12</f>
        <v>0</v>
      </c>
      <c r="DG103" s="23">
        <f>EXP(-LN(2)/25)*DG102+(1-EXP(-LN(2)/25))/(LN(2)/25)*Calculateur!DB103*Calculateur!DD103*VLOOKUP('Données projet'!$B$13,Paramètres!$A$1:$I$89,3,0)*0.475*44/12</f>
        <v>0</v>
      </c>
      <c r="DH103" s="23">
        <f>EXP(-LN(2)/2)*DH102+(1-EXP(-LN(2)/2))/(LN(2)/2)*DB103*DE103*VLOOKUP('Données projet'!$B$13,Paramètres!$A$1:$I$89,3,0)*0.475*44/12</f>
        <v>0</v>
      </c>
      <c r="DI103" s="24">
        <f t="shared" si="69"/>
        <v>0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>
        <f>VLOOKUP(A103,'Données projet'!$A$165:$I$185,2,0)</f>
        <v>303</v>
      </c>
      <c r="DM103" s="13">
        <f>VLOOKUP(A103,'Données projet'!$A$165:$I$185,9,0)</f>
        <v>4.9000000000000004</v>
      </c>
      <c r="DN103" s="13">
        <f t="array" ref="DN103">INDEX(DM:DM,MIN(IF(ISNUMBER(DM103:DM299),ROW(DM103:DM299),"")))</f>
        <v>4.9000000000000004</v>
      </c>
      <c r="DO103" s="13">
        <f>IF('Données projet'!$A$166&gt;35,DO102+DN103-DW102,IF(A103&lt;'Données projet'!$A$166,$DL$205^A103,IF(A103='Données projet'!$A$166,'Données projet'!$B$166,DO102+DN103-DW102)))</f>
        <v>302.99999999999983</v>
      </c>
      <c r="DP103" s="18">
        <f>DO103*VLOOKUP('Données projet'!$B$14,Paramètres!$A$1:$I$89,3,0)*VLOOKUP('Données projet'!$B$14,Paramètres!$A$1:$I$89,5,0)</f>
        <v>255.24719999999988</v>
      </c>
      <c r="DQ103" s="14">
        <f t="shared" si="97"/>
        <v>61.708187819081218</v>
      </c>
      <c r="DR103" s="22">
        <f t="shared" si="70"/>
        <v>552.03063378489958</v>
      </c>
      <c r="DS103" s="62">
        <f t="shared" si="71"/>
        <v>845.36396711823295</v>
      </c>
      <c r="DT103" s="62">
        <f ca="1">AVERAGE(OFFSET($DS$3,0,0,'Données projet'!$E$14+1,1))-AVERAGE(OFFSET($H$3,0,0,'Données projet'!$E$14+1,1))</f>
        <v>402.15128814037058</v>
      </c>
      <c r="DU103" s="62">
        <f t="shared" si="98"/>
        <v>232.85411068442738</v>
      </c>
      <c r="DV103" s="16">
        <f>IF(ISNA(VLOOKUP(A103,'Données projet'!$A$165:$I$185,3,0)),0,VLOOKUP(A103,'Données projet'!$A$165:$I$185,3,0))</f>
        <v>8</v>
      </c>
      <c r="DW103" s="16">
        <f>IF(ISNA(VLOOKUP(A103,'Données projet'!$A$165:$I$185,4,0)),0,VLOOKUP(A103,'Données projet'!$A$165:$I$185,4,0))</f>
        <v>42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>
        <f>EXP(-LN(2)/35)*EA102+(1-EXP(-LN(2)/35))/(LN(2)/35)*DW103*DX103*VLOOKUP('Données projet'!$B$14,Paramètres!$A$1:$I$89,3,0)*0.475*44/12</f>
        <v>0</v>
      </c>
      <c r="EB103" s="23">
        <f>EXP(-LN(2)/25)*EB102+(1-EXP(-LN(2)/25))/(LN(2)/25)*Calculateur!DW103*Calculateur!DY103*VLOOKUP('Données projet'!$B$14,Paramètres!$A$1:$I$89,3,0)*0.475*44/12</f>
        <v>0</v>
      </c>
      <c r="EC103" s="23">
        <f>EXP(-LN(2)/2)*EC102+(1-EXP(-LN(2)/2))/(LN(2)/2)*DW103*DZ103*VLOOKUP('Données projet'!$B$14,Paramètres!$A$1:$I$89,3,0)*0.475*44/12</f>
        <v>0</v>
      </c>
      <c r="ED103" s="24">
        <f t="shared" si="72"/>
        <v>0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>
        <f>VLOOKUP(A103,'Données projet'!$A$191:$I$211,2,0)</f>
        <v>375.64102564102564</v>
      </c>
      <c r="EH103" s="13">
        <f>VLOOKUP(A103,'Données projet'!$A$191:$I$211,9,0)</f>
        <v>4.1025641025640995</v>
      </c>
      <c r="EI103" s="13">
        <f t="array" ref="EI103">INDEX(EH:EH,MIN(IF(ISNUMBER(EH103:EH299),ROW(EH103:EH299),"")))</f>
        <v>4.1025641025640995</v>
      </c>
      <c r="EJ103" s="13">
        <f>IF('Données projet'!$A$192&gt;35,EJ102+EI103-ER102,IF(A103&lt;'Données projet'!$A$192,$EG$205^A103,IF(A103='Données projet'!$A$192,'Données projet'!$B$192,EJ102+EI103-ER102)))</f>
        <v>375.64102564102581</v>
      </c>
      <c r="EK103" s="18">
        <f>EJ103*VLOOKUP('Données projet'!$B$15,Paramètres!$A$1:$I$89,3,0)*VLOOKUP('Données projet'!$B$15,Paramètres!$A$1:$I$89,5,0)</f>
        <v>392.62000000000018</v>
      </c>
      <c r="EL103" s="14">
        <f t="shared" si="99"/>
        <v>90.278865754094838</v>
      </c>
      <c r="EM103" s="22">
        <f t="shared" si="73"/>
        <v>841.04885785504882</v>
      </c>
      <c r="EN103" s="62">
        <f t="shared" si="74"/>
        <v>1134.3821911883822</v>
      </c>
      <c r="EO103" s="62">
        <f ca="1">AVERAGE(OFFSET($EN$3,0,0,'Données projet'!$E$15+1,1))-AVERAGE(OFFSET($H$3,0,0,'Données projet'!$E$15+1,1))</f>
        <v>595.89992279024398</v>
      </c>
      <c r="EP103" s="62">
        <f t="shared" si="100"/>
        <v>378.16197659288338</v>
      </c>
      <c r="EQ103" s="16">
        <f>IF(ISNA(VLOOKUP(A103,'Données projet'!$A$191:$I$211,3,0)),0,VLOOKUP(A103,'Données projet'!$A$191:$I$211,3,0))</f>
        <v>9</v>
      </c>
      <c r="ER103" s="16">
        <f>IF(ISNA(VLOOKUP(A103,'Données projet'!$A$191:$I$211,4,0)),0,VLOOKUP(A103,'Données projet'!$A$191:$I$211,4,0))</f>
        <v>24.358974358974358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>
        <f>EXP(-LN(2)/35)*EV102+(1-EXP(-LN(2)/35))/(LN(2)/35)*ER103*ES103*VLOOKUP('Données projet'!$B$15,Paramètres!$A$1:$I$89,3,0)*0.475*44/12</f>
        <v>0</v>
      </c>
      <c r="EW103" s="23">
        <f>EXP(-LN(2)/25)*EW102+(1-EXP(-LN(2)/25))/(LN(2)/25)*Calculateur!ER103*Calculateur!ET103*VLOOKUP('Données projet'!$B$15,Paramètres!$A$1:$I$89,3,0)*0.475*44/12</f>
        <v>0</v>
      </c>
      <c r="EX103" s="23">
        <f>EXP(-LN(2)/2)*EX102+(1-EXP(-LN(2)/2))/(LN(2)/2)*ER103*EU103*VLOOKUP('Données projet'!$B$15,Paramètres!$A$1:$I$89,3,0)*0.475*44/12</f>
        <v>0</v>
      </c>
      <c r="EY103" s="24">
        <f t="shared" si="75"/>
        <v>0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-2.2737367544323206E-13</v>
      </c>
      <c r="FF103" s="18">
        <f>FE103*VLOOKUP('Données projet'!$B$16,Paramètres!$A$1:$I$89,3,0)*VLOOKUP('Données projet'!$B$16,Paramètres!$A$1:$I$89,5,0)</f>
        <v>-1.3596945791505279E-13</v>
      </c>
      <c r="FG103" s="14" t="e">
        <f t="shared" si="101"/>
        <v>#NUM!</v>
      </c>
      <c r="FH103" s="22" t="e">
        <f t="shared" si="76"/>
        <v>#NUM!</v>
      </c>
      <c r="FI103" s="62" t="e">
        <f t="shared" si="77"/>
        <v>#NUM!</v>
      </c>
      <c r="FJ103" s="62">
        <f ca="1">AVERAGE(OFFSET($FI$3,0,0,'Données projet'!$E$16+1,1))-AVERAGE(OFFSET($H$3,0,0,'Données projet'!$E$16+1,1))</f>
        <v>257.56116197646924</v>
      </c>
      <c r="FK103" s="62">
        <f t="shared" si="102"/>
        <v>269.95556918835888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>
        <f>EXP(-LN(2)/35)*FQ102+(1-EXP(-LN(2)/35))/(LN(2)/35)*FM103*FN103*VLOOKUP('Données projet'!$B$16,Paramètres!$A$1:$I$89,3,0)*0.475*44/12</f>
        <v>3.6453604773002248</v>
      </c>
      <c r="FR103" s="23">
        <f>EXP(-LN(2)/25)*FR102+(1-EXP(-LN(2)/25))/(LN(2)/25)*Calculateur!FM103*Calculateur!FO103*VLOOKUP('Données projet'!$B$16,Paramètres!$A$1:$I$89,3,0)*0.475*44/12</f>
        <v>2.3179401815328204</v>
      </c>
      <c r="FS103" s="23">
        <f>EXP(-LN(2)/2)*FS102+(1-EXP(-LN(2)/2))/(LN(2)/2)*FM103*FP103*VLOOKUP('Données projet'!$B$16,Paramètres!$A$1:$I$89,3,0)*0.475*44/12</f>
        <v>2.4895659362591638E-10</v>
      </c>
      <c r="FT103" s="24">
        <f t="shared" si="78"/>
        <v>5.9633006590820017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-2.8421709430404007E-13</v>
      </c>
      <c r="GA103" s="18">
        <f>FZ103*VLOOKUP('Données projet'!$B$17,Paramètres!$A$1:$I$89,3,0)*VLOOKUP('Données projet'!$B$17,Paramètres!$A$1:$I$89,5,0)</f>
        <v>-1.69961822393816E-13</v>
      </c>
      <c r="GB103" s="14" t="e">
        <f t="shared" si="103"/>
        <v>#NUM!</v>
      </c>
      <c r="GC103" s="22" t="e">
        <f t="shared" si="79"/>
        <v>#NUM!</v>
      </c>
      <c r="GD103" s="62" t="e">
        <f t="shared" si="80"/>
        <v>#NUM!</v>
      </c>
      <c r="GE103" s="62">
        <f ca="1">AVERAGE(OFFSET($GD$3,0,0,'Données projet'!$E$17+1,1))-AVERAGE(OFFSET($H$3,0,0,'Données projet'!$E$17+1,1))</f>
        <v>289.12367833861299</v>
      </c>
      <c r="GF103" s="62">
        <f t="shared" si="104"/>
        <v>229.06617320689003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>
        <f>EXP(-LN(2)/35)*GL102+(1-EXP(-LN(2)/35))/(LN(2)/35)*GH103*GI103*VLOOKUP('Données projet'!$B$17,Paramètres!$A$1:$I$89,3,0)*0.475*44/12</f>
        <v>0</v>
      </c>
      <c r="GM103" s="23">
        <f>EXP(-LN(2)/25)*GM102+(1-EXP(-LN(2)/25))/(LN(2)/25)*Calculateur!GH103*Calculateur!GJ103*VLOOKUP('Données projet'!$B$17,Paramètres!$A$1:$I$89,3,0)*0.475*44/12</f>
        <v>0</v>
      </c>
      <c r="GN103" s="23">
        <f>EXP(-LN(2)/2)*GN102+(1-EXP(-LN(2)/2))/(LN(2)/2)*GH103*GK103*VLOOKUP('Données projet'!$B$17,Paramètres!$A$1:$I$89,3,0)*0.475*44/12</f>
        <v>1.2068878504288876E-10</v>
      </c>
      <c r="GO103" s="23">
        <f t="shared" si="81"/>
        <v>1.2068878504288876E-10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7.8564102564102525</v>
      </c>
      <c r="GU103" s="13">
        <f>IF('Données projet'!$A$270&gt;35,GU102+GT103-HC102,IF(A103&lt;'Données projet'!$A$270,$GR$205^A103,IF(A103='Données projet'!$A$270,'Données projet'!$B$270,GU102+GT103-HC102)))</f>
        <v>342.176923076923</v>
      </c>
      <c r="GV103" s="18">
        <f>GU103*VLOOKUP('Données projet'!$B$18,Paramètres!$A$1:$I$89,3,0)*VLOOKUP('Données projet'!$B$18,Paramètres!$A$1:$I$89,5,0)</f>
        <v>160.13879999999997</v>
      </c>
      <c r="GW103" s="14">
        <f t="shared" si="105"/>
        <v>40.873820554013228</v>
      </c>
      <c r="GX103" s="22">
        <f t="shared" si="82"/>
        <v>350.09698079823966</v>
      </c>
      <c r="GY103" s="62">
        <f t="shared" si="83"/>
        <v>643.43031413157291</v>
      </c>
      <c r="GZ103" s="62">
        <f ca="1">AVERAGE(OFFSET($GY$3,0,0,'Données projet'!$E$18+1,1))-AVERAGE(OFFSET($H$3,0,0,'Données projet'!$E$18+1,1))</f>
        <v>284.88646502866419</v>
      </c>
      <c r="HA103" s="62">
        <f t="shared" si="106"/>
        <v>190.4880882944471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>
        <f>EXP(-LN(2)/35)*HG102+(1-EXP(-LN(2)/35))/(LN(2)/35)*HC103*HD103*VLOOKUP('Données projet'!$B$18,Paramètres!$A$1:$I$89,3,0)*0.475*44/12</f>
        <v>0</v>
      </c>
      <c r="HH103" s="23">
        <f>EXP(-LN(2)/25)*HH102+(1-EXP(-LN(2)/25))/(LN(2)/25)*Calculateur!HC103*Calculateur!HE103*VLOOKUP('Données projet'!$B$18,Paramètres!$A$1:$I$89,3,0)*0.475*44/12</f>
        <v>0</v>
      </c>
      <c r="HI103" s="23">
        <f>EXP(-LN(2)/2)*HI102+(1-EXP(-LN(2)/2))/(LN(2)/2)*HC103*HF103*VLOOKUP('Données projet'!$B$18,Paramètres!$A$1:$I$89,3,0)*0.475*44/12</f>
        <v>0</v>
      </c>
      <c r="HJ103" s="24">
        <f t="shared" si="84"/>
        <v>0</v>
      </c>
    </row>
    <row r="104" spans="1:218" s="5" customFormat="1" x14ac:dyDescent="0.25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2">
        <f t="shared" si="86"/>
        <v>0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0</v>
      </c>
      <c r="H104" s="70">
        <f t="shared" si="56"/>
        <v>256.66666666666669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3.0769230769230802</v>
      </c>
      <c r="N104" s="14">
        <f>IF('Données projet'!$A$36&gt;35,N103+M104-V103,IF(A104&lt;'Données projet'!$A$36,$K$205^A104,IF(A104='Données projet'!$A$36,'Données projet'!$B$36,N103+M104-V103)))</f>
        <v>225.5128205128205</v>
      </c>
      <c r="O104" s="14">
        <f>N104*VLOOKUP('Données projet'!$B$9,Paramètres!$A$1:$I$89,3,0)*VLOOKUP('Données projet'!$B$9,Paramètres!$A$1:$I$89,5,0)</f>
        <v>214.59800000000001</v>
      </c>
      <c r="P104" s="14">
        <f t="shared" si="87"/>
        <v>52.939094303283817</v>
      </c>
      <c r="Q104" s="22">
        <f t="shared" si="107"/>
        <v>465.96043924488595</v>
      </c>
      <c r="R104" s="62">
        <f t="shared" si="55"/>
        <v>759.2937725782192</v>
      </c>
      <c r="S104" s="62">
        <f ca="1">AVERAGE(OFFSET($R$3,0,0,'Données projet'!$E$9+1,1))-AVERAGE(OFFSET($H$3,0,0,'Données projet'!$E$9+1,1))</f>
        <v>367.11183928586667</v>
      </c>
      <c r="T104" s="62">
        <f t="shared" si="88"/>
        <v>281.52963027844595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0</v>
      </c>
      <c r="AA104" s="23">
        <f>EXP(-LN(2)/25)*AA103+(1-EXP(-LN(2)/25))/(LN(2)/25)*Calculateur!V104*Calculateur!X104*VLOOKUP('Données projet'!$B$9,Paramètres!$A$1:$I$89,3,0)*0.475*44/12</f>
        <v>0</v>
      </c>
      <c r="AB104" s="23">
        <f>EXP(-LN(2)/2)*AB103+(1-EXP(-LN(2)/2))/(LN(2)/2)*V104*Y104*VLOOKUP('Données projet'!$B$9,Paramètres!$A$1:$I$89,3,0)*0.475*44/12</f>
        <v>0</v>
      </c>
      <c r="AC104" s="24">
        <f t="shared" si="57"/>
        <v>0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4.4000000000000004</v>
      </c>
      <c r="AI104" s="14">
        <f>IF('Données projet'!$A$62&gt;35,AI103+AH104-AQ103,IF(A104&lt;'Données projet'!$A$62,$AF$205^A104,IF(A104='Données projet'!$A$62,'Données projet'!$B$62,AI103+AH104-AQ103)))</f>
        <v>265.39999999999981</v>
      </c>
      <c r="AJ104" s="14">
        <f>AI104*VLOOKUP('Données projet'!$B$10,Paramètres!$A$1:$I$89,3,0)*VLOOKUP('Données projet'!$B$10,Paramètres!$A$1:$I$89,5,0)</f>
        <v>240.13391999999982</v>
      </c>
      <c r="AK104" s="14">
        <f t="shared" si="89"/>
        <v>58.468343087048559</v>
      </c>
      <c r="AL104" s="22">
        <f t="shared" si="58"/>
        <v>520.06560820994252</v>
      </c>
      <c r="AM104" s="62">
        <f t="shared" si="59"/>
        <v>813.3989415432759</v>
      </c>
      <c r="AN104" s="62">
        <f ca="1">AVERAGE(OFFSET($AM$3,0,0,'Données projet'!$E$10+1,1))-AVERAGE(OFFSET($H$3,0,0,'Données projet'!$E$10+1,1))</f>
        <v>428.8489304403459</v>
      </c>
      <c r="AO104" s="62">
        <f t="shared" si="90"/>
        <v>247.01165577562966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0</v>
      </c>
      <c r="AV104" s="23">
        <f>EXP(-LN(2)/25)*AV103+(1-EXP(-LN(2)/25))/(LN(2)/25)*Calculateur!AQ104*Calculateur!AS104*VLOOKUP('Données projet'!$B$10,Paramètres!$A$1:$I$89,3,0)*0.475*44/12</f>
        <v>0</v>
      </c>
      <c r="AW104" s="23">
        <f>EXP(-LN(2)/2)*AW103+(1-EXP(-LN(2)/2))/(LN(2)/2)*AQ104*AT104*VLOOKUP('Données projet'!$B$10,Paramètres!$A$1:$I$89,3,0)*0.475*44/12</f>
        <v>0</v>
      </c>
      <c r="AX104" s="23">
        <f t="shared" si="60"/>
        <v>0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4.4000000000000004</v>
      </c>
      <c r="BD104" s="13">
        <f>IF('Données projet'!$A$88&gt;35,BD103+BC104-BL103,IF(A104&lt;'Données projet'!$A$88,$BA$205^A104,IF(A104='Données projet'!$A$88,'Données projet'!$B$88,BD103+BC104-BL103)))</f>
        <v>265.39999999999981</v>
      </c>
      <c r="BE104" s="14">
        <f>BD104*VLOOKUP('Données projet'!$B$11,Paramètres!$A$1:$I$89,3,0)*VLOOKUP('Données projet'!$B$11,Paramètres!$A$1:$I$89,5,0)</f>
        <v>269.1155999999998</v>
      </c>
      <c r="BF104" s="14">
        <f t="shared" si="91"/>
        <v>64.661541462287076</v>
      </c>
      <c r="BG104" s="22">
        <f t="shared" si="61"/>
        <v>581.3285213801496</v>
      </c>
      <c r="BH104" s="62">
        <f t="shared" si="62"/>
        <v>874.66185471348285</v>
      </c>
      <c r="BI104" s="62">
        <f ca="1">AVERAGE(OFFSET($BH$3,0,0,'Données projet'!$E$11+1,1))-AVERAGE(OFFSET($H$3,0,0,'Données projet'!$E$11+1,1))</f>
        <v>475.47920969424894</v>
      </c>
      <c r="BJ104" s="62">
        <f t="shared" si="92"/>
        <v>271.73544012419364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>
        <f>EXP(-LN(2)/35)*BP103+(1-EXP(-LN(2)/35))/(LN(2)/35)*BL104*BM104*VLOOKUP('Données projet'!$B$11,Paramètres!$A$1:$I$89,3,0)*0.475*44/12</f>
        <v>0</v>
      </c>
      <c r="BQ104" s="23">
        <f>EXP(-LN(2)/25)*BQ103+(1-EXP(-LN(2)/25))/(LN(2)/25)*Calculateur!BL104*Calculateur!BN104*VLOOKUP('Données projet'!$B$11,Paramètres!$A$1:$I$89,3,0)*0.475*44/12</f>
        <v>0</v>
      </c>
      <c r="BR104" s="23">
        <f>EXP(-LN(2)/2)*BR103+(1-EXP(-LN(2)/2))/(LN(2)/2)*BL104*BO104*VLOOKUP('Données projet'!$B$11,Paramètres!$A$1:$I$89,3,0)*0.475*44/12</f>
        <v>0</v>
      </c>
      <c r="BS104" s="24">
        <f t="shared" si="63"/>
        <v>0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2.2737367544323206E-13</v>
      </c>
      <c r="BZ104" s="14">
        <f>BY104*VLOOKUP('Données projet'!$B$12,Paramètres!$A$1:$I$89,3,0)*VLOOKUP('Données projet'!$B$12,Paramètres!$A$1:$I$89,5,0)</f>
        <v>1.2710188457276673E-13</v>
      </c>
      <c r="CA104" s="14">
        <f t="shared" si="93"/>
        <v>1.856866851063998E-12</v>
      </c>
      <c r="CB104" s="22">
        <f t="shared" si="64"/>
        <v>3.4554122145673649E-12</v>
      </c>
      <c r="CC104" s="62">
        <f t="shared" si="65"/>
        <v>293.33333333333678</v>
      </c>
      <c r="CD104" s="62">
        <f ca="1">AVERAGE(OFFSET($CC$3,0,0,'Données projet'!$E$12+1,1))-AVERAGE(OFFSET($H$3,0,0,'Données projet'!$E$12+1,1))</f>
        <v>323.98185264074681</v>
      </c>
      <c r="CE104" s="62">
        <f t="shared" si="94"/>
        <v>301.22207291854005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>
        <f>EXP(-LN(2)/35)*CK103+(1-EXP(-LN(2)/35))/(LN(2)/35)*CG104*CH104*VLOOKUP('Données projet'!$B$12,Paramètres!$A$1:$I$89,3,0)*0.475*44/12</f>
        <v>1.0937044070942388</v>
      </c>
      <c r="CL104" s="23">
        <f>EXP(-LN(2)/25)*CL103+(1-EXP(-LN(2)/25))/(LN(2)/25)*Calculateur!CG104*Calculateur!CI104*VLOOKUP('Données projet'!$B$12,Paramètres!$A$1:$I$89,3,0)*0.475*44/12</f>
        <v>1.151825226601034</v>
      </c>
      <c r="CM104" s="23">
        <f>EXP(-LN(2)/2)*CM103+(1-EXP(-LN(2)/2))/(LN(2)/2)*CG104*CJ104*VLOOKUP('Données projet'!$B$12,Paramètres!$A$1:$I$89,3,0)*0.475*44/12</f>
        <v>1.2528412449360047E-10</v>
      </c>
      <c r="CN104" s="24">
        <f t="shared" si="66"/>
        <v>2.2455296338205568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3.1</v>
      </c>
      <c r="CT104" s="13">
        <f>IF('Données projet'!$A$140&gt;35,CT103+CS104-DB103,IF(A104&lt;'Données projet'!$A$140,$CQ$205^A104,IF(A104='Données projet'!$A$140,'Données projet'!$B$140,CT103+CS104-DB103)))</f>
        <v>205.09999999999982</v>
      </c>
      <c r="CU104" s="18">
        <f>CT104*VLOOKUP('Données projet'!$B$13,Paramètres!$A$1:$I$89,3,0)*VLOOKUP('Données projet'!$B$13,Paramètres!$A$1:$I$89,5,0)</f>
        <v>233.5678799999998</v>
      </c>
      <c r="CV104" s="14">
        <f t="shared" si="95"/>
        <v>57.053448096740176</v>
      </c>
      <c r="CW104" s="22">
        <f t="shared" si="67"/>
        <v>506.16547976848875</v>
      </c>
      <c r="CX104" s="62">
        <f t="shared" si="68"/>
        <v>799.49881310182207</v>
      </c>
      <c r="CY104" s="62">
        <f ca="1">AVERAGE(OFFSET($CX$3,0,0,'Données projet'!$E$13+1,1))-AVERAGE(OFFSET($H$3,0,0,'Données projet'!$E$13+1,1))</f>
        <v>399.78832690250164</v>
      </c>
      <c r="CZ104" s="62">
        <f t="shared" si="96"/>
        <v>174.32967064896343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>
        <f>EXP(-LN(2)/35)*DF103+(1-EXP(-LN(2)/35))/(LN(2)/35)*DB104*DC104*VLOOKUP('Données projet'!$B$13,Paramètres!$A$1:$I$89,3,0)*0.475*44/12</f>
        <v>0</v>
      </c>
      <c r="DG104" s="23">
        <f>EXP(-LN(2)/25)*DG103+(1-EXP(-LN(2)/25))/(LN(2)/25)*Calculateur!DB104*Calculateur!DD104*VLOOKUP('Données projet'!$B$13,Paramètres!$A$1:$I$89,3,0)*0.475*44/12</f>
        <v>0</v>
      </c>
      <c r="DH104" s="23">
        <f>EXP(-LN(2)/2)*DH103+(1-EXP(-LN(2)/2))/(LN(2)/2)*DB104*DE104*VLOOKUP('Données projet'!$B$13,Paramètres!$A$1:$I$89,3,0)*0.475*44/12</f>
        <v>0</v>
      </c>
      <c r="DI104" s="24">
        <f t="shared" si="69"/>
        <v>0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4.4000000000000004</v>
      </c>
      <c r="DO104" s="13">
        <f>IF('Données projet'!$A$166&gt;35,DO103+DN104-DW103,IF(A104&lt;'Données projet'!$A$166,$DL$205^A104,IF(A104='Données projet'!$A$166,'Données projet'!$B$166,DO103+DN104-DW103)))</f>
        <v>265.39999999999981</v>
      </c>
      <c r="DP104" s="18">
        <f>DO104*VLOOKUP('Données projet'!$B$14,Paramètres!$A$1:$I$89,3,0)*VLOOKUP('Données projet'!$B$14,Paramètres!$A$1:$I$89,5,0)</f>
        <v>223.57295999999988</v>
      </c>
      <c r="DQ104" s="14">
        <f t="shared" si="97"/>
        <v>54.890721304299568</v>
      </c>
      <c r="DR104" s="22">
        <f t="shared" si="70"/>
        <v>484.99091160498818</v>
      </c>
      <c r="DS104" s="62">
        <f t="shared" si="71"/>
        <v>778.3242449383215</v>
      </c>
      <c r="DT104" s="62">
        <f ca="1">AVERAGE(OFFSET($DS$3,0,0,'Données projet'!$E$14+1,1))-AVERAGE(OFFSET($H$3,0,0,'Données projet'!$E$14+1,1))</f>
        <v>402.15128814037058</v>
      </c>
      <c r="DU104" s="62">
        <f t="shared" si="98"/>
        <v>232.85411068442738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>
        <f>EXP(-LN(2)/35)*EA103+(1-EXP(-LN(2)/35))/(LN(2)/35)*DW104*DX104*VLOOKUP('Données projet'!$B$14,Paramètres!$A$1:$I$89,3,0)*0.475*44/12</f>
        <v>0</v>
      </c>
      <c r="EB104" s="23">
        <f>EXP(-LN(2)/25)*EB103+(1-EXP(-LN(2)/25))/(LN(2)/25)*Calculateur!DW104*Calculateur!DY104*VLOOKUP('Données projet'!$B$14,Paramètres!$A$1:$I$89,3,0)*0.475*44/12</f>
        <v>0</v>
      </c>
      <c r="EC104" s="23">
        <f>EXP(-LN(2)/2)*EC103+(1-EXP(-LN(2)/2))/(LN(2)/2)*DW104*DZ104*VLOOKUP('Données projet'!$B$14,Paramètres!$A$1:$I$89,3,0)*0.475*44/12</f>
        <v>0</v>
      </c>
      <c r="ED104" s="24">
        <f t="shared" si="72"/>
        <v>0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3.7179487179487181</v>
      </c>
      <c r="EJ104" s="13">
        <f>IF('Données projet'!$A$192&gt;35,EJ103+EI104-ER103,IF(A104&lt;'Données projet'!$A$192,$EG$205^A104,IF(A104='Données projet'!$A$192,'Données projet'!$B$192,EJ103+EI104-ER103)))</f>
        <v>355.00000000000017</v>
      </c>
      <c r="EK104" s="18">
        <f>EJ104*VLOOKUP('Données projet'!$B$15,Paramètres!$A$1:$I$89,3,0)*VLOOKUP('Données projet'!$B$15,Paramètres!$A$1:$I$89,5,0)</f>
        <v>371.04600000000022</v>
      </c>
      <c r="EL104" s="14">
        <f t="shared" si="99"/>
        <v>85.881264127803803</v>
      </c>
      <c r="EM104" s="22">
        <f t="shared" si="73"/>
        <v>795.81498502259194</v>
      </c>
      <c r="EN104" s="62">
        <f t="shared" si="74"/>
        <v>1089.1483183559253</v>
      </c>
      <c r="EO104" s="62">
        <f ca="1">AVERAGE(OFFSET($EN$3,0,0,'Données projet'!$E$15+1,1))-AVERAGE(OFFSET($H$3,0,0,'Données projet'!$E$15+1,1))</f>
        <v>595.89992279024398</v>
      </c>
      <c r="EP104" s="62">
        <f t="shared" si="100"/>
        <v>378.16197659288338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>
        <f>EXP(-LN(2)/35)*EV103+(1-EXP(-LN(2)/35))/(LN(2)/35)*ER104*ES104*VLOOKUP('Données projet'!$B$15,Paramètres!$A$1:$I$89,3,0)*0.475*44/12</f>
        <v>0</v>
      </c>
      <c r="EW104" s="23">
        <f>EXP(-LN(2)/25)*EW103+(1-EXP(-LN(2)/25))/(LN(2)/25)*Calculateur!ER104*Calculateur!ET104*VLOOKUP('Données projet'!$B$15,Paramètres!$A$1:$I$89,3,0)*0.475*44/12</f>
        <v>0</v>
      </c>
      <c r="EX104" s="23">
        <f>EXP(-LN(2)/2)*EX103+(1-EXP(-LN(2)/2))/(LN(2)/2)*ER104*EU104*VLOOKUP('Données projet'!$B$15,Paramètres!$A$1:$I$89,3,0)*0.475*44/12</f>
        <v>0</v>
      </c>
      <c r="EY104" s="24">
        <f t="shared" si="75"/>
        <v>0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-2.2737367544323206E-13</v>
      </c>
      <c r="FF104" s="18">
        <f>FE104*VLOOKUP('Données projet'!$B$16,Paramètres!$A$1:$I$89,3,0)*VLOOKUP('Données projet'!$B$16,Paramètres!$A$1:$I$89,5,0)</f>
        <v>-1.3596945791505279E-13</v>
      </c>
      <c r="FG104" s="14" t="e">
        <f t="shared" si="101"/>
        <v>#NUM!</v>
      </c>
      <c r="FH104" s="22" t="e">
        <f t="shared" si="76"/>
        <v>#NUM!</v>
      </c>
      <c r="FI104" s="62" t="e">
        <f t="shared" si="77"/>
        <v>#NUM!</v>
      </c>
      <c r="FJ104" s="62">
        <f ca="1">AVERAGE(OFFSET($FI$3,0,0,'Données projet'!$E$16+1,1))-AVERAGE(OFFSET($H$3,0,0,'Données projet'!$E$16+1,1))</f>
        <v>257.56116197646924</v>
      </c>
      <c r="FK104" s="62">
        <f t="shared" si="102"/>
        <v>269.95556918835888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>
        <f>EXP(-LN(2)/35)*FQ103+(1-EXP(-LN(2)/35))/(LN(2)/35)*FM104*FN104*VLOOKUP('Données projet'!$B$16,Paramètres!$A$1:$I$89,3,0)*0.475*44/12</f>
        <v>3.5738771817907109</v>
      </c>
      <c r="FR104" s="23">
        <f>EXP(-LN(2)/25)*FR103+(1-EXP(-LN(2)/25))/(LN(2)/25)*Calculateur!FM104*Calculateur!FO104*VLOOKUP('Données projet'!$B$16,Paramètres!$A$1:$I$89,3,0)*0.475*44/12</f>
        <v>2.2545559853736292</v>
      </c>
      <c r="FS104" s="23">
        <f>EXP(-LN(2)/2)*FS103+(1-EXP(-LN(2)/2))/(LN(2)/2)*FM104*FP104*VLOOKUP('Données projet'!$B$16,Paramètres!$A$1:$I$89,3,0)*0.475*44/12</f>
        <v>1.7603889557398909E-10</v>
      </c>
      <c r="FT104" s="24">
        <f t="shared" si="78"/>
        <v>5.8284331673403784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-2.8421709430404007E-13</v>
      </c>
      <c r="GA104" s="18">
        <f>FZ104*VLOOKUP('Données projet'!$B$17,Paramètres!$A$1:$I$89,3,0)*VLOOKUP('Données projet'!$B$17,Paramètres!$A$1:$I$89,5,0)</f>
        <v>-1.69961822393816E-13</v>
      </c>
      <c r="GB104" s="14" t="e">
        <f t="shared" si="103"/>
        <v>#NUM!</v>
      </c>
      <c r="GC104" s="22" t="e">
        <f t="shared" si="79"/>
        <v>#NUM!</v>
      </c>
      <c r="GD104" s="62" t="e">
        <f t="shared" si="80"/>
        <v>#NUM!</v>
      </c>
      <c r="GE104" s="62">
        <f ca="1">AVERAGE(OFFSET($GD$3,0,0,'Données projet'!$E$17+1,1))-AVERAGE(OFFSET($H$3,0,0,'Données projet'!$E$17+1,1))</f>
        <v>289.12367833861299</v>
      </c>
      <c r="GF104" s="62">
        <f t="shared" si="104"/>
        <v>229.06617320689003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>
        <f>EXP(-LN(2)/35)*GL103+(1-EXP(-LN(2)/35))/(LN(2)/35)*GH104*GI104*VLOOKUP('Données projet'!$B$17,Paramètres!$A$1:$I$89,3,0)*0.475*44/12</f>
        <v>0</v>
      </c>
      <c r="GM104" s="23">
        <f>EXP(-LN(2)/25)*GM103+(1-EXP(-LN(2)/25))/(LN(2)/25)*Calculateur!GH104*Calculateur!GJ104*VLOOKUP('Données projet'!$B$17,Paramètres!$A$1:$I$89,3,0)*0.475*44/12</f>
        <v>0</v>
      </c>
      <c r="GN104" s="23">
        <f>EXP(-LN(2)/2)*GN103+(1-EXP(-LN(2)/2))/(LN(2)/2)*GH104*GK104*VLOOKUP('Données projet'!$B$17,Paramètres!$A$1:$I$89,3,0)*0.475*44/12</f>
        <v>8.5339858316992214E-11</v>
      </c>
      <c r="GO104" s="23">
        <f t="shared" si="81"/>
        <v>8.5339858316992214E-11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7.8564102564102525</v>
      </c>
      <c r="GU104" s="13">
        <f>IF('Données projet'!$A$270&gt;35,GU103+GT104-HC103,IF(A104&lt;'Données projet'!$A$270,$GR$205^A104,IF(A104='Données projet'!$A$270,'Données projet'!$B$270,GU103+GT104-HC103)))</f>
        <v>350.03333333333325</v>
      </c>
      <c r="GV104" s="18">
        <f>GU104*VLOOKUP('Données projet'!$B$18,Paramètres!$A$1:$I$89,3,0)*VLOOKUP('Données projet'!$B$18,Paramètres!$A$1:$I$89,5,0)</f>
        <v>163.81559999999996</v>
      </c>
      <c r="GW104" s="14">
        <f t="shared" si="105"/>
        <v>41.701950631300939</v>
      </c>
      <c r="GX104" s="22">
        <f t="shared" si="82"/>
        <v>357.94306734951579</v>
      </c>
      <c r="GY104" s="62">
        <f t="shared" si="83"/>
        <v>651.27640068284904</v>
      </c>
      <c r="GZ104" s="62">
        <f ca="1">AVERAGE(OFFSET($GY$3,0,0,'Données projet'!$E$18+1,1))-AVERAGE(OFFSET($H$3,0,0,'Données projet'!$E$18+1,1))</f>
        <v>284.88646502866419</v>
      </c>
      <c r="HA104" s="62">
        <f t="shared" si="106"/>
        <v>190.4880882944471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>
        <f>EXP(-LN(2)/35)*HG103+(1-EXP(-LN(2)/35))/(LN(2)/35)*HC104*HD104*VLOOKUP('Données projet'!$B$18,Paramètres!$A$1:$I$89,3,0)*0.475*44/12</f>
        <v>0</v>
      </c>
      <c r="HH104" s="23">
        <f>EXP(-LN(2)/25)*HH103+(1-EXP(-LN(2)/25))/(LN(2)/25)*Calculateur!HC104*Calculateur!HE104*VLOOKUP('Données projet'!$B$18,Paramètres!$A$1:$I$89,3,0)*0.475*44/12</f>
        <v>0</v>
      </c>
      <c r="HI104" s="23">
        <f>EXP(-LN(2)/2)*HI103+(1-EXP(-LN(2)/2))/(LN(2)/2)*HC104*HF104*VLOOKUP('Données projet'!$B$18,Paramètres!$A$1:$I$89,3,0)*0.475*44/12</f>
        <v>0</v>
      </c>
      <c r="HJ104" s="24">
        <f t="shared" si="84"/>
        <v>0</v>
      </c>
    </row>
    <row r="105" spans="1:218" s="5" customFormat="1" x14ac:dyDescent="0.25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2">
        <f t="shared" si="86"/>
        <v>0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0</v>
      </c>
      <c r="H105" s="70">
        <f t="shared" si="56"/>
        <v>256.66666666666669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3.0769230769230802</v>
      </c>
      <c r="N105" s="14">
        <f>IF('Données projet'!$A$36&gt;35,N104+M105-V104,IF(A105&lt;'Données projet'!$A$36,$K$205^A105,IF(A105='Données projet'!$A$36,'Données projet'!$B$36,N104+M105-V104)))</f>
        <v>228.58974358974359</v>
      </c>
      <c r="O105" s="14">
        <f>N105*VLOOKUP('Données projet'!$B$9,Paramètres!$A$1:$I$89,3,0)*VLOOKUP('Données projet'!$B$9,Paramètres!$A$1:$I$89,5,0)</f>
        <v>217.52600000000001</v>
      </c>
      <c r="P105" s="14">
        <f t="shared" si="87"/>
        <v>53.576820638117503</v>
      </c>
      <c r="Q105" s="22">
        <f t="shared" si="107"/>
        <v>472.17074594472138</v>
      </c>
      <c r="R105" s="62">
        <f t="shared" si="55"/>
        <v>765.50407927805463</v>
      </c>
      <c r="S105" s="62">
        <f ca="1">AVERAGE(OFFSET($R$3,0,0,'Données projet'!$E$9+1,1))-AVERAGE(OFFSET($H$3,0,0,'Données projet'!$E$9+1,1))</f>
        <v>367.11183928586667</v>
      </c>
      <c r="T105" s="62">
        <f t="shared" si="88"/>
        <v>281.52963027844595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0</v>
      </c>
      <c r="AA105" s="23">
        <f>EXP(-LN(2)/25)*AA104+(1-EXP(-LN(2)/25))/(LN(2)/25)*Calculateur!V105*Calculateur!X105*VLOOKUP('Données projet'!$B$9,Paramètres!$A$1:$I$89,3,0)*0.475*44/12</f>
        <v>0</v>
      </c>
      <c r="AB105" s="23">
        <f>EXP(-LN(2)/2)*AB104+(1-EXP(-LN(2)/2))/(LN(2)/2)*V105*Y105*VLOOKUP('Données projet'!$B$9,Paramètres!$A$1:$I$89,3,0)*0.475*44/12</f>
        <v>0</v>
      </c>
      <c r="AC105" s="24">
        <f t="shared" si="57"/>
        <v>0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4.4000000000000004</v>
      </c>
      <c r="AI105" s="14">
        <f>IF('Données projet'!$A$62&gt;35,AI104+AH105-AQ104,IF(A105&lt;'Données projet'!$A$62,$AF$205^A105,IF(A105='Données projet'!$A$62,'Données projet'!$B$62,AI104+AH105-AQ104)))</f>
        <v>269.79999999999978</v>
      </c>
      <c r="AJ105" s="14">
        <f>AI105*VLOOKUP('Données projet'!$B$10,Paramètres!$A$1:$I$89,3,0)*VLOOKUP('Données projet'!$B$10,Paramètres!$A$1:$I$89,5,0)</f>
        <v>244.11503999999979</v>
      </c>
      <c r="AK105" s="14">
        <f t="shared" si="89"/>
        <v>59.324023461759012</v>
      </c>
      <c r="AL105" s="22">
        <f t="shared" si="58"/>
        <v>528.48970219589648</v>
      </c>
      <c r="AM105" s="62">
        <f t="shared" si="59"/>
        <v>821.82303552922986</v>
      </c>
      <c r="AN105" s="62">
        <f ca="1">AVERAGE(OFFSET($AM$3,0,0,'Données projet'!$E$10+1,1))-AVERAGE(OFFSET($H$3,0,0,'Données projet'!$E$10+1,1))</f>
        <v>428.8489304403459</v>
      </c>
      <c r="AO105" s="62">
        <f t="shared" si="90"/>
        <v>247.01165577562966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0</v>
      </c>
      <c r="AV105" s="23">
        <f>EXP(-LN(2)/25)*AV104+(1-EXP(-LN(2)/25))/(LN(2)/25)*Calculateur!AQ105*Calculateur!AS105*VLOOKUP('Données projet'!$B$10,Paramètres!$A$1:$I$89,3,0)*0.475*44/12</f>
        <v>0</v>
      </c>
      <c r="AW105" s="23">
        <f>EXP(-LN(2)/2)*AW104+(1-EXP(-LN(2)/2))/(LN(2)/2)*AQ105*AT105*VLOOKUP('Données projet'!$B$10,Paramètres!$A$1:$I$89,3,0)*0.475*44/12</f>
        <v>0</v>
      </c>
      <c r="AX105" s="23">
        <f t="shared" si="60"/>
        <v>0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4.4000000000000004</v>
      </c>
      <c r="BD105" s="13">
        <f>IF('Données projet'!$A$88&gt;35,BD104+BC105-BL104,IF(A105&lt;'Données projet'!$A$88,$BA$205^A105,IF(A105='Données projet'!$A$88,'Données projet'!$B$88,BD104+BC105-BL104)))</f>
        <v>269.79999999999978</v>
      </c>
      <c r="BE105" s="14">
        <f>BD105*VLOOKUP('Données projet'!$B$11,Paramètres!$A$1:$I$89,3,0)*VLOOKUP('Données projet'!$B$11,Paramètres!$A$1:$I$89,5,0)</f>
        <v>273.57719999999978</v>
      </c>
      <c r="BF105" s="14">
        <f t="shared" si="91"/>
        <v>65.60785888991505</v>
      </c>
      <c r="BG105" s="22">
        <f t="shared" si="61"/>
        <v>590.74731089993509</v>
      </c>
      <c r="BH105" s="62">
        <f t="shared" si="62"/>
        <v>884.08064423326846</v>
      </c>
      <c r="BI105" s="62">
        <f ca="1">AVERAGE(OFFSET($BH$3,0,0,'Données projet'!$E$11+1,1))-AVERAGE(OFFSET($H$3,0,0,'Données projet'!$E$11+1,1))</f>
        <v>475.47920969424894</v>
      </c>
      <c r="BJ105" s="62">
        <f t="shared" si="92"/>
        <v>271.73544012419364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>
        <f>EXP(-LN(2)/35)*BP104+(1-EXP(-LN(2)/35))/(LN(2)/35)*BL105*BM105*VLOOKUP('Données projet'!$B$11,Paramètres!$A$1:$I$89,3,0)*0.475*44/12</f>
        <v>0</v>
      </c>
      <c r="BQ105" s="23">
        <f>EXP(-LN(2)/25)*BQ104+(1-EXP(-LN(2)/25))/(LN(2)/25)*Calculateur!BL105*Calculateur!BN105*VLOOKUP('Données projet'!$B$11,Paramètres!$A$1:$I$89,3,0)*0.475*44/12</f>
        <v>0</v>
      </c>
      <c r="BR105" s="23">
        <f>EXP(-LN(2)/2)*BR104+(1-EXP(-LN(2)/2))/(LN(2)/2)*BL105*BO105*VLOOKUP('Données projet'!$B$11,Paramètres!$A$1:$I$89,3,0)*0.475*44/12</f>
        <v>0</v>
      </c>
      <c r="BS105" s="24">
        <f t="shared" si="63"/>
        <v>0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2.2737367544323206E-13</v>
      </c>
      <c r="BZ105" s="14">
        <f>BY105*VLOOKUP('Données projet'!$B$12,Paramètres!$A$1:$I$89,3,0)*VLOOKUP('Données projet'!$B$12,Paramètres!$A$1:$I$89,5,0)</f>
        <v>1.2710188457276673E-13</v>
      </c>
      <c r="CA105" s="14">
        <f t="shared" si="93"/>
        <v>1.856866851063998E-12</v>
      </c>
      <c r="CB105" s="22">
        <f t="shared" si="64"/>
        <v>3.4554122145673649E-12</v>
      </c>
      <c r="CC105" s="62">
        <f t="shared" si="65"/>
        <v>293.33333333333678</v>
      </c>
      <c r="CD105" s="62">
        <f ca="1">AVERAGE(OFFSET($CC$3,0,0,'Données projet'!$E$12+1,1))-AVERAGE(OFFSET($H$3,0,0,'Données projet'!$E$12+1,1))</f>
        <v>323.98185264074681</v>
      </c>
      <c r="CE105" s="62">
        <f t="shared" si="94"/>
        <v>301.22207291854005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>
        <f>EXP(-LN(2)/35)*CK104+(1-EXP(-LN(2)/35))/(LN(2)/35)*CG105*CH105*VLOOKUP('Données projet'!$B$12,Paramètres!$A$1:$I$89,3,0)*0.475*44/12</f>
        <v>1.0722575307649391</v>
      </c>
      <c r="CL105" s="23">
        <f>EXP(-LN(2)/25)*CL104+(1-EXP(-LN(2)/25))/(LN(2)/25)*Calculateur!CG105*Calculateur!CI105*VLOOKUP('Données projet'!$B$12,Paramètres!$A$1:$I$89,3,0)*0.475*44/12</f>
        <v>1.1203285052077727</v>
      </c>
      <c r="CM105" s="23">
        <f>EXP(-LN(2)/2)*CM104+(1-EXP(-LN(2)/2))/(LN(2)/2)*CG105*CJ105*VLOOKUP('Données projet'!$B$12,Paramètres!$A$1:$I$89,3,0)*0.475*44/12</f>
        <v>8.8589254004444529E-11</v>
      </c>
      <c r="CN105" s="24">
        <f t="shared" si="66"/>
        <v>2.192586036061301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3.1</v>
      </c>
      <c r="CT105" s="13">
        <f>IF('Données projet'!$A$140&gt;35,CT104+CS105-DB104,IF(A105&lt;'Données projet'!$A$140,$CQ$205^A105,IF(A105='Données projet'!$A$140,'Données projet'!$B$140,CT104+CS105-DB104)))</f>
        <v>208.19999999999982</v>
      </c>
      <c r="CU105" s="18">
        <f>CT105*VLOOKUP('Données projet'!$B$13,Paramètres!$A$1:$I$89,3,0)*VLOOKUP('Données projet'!$B$13,Paramètres!$A$1:$I$89,5,0)</f>
        <v>237.09815999999981</v>
      </c>
      <c r="CV105" s="14">
        <f t="shared" si="95"/>
        <v>57.814744131423225</v>
      </c>
      <c r="CW105" s="22">
        <f t="shared" si="67"/>
        <v>513.63997469556182</v>
      </c>
      <c r="CX105" s="62">
        <f t="shared" si="68"/>
        <v>806.97330802889519</v>
      </c>
      <c r="CY105" s="62">
        <f ca="1">AVERAGE(OFFSET($CX$3,0,0,'Données projet'!$E$13+1,1))-AVERAGE(OFFSET($H$3,0,0,'Données projet'!$E$13+1,1))</f>
        <v>399.78832690250164</v>
      </c>
      <c r="CZ105" s="62">
        <f t="shared" si="96"/>
        <v>174.32967064896343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>
        <f>EXP(-LN(2)/35)*DF104+(1-EXP(-LN(2)/35))/(LN(2)/35)*DB105*DC105*VLOOKUP('Données projet'!$B$13,Paramètres!$A$1:$I$89,3,0)*0.475*44/12</f>
        <v>0</v>
      </c>
      <c r="DG105" s="23">
        <f>EXP(-LN(2)/25)*DG104+(1-EXP(-LN(2)/25))/(LN(2)/25)*Calculateur!DB105*Calculateur!DD105*VLOOKUP('Données projet'!$B$13,Paramètres!$A$1:$I$89,3,0)*0.475*44/12</f>
        <v>0</v>
      </c>
      <c r="DH105" s="23">
        <f>EXP(-LN(2)/2)*DH104+(1-EXP(-LN(2)/2))/(LN(2)/2)*DB105*DE105*VLOOKUP('Données projet'!$B$13,Paramètres!$A$1:$I$89,3,0)*0.475*44/12</f>
        <v>0</v>
      </c>
      <c r="DI105" s="24">
        <f t="shared" si="69"/>
        <v>0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4.4000000000000004</v>
      </c>
      <c r="DO105" s="13">
        <f>IF('Données projet'!$A$166&gt;35,DO104+DN105-DW104,IF(A105&lt;'Données projet'!$A$166,$DL$205^A105,IF(A105='Données projet'!$A$166,'Données projet'!$B$166,DO104+DN105-DW104)))</f>
        <v>269.79999999999978</v>
      </c>
      <c r="DP105" s="18">
        <f>DO105*VLOOKUP('Données projet'!$B$14,Paramètres!$A$1:$I$89,3,0)*VLOOKUP('Données projet'!$B$14,Paramètres!$A$1:$I$89,5,0)</f>
        <v>227.27951999999985</v>
      </c>
      <c r="DQ105" s="14">
        <f t="shared" si="97"/>
        <v>55.694043418351256</v>
      </c>
      <c r="DR105" s="22">
        <f t="shared" si="70"/>
        <v>492.84562295362815</v>
      </c>
      <c r="DS105" s="62">
        <f t="shared" si="71"/>
        <v>786.17895628696147</v>
      </c>
      <c r="DT105" s="62">
        <f ca="1">AVERAGE(OFFSET($DS$3,0,0,'Données projet'!$E$14+1,1))-AVERAGE(OFFSET($H$3,0,0,'Données projet'!$E$14+1,1))</f>
        <v>402.15128814037058</v>
      </c>
      <c r="DU105" s="62">
        <f t="shared" si="98"/>
        <v>232.85411068442738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>
        <f>EXP(-LN(2)/35)*EA104+(1-EXP(-LN(2)/35))/(LN(2)/35)*DW105*DX105*VLOOKUP('Données projet'!$B$14,Paramètres!$A$1:$I$89,3,0)*0.475*44/12</f>
        <v>0</v>
      </c>
      <c r="EB105" s="23">
        <f>EXP(-LN(2)/25)*EB104+(1-EXP(-LN(2)/25))/(LN(2)/25)*Calculateur!DW105*Calculateur!DY105*VLOOKUP('Données projet'!$B$14,Paramètres!$A$1:$I$89,3,0)*0.475*44/12</f>
        <v>0</v>
      </c>
      <c r="EC105" s="23">
        <f>EXP(-LN(2)/2)*EC104+(1-EXP(-LN(2)/2))/(LN(2)/2)*DW105*DZ105*VLOOKUP('Données projet'!$B$14,Paramètres!$A$1:$I$89,3,0)*0.475*44/12</f>
        <v>0</v>
      </c>
      <c r="ED105" s="24">
        <f t="shared" si="72"/>
        <v>0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3.7179487179487181</v>
      </c>
      <c r="EJ105" s="13">
        <f>IF('Données projet'!$A$192&gt;35,EJ104+EI105-ER104,IF(A105&lt;'Données projet'!$A$192,$EG$205^A105,IF(A105='Données projet'!$A$192,'Données projet'!$B$192,EJ104+EI105-ER104)))</f>
        <v>358.7179487179489</v>
      </c>
      <c r="EK105" s="18">
        <f>EJ105*VLOOKUP('Données projet'!$B$15,Paramètres!$A$1:$I$89,3,0)*VLOOKUP('Données projet'!$B$15,Paramètres!$A$1:$I$89,5,0)</f>
        <v>374.93200000000019</v>
      </c>
      <c r="EL105" s="14">
        <f t="shared" si="99"/>
        <v>86.675529093040339</v>
      </c>
      <c r="EM105" s="22">
        <f t="shared" si="73"/>
        <v>803.96644650371218</v>
      </c>
      <c r="EN105" s="62">
        <f t="shared" si="74"/>
        <v>1097.2997798370454</v>
      </c>
      <c r="EO105" s="62">
        <f ca="1">AVERAGE(OFFSET($EN$3,0,0,'Données projet'!$E$15+1,1))-AVERAGE(OFFSET($H$3,0,0,'Données projet'!$E$15+1,1))</f>
        <v>595.89992279024398</v>
      </c>
      <c r="EP105" s="62">
        <f t="shared" si="100"/>
        <v>378.16197659288338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>
        <f>EXP(-LN(2)/35)*EV104+(1-EXP(-LN(2)/35))/(LN(2)/35)*ER105*ES105*VLOOKUP('Données projet'!$B$15,Paramètres!$A$1:$I$89,3,0)*0.475*44/12</f>
        <v>0</v>
      </c>
      <c r="EW105" s="23">
        <f>EXP(-LN(2)/25)*EW104+(1-EXP(-LN(2)/25))/(LN(2)/25)*Calculateur!ER105*Calculateur!ET105*VLOOKUP('Données projet'!$B$15,Paramètres!$A$1:$I$89,3,0)*0.475*44/12</f>
        <v>0</v>
      </c>
      <c r="EX105" s="23">
        <f>EXP(-LN(2)/2)*EX104+(1-EXP(-LN(2)/2))/(LN(2)/2)*ER105*EU105*VLOOKUP('Données projet'!$B$15,Paramètres!$A$1:$I$89,3,0)*0.475*44/12</f>
        <v>0</v>
      </c>
      <c r="EY105" s="24">
        <f t="shared" si="75"/>
        <v>0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-2.2737367544323206E-13</v>
      </c>
      <c r="FF105" s="18">
        <f>FE105*VLOOKUP('Données projet'!$B$16,Paramètres!$A$1:$I$89,3,0)*VLOOKUP('Données projet'!$B$16,Paramètres!$A$1:$I$89,5,0)</f>
        <v>-1.3596945791505279E-13</v>
      </c>
      <c r="FG105" s="14" t="e">
        <f t="shared" si="101"/>
        <v>#NUM!</v>
      </c>
      <c r="FH105" s="22" t="e">
        <f t="shared" si="76"/>
        <v>#NUM!</v>
      </c>
      <c r="FI105" s="62" t="e">
        <f t="shared" si="77"/>
        <v>#NUM!</v>
      </c>
      <c r="FJ105" s="62">
        <f ca="1">AVERAGE(OFFSET($FI$3,0,0,'Données projet'!$E$16+1,1))-AVERAGE(OFFSET($H$3,0,0,'Données projet'!$E$16+1,1))</f>
        <v>257.56116197646924</v>
      </c>
      <c r="FK105" s="62">
        <f t="shared" si="102"/>
        <v>269.95556918835888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>
        <f>EXP(-LN(2)/35)*FQ104+(1-EXP(-LN(2)/35))/(LN(2)/35)*FM105*FN105*VLOOKUP('Données projet'!$B$16,Paramètres!$A$1:$I$89,3,0)*0.475*44/12</f>
        <v>3.5037956301056337</v>
      </c>
      <c r="FR105" s="23">
        <f>EXP(-LN(2)/25)*FR104+(1-EXP(-LN(2)/25))/(LN(2)/25)*Calculateur!FM105*Calculateur!FO105*VLOOKUP('Données projet'!$B$16,Paramètres!$A$1:$I$89,3,0)*0.475*44/12</f>
        <v>2.1929050333916411</v>
      </c>
      <c r="FS105" s="23">
        <f>EXP(-LN(2)/2)*FS104+(1-EXP(-LN(2)/2))/(LN(2)/2)*FM105*FP105*VLOOKUP('Données projet'!$B$16,Paramètres!$A$1:$I$89,3,0)*0.475*44/12</f>
        <v>1.2447829681295819E-10</v>
      </c>
      <c r="FT105" s="24">
        <f t="shared" si="78"/>
        <v>5.696700663621753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-2.8421709430404007E-13</v>
      </c>
      <c r="GA105" s="18">
        <f>FZ105*VLOOKUP('Données projet'!$B$17,Paramètres!$A$1:$I$89,3,0)*VLOOKUP('Données projet'!$B$17,Paramètres!$A$1:$I$89,5,0)</f>
        <v>-1.69961822393816E-13</v>
      </c>
      <c r="GB105" s="14" t="e">
        <f t="shared" si="103"/>
        <v>#NUM!</v>
      </c>
      <c r="GC105" s="22" t="e">
        <f t="shared" si="79"/>
        <v>#NUM!</v>
      </c>
      <c r="GD105" s="62" t="e">
        <f t="shared" si="80"/>
        <v>#NUM!</v>
      </c>
      <c r="GE105" s="62">
        <f ca="1">AVERAGE(OFFSET($GD$3,0,0,'Données projet'!$E$17+1,1))-AVERAGE(OFFSET($H$3,0,0,'Données projet'!$E$17+1,1))</f>
        <v>289.12367833861299</v>
      </c>
      <c r="GF105" s="62">
        <f t="shared" si="104"/>
        <v>229.06617320689003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>
        <f>EXP(-LN(2)/35)*GL104+(1-EXP(-LN(2)/35))/(LN(2)/35)*GH105*GI105*VLOOKUP('Données projet'!$B$17,Paramètres!$A$1:$I$89,3,0)*0.475*44/12</f>
        <v>0</v>
      </c>
      <c r="GM105" s="23">
        <f>EXP(-LN(2)/25)*GM104+(1-EXP(-LN(2)/25))/(LN(2)/25)*Calculateur!GH105*Calculateur!GJ105*VLOOKUP('Données projet'!$B$17,Paramètres!$A$1:$I$89,3,0)*0.475*44/12</f>
        <v>0</v>
      </c>
      <c r="GN105" s="23">
        <f>EXP(-LN(2)/2)*GN104+(1-EXP(-LN(2)/2))/(LN(2)/2)*GH105*GK105*VLOOKUP('Données projet'!$B$17,Paramètres!$A$1:$I$89,3,0)*0.475*44/12</f>
        <v>6.034439252144438E-11</v>
      </c>
      <c r="GO105" s="23">
        <f t="shared" si="81"/>
        <v>6.034439252144438E-11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7.8564102564102525</v>
      </c>
      <c r="GU105" s="13">
        <f>IF('Données projet'!$A$270&gt;35,GU104+GT105-HC104,IF(A105&lt;'Données projet'!$A$270,$GR$205^A105,IF(A105='Données projet'!$A$270,'Données projet'!$B$270,GU104+GT105-HC104)))</f>
        <v>357.88974358974349</v>
      </c>
      <c r="GV105" s="18">
        <f>GU105*VLOOKUP('Données projet'!$B$18,Paramètres!$A$1:$I$89,3,0)*VLOOKUP('Données projet'!$B$18,Paramètres!$A$1:$I$89,5,0)</f>
        <v>167.49239999999995</v>
      </c>
      <c r="GW105" s="14">
        <f t="shared" si="105"/>
        <v>42.527919793797054</v>
      </c>
      <c r="GX105" s="22">
        <f t="shared" si="82"/>
        <v>365.78539030752978</v>
      </c>
      <c r="GY105" s="62">
        <f t="shared" si="83"/>
        <v>659.1187236408631</v>
      </c>
      <c r="GZ105" s="62">
        <f ca="1">AVERAGE(OFFSET($GY$3,0,0,'Données projet'!$E$18+1,1))-AVERAGE(OFFSET($H$3,0,0,'Données projet'!$E$18+1,1))</f>
        <v>284.88646502866419</v>
      </c>
      <c r="HA105" s="62">
        <f t="shared" si="106"/>
        <v>190.4880882944471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>
        <f>EXP(-LN(2)/35)*HG104+(1-EXP(-LN(2)/35))/(LN(2)/35)*HC105*HD105*VLOOKUP('Données projet'!$B$18,Paramètres!$A$1:$I$89,3,0)*0.475*44/12</f>
        <v>0</v>
      </c>
      <c r="HH105" s="23">
        <f>EXP(-LN(2)/25)*HH104+(1-EXP(-LN(2)/25))/(LN(2)/25)*Calculateur!HC105*Calculateur!HE105*VLOOKUP('Données projet'!$B$18,Paramètres!$A$1:$I$89,3,0)*0.475*44/12</f>
        <v>0</v>
      </c>
      <c r="HI105" s="23">
        <f>EXP(-LN(2)/2)*HI104+(1-EXP(-LN(2)/2))/(LN(2)/2)*HC105*HF105*VLOOKUP('Données projet'!$B$18,Paramètres!$A$1:$I$89,3,0)*0.475*44/12</f>
        <v>0</v>
      </c>
      <c r="HJ105" s="24">
        <f t="shared" si="84"/>
        <v>0</v>
      </c>
    </row>
    <row r="106" spans="1:218" s="5" customFormat="1" x14ac:dyDescent="0.25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2">
        <f t="shared" si="86"/>
        <v>0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0</v>
      </c>
      <c r="H106" s="70">
        <f t="shared" si="56"/>
        <v>256.66666666666669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3.0769230769230802</v>
      </c>
      <c r="N106" s="14">
        <f>IF('Données projet'!$A$36&gt;35,N105+M106-V105,IF(A106&lt;'Données projet'!$A$36,$K$205^A106,IF(A106='Données projet'!$A$36,'Données projet'!$B$36,N105+M106-V105)))</f>
        <v>231.66666666666669</v>
      </c>
      <c r="O106" s="14">
        <f>N106*VLOOKUP('Données projet'!$B$9,Paramètres!$A$1:$I$89,3,0)*VLOOKUP('Données projet'!$B$9,Paramètres!$A$1:$I$89,5,0)</f>
        <v>220.45400000000001</v>
      </c>
      <c r="P106" s="14">
        <f t="shared" si="87"/>
        <v>54.213548535376205</v>
      </c>
      <c r="Q106" s="22">
        <f t="shared" si="107"/>
        <v>478.37931369911365</v>
      </c>
      <c r="R106" s="62">
        <f t="shared" si="55"/>
        <v>771.71264703244697</v>
      </c>
      <c r="S106" s="62">
        <f ca="1">AVERAGE(OFFSET($R$3,0,0,'Données projet'!$E$9+1,1))-AVERAGE(OFFSET($H$3,0,0,'Données projet'!$E$9+1,1))</f>
        <v>367.11183928586667</v>
      </c>
      <c r="T106" s="62">
        <f t="shared" si="88"/>
        <v>281.52963027844595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0</v>
      </c>
      <c r="AA106" s="23">
        <f>EXP(-LN(2)/25)*AA105+(1-EXP(-LN(2)/25))/(LN(2)/25)*Calculateur!V106*Calculateur!X106*VLOOKUP('Données projet'!$B$9,Paramètres!$A$1:$I$89,3,0)*0.475*44/12</f>
        <v>0</v>
      </c>
      <c r="AB106" s="23">
        <f>EXP(-LN(2)/2)*AB105+(1-EXP(-LN(2)/2))/(LN(2)/2)*V106*Y106*VLOOKUP('Données projet'!$B$9,Paramètres!$A$1:$I$89,3,0)*0.475*44/12</f>
        <v>0</v>
      </c>
      <c r="AC106" s="24">
        <f t="shared" si="57"/>
        <v>0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4.4000000000000004</v>
      </c>
      <c r="AI106" s="14">
        <f>IF('Données projet'!$A$62&gt;35,AI105+AH106-AQ105,IF(A106&lt;'Données projet'!$A$62,$AF$205^A106,IF(A106='Données projet'!$A$62,'Données projet'!$B$62,AI105+AH106-AQ105)))</f>
        <v>274.19999999999976</v>
      </c>
      <c r="AJ106" s="14">
        <f>AI106*VLOOKUP('Données projet'!$B$10,Paramètres!$A$1:$I$89,3,0)*VLOOKUP('Données projet'!$B$10,Paramètres!$A$1:$I$89,5,0)</f>
        <v>248.0961599999998</v>
      </c>
      <c r="AK106" s="14">
        <f t="shared" si="89"/>
        <v>60.178080967364686</v>
      </c>
      <c r="AL106" s="22">
        <f t="shared" si="58"/>
        <v>536.91096968482657</v>
      </c>
      <c r="AM106" s="62">
        <f t="shared" si="59"/>
        <v>830.24430301815983</v>
      </c>
      <c r="AN106" s="62">
        <f ca="1">AVERAGE(OFFSET($AM$3,0,0,'Données projet'!$E$10+1,1))-AVERAGE(OFFSET($H$3,0,0,'Données projet'!$E$10+1,1))</f>
        <v>428.8489304403459</v>
      </c>
      <c r="AO106" s="62">
        <f t="shared" si="90"/>
        <v>247.01165577562966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0</v>
      </c>
      <c r="AV106" s="23">
        <f>EXP(-LN(2)/25)*AV105+(1-EXP(-LN(2)/25))/(LN(2)/25)*Calculateur!AQ106*Calculateur!AS106*VLOOKUP('Données projet'!$B$10,Paramètres!$A$1:$I$89,3,0)*0.475*44/12</f>
        <v>0</v>
      </c>
      <c r="AW106" s="23">
        <f>EXP(-LN(2)/2)*AW105+(1-EXP(-LN(2)/2))/(LN(2)/2)*AQ106*AT106*VLOOKUP('Données projet'!$B$10,Paramètres!$A$1:$I$89,3,0)*0.475*44/12</f>
        <v>0</v>
      </c>
      <c r="AX106" s="23">
        <f t="shared" si="60"/>
        <v>0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4.4000000000000004</v>
      </c>
      <c r="BD106" s="13">
        <f>IF('Données projet'!$A$88&gt;35,BD105+BC106-BL105,IF(A106&lt;'Données projet'!$A$88,$BA$205^A106,IF(A106='Données projet'!$A$88,'Données projet'!$B$88,BD105+BC106-BL105)))</f>
        <v>274.19999999999976</v>
      </c>
      <c r="BE106" s="14">
        <f>BD106*VLOOKUP('Données projet'!$B$11,Paramètres!$A$1:$I$89,3,0)*VLOOKUP('Données projet'!$B$11,Paramètres!$A$1:$I$89,5,0)</f>
        <v>278.03879999999975</v>
      </c>
      <c r="BF106" s="14">
        <f t="shared" si="91"/>
        <v>66.552381547717744</v>
      </c>
      <c r="BG106" s="22">
        <f t="shared" si="61"/>
        <v>600.16297452894128</v>
      </c>
      <c r="BH106" s="62">
        <f t="shared" si="62"/>
        <v>893.49630786227453</v>
      </c>
      <c r="BI106" s="62">
        <f ca="1">AVERAGE(OFFSET($BH$3,0,0,'Données projet'!$E$11+1,1))-AVERAGE(OFFSET($H$3,0,0,'Données projet'!$E$11+1,1))</f>
        <v>475.47920969424894</v>
      </c>
      <c r="BJ106" s="62">
        <f t="shared" si="92"/>
        <v>271.73544012419364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>
        <f>EXP(-LN(2)/35)*BP105+(1-EXP(-LN(2)/35))/(LN(2)/35)*BL106*BM106*VLOOKUP('Données projet'!$B$11,Paramètres!$A$1:$I$89,3,0)*0.475*44/12</f>
        <v>0</v>
      </c>
      <c r="BQ106" s="23">
        <f>EXP(-LN(2)/25)*BQ105+(1-EXP(-LN(2)/25))/(LN(2)/25)*Calculateur!BL106*Calculateur!BN106*VLOOKUP('Données projet'!$B$11,Paramètres!$A$1:$I$89,3,0)*0.475*44/12</f>
        <v>0</v>
      </c>
      <c r="BR106" s="23">
        <f>EXP(-LN(2)/2)*BR105+(1-EXP(-LN(2)/2))/(LN(2)/2)*BL106*BO106*VLOOKUP('Données projet'!$B$11,Paramètres!$A$1:$I$89,3,0)*0.475*44/12</f>
        <v>0</v>
      </c>
      <c r="BS106" s="24">
        <f t="shared" si="63"/>
        <v>0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2.2737367544323206E-13</v>
      </c>
      <c r="BZ106" s="14">
        <f>BY106*VLOOKUP('Données projet'!$B$12,Paramètres!$A$1:$I$89,3,0)*VLOOKUP('Données projet'!$B$12,Paramètres!$A$1:$I$89,5,0)</f>
        <v>1.2710188457276673E-13</v>
      </c>
      <c r="CA106" s="14">
        <f t="shared" si="93"/>
        <v>1.856866851063998E-12</v>
      </c>
      <c r="CB106" s="22">
        <f t="shared" si="64"/>
        <v>3.4554122145673649E-12</v>
      </c>
      <c r="CC106" s="62">
        <f t="shared" si="65"/>
        <v>293.33333333333678</v>
      </c>
      <c r="CD106" s="62">
        <f ca="1">AVERAGE(OFFSET($CC$3,0,0,'Données projet'!$E$12+1,1))-AVERAGE(OFFSET($H$3,0,0,'Données projet'!$E$12+1,1))</f>
        <v>323.98185264074681</v>
      </c>
      <c r="CE106" s="62">
        <f t="shared" si="94"/>
        <v>301.22207291854005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>
        <f>EXP(-LN(2)/35)*CK105+(1-EXP(-LN(2)/35))/(LN(2)/35)*CG106*CH106*VLOOKUP('Données projet'!$B$12,Paramètres!$A$1:$I$89,3,0)*0.475*44/12</f>
        <v>1.051231214599154</v>
      </c>
      <c r="CL106" s="23">
        <f>EXP(-LN(2)/25)*CL105+(1-EXP(-LN(2)/25))/(LN(2)/25)*Calculateur!CG106*Calculateur!CI106*VLOOKUP('Données projet'!$B$12,Paramètres!$A$1:$I$89,3,0)*0.475*44/12</f>
        <v>1.0896930633173507</v>
      </c>
      <c r="CM106" s="23">
        <f>EXP(-LN(2)/2)*CM105+(1-EXP(-LN(2)/2))/(LN(2)/2)*CG106*CJ106*VLOOKUP('Données projet'!$B$12,Paramètres!$A$1:$I$89,3,0)*0.475*44/12</f>
        <v>6.2642062246800235E-11</v>
      </c>
      <c r="CN106" s="24">
        <f t="shared" si="66"/>
        <v>2.1409242779791469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3.1</v>
      </c>
      <c r="CT106" s="13">
        <f>IF('Données projet'!$A$140&gt;35,CT105+CS106-DB105,IF(A106&lt;'Données projet'!$A$140,$CQ$205^A106,IF(A106='Données projet'!$A$140,'Données projet'!$B$140,CT105+CS106-DB105)))</f>
        <v>211.29999999999981</v>
      </c>
      <c r="CU106" s="18">
        <f>CT106*VLOOKUP('Données projet'!$B$13,Paramètres!$A$1:$I$89,3,0)*VLOOKUP('Données projet'!$B$13,Paramètres!$A$1:$I$89,5,0)</f>
        <v>240.62843999999978</v>
      </c>
      <c r="CV106" s="14">
        <f t="shared" si="95"/>
        <v>58.574721823791783</v>
      </c>
      <c r="CW106" s="22">
        <f t="shared" si="67"/>
        <v>521.11217350977029</v>
      </c>
      <c r="CX106" s="62">
        <f t="shared" si="68"/>
        <v>814.44550684310366</v>
      </c>
      <c r="CY106" s="62">
        <f ca="1">AVERAGE(OFFSET($CX$3,0,0,'Données projet'!$E$13+1,1))-AVERAGE(OFFSET($H$3,0,0,'Données projet'!$E$13+1,1))</f>
        <v>399.78832690250164</v>
      </c>
      <c r="CZ106" s="62">
        <f t="shared" si="96"/>
        <v>174.32967064896343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>
        <f>EXP(-LN(2)/35)*DF105+(1-EXP(-LN(2)/35))/(LN(2)/35)*DB106*DC106*VLOOKUP('Données projet'!$B$13,Paramètres!$A$1:$I$89,3,0)*0.475*44/12</f>
        <v>0</v>
      </c>
      <c r="DG106" s="23">
        <f>EXP(-LN(2)/25)*DG105+(1-EXP(-LN(2)/25))/(LN(2)/25)*Calculateur!DB106*Calculateur!DD106*VLOOKUP('Données projet'!$B$13,Paramètres!$A$1:$I$89,3,0)*0.475*44/12</f>
        <v>0</v>
      </c>
      <c r="DH106" s="23">
        <f>EXP(-LN(2)/2)*DH105+(1-EXP(-LN(2)/2))/(LN(2)/2)*DB106*DE106*VLOOKUP('Données projet'!$B$13,Paramètres!$A$1:$I$89,3,0)*0.475*44/12</f>
        <v>0</v>
      </c>
      <c r="DI106" s="24">
        <f t="shared" si="69"/>
        <v>0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4.4000000000000004</v>
      </c>
      <c r="DO106" s="13">
        <f>IF('Données projet'!$A$166&gt;35,DO105+DN106-DW105,IF(A106&lt;'Données projet'!$A$166,$DL$205^A106,IF(A106='Données projet'!$A$166,'Données projet'!$B$166,DO105+DN106-DW105)))</f>
        <v>274.19999999999976</v>
      </c>
      <c r="DP106" s="18">
        <f>DO106*VLOOKUP('Données projet'!$B$14,Paramètres!$A$1:$I$89,3,0)*VLOOKUP('Données projet'!$B$14,Paramètres!$A$1:$I$89,5,0)</f>
        <v>230.98607999999982</v>
      </c>
      <c r="DQ106" s="14">
        <f t="shared" si="97"/>
        <v>56.495841965100745</v>
      </c>
      <c r="DR106" s="22">
        <f t="shared" si="70"/>
        <v>500.69768075588348</v>
      </c>
      <c r="DS106" s="62">
        <f t="shared" si="71"/>
        <v>794.0310140892168</v>
      </c>
      <c r="DT106" s="62">
        <f ca="1">AVERAGE(OFFSET($DS$3,0,0,'Données projet'!$E$14+1,1))-AVERAGE(OFFSET($H$3,0,0,'Données projet'!$E$14+1,1))</f>
        <v>402.15128814037058</v>
      </c>
      <c r="DU106" s="62">
        <f t="shared" si="98"/>
        <v>232.85411068442738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>
        <f>EXP(-LN(2)/35)*EA105+(1-EXP(-LN(2)/35))/(LN(2)/35)*DW106*DX106*VLOOKUP('Données projet'!$B$14,Paramètres!$A$1:$I$89,3,0)*0.475*44/12</f>
        <v>0</v>
      </c>
      <c r="EB106" s="23">
        <f>EXP(-LN(2)/25)*EB105+(1-EXP(-LN(2)/25))/(LN(2)/25)*Calculateur!DW106*Calculateur!DY106*VLOOKUP('Données projet'!$B$14,Paramètres!$A$1:$I$89,3,0)*0.475*44/12</f>
        <v>0</v>
      </c>
      <c r="EC106" s="23">
        <f>EXP(-LN(2)/2)*EC105+(1-EXP(-LN(2)/2))/(LN(2)/2)*DW106*DZ106*VLOOKUP('Données projet'!$B$14,Paramètres!$A$1:$I$89,3,0)*0.475*44/12</f>
        <v>0</v>
      </c>
      <c r="ED106" s="24">
        <f t="shared" si="72"/>
        <v>0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3.7179487179487181</v>
      </c>
      <c r="EJ106" s="13">
        <f>IF('Données projet'!$A$192&gt;35,EJ105+EI106-ER105,IF(A106&lt;'Données projet'!$A$192,$EG$205^A106,IF(A106='Données projet'!$A$192,'Données projet'!$B$192,EJ105+EI106-ER105)))</f>
        <v>362.43589743589763</v>
      </c>
      <c r="EK106" s="18">
        <f>EJ106*VLOOKUP('Données projet'!$B$15,Paramètres!$A$1:$I$89,3,0)*VLOOKUP('Données projet'!$B$15,Paramètres!$A$1:$I$89,5,0)</f>
        <v>378.81800000000021</v>
      </c>
      <c r="EL106" s="14">
        <f t="shared" si="99"/>
        <v>87.468836390332655</v>
      </c>
      <c r="EM106" s="22">
        <f t="shared" si="73"/>
        <v>812.11624004649639</v>
      </c>
      <c r="EN106" s="62">
        <f t="shared" si="74"/>
        <v>1105.4495733798296</v>
      </c>
      <c r="EO106" s="62">
        <f ca="1">AVERAGE(OFFSET($EN$3,0,0,'Données projet'!$E$15+1,1))-AVERAGE(OFFSET($H$3,0,0,'Données projet'!$E$15+1,1))</f>
        <v>595.89992279024398</v>
      </c>
      <c r="EP106" s="62">
        <f t="shared" si="100"/>
        <v>378.16197659288338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>
        <f>EXP(-LN(2)/35)*EV105+(1-EXP(-LN(2)/35))/(LN(2)/35)*ER106*ES106*VLOOKUP('Données projet'!$B$15,Paramètres!$A$1:$I$89,3,0)*0.475*44/12</f>
        <v>0</v>
      </c>
      <c r="EW106" s="23">
        <f>EXP(-LN(2)/25)*EW105+(1-EXP(-LN(2)/25))/(LN(2)/25)*Calculateur!ER106*Calculateur!ET106*VLOOKUP('Données projet'!$B$15,Paramètres!$A$1:$I$89,3,0)*0.475*44/12</f>
        <v>0</v>
      </c>
      <c r="EX106" s="23">
        <f>EXP(-LN(2)/2)*EX105+(1-EXP(-LN(2)/2))/(LN(2)/2)*ER106*EU106*VLOOKUP('Données projet'!$B$15,Paramètres!$A$1:$I$89,3,0)*0.475*44/12</f>
        <v>0</v>
      </c>
      <c r="EY106" s="24">
        <f t="shared" si="75"/>
        <v>0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-2.2737367544323206E-13</v>
      </c>
      <c r="FF106" s="18">
        <f>FE106*VLOOKUP('Données projet'!$B$16,Paramètres!$A$1:$I$89,3,0)*VLOOKUP('Données projet'!$B$16,Paramètres!$A$1:$I$89,5,0)</f>
        <v>-1.3596945791505279E-13</v>
      </c>
      <c r="FG106" s="14" t="e">
        <f t="shared" si="101"/>
        <v>#NUM!</v>
      </c>
      <c r="FH106" s="22" t="e">
        <f t="shared" si="76"/>
        <v>#NUM!</v>
      </c>
      <c r="FI106" s="62" t="e">
        <f t="shared" si="77"/>
        <v>#NUM!</v>
      </c>
      <c r="FJ106" s="62">
        <f ca="1">AVERAGE(OFFSET($FI$3,0,0,'Données projet'!$E$16+1,1))-AVERAGE(OFFSET($H$3,0,0,'Données projet'!$E$16+1,1))</f>
        <v>257.56116197646924</v>
      </c>
      <c r="FK106" s="62">
        <f t="shared" si="102"/>
        <v>269.95556918835888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>
        <f>EXP(-LN(2)/35)*FQ105+(1-EXP(-LN(2)/35))/(LN(2)/35)*FM106*FN106*VLOOKUP('Données projet'!$B$16,Paramètres!$A$1:$I$89,3,0)*0.475*44/12</f>
        <v>3.435088334903575</v>
      </c>
      <c r="FR106" s="23">
        <f>EXP(-LN(2)/25)*FR105+(1-EXP(-LN(2)/25))/(LN(2)/25)*Calculateur!FM106*Calculateur!FO106*VLOOKUP('Données projet'!$B$16,Paramètres!$A$1:$I$89,3,0)*0.475*44/12</f>
        <v>2.1329399299336829</v>
      </c>
      <c r="FS106" s="23">
        <f>EXP(-LN(2)/2)*FS105+(1-EXP(-LN(2)/2))/(LN(2)/2)*FM106*FP106*VLOOKUP('Données projet'!$B$16,Paramètres!$A$1:$I$89,3,0)*0.475*44/12</f>
        <v>8.8019447786994544E-11</v>
      </c>
      <c r="FT106" s="24">
        <f t="shared" si="78"/>
        <v>5.5680282649252772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-2.8421709430404007E-13</v>
      </c>
      <c r="GA106" s="18">
        <f>FZ106*VLOOKUP('Données projet'!$B$17,Paramètres!$A$1:$I$89,3,0)*VLOOKUP('Données projet'!$B$17,Paramètres!$A$1:$I$89,5,0)</f>
        <v>-1.69961822393816E-13</v>
      </c>
      <c r="GB106" s="14" t="e">
        <f t="shared" si="103"/>
        <v>#NUM!</v>
      </c>
      <c r="GC106" s="22" t="e">
        <f t="shared" si="79"/>
        <v>#NUM!</v>
      </c>
      <c r="GD106" s="62" t="e">
        <f t="shared" si="80"/>
        <v>#NUM!</v>
      </c>
      <c r="GE106" s="62">
        <f ca="1">AVERAGE(OFFSET($GD$3,0,0,'Données projet'!$E$17+1,1))-AVERAGE(OFFSET($H$3,0,0,'Données projet'!$E$17+1,1))</f>
        <v>289.12367833861299</v>
      </c>
      <c r="GF106" s="62">
        <f t="shared" si="104"/>
        <v>229.06617320689003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>
        <f>EXP(-LN(2)/35)*GL105+(1-EXP(-LN(2)/35))/(LN(2)/35)*GH106*GI106*VLOOKUP('Données projet'!$B$17,Paramètres!$A$1:$I$89,3,0)*0.475*44/12</f>
        <v>0</v>
      </c>
      <c r="GM106" s="23">
        <f>EXP(-LN(2)/25)*GM105+(1-EXP(-LN(2)/25))/(LN(2)/25)*Calculateur!GH106*Calculateur!GJ106*VLOOKUP('Données projet'!$B$17,Paramètres!$A$1:$I$89,3,0)*0.475*44/12</f>
        <v>0</v>
      </c>
      <c r="GN106" s="23">
        <f>EXP(-LN(2)/2)*GN105+(1-EXP(-LN(2)/2))/(LN(2)/2)*GH106*GK106*VLOOKUP('Données projet'!$B$17,Paramètres!$A$1:$I$89,3,0)*0.475*44/12</f>
        <v>4.2669929158496107E-11</v>
      </c>
      <c r="GO106" s="23">
        <f t="shared" si="81"/>
        <v>4.2669929158496107E-11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>
        <f>VLOOKUP(A106,'Données projet'!$A$269:$I$289,2,0)</f>
        <v>365.74615384615385</v>
      </c>
      <c r="GS106" s="13">
        <f>VLOOKUP(A106,'Données projet'!$A$269:$I$289,9,0)</f>
        <v>7.8564102564102525</v>
      </c>
      <c r="GT106" s="13">
        <f t="array" ref="GT106">INDEX(GS:GS,MIN(IF(ISNUMBER(GS106:GS302),ROW(GS106:GS302),"")))</f>
        <v>7.8564102564102525</v>
      </c>
      <c r="GU106" s="13">
        <f>IF('Données projet'!$A$270&gt;35,GU105+GT106-HC105,IF(A106&lt;'Données projet'!$A$270,$GR$205^A106,IF(A106='Données projet'!$A$270,'Données projet'!$B$270,GU105+GT106-HC105)))</f>
        <v>365.74615384615373</v>
      </c>
      <c r="GV106" s="18">
        <f>GU106*VLOOKUP('Données projet'!$B$18,Paramètres!$A$1:$I$89,3,0)*VLOOKUP('Données projet'!$B$18,Paramètres!$A$1:$I$89,5,0)</f>
        <v>171.16919999999996</v>
      </c>
      <c r="GW106" s="14">
        <f t="shared" si="105"/>
        <v>43.351780940579147</v>
      </c>
      <c r="GX106" s="22">
        <f t="shared" si="82"/>
        <v>373.62404180484191</v>
      </c>
      <c r="GY106" s="62">
        <f t="shared" si="83"/>
        <v>666.95737513817517</v>
      </c>
      <c r="GZ106" s="62">
        <f ca="1">AVERAGE(OFFSET($GY$3,0,0,'Données projet'!$E$18+1,1))-AVERAGE(OFFSET($H$3,0,0,'Données projet'!$E$18+1,1))</f>
        <v>284.88646502866419</v>
      </c>
      <c r="HA106" s="62">
        <f t="shared" si="106"/>
        <v>190.4880882944471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>
        <f>EXP(-LN(2)/35)*HG105+(1-EXP(-LN(2)/35))/(LN(2)/35)*HC106*HD106*VLOOKUP('Données projet'!$B$18,Paramètres!$A$1:$I$89,3,0)*0.475*44/12</f>
        <v>0</v>
      </c>
      <c r="HH106" s="23">
        <f>EXP(-LN(2)/25)*HH105+(1-EXP(-LN(2)/25))/(LN(2)/25)*Calculateur!HC106*Calculateur!HE106*VLOOKUP('Données projet'!$B$18,Paramètres!$A$1:$I$89,3,0)*0.475*44/12</f>
        <v>0</v>
      </c>
      <c r="HI106" s="23">
        <f>EXP(-LN(2)/2)*HI105+(1-EXP(-LN(2)/2))/(LN(2)/2)*HC106*HF106*VLOOKUP('Données projet'!$B$18,Paramètres!$A$1:$I$89,3,0)*0.475*44/12</f>
        <v>0</v>
      </c>
      <c r="HJ106" s="24">
        <f t="shared" si="84"/>
        <v>0</v>
      </c>
    </row>
    <row r="107" spans="1:218" s="5" customFormat="1" x14ac:dyDescent="0.25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2">
        <f t="shared" si="86"/>
        <v>0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0</v>
      </c>
      <c r="H107" s="70">
        <f t="shared" si="56"/>
        <v>256.66666666666669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3.0769230769230802</v>
      </c>
      <c r="N107" s="14">
        <f>IF('Données projet'!$A$36&gt;35,N106+M107-V106,IF(A107&lt;'Données projet'!$A$36,$K$205^A107,IF(A107='Données projet'!$A$36,'Données projet'!$B$36,N106+M107-V106)))</f>
        <v>234.74358974358978</v>
      </c>
      <c r="O107" s="14">
        <f>N107*VLOOKUP('Données projet'!$B$9,Paramètres!$A$1:$I$89,3,0)*VLOOKUP('Données projet'!$B$9,Paramètres!$A$1:$I$89,5,0)</f>
        <v>223.38200000000003</v>
      </c>
      <c r="P107" s="14">
        <f t="shared" si="87"/>
        <v>54.849292789000252</v>
      </c>
      <c r="Q107" s="22">
        <f t="shared" si="107"/>
        <v>484.58616827417546</v>
      </c>
      <c r="R107" s="62">
        <f t="shared" si="55"/>
        <v>777.91950160750878</v>
      </c>
      <c r="S107" s="62">
        <f ca="1">AVERAGE(OFFSET($R$3,0,0,'Données projet'!$E$9+1,1))-AVERAGE(OFFSET($H$3,0,0,'Données projet'!$E$9+1,1))</f>
        <v>367.11183928586667</v>
      </c>
      <c r="T107" s="62">
        <f t="shared" si="88"/>
        <v>281.52963027844595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0</v>
      </c>
      <c r="AA107" s="23">
        <f>EXP(-LN(2)/25)*AA106+(1-EXP(-LN(2)/25))/(LN(2)/25)*Calculateur!V107*Calculateur!X107*VLOOKUP('Données projet'!$B$9,Paramètres!$A$1:$I$89,3,0)*0.475*44/12</f>
        <v>0</v>
      </c>
      <c r="AB107" s="23">
        <f>EXP(-LN(2)/2)*AB106+(1-EXP(-LN(2)/2))/(LN(2)/2)*V107*Y107*VLOOKUP('Données projet'!$B$9,Paramètres!$A$1:$I$89,3,0)*0.475*44/12</f>
        <v>0</v>
      </c>
      <c r="AC107" s="24">
        <f t="shared" si="57"/>
        <v>0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4.4000000000000004</v>
      </c>
      <c r="AI107" s="14">
        <f>IF('Données projet'!$A$62&gt;35,AI106+AH107-AQ106,IF(A107&lt;'Données projet'!$A$62,$AF$205^A107,IF(A107='Données projet'!$A$62,'Données projet'!$B$62,AI106+AH107-AQ106)))</f>
        <v>278.59999999999974</v>
      </c>
      <c r="AJ107" s="14">
        <f>AI107*VLOOKUP('Données projet'!$B$10,Paramètres!$A$1:$I$89,3,0)*VLOOKUP('Données projet'!$B$10,Paramètres!$A$1:$I$89,5,0)</f>
        <v>252.07727999999975</v>
      </c>
      <c r="AK107" s="14">
        <f t="shared" si="89"/>
        <v>61.03054465215493</v>
      </c>
      <c r="AL107" s="22">
        <f t="shared" si="58"/>
        <v>545.32946126916943</v>
      </c>
      <c r="AM107" s="62">
        <f t="shared" si="59"/>
        <v>838.6627946025028</v>
      </c>
      <c r="AN107" s="62">
        <f ca="1">AVERAGE(OFFSET($AM$3,0,0,'Données projet'!$E$10+1,1))-AVERAGE(OFFSET($H$3,0,0,'Données projet'!$E$10+1,1))</f>
        <v>428.8489304403459</v>
      </c>
      <c r="AO107" s="62">
        <f t="shared" si="90"/>
        <v>247.01165577562966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0</v>
      </c>
      <c r="AV107" s="23">
        <f>EXP(-LN(2)/25)*AV106+(1-EXP(-LN(2)/25))/(LN(2)/25)*Calculateur!AQ107*Calculateur!AS107*VLOOKUP('Données projet'!$B$10,Paramètres!$A$1:$I$89,3,0)*0.475*44/12</f>
        <v>0</v>
      </c>
      <c r="AW107" s="23">
        <f>EXP(-LN(2)/2)*AW106+(1-EXP(-LN(2)/2))/(LN(2)/2)*AQ107*AT107*VLOOKUP('Données projet'!$B$10,Paramètres!$A$1:$I$89,3,0)*0.475*44/12</f>
        <v>0</v>
      </c>
      <c r="AX107" s="23">
        <f t="shared" si="60"/>
        <v>0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4.4000000000000004</v>
      </c>
      <c r="BD107" s="13">
        <f>IF('Données projet'!$A$88&gt;35,BD106+BC107-BL106,IF(A107&lt;'Données projet'!$A$88,$BA$205^A107,IF(A107='Données projet'!$A$88,'Données projet'!$B$88,BD106+BC107-BL106)))</f>
        <v>278.59999999999974</v>
      </c>
      <c r="BE107" s="14">
        <f>BD107*VLOOKUP('Données projet'!$B$11,Paramètres!$A$1:$I$89,3,0)*VLOOKUP('Données projet'!$B$11,Paramètres!$A$1:$I$89,5,0)</f>
        <v>282.50039999999973</v>
      </c>
      <c r="BF107" s="14">
        <f t="shared" si="91"/>
        <v>67.495141560894311</v>
      </c>
      <c r="BG107" s="22">
        <f t="shared" si="61"/>
        <v>609.57556821855712</v>
      </c>
      <c r="BH107" s="62">
        <f t="shared" si="62"/>
        <v>902.90890155189049</v>
      </c>
      <c r="BI107" s="62">
        <f ca="1">AVERAGE(OFFSET($BH$3,0,0,'Données projet'!$E$11+1,1))-AVERAGE(OFFSET($H$3,0,0,'Données projet'!$E$11+1,1))</f>
        <v>475.47920969424894</v>
      </c>
      <c r="BJ107" s="62">
        <f t="shared" si="92"/>
        <v>271.73544012419364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>
        <f>EXP(-LN(2)/35)*BP106+(1-EXP(-LN(2)/35))/(LN(2)/35)*BL107*BM107*VLOOKUP('Données projet'!$B$11,Paramètres!$A$1:$I$89,3,0)*0.475*44/12</f>
        <v>0</v>
      </c>
      <c r="BQ107" s="23">
        <f>EXP(-LN(2)/25)*BQ106+(1-EXP(-LN(2)/25))/(LN(2)/25)*Calculateur!BL107*Calculateur!BN107*VLOOKUP('Données projet'!$B$11,Paramètres!$A$1:$I$89,3,0)*0.475*44/12</f>
        <v>0</v>
      </c>
      <c r="BR107" s="23">
        <f>EXP(-LN(2)/2)*BR106+(1-EXP(-LN(2)/2))/(LN(2)/2)*BL107*BO107*VLOOKUP('Données projet'!$B$11,Paramètres!$A$1:$I$89,3,0)*0.475*44/12</f>
        <v>0</v>
      </c>
      <c r="BS107" s="24">
        <f t="shared" si="63"/>
        <v>0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2.2737367544323206E-13</v>
      </c>
      <c r="BZ107" s="14">
        <f>BY107*VLOOKUP('Données projet'!$B$12,Paramètres!$A$1:$I$89,3,0)*VLOOKUP('Données projet'!$B$12,Paramètres!$A$1:$I$89,5,0)</f>
        <v>1.2710188457276673E-13</v>
      </c>
      <c r="CA107" s="14">
        <f t="shared" si="93"/>
        <v>1.856866851063998E-12</v>
      </c>
      <c r="CB107" s="22">
        <f t="shared" si="64"/>
        <v>3.4554122145673649E-12</v>
      </c>
      <c r="CC107" s="62">
        <f t="shared" si="65"/>
        <v>293.33333333333678</v>
      </c>
      <c r="CD107" s="62">
        <f ca="1">AVERAGE(OFFSET($CC$3,0,0,'Données projet'!$E$12+1,1))-AVERAGE(OFFSET($H$3,0,0,'Données projet'!$E$12+1,1))</f>
        <v>323.98185264074681</v>
      </c>
      <c r="CE107" s="62">
        <f t="shared" si="94"/>
        <v>301.22207291854005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>
        <f>EXP(-LN(2)/35)*CK106+(1-EXP(-LN(2)/35))/(LN(2)/35)*CG107*CH107*VLOOKUP('Données projet'!$B$12,Paramètres!$A$1:$I$89,3,0)*0.475*44/12</f>
        <v>1.0306172116685934</v>
      </c>
      <c r="CL107" s="23">
        <f>EXP(-LN(2)/25)*CL106+(1-EXP(-LN(2)/25))/(LN(2)/25)*Calculateur!CG107*Calculateur!CI107*VLOOKUP('Données projet'!$B$12,Paramètres!$A$1:$I$89,3,0)*0.475*44/12</f>
        <v>1.05989534919647</v>
      </c>
      <c r="CM107" s="23">
        <f>EXP(-LN(2)/2)*CM106+(1-EXP(-LN(2)/2))/(LN(2)/2)*CG107*CJ107*VLOOKUP('Données projet'!$B$12,Paramètres!$A$1:$I$89,3,0)*0.475*44/12</f>
        <v>4.4294627002222264E-11</v>
      </c>
      <c r="CN107" s="24">
        <f t="shared" si="66"/>
        <v>2.090512560909358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3.1</v>
      </c>
      <c r="CT107" s="13">
        <f>IF('Données projet'!$A$140&gt;35,CT106+CS107-DB106,IF(A107&lt;'Données projet'!$A$140,$CQ$205^A107,IF(A107='Données projet'!$A$140,'Données projet'!$B$140,CT106+CS107-DB106)))</f>
        <v>214.39999999999981</v>
      </c>
      <c r="CU107" s="18">
        <f>CT107*VLOOKUP('Données projet'!$B$13,Paramètres!$A$1:$I$89,3,0)*VLOOKUP('Données projet'!$B$13,Paramètres!$A$1:$I$89,5,0)</f>
        <v>244.15871999999979</v>
      </c>
      <c r="CV107" s="14">
        <f t="shared" si="95"/>
        <v>59.333402749839735</v>
      </c>
      <c r="CW107" s="22">
        <f t="shared" si="67"/>
        <v>528.58211378930378</v>
      </c>
      <c r="CX107" s="62">
        <f t="shared" si="68"/>
        <v>821.91544712263703</v>
      </c>
      <c r="CY107" s="62">
        <f ca="1">AVERAGE(OFFSET($CX$3,0,0,'Données projet'!$E$13+1,1))-AVERAGE(OFFSET($H$3,0,0,'Données projet'!$E$13+1,1))</f>
        <v>399.78832690250164</v>
      </c>
      <c r="CZ107" s="62">
        <f t="shared" si="96"/>
        <v>174.32967064896343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>
        <f>EXP(-LN(2)/35)*DF106+(1-EXP(-LN(2)/35))/(LN(2)/35)*DB107*DC107*VLOOKUP('Données projet'!$B$13,Paramètres!$A$1:$I$89,3,0)*0.475*44/12</f>
        <v>0</v>
      </c>
      <c r="DG107" s="23">
        <f>EXP(-LN(2)/25)*DG106+(1-EXP(-LN(2)/25))/(LN(2)/25)*Calculateur!DB107*Calculateur!DD107*VLOOKUP('Données projet'!$B$13,Paramètres!$A$1:$I$89,3,0)*0.475*44/12</f>
        <v>0</v>
      </c>
      <c r="DH107" s="23">
        <f>EXP(-LN(2)/2)*DH106+(1-EXP(-LN(2)/2))/(LN(2)/2)*DB107*DE107*VLOOKUP('Données projet'!$B$13,Paramètres!$A$1:$I$89,3,0)*0.475*44/12</f>
        <v>0</v>
      </c>
      <c r="DI107" s="24">
        <f t="shared" si="69"/>
        <v>0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4.4000000000000004</v>
      </c>
      <c r="DO107" s="13">
        <f>IF('Données projet'!$A$166&gt;35,DO106+DN107-DW106,IF(A107&lt;'Données projet'!$A$166,$DL$205^A107,IF(A107='Données projet'!$A$166,'Données projet'!$B$166,DO106+DN107-DW106)))</f>
        <v>278.59999999999974</v>
      </c>
      <c r="DP107" s="18">
        <f>DO107*VLOOKUP('Données projet'!$B$14,Paramètres!$A$1:$I$89,3,0)*VLOOKUP('Données projet'!$B$14,Paramètres!$A$1:$I$89,5,0)</f>
        <v>234.69263999999981</v>
      </c>
      <c r="DQ107" s="14">
        <f t="shared" si="97"/>
        <v>57.29614421540046</v>
      </c>
      <c r="DR107" s="22">
        <f t="shared" si="70"/>
        <v>508.54713250848886</v>
      </c>
      <c r="DS107" s="62">
        <f t="shared" si="71"/>
        <v>801.88046584182212</v>
      </c>
      <c r="DT107" s="62">
        <f ca="1">AVERAGE(OFFSET($DS$3,0,0,'Données projet'!$E$14+1,1))-AVERAGE(OFFSET($H$3,0,0,'Données projet'!$E$14+1,1))</f>
        <v>402.15128814037058</v>
      </c>
      <c r="DU107" s="62">
        <f t="shared" si="98"/>
        <v>232.85411068442738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>
        <f>EXP(-LN(2)/35)*EA106+(1-EXP(-LN(2)/35))/(LN(2)/35)*DW107*DX107*VLOOKUP('Données projet'!$B$14,Paramètres!$A$1:$I$89,3,0)*0.475*44/12</f>
        <v>0</v>
      </c>
      <c r="EB107" s="23">
        <f>EXP(-LN(2)/25)*EB106+(1-EXP(-LN(2)/25))/(LN(2)/25)*Calculateur!DW107*Calculateur!DY107*VLOOKUP('Données projet'!$B$14,Paramètres!$A$1:$I$89,3,0)*0.475*44/12</f>
        <v>0</v>
      </c>
      <c r="EC107" s="23">
        <f>EXP(-LN(2)/2)*EC106+(1-EXP(-LN(2)/2))/(LN(2)/2)*DW107*DZ107*VLOOKUP('Données projet'!$B$14,Paramètres!$A$1:$I$89,3,0)*0.475*44/12</f>
        <v>0</v>
      </c>
      <c r="ED107" s="24">
        <f t="shared" si="72"/>
        <v>0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3.7179487179487181</v>
      </c>
      <c r="EJ107" s="13">
        <f>IF('Données projet'!$A$192&gt;35,EJ106+EI107-ER106,IF(A107&lt;'Données projet'!$A$192,$EG$205^A107,IF(A107='Données projet'!$A$192,'Données projet'!$B$192,EJ106+EI107-ER106)))</f>
        <v>366.15384615384636</v>
      </c>
      <c r="EK107" s="18">
        <f>EJ107*VLOOKUP('Données projet'!$B$15,Paramètres!$A$1:$I$89,3,0)*VLOOKUP('Données projet'!$B$15,Paramètres!$A$1:$I$89,5,0)</f>
        <v>382.70400000000024</v>
      </c>
      <c r="EL107" s="14">
        <f t="shared" si="99"/>
        <v>88.26119698100473</v>
      </c>
      <c r="EM107" s="22">
        <f t="shared" si="73"/>
        <v>820.26438474191684</v>
      </c>
      <c r="EN107" s="62">
        <f t="shared" si="74"/>
        <v>1113.5977180752502</v>
      </c>
      <c r="EO107" s="62">
        <f ca="1">AVERAGE(OFFSET($EN$3,0,0,'Données projet'!$E$15+1,1))-AVERAGE(OFFSET($H$3,0,0,'Données projet'!$E$15+1,1))</f>
        <v>595.89992279024398</v>
      </c>
      <c r="EP107" s="62">
        <f t="shared" si="100"/>
        <v>378.16197659288338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>
        <f>EXP(-LN(2)/35)*EV106+(1-EXP(-LN(2)/35))/(LN(2)/35)*ER107*ES107*VLOOKUP('Données projet'!$B$15,Paramètres!$A$1:$I$89,3,0)*0.475*44/12</f>
        <v>0</v>
      </c>
      <c r="EW107" s="23">
        <f>EXP(-LN(2)/25)*EW106+(1-EXP(-LN(2)/25))/(LN(2)/25)*Calculateur!ER107*Calculateur!ET107*VLOOKUP('Données projet'!$B$15,Paramètres!$A$1:$I$89,3,0)*0.475*44/12</f>
        <v>0</v>
      </c>
      <c r="EX107" s="23">
        <f>EXP(-LN(2)/2)*EX106+(1-EXP(-LN(2)/2))/(LN(2)/2)*ER107*EU107*VLOOKUP('Données projet'!$B$15,Paramètres!$A$1:$I$89,3,0)*0.475*44/12</f>
        <v>0</v>
      </c>
      <c r="EY107" s="24">
        <f t="shared" si="75"/>
        <v>0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-2.2737367544323206E-13</v>
      </c>
      <c r="FF107" s="18">
        <f>FE107*VLOOKUP('Données projet'!$B$16,Paramètres!$A$1:$I$89,3,0)*VLOOKUP('Données projet'!$B$16,Paramètres!$A$1:$I$89,5,0)</f>
        <v>-1.3596945791505279E-13</v>
      </c>
      <c r="FG107" s="14" t="e">
        <f t="shared" si="101"/>
        <v>#NUM!</v>
      </c>
      <c r="FH107" s="22" t="e">
        <f t="shared" si="76"/>
        <v>#NUM!</v>
      </c>
      <c r="FI107" s="62" t="e">
        <f t="shared" si="77"/>
        <v>#NUM!</v>
      </c>
      <c r="FJ107" s="62">
        <f ca="1">AVERAGE(OFFSET($FI$3,0,0,'Données projet'!$E$16+1,1))-AVERAGE(OFFSET($H$3,0,0,'Données projet'!$E$16+1,1))</f>
        <v>257.56116197646924</v>
      </c>
      <c r="FK107" s="62">
        <f t="shared" si="102"/>
        <v>269.95556918835888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>
        <f>EXP(-LN(2)/35)*FQ106+(1-EXP(-LN(2)/35))/(LN(2)/35)*FM107*FN107*VLOOKUP('Données projet'!$B$16,Paramètres!$A$1:$I$89,3,0)*0.475*44/12</f>
        <v>3.3677283478531166</v>
      </c>
      <c r="FR107" s="23">
        <f>EXP(-LN(2)/25)*FR106+(1-EXP(-LN(2)/25))/(LN(2)/25)*Calculateur!FM107*Calculateur!FO107*VLOOKUP('Données projet'!$B$16,Paramètres!$A$1:$I$89,3,0)*0.475*44/12</f>
        <v>2.0746145753832104</v>
      </c>
      <c r="FS107" s="23">
        <f>EXP(-LN(2)/2)*FS106+(1-EXP(-LN(2)/2))/(LN(2)/2)*FM107*FP107*VLOOKUP('Données projet'!$B$16,Paramètres!$A$1:$I$89,3,0)*0.475*44/12</f>
        <v>6.2239148406479095E-11</v>
      </c>
      <c r="FT107" s="24">
        <f t="shared" si="78"/>
        <v>5.4423429232985656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-2.8421709430404007E-13</v>
      </c>
      <c r="GA107" s="18">
        <f>FZ107*VLOOKUP('Données projet'!$B$17,Paramètres!$A$1:$I$89,3,0)*VLOOKUP('Données projet'!$B$17,Paramètres!$A$1:$I$89,5,0)</f>
        <v>-1.69961822393816E-13</v>
      </c>
      <c r="GB107" s="14" t="e">
        <f t="shared" si="103"/>
        <v>#NUM!</v>
      </c>
      <c r="GC107" s="22" t="e">
        <f t="shared" si="79"/>
        <v>#NUM!</v>
      </c>
      <c r="GD107" s="62" t="e">
        <f t="shared" si="80"/>
        <v>#NUM!</v>
      </c>
      <c r="GE107" s="62">
        <f ca="1">AVERAGE(OFFSET($GD$3,0,0,'Données projet'!$E$17+1,1))-AVERAGE(OFFSET($H$3,0,0,'Données projet'!$E$17+1,1))</f>
        <v>289.12367833861299</v>
      </c>
      <c r="GF107" s="62">
        <f t="shared" si="104"/>
        <v>229.06617320689003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>
        <f>EXP(-LN(2)/35)*GL106+(1-EXP(-LN(2)/35))/(LN(2)/35)*GH107*GI107*VLOOKUP('Données projet'!$B$17,Paramètres!$A$1:$I$89,3,0)*0.475*44/12</f>
        <v>0</v>
      </c>
      <c r="GM107" s="23">
        <f>EXP(-LN(2)/25)*GM106+(1-EXP(-LN(2)/25))/(LN(2)/25)*Calculateur!GH107*Calculateur!GJ107*VLOOKUP('Données projet'!$B$17,Paramètres!$A$1:$I$89,3,0)*0.475*44/12</f>
        <v>0</v>
      </c>
      <c r="GN107" s="23">
        <f>EXP(-LN(2)/2)*GN106+(1-EXP(-LN(2)/2))/(LN(2)/2)*GH107*GK107*VLOOKUP('Données projet'!$B$17,Paramètres!$A$1:$I$89,3,0)*0.475*44/12</f>
        <v>3.017219626072219E-11</v>
      </c>
      <c r="GO107" s="23">
        <f t="shared" si="81"/>
        <v>3.017219626072219E-11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7.9089743589743575</v>
      </c>
      <c r="GU107" s="13">
        <f>IF('Données projet'!$A$270&gt;35,GU106+GT107-HC106,IF(A107&lt;'Données projet'!$A$270,$GR$205^A107,IF(A107='Données projet'!$A$270,'Données projet'!$B$270,GU106+GT107-HC106)))</f>
        <v>373.65512820512811</v>
      </c>
      <c r="GV107" s="18">
        <f>GU107*VLOOKUP('Données projet'!$B$18,Paramètres!$A$1:$I$89,3,0)*VLOOKUP('Données projet'!$B$18,Paramètres!$A$1:$I$89,5,0)</f>
        <v>174.87059999999997</v>
      </c>
      <c r="GW107" s="14">
        <f t="shared" si="105"/>
        <v>44.17907610892069</v>
      </c>
      <c r="GX107" s="22">
        <f t="shared" si="82"/>
        <v>381.51151922303683</v>
      </c>
      <c r="GY107" s="62">
        <f t="shared" si="83"/>
        <v>674.84485255637014</v>
      </c>
      <c r="GZ107" s="62">
        <f ca="1">AVERAGE(OFFSET($GY$3,0,0,'Données projet'!$E$18+1,1))-AVERAGE(OFFSET($H$3,0,0,'Données projet'!$E$18+1,1))</f>
        <v>284.88646502866419</v>
      </c>
      <c r="HA107" s="62">
        <f t="shared" si="106"/>
        <v>190.4880882944471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>
        <f>EXP(-LN(2)/35)*HG106+(1-EXP(-LN(2)/35))/(LN(2)/35)*HC107*HD107*VLOOKUP('Données projet'!$B$18,Paramètres!$A$1:$I$89,3,0)*0.475*44/12</f>
        <v>0</v>
      </c>
      <c r="HH107" s="23">
        <f>EXP(-LN(2)/25)*HH106+(1-EXP(-LN(2)/25))/(LN(2)/25)*Calculateur!HC107*Calculateur!HE107*VLOOKUP('Données projet'!$B$18,Paramètres!$A$1:$I$89,3,0)*0.475*44/12</f>
        <v>0</v>
      </c>
      <c r="HI107" s="23">
        <f>EXP(-LN(2)/2)*HI106+(1-EXP(-LN(2)/2))/(LN(2)/2)*HC107*HF107*VLOOKUP('Données projet'!$B$18,Paramètres!$A$1:$I$89,3,0)*0.475*44/12</f>
        <v>0</v>
      </c>
      <c r="HJ107" s="24">
        <f t="shared" si="84"/>
        <v>0</v>
      </c>
    </row>
    <row r="108" spans="1:218" s="5" customFormat="1" x14ac:dyDescent="0.25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2">
        <f t="shared" si="86"/>
        <v>0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0</v>
      </c>
      <c r="H108" s="70">
        <f t="shared" si="56"/>
        <v>256.66666666666669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3.0769230769230802</v>
      </c>
      <c r="N108" s="14">
        <f>IF('Données projet'!$A$36&gt;35,N107+M108-V107,IF(A108&lt;'Données projet'!$A$36,$K$205^A108,IF(A108='Données projet'!$A$36,'Données projet'!$B$36,N107+M108-V107)))</f>
        <v>237.82051282051287</v>
      </c>
      <c r="O108" s="14">
        <f>N108*VLOOKUP('Données projet'!$B$9,Paramètres!$A$1:$I$89,3,0)*VLOOKUP('Données projet'!$B$9,Paramètres!$A$1:$I$89,5,0)</f>
        <v>226.31000000000006</v>
      </c>
      <c r="P108" s="14">
        <f t="shared" si="87"/>
        <v>55.484067782810527</v>
      </c>
      <c r="Q108" s="22">
        <f t="shared" si="107"/>
        <v>490.79133472172845</v>
      </c>
      <c r="R108" s="62">
        <f t="shared" si="55"/>
        <v>784.12466805506176</v>
      </c>
      <c r="S108" s="62">
        <f ca="1">AVERAGE(OFFSET($R$3,0,0,'Données projet'!$E$9+1,1))-AVERAGE(OFFSET($H$3,0,0,'Données projet'!$E$9+1,1))</f>
        <v>367.11183928586667</v>
      </c>
      <c r="T108" s="62">
        <f t="shared" si="88"/>
        <v>281.52963027844595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0</v>
      </c>
      <c r="AA108" s="23">
        <f>EXP(-LN(2)/25)*AA107+(1-EXP(-LN(2)/25))/(LN(2)/25)*Calculateur!V108*Calculateur!X108*VLOOKUP('Données projet'!$B$9,Paramètres!$A$1:$I$89,3,0)*0.475*44/12</f>
        <v>0</v>
      </c>
      <c r="AB108" s="23">
        <f>EXP(-LN(2)/2)*AB107+(1-EXP(-LN(2)/2))/(LN(2)/2)*V108*Y108*VLOOKUP('Données projet'!$B$9,Paramètres!$A$1:$I$89,3,0)*0.475*44/12</f>
        <v>0</v>
      </c>
      <c r="AC108" s="24">
        <f t="shared" si="57"/>
        <v>0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4.4000000000000004</v>
      </c>
      <c r="AI108" s="14">
        <f>IF('Données projet'!$A$62&gt;35,AI107+AH108-AQ107,IF(A108&lt;'Données projet'!$A$62,$AF$205^A108,IF(A108='Données projet'!$A$62,'Données projet'!$B$62,AI107+AH108-AQ107)))</f>
        <v>282.99999999999972</v>
      </c>
      <c r="AJ108" s="14">
        <f>AI108*VLOOKUP('Données projet'!$B$10,Paramètres!$A$1:$I$89,3,0)*VLOOKUP('Données projet'!$B$10,Paramètres!$A$1:$I$89,5,0)</f>
        <v>256.05839999999972</v>
      </c>
      <c r="AK108" s="14">
        <f t="shared" si="89"/>
        <v>61.881442594256434</v>
      </c>
      <c r="AL108" s="22">
        <f t="shared" si="58"/>
        <v>553.74522585166278</v>
      </c>
      <c r="AM108" s="62">
        <f t="shared" si="59"/>
        <v>847.07855918499604</v>
      </c>
      <c r="AN108" s="62">
        <f ca="1">AVERAGE(OFFSET($AM$3,0,0,'Données projet'!$E$10+1,1))-AVERAGE(OFFSET($H$3,0,0,'Données projet'!$E$10+1,1))</f>
        <v>428.8489304403459</v>
      </c>
      <c r="AO108" s="62">
        <f t="shared" si="90"/>
        <v>247.01165577562966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0</v>
      </c>
      <c r="AV108" s="23">
        <f>EXP(-LN(2)/25)*AV107+(1-EXP(-LN(2)/25))/(LN(2)/25)*Calculateur!AQ108*Calculateur!AS108*VLOOKUP('Données projet'!$B$10,Paramètres!$A$1:$I$89,3,0)*0.475*44/12</f>
        <v>0</v>
      </c>
      <c r="AW108" s="23">
        <f>EXP(-LN(2)/2)*AW107+(1-EXP(-LN(2)/2))/(LN(2)/2)*AQ108*AT108*VLOOKUP('Données projet'!$B$10,Paramètres!$A$1:$I$89,3,0)*0.475*44/12</f>
        <v>0</v>
      </c>
      <c r="AX108" s="23">
        <f t="shared" si="60"/>
        <v>0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4.4000000000000004</v>
      </c>
      <c r="BD108" s="13">
        <f>IF('Données projet'!$A$88&gt;35,BD107+BC108-BL107,IF(A108&lt;'Données projet'!$A$88,$BA$205^A108,IF(A108='Données projet'!$A$88,'Données projet'!$B$88,BD107+BC108-BL107)))</f>
        <v>282.99999999999972</v>
      </c>
      <c r="BE108" s="14">
        <f>BD108*VLOOKUP('Données projet'!$B$11,Paramètres!$A$1:$I$89,3,0)*VLOOKUP('Données projet'!$B$11,Paramètres!$A$1:$I$89,5,0)</f>
        <v>286.9619999999997</v>
      </c>
      <c r="BF108" s="14">
        <f t="shared" si="91"/>
        <v>68.436169981717796</v>
      </c>
      <c r="BG108" s="22">
        <f t="shared" si="61"/>
        <v>618.98514605149137</v>
      </c>
      <c r="BH108" s="62">
        <f t="shared" si="62"/>
        <v>912.31847938482474</v>
      </c>
      <c r="BI108" s="62">
        <f ca="1">AVERAGE(OFFSET($BH$3,0,0,'Données projet'!$E$11+1,1))-AVERAGE(OFFSET($H$3,0,0,'Données projet'!$E$11+1,1))</f>
        <v>475.47920969424894</v>
      </c>
      <c r="BJ108" s="62">
        <f t="shared" si="92"/>
        <v>271.73544012419364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>
        <f>EXP(-LN(2)/35)*BP107+(1-EXP(-LN(2)/35))/(LN(2)/35)*BL108*BM108*VLOOKUP('Données projet'!$B$11,Paramètres!$A$1:$I$89,3,0)*0.475*44/12</f>
        <v>0</v>
      </c>
      <c r="BQ108" s="23">
        <f>EXP(-LN(2)/25)*BQ107+(1-EXP(-LN(2)/25))/(LN(2)/25)*Calculateur!BL108*Calculateur!BN108*VLOOKUP('Données projet'!$B$11,Paramètres!$A$1:$I$89,3,0)*0.475*44/12</f>
        <v>0</v>
      </c>
      <c r="BR108" s="23">
        <f>EXP(-LN(2)/2)*BR107+(1-EXP(-LN(2)/2))/(LN(2)/2)*BL108*BO108*VLOOKUP('Données projet'!$B$11,Paramètres!$A$1:$I$89,3,0)*0.475*44/12</f>
        <v>0</v>
      </c>
      <c r="BS108" s="24">
        <f t="shared" si="63"/>
        <v>0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2.2737367544323206E-13</v>
      </c>
      <c r="BZ108" s="14">
        <f>BY108*VLOOKUP('Données projet'!$B$12,Paramètres!$A$1:$I$89,3,0)*VLOOKUP('Données projet'!$B$12,Paramètres!$A$1:$I$89,5,0)</f>
        <v>1.2710188457276673E-13</v>
      </c>
      <c r="CA108" s="14">
        <f t="shared" si="93"/>
        <v>1.856866851063998E-12</v>
      </c>
      <c r="CB108" s="22">
        <f t="shared" si="64"/>
        <v>3.4554122145673649E-12</v>
      </c>
      <c r="CC108" s="62">
        <f t="shared" si="65"/>
        <v>293.33333333333678</v>
      </c>
      <c r="CD108" s="62">
        <f ca="1">AVERAGE(OFFSET($CC$3,0,0,'Données projet'!$E$12+1,1))-AVERAGE(OFFSET($H$3,0,0,'Données projet'!$E$12+1,1))</f>
        <v>323.98185264074681</v>
      </c>
      <c r="CE108" s="62">
        <f t="shared" si="94"/>
        <v>301.22207291854005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>
        <f>EXP(-LN(2)/35)*CK107+(1-EXP(-LN(2)/35))/(LN(2)/35)*CG108*CH108*VLOOKUP('Données projet'!$B$12,Paramètres!$A$1:$I$89,3,0)*0.475*44/12</f>
        <v>1.0104074367622009</v>
      </c>
      <c r="CL108" s="23">
        <f>EXP(-LN(2)/25)*CL107+(1-EXP(-LN(2)/25))/(LN(2)/25)*Calculateur!CG108*Calculateur!CI108*VLOOKUP('Données projet'!$B$12,Paramètres!$A$1:$I$89,3,0)*0.475*44/12</f>
        <v>1.0309124551352185</v>
      </c>
      <c r="CM108" s="23">
        <f>EXP(-LN(2)/2)*CM107+(1-EXP(-LN(2)/2))/(LN(2)/2)*CG108*CJ108*VLOOKUP('Données projet'!$B$12,Paramètres!$A$1:$I$89,3,0)*0.475*44/12</f>
        <v>3.1321031123400118E-11</v>
      </c>
      <c r="CN108" s="24">
        <f t="shared" si="66"/>
        <v>2.0413198919287407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3.1</v>
      </c>
      <c r="CT108" s="13">
        <f>IF('Données projet'!$A$140&gt;35,CT107+CS108-DB107,IF(A108&lt;'Données projet'!$A$140,$CQ$205^A108,IF(A108='Données projet'!$A$140,'Données projet'!$B$140,CT107+CS108-DB107)))</f>
        <v>217.4999999999998</v>
      </c>
      <c r="CU108" s="18">
        <f>CT108*VLOOKUP('Données projet'!$B$13,Paramètres!$A$1:$I$89,3,0)*VLOOKUP('Données projet'!$B$13,Paramètres!$A$1:$I$89,5,0)</f>
        <v>247.68899999999979</v>
      </c>
      <c r="CV108" s="14">
        <f t="shared" si="95"/>
        <v>60.090807825802337</v>
      </c>
      <c r="CW108" s="22">
        <f t="shared" si="67"/>
        <v>536.04983196327203</v>
      </c>
      <c r="CX108" s="62">
        <f t="shared" si="68"/>
        <v>829.38316529660528</v>
      </c>
      <c r="CY108" s="62">
        <f ca="1">AVERAGE(OFFSET($CX$3,0,0,'Données projet'!$E$13+1,1))-AVERAGE(OFFSET($H$3,0,0,'Données projet'!$E$13+1,1))</f>
        <v>399.78832690250164</v>
      </c>
      <c r="CZ108" s="62">
        <f t="shared" si="96"/>
        <v>174.32967064896343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>
        <f>EXP(-LN(2)/35)*DF107+(1-EXP(-LN(2)/35))/(LN(2)/35)*DB108*DC108*VLOOKUP('Données projet'!$B$13,Paramètres!$A$1:$I$89,3,0)*0.475*44/12</f>
        <v>0</v>
      </c>
      <c r="DG108" s="23">
        <f>EXP(-LN(2)/25)*DG107+(1-EXP(-LN(2)/25))/(LN(2)/25)*Calculateur!DB108*Calculateur!DD108*VLOOKUP('Données projet'!$B$13,Paramètres!$A$1:$I$89,3,0)*0.475*44/12</f>
        <v>0</v>
      </c>
      <c r="DH108" s="23">
        <f>EXP(-LN(2)/2)*DH107+(1-EXP(-LN(2)/2))/(LN(2)/2)*DB108*DE108*VLOOKUP('Données projet'!$B$13,Paramètres!$A$1:$I$89,3,0)*0.475*44/12</f>
        <v>0</v>
      </c>
      <c r="DI108" s="24">
        <f t="shared" si="69"/>
        <v>0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4.4000000000000004</v>
      </c>
      <c r="DO108" s="13">
        <f>IF('Données projet'!$A$166&gt;35,DO107+DN108-DW107,IF(A108&lt;'Données projet'!$A$166,$DL$205^A108,IF(A108='Données projet'!$A$166,'Données projet'!$B$166,DO107+DN108-DW107)))</f>
        <v>282.99999999999972</v>
      </c>
      <c r="DP108" s="18">
        <f>DO108*VLOOKUP('Données projet'!$B$14,Paramètres!$A$1:$I$89,3,0)*VLOOKUP('Données projet'!$B$14,Paramètres!$A$1:$I$89,5,0)</f>
        <v>238.39919999999978</v>
      </c>
      <c r="DQ108" s="14">
        <f t="shared" si="97"/>
        <v>58.094976529303359</v>
      </c>
      <c r="DR108" s="22">
        <f t="shared" si="70"/>
        <v>516.39402412186962</v>
      </c>
      <c r="DS108" s="62">
        <f t="shared" si="71"/>
        <v>809.72735745520299</v>
      </c>
      <c r="DT108" s="62">
        <f ca="1">AVERAGE(OFFSET($DS$3,0,0,'Données projet'!$E$14+1,1))-AVERAGE(OFFSET($H$3,0,0,'Données projet'!$E$14+1,1))</f>
        <v>402.15128814037058</v>
      </c>
      <c r="DU108" s="62">
        <f t="shared" si="98"/>
        <v>232.85411068442738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>
        <f>EXP(-LN(2)/35)*EA107+(1-EXP(-LN(2)/35))/(LN(2)/35)*DW108*DX108*VLOOKUP('Données projet'!$B$14,Paramètres!$A$1:$I$89,3,0)*0.475*44/12</f>
        <v>0</v>
      </c>
      <c r="EB108" s="23">
        <f>EXP(-LN(2)/25)*EB107+(1-EXP(-LN(2)/25))/(LN(2)/25)*Calculateur!DW108*Calculateur!DY108*VLOOKUP('Données projet'!$B$14,Paramètres!$A$1:$I$89,3,0)*0.475*44/12</f>
        <v>0</v>
      </c>
      <c r="EC108" s="23">
        <f>EXP(-LN(2)/2)*EC107+(1-EXP(-LN(2)/2))/(LN(2)/2)*DW108*DZ108*VLOOKUP('Données projet'!$B$14,Paramètres!$A$1:$I$89,3,0)*0.475*44/12</f>
        <v>0</v>
      </c>
      <c r="ED108" s="24">
        <f t="shared" si="72"/>
        <v>0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3.7179487179487181</v>
      </c>
      <c r="EJ108" s="13">
        <f>IF('Données projet'!$A$192&gt;35,EJ107+EI108-ER107,IF(A108&lt;'Données projet'!$A$192,$EG$205^A108,IF(A108='Données projet'!$A$192,'Données projet'!$B$192,EJ107+EI108-ER107)))</f>
        <v>369.87179487179509</v>
      </c>
      <c r="EK108" s="18">
        <f>EJ108*VLOOKUP('Données projet'!$B$15,Paramètres!$A$1:$I$89,3,0)*VLOOKUP('Données projet'!$B$15,Paramètres!$A$1:$I$89,5,0)</f>
        <v>386.59000000000026</v>
      </c>
      <c r="EL108" s="14">
        <f t="shared" si="99"/>
        <v>89.05262159094805</v>
      </c>
      <c r="EM108" s="22">
        <f t="shared" si="73"/>
        <v>828.41089927090161</v>
      </c>
      <c r="EN108" s="62">
        <f t="shared" si="74"/>
        <v>1121.7442326042349</v>
      </c>
      <c r="EO108" s="62">
        <f ca="1">AVERAGE(OFFSET($EN$3,0,0,'Données projet'!$E$15+1,1))-AVERAGE(OFFSET($H$3,0,0,'Données projet'!$E$15+1,1))</f>
        <v>595.89992279024398</v>
      </c>
      <c r="EP108" s="62">
        <f t="shared" si="100"/>
        <v>378.16197659288338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>
        <f>EXP(-LN(2)/35)*EV107+(1-EXP(-LN(2)/35))/(LN(2)/35)*ER108*ES108*VLOOKUP('Données projet'!$B$15,Paramètres!$A$1:$I$89,3,0)*0.475*44/12</f>
        <v>0</v>
      </c>
      <c r="EW108" s="23">
        <f>EXP(-LN(2)/25)*EW107+(1-EXP(-LN(2)/25))/(LN(2)/25)*Calculateur!ER108*Calculateur!ET108*VLOOKUP('Données projet'!$B$15,Paramètres!$A$1:$I$89,3,0)*0.475*44/12</f>
        <v>0</v>
      </c>
      <c r="EX108" s="23">
        <f>EXP(-LN(2)/2)*EX107+(1-EXP(-LN(2)/2))/(LN(2)/2)*ER108*EU108*VLOOKUP('Données projet'!$B$15,Paramètres!$A$1:$I$89,3,0)*0.475*44/12</f>
        <v>0</v>
      </c>
      <c r="EY108" s="24">
        <f t="shared" si="75"/>
        <v>0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-2.2737367544323206E-13</v>
      </c>
      <c r="FF108" s="18">
        <f>FE108*VLOOKUP('Données projet'!$B$16,Paramètres!$A$1:$I$89,3,0)*VLOOKUP('Données projet'!$B$16,Paramètres!$A$1:$I$89,5,0)</f>
        <v>-1.3596945791505279E-13</v>
      </c>
      <c r="FG108" s="14" t="e">
        <f t="shared" si="101"/>
        <v>#NUM!</v>
      </c>
      <c r="FH108" s="22" t="e">
        <f t="shared" si="76"/>
        <v>#NUM!</v>
      </c>
      <c r="FI108" s="62" t="e">
        <f t="shared" si="77"/>
        <v>#NUM!</v>
      </c>
      <c r="FJ108" s="62">
        <f ca="1">AVERAGE(OFFSET($FI$3,0,0,'Données projet'!$E$16+1,1))-AVERAGE(OFFSET($H$3,0,0,'Données projet'!$E$16+1,1))</f>
        <v>257.56116197646924</v>
      </c>
      <c r="FK108" s="62">
        <f t="shared" si="102"/>
        <v>269.95556918835888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>
        <f>EXP(-LN(2)/35)*FQ107+(1-EXP(-LN(2)/35))/(LN(2)/35)*FM108*FN108*VLOOKUP('Données projet'!$B$16,Paramètres!$A$1:$I$89,3,0)*0.475*44/12</f>
        <v>3.3016892490631826</v>
      </c>
      <c r="FR108" s="23">
        <f>EXP(-LN(2)/25)*FR107+(1-EXP(-LN(2)/25))/(LN(2)/25)*Calculateur!FM108*Calculateur!FO108*VLOOKUP('Données projet'!$B$16,Paramètres!$A$1:$I$89,3,0)*0.475*44/12</f>
        <v>2.0178841307201174</v>
      </c>
      <c r="FS108" s="23">
        <f>EXP(-LN(2)/2)*FS107+(1-EXP(-LN(2)/2))/(LN(2)/2)*FM108*FP108*VLOOKUP('Données projet'!$B$16,Paramètres!$A$1:$I$89,3,0)*0.475*44/12</f>
        <v>4.4009723893497272E-11</v>
      </c>
      <c r="FT108" s="24">
        <f t="shared" si="78"/>
        <v>5.3195733798273102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-2.8421709430404007E-13</v>
      </c>
      <c r="GA108" s="18">
        <f>FZ108*VLOOKUP('Données projet'!$B$17,Paramètres!$A$1:$I$89,3,0)*VLOOKUP('Données projet'!$B$17,Paramètres!$A$1:$I$89,5,0)</f>
        <v>-1.69961822393816E-13</v>
      </c>
      <c r="GB108" s="14" t="e">
        <f t="shared" si="103"/>
        <v>#NUM!</v>
      </c>
      <c r="GC108" s="22" t="e">
        <f t="shared" si="79"/>
        <v>#NUM!</v>
      </c>
      <c r="GD108" s="62" t="e">
        <f t="shared" si="80"/>
        <v>#NUM!</v>
      </c>
      <c r="GE108" s="62">
        <f ca="1">AVERAGE(OFFSET($GD$3,0,0,'Données projet'!$E$17+1,1))-AVERAGE(OFFSET($H$3,0,0,'Données projet'!$E$17+1,1))</f>
        <v>289.12367833861299</v>
      </c>
      <c r="GF108" s="62">
        <f t="shared" si="104"/>
        <v>229.06617320689003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>
        <f>EXP(-LN(2)/35)*GL107+(1-EXP(-LN(2)/35))/(LN(2)/35)*GH108*GI108*VLOOKUP('Données projet'!$B$17,Paramètres!$A$1:$I$89,3,0)*0.475*44/12</f>
        <v>0</v>
      </c>
      <c r="GM108" s="23">
        <f>EXP(-LN(2)/25)*GM107+(1-EXP(-LN(2)/25))/(LN(2)/25)*Calculateur!GH108*Calculateur!GJ108*VLOOKUP('Données projet'!$B$17,Paramètres!$A$1:$I$89,3,0)*0.475*44/12</f>
        <v>0</v>
      </c>
      <c r="GN108" s="23">
        <f>EXP(-LN(2)/2)*GN107+(1-EXP(-LN(2)/2))/(LN(2)/2)*GH108*GK108*VLOOKUP('Données projet'!$B$17,Paramètres!$A$1:$I$89,3,0)*0.475*44/12</f>
        <v>2.1334964579248054E-11</v>
      </c>
      <c r="GO108" s="23">
        <f t="shared" si="81"/>
        <v>2.1334964579248054E-11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7.9089743589743575</v>
      </c>
      <c r="GU108" s="13">
        <f>IF('Données projet'!$A$270&gt;35,GU107+GT108-HC107,IF(A108&lt;'Données projet'!$A$270,$GR$205^A108,IF(A108='Données projet'!$A$270,'Données projet'!$B$270,GU107+GT108-HC107)))</f>
        <v>381.56410256410248</v>
      </c>
      <c r="GV108" s="18">
        <f>GU108*VLOOKUP('Données projet'!$B$18,Paramètres!$A$1:$I$89,3,0)*VLOOKUP('Données projet'!$B$18,Paramètres!$A$1:$I$89,5,0)</f>
        <v>178.57199999999997</v>
      </c>
      <c r="GW108" s="14">
        <f t="shared" si="105"/>
        <v>45.004335350860913</v>
      </c>
      <c r="GX108" s="22">
        <f t="shared" si="82"/>
        <v>389.39545073608269</v>
      </c>
      <c r="GY108" s="62">
        <f t="shared" si="83"/>
        <v>682.72878406941595</v>
      </c>
      <c r="GZ108" s="62">
        <f ca="1">AVERAGE(OFFSET($GY$3,0,0,'Données projet'!$E$18+1,1))-AVERAGE(OFFSET($H$3,0,0,'Données projet'!$E$18+1,1))</f>
        <v>284.88646502866419</v>
      </c>
      <c r="HA108" s="62">
        <f t="shared" si="106"/>
        <v>190.4880882944471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>
        <f>EXP(-LN(2)/35)*HG107+(1-EXP(-LN(2)/35))/(LN(2)/35)*HC108*HD108*VLOOKUP('Données projet'!$B$18,Paramètres!$A$1:$I$89,3,0)*0.475*44/12</f>
        <v>0</v>
      </c>
      <c r="HH108" s="23">
        <f>EXP(-LN(2)/25)*HH107+(1-EXP(-LN(2)/25))/(LN(2)/25)*Calculateur!HC108*Calculateur!HE108*VLOOKUP('Données projet'!$B$18,Paramètres!$A$1:$I$89,3,0)*0.475*44/12</f>
        <v>0</v>
      </c>
      <c r="HI108" s="23">
        <f>EXP(-LN(2)/2)*HI107+(1-EXP(-LN(2)/2))/(LN(2)/2)*HC108*HF108*VLOOKUP('Données projet'!$B$18,Paramètres!$A$1:$I$89,3,0)*0.475*44/12</f>
        <v>0</v>
      </c>
      <c r="HJ108" s="24">
        <f t="shared" si="84"/>
        <v>0</v>
      </c>
    </row>
    <row r="109" spans="1:218" s="5" customFormat="1" x14ac:dyDescent="0.25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2">
        <f t="shared" si="86"/>
        <v>0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0</v>
      </c>
      <c r="H109" s="70">
        <f t="shared" si="56"/>
        <v>256.66666666666669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3.0769230769230802</v>
      </c>
      <c r="N109" s="14">
        <f>IF('Données projet'!$A$36&gt;35,N108+M109-V108,IF(A109&lt;'Données projet'!$A$36,$K$205^A109,IF(A109='Données projet'!$A$36,'Données projet'!$B$36,N108+M109-V108)))</f>
        <v>240.89743589743597</v>
      </c>
      <c r="O109" s="14">
        <f>N109*VLOOKUP('Données projet'!$B$9,Paramètres!$A$1:$I$89,3,0)*VLOOKUP('Données projet'!$B$9,Paramètres!$A$1:$I$89,5,0)</f>
        <v>229.23800000000008</v>
      </c>
      <c r="P109" s="14">
        <f t="shared" si="87"/>
        <v>56.117887507033878</v>
      </c>
      <c r="Q109" s="22">
        <f t="shared" si="107"/>
        <v>496.99483740808415</v>
      </c>
      <c r="R109" s="62">
        <f t="shared" si="55"/>
        <v>790.32817074141747</v>
      </c>
      <c r="S109" s="62">
        <f ca="1">AVERAGE(OFFSET($R$3,0,0,'Données projet'!$E$9+1,1))-AVERAGE(OFFSET($H$3,0,0,'Données projet'!$E$9+1,1))</f>
        <v>367.11183928586667</v>
      </c>
      <c r="T109" s="62">
        <f t="shared" si="88"/>
        <v>281.52963027844595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0</v>
      </c>
      <c r="AA109" s="23">
        <f>EXP(-LN(2)/25)*AA108+(1-EXP(-LN(2)/25))/(LN(2)/25)*Calculateur!V109*Calculateur!X109*VLOOKUP('Données projet'!$B$9,Paramètres!$A$1:$I$89,3,0)*0.475*44/12</f>
        <v>0</v>
      </c>
      <c r="AB109" s="23">
        <f>EXP(-LN(2)/2)*AB108+(1-EXP(-LN(2)/2))/(LN(2)/2)*V109*Y109*VLOOKUP('Données projet'!$B$9,Paramètres!$A$1:$I$89,3,0)*0.475*44/12</f>
        <v>0</v>
      </c>
      <c r="AC109" s="24">
        <f t="shared" si="57"/>
        <v>0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4.4000000000000004</v>
      </c>
      <c r="AI109" s="14">
        <f>IF('Données projet'!$A$62&gt;35,AI108+AH109-AQ108,IF(A109&lt;'Données projet'!$A$62,$AF$205^A109,IF(A109='Données projet'!$A$62,'Données projet'!$B$62,AI108+AH109-AQ108)))</f>
        <v>287.39999999999969</v>
      </c>
      <c r="AJ109" s="14">
        <f>AI109*VLOOKUP('Données projet'!$B$10,Paramètres!$A$1:$I$89,3,0)*VLOOKUP('Données projet'!$B$10,Paramètres!$A$1:$I$89,5,0)</f>
        <v>260.0395199999997</v>
      </c>
      <c r="AK109" s="14">
        <f t="shared" si="89"/>
        <v>62.730801948604821</v>
      </c>
      <c r="AL109" s="22">
        <f t="shared" si="58"/>
        <v>562.15831072715287</v>
      </c>
      <c r="AM109" s="62">
        <f t="shared" si="59"/>
        <v>855.49164406048612</v>
      </c>
      <c r="AN109" s="62">
        <f ca="1">AVERAGE(OFFSET($AM$3,0,0,'Données projet'!$E$10+1,1))-AVERAGE(OFFSET($H$3,0,0,'Données projet'!$E$10+1,1))</f>
        <v>428.8489304403459</v>
      </c>
      <c r="AO109" s="62">
        <f t="shared" si="90"/>
        <v>247.01165577562966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0</v>
      </c>
      <c r="AV109" s="23">
        <f>EXP(-LN(2)/25)*AV108+(1-EXP(-LN(2)/25))/(LN(2)/25)*Calculateur!AQ109*Calculateur!AS109*VLOOKUP('Données projet'!$B$10,Paramètres!$A$1:$I$89,3,0)*0.475*44/12</f>
        <v>0</v>
      </c>
      <c r="AW109" s="23">
        <f>EXP(-LN(2)/2)*AW108+(1-EXP(-LN(2)/2))/(LN(2)/2)*AQ109*AT109*VLOOKUP('Données projet'!$B$10,Paramètres!$A$1:$I$89,3,0)*0.475*44/12</f>
        <v>0</v>
      </c>
      <c r="AX109" s="23">
        <f t="shared" si="60"/>
        <v>0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4.4000000000000004</v>
      </c>
      <c r="BD109" s="13">
        <f>IF('Données projet'!$A$88&gt;35,BD108+BC109-BL108,IF(A109&lt;'Données projet'!$A$88,$BA$205^A109,IF(A109='Données projet'!$A$88,'Données projet'!$B$88,BD108+BC109-BL108)))</f>
        <v>287.39999999999969</v>
      </c>
      <c r="BE109" s="14">
        <f>BD109*VLOOKUP('Données projet'!$B$11,Paramètres!$A$1:$I$89,3,0)*VLOOKUP('Données projet'!$B$11,Paramètres!$A$1:$I$89,5,0)</f>
        <v>291.42359999999968</v>
      </c>
      <c r="BF109" s="14">
        <f t="shared" si="91"/>
        <v>69.375496841482104</v>
      </c>
      <c r="BG109" s="22">
        <f t="shared" si="61"/>
        <v>628.39176033224737</v>
      </c>
      <c r="BH109" s="62">
        <f t="shared" si="62"/>
        <v>921.72509366558074</v>
      </c>
      <c r="BI109" s="62">
        <f ca="1">AVERAGE(OFFSET($BH$3,0,0,'Données projet'!$E$11+1,1))-AVERAGE(OFFSET($H$3,0,0,'Données projet'!$E$11+1,1))</f>
        <v>475.47920969424894</v>
      </c>
      <c r="BJ109" s="62">
        <f t="shared" si="92"/>
        <v>271.73544012419364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>
        <f>EXP(-LN(2)/35)*BP108+(1-EXP(-LN(2)/35))/(LN(2)/35)*BL109*BM109*VLOOKUP('Données projet'!$B$11,Paramètres!$A$1:$I$89,3,0)*0.475*44/12</f>
        <v>0</v>
      </c>
      <c r="BQ109" s="23">
        <f>EXP(-LN(2)/25)*BQ108+(1-EXP(-LN(2)/25))/(LN(2)/25)*Calculateur!BL109*Calculateur!BN109*VLOOKUP('Données projet'!$B$11,Paramètres!$A$1:$I$89,3,0)*0.475*44/12</f>
        <v>0</v>
      </c>
      <c r="BR109" s="23">
        <f>EXP(-LN(2)/2)*BR108+(1-EXP(-LN(2)/2))/(LN(2)/2)*BL109*BO109*VLOOKUP('Données projet'!$B$11,Paramètres!$A$1:$I$89,3,0)*0.475*44/12</f>
        <v>0</v>
      </c>
      <c r="BS109" s="24">
        <f t="shared" si="63"/>
        <v>0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2.2737367544323206E-13</v>
      </c>
      <c r="BZ109" s="14">
        <f>BY109*VLOOKUP('Données projet'!$B$12,Paramètres!$A$1:$I$89,3,0)*VLOOKUP('Données projet'!$B$12,Paramètres!$A$1:$I$89,5,0)</f>
        <v>1.2710188457276673E-13</v>
      </c>
      <c r="CA109" s="14">
        <f t="shared" si="93"/>
        <v>1.856866851063998E-12</v>
      </c>
      <c r="CB109" s="22">
        <f t="shared" si="64"/>
        <v>3.4554122145673649E-12</v>
      </c>
      <c r="CC109" s="62">
        <f t="shared" si="65"/>
        <v>293.33333333333678</v>
      </c>
      <c r="CD109" s="62">
        <f ca="1">AVERAGE(OFFSET($CC$3,0,0,'Données projet'!$E$12+1,1))-AVERAGE(OFFSET($H$3,0,0,'Données projet'!$E$12+1,1))</f>
        <v>323.98185264074681</v>
      </c>
      <c r="CE109" s="62">
        <f t="shared" si="94"/>
        <v>301.22207291854005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>
        <f>EXP(-LN(2)/35)*CK108+(1-EXP(-LN(2)/35))/(LN(2)/35)*CG109*CH109*VLOOKUP('Données projet'!$B$12,Paramètres!$A$1:$I$89,3,0)*0.475*44/12</f>
        <v>0.99059396321497717</v>
      </c>
      <c r="CL109" s="23">
        <f>EXP(-LN(2)/25)*CL108+(1-EXP(-LN(2)/25))/(LN(2)/25)*Calculateur!CG109*Calculateur!CI109*VLOOKUP('Données projet'!$B$12,Paramètres!$A$1:$I$89,3,0)*0.475*44/12</f>
        <v>1.0027220998362161</v>
      </c>
      <c r="CM109" s="23">
        <f>EXP(-LN(2)/2)*CM108+(1-EXP(-LN(2)/2))/(LN(2)/2)*CG109*CJ109*VLOOKUP('Données projet'!$B$12,Paramètres!$A$1:$I$89,3,0)*0.475*44/12</f>
        <v>2.2147313501111132E-11</v>
      </c>
      <c r="CN109" s="24">
        <f t="shared" si="66"/>
        <v>1.9933160630733406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3.1</v>
      </c>
      <c r="CT109" s="13">
        <f>IF('Données projet'!$A$140&gt;35,CT108+CS109-DB108,IF(A109&lt;'Données projet'!$A$140,$CQ$205^A109,IF(A109='Données projet'!$A$140,'Données projet'!$B$140,CT108+CS109-DB108)))</f>
        <v>220.5999999999998</v>
      </c>
      <c r="CU109" s="18">
        <f>CT109*VLOOKUP('Données projet'!$B$13,Paramètres!$A$1:$I$89,3,0)*VLOOKUP('Données projet'!$B$13,Paramètres!$A$1:$I$89,5,0)</f>
        <v>251.21927999999977</v>
      </c>
      <c r="CV109" s="14">
        <f t="shared" si="95"/>
        <v>60.846957337440209</v>
      </c>
      <c r="CW109" s="22">
        <f t="shared" si="67"/>
        <v>543.51536336270794</v>
      </c>
      <c r="CX109" s="62">
        <f t="shared" si="68"/>
        <v>836.84869669604132</v>
      </c>
      <c r="CY109" s="62">
        <f ca="1">AVERAGE(OFFSET($CX$3,0,0,'Données projet'!$E$13+1,1))-AVERAGE(OFFSET($H$3,0,0,'Données projet'!$E$13+1,1))</f>
        <v>399.78832690250164</v>
      </c>
      <c r="CZ109" s="62">
        <f t="shared" si="96"/>
        <v>174.32967064896343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>
        <f>EXP(-LN(2)/35)*DF108+(1-EXP(-LN(2)/35))/(LN(2)/35)*DB109*DC109*VLOOKUP('Données projet'!$B$13,Paramètres!$A$1:$I$89,3,0)*0.475*44/12</f>
        <v>0</v>
      </c>
      <c r="DG109" s="23">
        <f>EXP(-LN(2)/25)*DG108+(1-EXP(-LN(2)/25))/(LN(2)/25)*Calculateur!DB109*Calculateur!DD109*VLOOKUP('Données projet'!$B$13,Paramètres!$A$1:$I$89,3,0)*0.475*44/12</f>
        <v>0</v>
      </c>
      <c r="DH109" s="23">
        <f>EXP(-LN(2)/2)*DH108+(1-EXP(-LN(2)/2))/(LN(2)/2)*DB109*DE109*VLOOKUP('Données projet'!$B$13,Paramètres!$A$1:$I$89,3,0)*0.475*44/12</f>
        <v>0</v>
      </c>
      <c r="DI109" s="24">
        <f t="shared" si="69"/>
        <v>0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4.4000000000000004</v>
      </c>
      <c r="DO109" s="13">
        <f>IF('Données projet'!$A$166&gt;35,DO108+DN109-DW108,IF(A109&lt;'Données projet'!$A$166,$DL$205^A109,IF(A109='Données projet'!$A$166,'Données projet'!$B$166,DO108+DN109-DW108)))</f>
        <v>287.39999999999969</v>
      </c>
      <c r="DP109" s="18">
        <f>DO109*VLOOKUP('Données projet'!$B$14,Paramètres!$A$1:$I$89,3,0)*VLOOKUP('Données projet'!$B$14,Paramètres!$A$1:$I$89,5,0)</f>
        <v>242.10575999999978</v>
      </c>
      <c r="DQ109" s="14">
        <f t="shared" si="97"/>
        <v>58.89236440016068</v>
      </c>
      <c r="DR109" s="22">
        <f t="shared" si="70"/>
        <v>524.2383999969461</v>
      </c>
      <c r="DS109" s="62">
        <f t="shared" si="71"/>
        <v>817.57173333027936</v>
      </c>
      <c r="DT109" s="62">
        <f ca="1">AVERAGE(OFFSET($DS$3,0,0,'Données projet'!$E$14+1,1))-AVERAGE(OFFSET($H$3,0,0,'Données projet'!$E$14+1,1))</f>
        <v>402.15128814037058</v>
      </c>
      <c r="DU109" s="62">
        <f t="shared" si="98"/>
        <v>232.85411068442738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>
        <f>EXP(-LN(2)/35)*EA108+(1-EXP(-LN(2)/35))/(LN(2)/35)*DW109*DX109*VLOOKUP('Données projet'!$B$14,Paramètres!$A$1:$I$89,3,0)*0.475*44/12</f>
        <v>0</v>
      </c>
      <c r="EB109" s="23">
        <f>EXP(-LN(2)/25)*EB108+(1-EXP(-LN(2)/25))/(LN(2)/25)*Calculateur!DW109*Calculateur!DY109*VLOOKUP('Données projet'!$B$14,Paramètres!$A$1:$I$89,3,0)*0.475*44/12</f>
        <v>0</v>
      </c>
      <c r="EC109" s="23">
        <f>EXP(-LN(2)/2)*EC108+(1-EXP(-LN(2)/2))/(LN(2)/2)*DW109*DZ109*VLOOKUP('Données projet'!$B$14,Paramètres!$A$1:$I$89,3,0)*0.475*44/12</f>
        <v>0</v>
      </c>
      <c r="ED109" s="24">
        <f t="shared" si="72"/>
        <v>0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3.7179487179487181</v>
      </c>
      <c r="EJ109" s="13">
        <f>IF('Données projet'!$A$192&gt;35,EJ108+EI109-ER108,IF(A109&lt;'Données projet'!$A$192,$EG$205^A109,IF(A109='Données projet'!$A$192,'Données projet'!$B$192,EJ108+EI109-ER108)))</f>
        <v>373.58974358974382</v>
      </c>
      <c r="EK109" s="18">
        <f>EJ109*VLOOKUP('Données projet'!$B$15,Paramètres!$A$1:$I$89,3,0)*VLOOKUP('Données projet'!$B$15,Paramètres!$A$1:$I$89,5,0)</f>
        <v>390.47600000000028</v>
      </c>
      <c r="EL109" s="14">
        <f t="shared" si="99"/>
        <v>89.843120717993429</v>
      </c>
      <c r="EM109" s="22">
        <f t="shared" si="73"/>
        <v>836.55580191717229</v>
      </c>
      <c r="EN109" s="62">
        <f t="shared" si="74"/>
        <v>1129.8891352505057</v>
      </c>
      <c r="EO109" s="62">
        <f ca="1">AVERAGE(OFFSET($EN$3,0,0,'Données projet'!$E$15+1,1))-AVERAGE(OFFSET($H$3,0,0,'Données projet'!$E$15+1,1))</f>
        <v>595.89992279024398</v>
      </c>
      <c r="EP109" s="62">
        <f t="shared" si="100"/>
        <v>378.16197659288338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>
        <f>EXP(-LN(2)/35)*EV108+(1-EXP(-LN(2)/35))/(LN(2)/35)*ER109*ES109*VLOOKUP('Données projet'!$B$15,Paramètres!$A$1:$I$89,3,0)*0.475*44/12</f>
        <v>0</v>
      </c>
      <c r="EW109" s="23">
        <f>EXP(-LN(2)/25)*EW108+(1-EXP(-LN(2)/25))/(LN(2)/25)*Calculateur!ER109*Calculateur!ET109*VLOOKUP('Données projet'!$B$15,Paramètres!$A$1:$I$89,3,0)*0.475*44/12</f>
        <v>0</v>
      </c>
      <c r="EX109" s="23">
        <f>EXP(-LN(2)/2)*EX108+(1-EXP(-LN(2)/2))/(LN(2)/2)*ER109*EU109*VLOOKUP('Données projet'!$B$15,Paramètres!$A$1:$I$89,3,0)*0.475*44/12</f>
        <v>0</v>
      </c>
      <c r="EY109" s="24">
        <f t="shared" si="75"/>
        <v>0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-2.2737367544323206E-13</v>
      </c>
      <c r="FF109" s="18">
        <f>FE109*VLOOKUP('Données projet'!$B$16,Paramètres!$A$1:$I$89,3,0)*VLOOKUP('Données projet'!$B$16,Paramètres!$A$1:$I$89,5,0)</f>
        <v>-1.3596945791505279E-13</v>
      </c>
      <c r="FG109" s="14" t="e">
        <f t="shared" si="101"/>
        <v>#NUM!</v>
      </c>
      <c r="FH109" s="22" t="e">
        <f t="shared" si="76"/>
        <v>#NUM!</v>
      </c>
      <c r="FI109" s="62" t="e">
        <f t="shared" si="77"/>
        <v>#NUM!</v>
      </c>
      <c r="FJ109" s="62">
        <f ca="1">AVERAGE(OFFSET($FI$3,0,0,'Données projet'!$E$16+1,1))-AVERAGE(OFFSET($H$3,0,0,'Données projet'!$E$16+1,1))</f>
        <v>257.56116197646924</v>
      </c>
      <c r="FK109" s="62">
        <f t="shared" si="102"/>
        <v>269.95556918835888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>
        <f>EXP(-LN(2)/35)*FQ108+(1-EXP(-LN(2)/35))/(LN(2)/35)*FM109*FN109*VLOOKUP('Données projet'!$B$16,Paramètres!$A$1:$I$89,3,0)*0.475*44/12</f>
        <v>3.2369451367206463</v>
      </c>
      <c r="FR109" s="23">
        <f>EXP(-LN(2)/25)*FR108+(1-EXP(-LN(2)/25))/(LN(2)/25)*Calculateur!FM109*Calculateur!FO109*VLOOKUP('Données projet'!$B$16,Paramètres!$A$1:$I$89,3,0)*0.475*44/12</f>
        <v>1.9627049830496612</v>
      </c>
      <c r="FS109" s="23">
        <f>EXP(-LN(2)/2)*FS108+(1-EXP(-LN(2)/2))/(LN(2)/2)*FM109*FP109*VLOOKUP('Données projet'!$B$16,Paramètres!$A$1:$I$89,3,0)*0.475*44/12</f>
        <v>3.1119574203239548E-11</v>
      </c>
      <c r="FT109" s="24">
        <f t="shared" si="78"/>
        <v>5.1996501198014276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-2.8421709430404007E-13</v>
      </c>
      <c r="GA109" s="18">
        <f>FZ109*VLOOKUP('Données projet'!$B$17,Paramètres!$A$1:$I$89,3,0)*VLOOKUP('Données projet'!$B$17,Paramètres!$A$1:$I$89,5,0)</f>
        <v>-1.69961822393816E-13</v>
      </c>
      <c r="GB109" s="14" t="e">
        <f t="shared" si="103"/>
        <v>#NUM!</v>
      </c>
      <c r="GC109" s="22" t="e">
        <f t="shared" si="79"/>
        <v>#NUM!</v>
      </c>
      <c r="GD109" s="62" t="e">
        <f t="shared" si="80"/>
        <v>#NUM!</v>
      </c>
      <c r="GE109" s="62">
        <f ca="1">AVERAGE(OFFSET($GD$3,0,0,'Données projet'!$E$17+1,1))-AVERAGE(OFFSET($H$3,0,0,'Données projet'!$E$17+1,1))</f>
        <v>289.12367833861299</v>
      </c>
      <c r="GF109" s="62">
        <f t="shared" si="104"/>
        <v>229.06617320689003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>
        <f>EXP(-LN(2)/35)*GL108+(1-EXP(-LN(2)/35))/(LN(2)/35)*GH109*GI109*VLOOKUP('Données projet'!$B$17,Paramètres!$A$1:$I$89,3,0)*0.475*44/12</f>
        <v>0</v>
      </c>
      <c r="GM109" s="23">
        <f>EXP(-LN(2)/25)*GM108+(1-EXP(-LN(2)/25))/(LN(2)/25)*Calculateur!GH109*Calculateur!GJ109*VLOOKUP('Données projet'!$B$17,Paramètres!$A$1:$I$89,3,0)*0.475*44/12</f>
        <v>0</v>
      </c>
      <c r="GN109" s="23">
        <f>EXP(-LN(2)/2)*GN108+(1-EXP(-LN(2)/2))/(LN(2)/2)*GH109*GK109*VLOOKUP('Données projet'!$B$17,Paramètres!$A$1:$I$89,3,0)*0.475*44/12</f>
        <v>1.5086098130361095E-11</v>
      </c>
      <c r="GO109" s="23">
        <f t="shared" si="81"/>
        <v>1.5086098130361095E-11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7.9089743589743575</v>
      </c>
      <c r="GU109" s="13">
        <f>IF('Données projet'!$A$270&gt;35,GU108+GT109-HC108,IF(A109&lt;'Données projet'!$A$270,$GR$205^A109,IF(A109='Données projet'!$A$270,'Données projet'!$B$270,GU108+GT109-HC108)))</f>
        <v>389.47307692307686</v>
      </c>
      <c r="GV109" s="18">
        <f>GU109*VLOOKUP('Données projet'!$B$18,Paramètres!$A$1:$I$89,3,0)*VLOOKUP('Données projet'!$B$18,Paramètres!$A$1:$I$89,5,0)</f>
        <v>182.27339999999995</v>
      </c>
      <c r="GW109" s="14">
        <f t="shared" si="105"/>
        <v>45.827605728742469</v>
      </c>
      <c r="GX109" s="22">
        <f t="shared" si="82"/>
        <v>397.27591831089302</v>
      </c>
      <c r="GY109" s="62">
        <f t="shared" si="83"/>
        <v>690.60925164422633</v>
      </c>
      <c r="GZ109" s="62">
        <f ca="1">AVERAGE(OFFSET($GY$3,0,0,'Données projet'!$E$18+1,1))-AVERAGE(OFFSET($H$3,0,0,'Données projet'!$E$18+1,1))</f>
        <v>284.88646502866419</v>
      </c>
      <c r="HA109" s="62">
        <f t="shared" si="106"/>
        <v>190.4880882944471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>
        <f>EXP(-LN(2)/35)*HG108+(1-EXP(-LN(2)/35))/(LN(2)/35)*HC109*HD109*VLOOKUP('Données projet'!$B$18,Paramètres!$A$1:$I$89,3,0)*0.475*44/12</f>
        <v>0</v>
      </c>
      <c r="HH109" s="23">
        <f>EXP(-LN(2)/25)*HH108+(1-EXP(-LN(2)/25))/(LN(2)/25)*Calculateur!HC109*Calculateur!HE109*VLOOKUP('Données projet'!$B$18,Paramètres!$A$1:$I$89,3,0)*0.475*44/12</f>
        <v>0</v>
      </c>
      <c r="HI109" s="23">
        <f>EXP(-LN(2)/2)*HI108+(1-EXP(-LN(2)/2))/(LN(2)/2)*HC109*HF109*VLOOKUP('Données projet'!$B$18,Paramètres!$A$1:$I$89,3,0)*0.475*44/12</f>
        <v>0</v>
      </c>
      <c r="HJ109" s="24">
        <f t="shared" si="84"/>
        <v>0</v>
      </c>
    </row>
    <row r="110" spans="1:218" s="5" customFormat="1" x14ac:dyDescent="0.25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2">
        <f t="shared" si="86"/>
        <v>0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0</v>
      </c>
      <c r="H110" s="70">
        <f t="shared" si="56"/>
        <v>256.66666666666669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3.0769230769230802</v>
      </c>
      <c r="N110" s="14">
        <f>IF('Données projet'!$A$36&gt;35,N109+M110-V109,IF(A110&lt;'Données projet'!$A$36,$K$205^A110,IF(A110='Données projet'!$A$36,'Données projet'!$B$36,N109+M110-V109)))</f>
        <v>243.97435897435906</v>
      </c>
      <c r="O110" s="14">
        <f>N110*VLOOKUP('Données projet'!$B$9,Paramètres!$A$1:$I$89,3,0)*VLOOKUP('Données projet'!$B$9,Paramètres!$A$1:$I$89,5,0)</f>
        <v>232.16600000000008</v>
      </c>
      <c r="P110" s="14">
        <f t="shared" si="87"/>
        <v>56.750765573960223</v>
      </c>
      <c r="Q110" s="22">
        <f t="shared" si="107"/>
        <v>503.19670004131422</v>
      </c>
      <c r="R110" s="62">
        <f t="shared" si="55"/>
        <v>796.53003337464747</v>
      </c>
      <c r="S110" s="62">
        <f ca="1">AVERAGE(OFFSET($R$3,0,0,'Données projet'!$E$9+1,1))-AVERAGE(OFFSET($H$3,0,0,'Données projet'!$E$9+1,1))</f>
        <v>367.11183928586667</v>
      </c>
      <c r="T110" s="62">
        <f t="shared" si="88"/>
        <v>281.52963027844595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0</v>
      </c>
      <c r="AA110" s="23">
        <f>EXP(-LN(2)/25)*AA109+(1-EXP(-LN(2)/25))/(LN(2)/25)*Calculateur!V110*Calculateur!X110*VLOOKUP('Données projet'!$B$9,Paramètres!$A$1:$I$89,3,0)*0.475*44/12</f>
        <v>0</v>
      </c>
      <c r="AB110" s="23">
        <f>EXP(-LN(2)/2)*AB109+(1-EXP(-LN(2)/2))/(LN(2)/2)*V110*Y110*VLOOKUP('Données projet'!$B$9,Paramètres!$A$1:$I$89,3,0)*0.475*44/12</f>
        <v>0</v>
      </c>
      <c r="AC110" s="24">
        <f t="shared" si="57"/>
        <v>0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4.4000000000000004</v>
      </c>
      <c r="AI110" s="14">
        <f>IF('Données projet'!$A$62&gt;35,AI109+AH110-AQ109,IF(A110&lt;'Données projet'!$A$62,$AF$205^A110,IF(A110='Données projet'!$A$62,'Données projet'!$B$62,AI109+AH110-AQ109)))</f>
        <v>291.79999999999967</v>
      </c>
      <c r="AJ110" s="14">
        <f>AI110*VLOOKUP('Données projet'!$B$10,Paramètres!$A$1:$I$89,3,0)*VLOOKUP('Données projet'!$B$10,Paramètres!$A$1:$I$89,5,0)</f>
        <v>264.02063999999967</v>
      </c>
      <c r="AK110" s="14">
        <f t="shared" si="89"/>
        <v>63.57864899095906</v>
      </c>
      <c r="AL110" s="22">
        <f t="shared" si="58"/>
        <v>570.56876165925303</v>
      </c>
      <c r="AM110" s="62">
        <f t="shared" si="59"/>
        <v>863.9020949925864</v>
      </c>
      <c r="AN110" s="62">
        <f ca="1">AVERAGE(OFFSET($AM$3,0,0,'Données projet'!$E$10+1,1))-AVERAGE(OFFSET($H$3,0,0,'Données projet'!$E$10+1,1))</f>
        <v>428.8489304403459</v>
      </c>
      <c r="AO110" s="62">
        <f t="shared" si="90"/>
        <v>247.01165577562966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0</v>
      </c>
      <c r="AV110" s="23">
        <f>EXP(-LN(2)/25)*AV109+(1-EXP(-LN(2)/25))/(LN(2)/25)*Calculateur!AQ110*Calculateur!AS110*VLOOKUP('Données projet'!$B$10,Paramètres!$A$1:$I$89,3,0)*0.475*44/12</f>
        <v>0</v>
      </c>
      <c r="AW110" s="23">
        <f>EXP(-LN(2)/2)*AW109+(1-EXP(-LN(2)/2))/(LN(2)/2)*AQ110*AT110*VLOOKUP('Données projet'!$B$10,Paramètres!$A$1:$I$89,3,0)*0.475*44/12</f>
        <v>0</v>
      </c>
      <c r="AX110" s="23">
        <f t="shared" si="60"/>
        <v>0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4.4000000000000004</v>
      </c>
      <c r="BD110" s="13">
        <f>IF('Données projet'!$A$88&gt;35,BD109+BC110-BL109,IF(A110&lt;'Données projet'!$A$88,$BA$205^A110,IF(A110='Données projet'!$A$88,'Données projet'!$B$88,BD109+BC110-BL109)))</f>
        <v>291.79999999999967</v>
      </c>
      <c r="BE110" s="14">
        <f>BD110*VLOOKUP('Données projet'!$B$11,Paramètres!$A$1:$I$89,3,0)*VLOOKUP('Données projet'!$B$11,Paramètres!$A$1:$I$89,5,0)</f>
        <v>295.88519999999966</v>
      </c>
      <c r="BF110" s="14">
        <f t="shared" si="91"/>
        <v>70.313151199178748</v>
      </c>
      <c r="BG110" s="22">
        <f t="shared" si="61"/>
        <v>637.79546167190244</v>
      </c>
      <c r="BH110" s="62">
        <f t="shared" si="62"/>
        <v>931.12879500523582</v>
      </c>
      <c r="BI110" s="62">
        <f ca="1">AVERAGE(OFFSET($BH$3,0,0,'Données projet'!$E$11+1,1))-AVERAGE(OFFSET($H$3,0,0,'Données projet'!$E$11+1,1))</f>
        <v>475.47920969424894</v>
      </c>
      <c r="BJ110" s="62">
        <f t="shared" si="92"/>
        <v>271.73544012419364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>
        <f>EXP(-LN(2)/35)*BP109+(1-EXP(-LN(2)/35))/(LN(2)/35)*BL110*BM110*VLOOKUP('Données projet'!$B$11,Paramètres!$A$1:$I$89,3,0)*0.475*44/12</f>
        <v>0</v>
      </c>
      <c r="BQ110" s="23">
        <f>EXP(-LN(2)/25)*BQ109+(1-EXP(-LN(2)/25))/(LN(2)/25)*Calculateur!BL110*Calculateur!BN110*VLOOKUP('Données projet'!$B$11,Paramètres!$A$1:$I$89,3,0)*0.475*44/12</f>
        <v>0</v>
      </c>
      <c r="BR110" s="23">
        <f>EXP(-LN(2)/2)*BR109+(1-EXP(-LN(2)/2))/(LN(2)/2)*BL110*BO110*VLOOKUP('Données projet'!$B$11,Paramètres!$A$1:$I$89,3,0)*0.475*44/12</f>
        <v>0</v>
      </c>
      <c r="BS110" s="24">
        <f t="shared" si="63"/>
        <v>0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2.2737367544323206E-13</v>
      </c>
      <c r="BZ110" s="14">
        <f>BY110*VLOOKUP('Données projet'!$B$12,Paramètres!$A$1:$I$89,3,0)*VLOOKUP('Données projet'!$B$12,Paramètres!$A$1:$I$89,5,0)</f>
        <v>1.2710188457276673E-13</v>
      </c>
      <c r="CA110" s="14">
        <f t="shared" si="93"/>
        <v>1.856866851063998E-12</v>
      </c>
      <c r="CB110" s="22">
        <f t="shared" si="64"/>
        <v>3.4554122145673649E-12</v>
      </c>
      <c r="CC110" s="62">
        <f t="shared" si="65"/>
        <v>293.33333333333678</v>
      </c>
      <c r="CD110" s="62">
        <f ca="1">AVERAGE(OFFSET($CC$3,0,0,'Données projet'!$E$12+1,1))-AVERAGE(OFFSET($H$3,0,0,'Données projet'!$E$12+1,1))</f>
        <v>323.98185264074681</v>
      </c>
      <c r="CE110" s="62">
        <f t="shared" si="94"/>
        <v>301.22207291854005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>
        <f>EXP(-LN(2)/35)*CK109+(1-EXP(-LN(2)/35))/(LN(2)/35)*CG110*CH110*VLOOKUP('Données projet'!$B$12,Paramètres!$A$1:$I$89,3,0)*0.475*44/12</f>
        <v>0.97116901979898895</v>
      </c>
      <c r="CL110" s="23">
        <f>EXP(-LN(2)/25)*CL109+(1-EXP(-LN(2)/25))/(LN(2)/25)*Calculateur!CG110*Calculateur!CI110*VLOOKUP('Données projet'!$B$12,Paramètres!$A$1:$I$89,3,0)*0.475*44/12</f>
        <v>0.97530261128533124</v>
      </c>
      <c r="CM110" s="23">
        <f>EXP(-LN(2)/2)*CM109+(1-EXP(-LN(2)/2))/(LN(2)/2)*CG110*CJ110*VLOOKUP('Données projet'!$B$12,Paramètres!$A$1:$I$89,3,0)*0.475*44/12</f>
        <v>1.5660515561700059E-11</v>
      </c>
      <c r="CN110" s="24">
        <f t="shared" si="66"/>
        <v>1.9464716310999808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3.1</v>
      </c>
      <c r="CT110" s="13">
        <f>IF('Données projet'!$A$140&gt;35,CT109+CS110-DB109,IF(A110&lt;'Données projet'!$A$140,$CQ$205^A110,IF(A110='Données projet'!$A$140,'Données projet'!$B$140,CT109+CS110-DB109)))</f>
        <v>223.69999999999979</v>
      </c>
      <c r="CU110" s="18">
        <f>CT110*VLOOKUP('Données projet'!$B$13,Paramètres!$A$1:$I$89,3,0)*VLOOKUP('Données projet'!$B$13,Paramètres!$A$1:$I$89,5,0)</f>
        <v>254.74955999999978</v>
      </c>
      <c r="CV110" s="14">
        <f t="shared" si="95"/>
        <v>61.601870967631747</v>
      </c>
      <c r="CW110" s="22">
        <f t="shared" si="67"/>
        <v>550.97874226862484</v>
      </c>
      <c r="CX110" s="62">
        <f t="shared" si="68"/>
        <v>844.31207560195821</v>
      </c>
      <c r="CY110" s="62">
        <f ca="1">AVERAGE(OFFSET($CX$3,0,0,'Données projet'!$E$13+1,1))-AVERAGE(OFFSET($H$3,0,0,'Données projet'!$E$13+1,1))</f>
        <v>399.78832690250164</v>
      </c>
      <c r="CZ110" s="62">
        <f t="shared" si="96"/>
        <v>174.32967064896343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>
        <f>EXP(-LN(2)/35)*DF109+(1-EXP(-LN(2)/35))/(LN(2)/35)*DB110*DC110*VLOOKUP('Données projet'!$B$13,Paramètres!$A$1:$I$89,3,0)*0.475*44/12</f>
        <v>0</v>
      </c>
      <c r="DG110" s="23">
        <f>EXP(-LN(2)/25)*DG109+(1-EXP(-LN(2)/25))/(LN(2)/25)*Calculateur!DB110*Calculateur!DD110*VLOOKUP('Données projet'!$B$13,Paramètres!$A$1:$I$89,3,0)*0.475*44/12</f>
        <v>0</v>
      </c>
      <c r="DH110" s="23">
        <f>EXP(-LN(2)/2)*DH109+(1-EXP(-LN(2)/2))/(LN(2)/2)*DB110*DE110*VLOOKUP('Données projet'!$B$13,Paramètres!$A$1:$I$89,3,0)*0.475*44/12</f>
        <v>0</v>
      </c>
      <c r="DI110" s="24">
        <f t="shared" si="69"/>
        <v>0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4.4000000000000004</v>
      </c>
      <c r="DO110" s="13">
        <f>IF('Données projet'!$A$166&gt;35,DO109+DN110-DW109,IF(A110&lt;'Données projet'!$A$166,$DL$205^A110,IF(A110='Données projet'!$A$166,'Données projet'!$B$166,DO109+DN110-DW109)))</f>
        <v>291.79999999999967</v>
      </c>
      <c r="DP110" s="18">
        <f>DO110*VLOOKUP('Données projet'!$B$14,Paramètres!$A$1:$I$89,3,0)*VLOOKUP('Données projet'!$B$14,Paramètres!$A$1:$I$89,5,0)</f>
        <v>245.81231999999974</v>
      </c>
      <c r="DQ110" s="14">
        <f t="shared" si="97"/>
        <v>59.68833249594293</v>
      </c>
      <c r="DR110" s="22">
        <f t="shared" si="70"/>
        <v>532.08030309710023</v>
      </c>
      <c r="DS110" s="62">
        <f t="shared" si="71"/>
        <v>825.4136364304336</v>
      </c>
      <c r="DT110" s="62">
        <f ca="1">AVERAGE(OFFSET($DS$3,0,0,'Données projet'!$E$14+1,1))-AVERAGE(OFFSET($H$3,0,0,'Données projet'!$E$14+1,1))</f>
        <v>402.15128814037058</v>
      </c>
      <c r="DU110" s="62">
        <f t="shared" si="98"/>
        <v>232.85411068442738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>
        <f>EXP(-LN(2)/35)*EA109+(1-EXP(-LN(2)/35))/(LN(2)/35)*DW110*DX110*VLOOKUP('Données projet'!$B$14,Paramètres!$A$1:$I$89,3,0)*0.475*44/12</f>
        <v>0</v>
      </c>
      <c r="EB110" s="23">
        <f>EXP(-LN(2)/25)*EB109+(1-EXP(-LN(2)/25))/(LN(2)/25)*Calculateur!DW110*Calculateur!DY110*VLOOKUP('Données projet'!$B$14,Paramètres!$A$1:$I$89,3,0)*0.475*44/12</f>
        <v>0</v>
      </c>
      <c r="EC110" s="23">
        <f>EXP(-LN(2)/2)*EC109+(1-EXP(-LN(2)/2))/(LN(2)/2)*DW110*DZ110*VLOOKUP('Données projet'!$B$14,Paramètres!$A$1:$I$89,3,0)*0.475*44/12</f>
        <v>0</v>
      </c>
      <c r="ED110" s="24">
        <f t="shared" si="72"/>
        <v>0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3.7179487179487181</v>
      </c>
      <c r="EJ110" s="13">
        <f>IF('Données projet'!$A$192&gt;35,EJ109+EI110-ER109,IF(A110&lt;'Données projet'!$A$192,$EG$205^A110,IF(A110='Données projet'!$A$192,'Données projet'!$B$192,EJ109+EI110-ER109)))</f>
        <v>377.30769230769255</v>
      </c>
      <c r="EK110" s="18">
        <f>EJ110*VLOOKUP('Données projet'!$B$15,Paramètres!$A$1:$I$89,3,0)*VLOOKUP('Données projet'!$B$15,Paramètres!$A$1:$I$89,5,0)</f>
        <v>394.36200000000031</v>
      </c>
      <c r="EL110" s="14">
        <f t="shared" si="99"/>
        <v>90.632704638979718</v>
      </c>
      <c r="EM110" s="22">
        <f t="shared" si="73"/>
        <v>844.69911057955676</v>
      </c>
      <c r="EN110" s="62">
        <f t="shared" si="74"/>
        <v>1138.0324439128901</v>
      </c>
      <c r="EO110" s="62">
        <f ca="1">AVERAGE(OFFSET($EN$3,0,0,'Données projet'!$E$15+1,1))-AVERAGE(OFFSET($H$3,0,0,'Données projet'!$E$15+1,1))</f>
        <v>595.89992279024398</v>
      </c>
      <c r="EP110" s="62">
        <f t="shared" si="100"/>
        <v>378.16197659288338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>
        <f>EXP(-LN(2)/35)*EV109+(1-EXP(-LN(2)/35))/(LN(2)/35)*ER110*ES110*VLOOKUP('Données projet'!$B$15,Paramètres!$A$1:$I$89,3,0)*0.475*44/12</f>
        <v>0</v>
      </c>
      <c r="EW110" s="23">
        <f>EXP(-LN(2)/25)*EW109+(1-EXP(-LN(2)/25))/(LN(2)/25)*Calculateur!ER110*Calculateur!ET110*VLOOKUP('Données projet'!$B$15,Paramètres!$A$1:$I$89,3,0)*0.475*44/12</f>
        <v>0</v>
      </c>
      <c r="EX110" s="23">
        <f>EXP(-LN(2)/2)*EX109+(1-EXP(-LN(2)/2))/(LN(2)/2)*ER110*EU110*VLOOKUP('Données projet'!$B$15,Paramètres!$A$1:$I$89,3,0)*0.475*44/12</f>
        <v>0</v>
      </c>
      <c r="EY110" s="24">
        <f t="shared" si="75"/>
        <v>0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-2.2737367544323206E-13</v>
      </c>
      <c r="FF110" s="18">
        <f>FE110*VLOOKUP('Données projet'!$B$16,Paramètres!$A$1:$I$89,3,0)*VLOOKUP('Données projet'!$B$16,Paramètres!$A$1:$I$89,5,0)</f>
        <v>-1.3596945791505279E-13</v>
      </c>
      <c r="FG110" s="14" t="e">
        <f t="shared" si="101"/>
        <v>#NUM!</v>
      </c>
      <c r="FH110" s="22" t="e">
        <f t="shared" si="76"/>
        <v>#NUM!</v>
      </c>
      <c r="FI110" s="62" t="e">
        <f t="shared" si="77"/>
        <v>#NUM!</v>
      </c>
      <c r="FJ110" s="62">
        <f ca="1">AVERAGE(OFFSET($FI$3,0,0,'Données projet'!$E$16+1,1))-AVERAGE(OFFSET($H$3,0,0,'Données projet'!$E$16+1,1))</f>
        <v>257.56116197646924</v>
      </c>
      <c r="FK110" s="62">
        <f t="shared" si="102"/>
        <v>269.95556918835888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>
        <f>EXP(-LN(2)/35)*FQ109+(1-EXP(-LN(2)/35))/(LN(2)/35)*FM110*FN110*VLOOKUP('Données projet'!$B$16,Paramètres!$A$1:$I$89,3,0)*0.475*44/12</f>
        <v>3.1734706169311377</v>
      </c>
      <c r="FR110" s="23">
        <f>EXP(-LN(2)/25)*FR109+(1-EXP(-LN(2)/25))/(LN(2)/25)*Calculateur!FM110*Calculateur!FO110*VLOOKUP('Données projet'!$B$16,Paramètres!$A$1:$I$89,3,0)*0.475*44/12</f>
        <v>1.909034712073999</v>
      </c>
      <c r="FS110" s="23">
        <f>EXP(-LN(2)/2)*FS109+(1-EXP(-LN(2)/2))/(LN(2)/2)*FM110*FP110*VLOOKUP('Données projet'!$B$16,Paramètres!$A$1:$I$89,3,0)*0.475*44/12</f>
        <v>2.2004861946748636E-11</v>
      </c>
      <c r="FT110" s="24">
        <f t="shared" si="78"/>
        <v>5.0825053290271418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-2.8421709430404007E-13</v>
      </c>
      <c r="GA110" s="18">
        <f>FZ110*VLOOKUP('Données projet'!$B$17,Paramètres!$A$1:$I$89,3,0)*VLOOKUP('Données projet'!$B$17,Paramètres!$A$1:$I$89,5,0)</f>
        <v>-1.69961822393816E-13</v>
      </c>
      <c r="GB110" s="14" t="e">
        <f t="shared" si="103"/>
        <v>#NUM!</v>
      </c>
      <c r="GC110" s="22" t="e">
        <f t="shared" si="79"/>
        <v>#NUM!</v>
      </c>
      <c r="GD110" s="62" t="e">
        <f t="shared" si="80"/>
        <v>#NUM!</v>
      </c>
      <c r="GE110" s="62">
        <f ca="1">AVERAGE(OFFSET($GD$3,0,0,'Données projet'!$E$17+1,1))-AVERAGE(OFFSET($H$3,0,0,'Données projet'!$E$17+1,1))</f>
        <v>289.12367833861299</v>
      </c>
      <c r="GF110" s="62">
        <f t="shared" si="104"/>
        <v>229.06617320689003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>
        <f>EXP(-LN(2)/35)*GL109+(1-EXP(-LN(2)/35))/(LN(2)/35)*GH110*GI110*VLOOKUP('Données projet'!$B$17,Paramètres!$A$1:$I$89,3,0)*0.475*44/12</f>
        <v>0</v>
      </c>
      <c r="GM110" s="23">
        <f>EXP(-LN(2)/25)*GM109+(1-EXP(-LN(2)/25))/(LN(2)/25)*Calculateur!GH110*Calculateur!GJ110*VLOOKUP('Données projet'!$B$17,Paramètres!$A$1:$I$89,3,0)*0.475*44/12</f>
        <v>0</v>
      </c>
      <c r="GN110" s="23">
        <f>EXP(-LN(2)/2)*GN109+(1-EXP(-LN(2)/2))/(LN(2)/2)*GH110*GK110*VLOOKUP('Données projet'!$B$17,Paramètres!$A$1:$I$89,3,0)*0.475*44/12</f>
        <v>1.0667482289624027E-11</v>
      </c>
      <c r="GO110" s="23">
        <f t="shared" si="81"/>
        <v>1.0667482289624027E-11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7.9089743589743575</v>
      </c>
      <c r="GU110" s="13">
        <f>IF('Données projet'!$A$270&gt;35,GU109+GT110-HC109,IF(A110&lt;'Données projet'!$A$270,$GR$205^A110,IF(A110='Données projet'!$A$270,'Données projet'!$B$270,GU109+GT110-HC109)))</f>
        <v>397.38205128205124</v>
      </c>
      <c r="GV110" s="18">
        <f>GU110*VLOOKUP('Données projet'!$B$18,Paramètres!$A$1:$I$89,3,0)*VLOOKUP('Données projet'!$B$18,Paramètres!$A$1:$I$89,5,0)</f>
        <v>185.97479999999996</v>
      </c>
      <c r="GW110" s="14">
        <f t="shared" si="105"/>
        <v>46.648932284261271</v>
      </c>
      <c r="GX110" s="22">
        <f t="shared" si="82"/>
        <v>405.15300039508821</v>
      </c>
      <c r="GY110" s="62">
        <f t="shared" si="83"/>
        <v>698.48633372842153</v>
      </c>
      <c r="GZ110" s="62">
        <f ca="1">AVERAGE(OFFSET($GY$3,0,0,'Données projet'!$E$18+1,1))-AVERAGE(OFFSET($H$3,0,0,'Données projet'!$E$18+1,1))</f>
        <v>284.88646502866419</v>
      </c>
      <c r="HA110" s="62">
        <f t="shared" si="106"/>
        <v>190.4880882944471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>
        <f>EXP(-LN(2)/35)*HG109+(1-EXP(-LN(2)/35))/(LN(2)/35)*HC110*HD110*VLOOKUP('Données projet'!$B$18,Paramètres!$A$1:$I$89,3,0)*0.475*44/12</f>
        <v>0</v>
      </c>
      <c r="HH110" s="23">
        <f>EXP(-LN(2)/25)*HH109+(1-EXP(-LN(2)/25))/(LN(2)/25)*Calculateur!HC110*Calculateur!HE110*VLOOKUP('Données projet'!$B$18,Paramètres!$A$1:$I$89,3,0)*0.475*44/12</f>
        <v>0</v>
      </c>
      <c r="HI110" s="23">
        <f>EXP(-LN(2)/2)*HI109+(1-EXP(-LN(2)/2))/(LN(2)/2)*HC110*HF110*VLOOKUP('Données projet'!$B$18,Paramètres!$A$1:$I$89,3,0)*0.475*44/12</f>
        <v>0</v>
      </c>
      <c r="HJ110" s="24">
        <f t="shared" si="84"/>
        <v>0</v>
      </c>
    </row>
    <row r="111" spans="1:218" s="5" customFormat="1" x14ac:dyDescent="0.25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2">
        <f t="shared" si="86"/>
        <v>0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0</v>
      </c>
      <c r="H111" s="70">
        <f t="shared" si="56"/>
        <v>256.66666666666669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3.0769230769230802</v>
      </c>
      <c r="N111" s="14">
        <f>IF('Données projet'!$A$36&gt;35,N110+M111-V110,IF(A111&lt;'Données projet'!$A$36,$K$205^A111,IF(A111='Données projet'!$A$36,'Données projet'!$B$36,N110+M111-V110)))</f>
        <v>247.05128205128216</v>
      </c>
      <c r="O111" s="14">
        <f>N111*VLOOKUP('Données projet'!$B$9,Paramètres!$A$1:$I$89,3,0)*VLOOKUP('Données projet'!$B$9,Paramètres!$A$1:$I$89,5,0)</f>
        <v>235.09400000000011</v>
      </c>
      <c r="P111" s="14">
        <f t="shared" si="87"/>
        <v>57.382715232787383</v>
      </c>
      <c r="Q111" s="22">
        <f t="shared" si="107"/>
        <v>509.39694569710491</v>
      </c>
      <c r="R111" s="62">
        <f t="shared" si="55"/>
        <v>802.73027903043817</v>
      </c>
      <c r="S111" s="62">
        <f ca="1">AVERAGE(OFFSET($R$3,0,0,'Données projet'!$E$9+1,1))-AVERAGE(OFFSET($H$3,0,0,'Données projet'!$E$9+1,1))</f>
        <v>367.11183928586667</v>
      </c>
      <c r="T111" s="62">
        <f t="shared" si="88"/>
        <v>281.52963027844595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0</v>
      </c>
      <c r="AA111" s="23">
        <f>EXP(-LN(2)/25)*AA110+(1-EXP(-LN(2)/25))/(LN(2)/25)*Calculateur!V111*Calculateur!X111*VLOOKUP('Données projet'!$B$9,Paramètres!$A$1:$I$89,3,0)*0.475*44/12</f>
        <v>0</v>
      </c>
      <c r="AB111" s="23">
        <f>EXP(-LN(2)/2)*AB110+(1-EXP(-LN(2)/2))/(LN(2)/2)*V111*Y111*VLOOKUP('Données projet'!$B$9,Paramètres!$A$1:$I$89,3,0)*0.475*44/12</f>
        <v>0</v>
      </c>
      <c r="AC111" s="24">
        <f t="shared" si="57"/>
        <v>0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4.4000000000000004</v>
      </c>
      <c r="AI111" s="14">
        <f>IF('Données projet'!$A$62&gt;35,AI110+AH111-AQ110,IF(A111&lt;'Données projet'!$A$62,$AF$205^A111,IF(A111='Données projet'!$A$62,'Données projet'!$B$62,AI110+AH111-AQ110)))</f>
        <v>296.19999999999965</v>
      </c>
      <c r="AJ111" s="14">
        <f>AI111*VLOOKUP('Données projet'!$B$10,Paramètres!$A$1:$I$89,3,0)*VLOOKUP('Données projet'!$B$10,Paramètres!$A$1:$I$89,5,0)</f>
        <v>268.00175999999971</v>
      </c>
      <c r="AK111" s="14">
        <f t="shared" si="89"/>
        <v>64.425009159185521</v>
      </c>
      <c r="AL111" s="22">
        <f t="shared" si="58"/>
        <v>578.97662295224757</v>
      </c>
      <c r="AM111" s="62">
        <f t="shared" si="59"/>
        <v>872.30995628558094</v>
      </c>
      <c r="AN111" s="62">
        <f ca="1">AVERAGE(OFFSET($AM$3,0,0,'Données projet'!$E$10+1,1))-AVERAGE(OFFSET($H$3,0,0,'Données projet'!$E$10+1,1))</f>
        <v>428.8489304403459</v>
      </c>
      <c r="AO111" s="62">
        <f t="shared" si="90"/>
        <v>247.01165577562966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0</v>
      </c>
      <c r="AV111" s="23">
        <f>EXP(-LN(2)/25)*AV110+(1-EXP(-LN(2)/25))/(LN(2)/25)*Calculateur!AQ111*Calculateur!AS111*VLOOKUP('Données projet'!$B$10,Paramètres!$A$1:$I$89,3,0)*0.475*44/12</f>
        <v>0</v>
      </c>
      <c r="AW111" s="23">
        <f>EXP(-LN(2)/2)*AW110+(1-EXP(-LN(2)/2))/(LN(2)/2)*AQ111*AT111*VLOOKUP('Données projet'!$B$10,Paramètres!$A$1:$I$89,3,0)*0.475*44/12</f>
        <v>0</v>
      </c>
      <c r="AX111" s="23">
        <f t="shared" si="60"/>
        <v>0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4.4000000000000004</v>
      </c>
      <c r="BD111" s="13">
        <f>IF('Données projet'!$A$88&gt;35,BD110+BC111-BL110,IF(A111&lt;'Données projet'!$A$88,$BA$205^A111,IF(A111='Données projet'!$A$88,'Données projet'!$B$88,BD110+BC111-BL110)))</f>
        <v>296.19999999999965</v>
      </c>
      <c r="BE111" s="14">
        <f>BD111*VLOOKUP('Données projet'!$B$11,Paramètres!$A$1:$I$89,3,0)*VLOOKUP('Données projet'!$B$11,Paramètres!$A$1:$I$89,5,0)</f>
        <v>300.34679999999963</v>
      </c>
      <c r="BF111" s="14">
        <f t="shared" si="91"/>
        <v>71.249161187153291</v>
      </c>
      <c r="BG111" s="22">
        <f t="shared" si="61"/>
        <v>647.19629906762464</v>
      </c>
      <c r="BH111" s="62">
        <f t="shared" si="62"/>
        <v>940.52963240095801</v>
      </c>
      <c r="BI111" s="62">
        <f ca="1">AVERAGE(OFFSET($BH$3,0,0,'Données projet'!$E$11+1,1))-AVERAGE(OFFSET($H$3,0,0,'Données projet'!$E$11+1,1))</f>
        <v>475.47920969424894</v>
      </c>
      <c r="BJ111" s="62">
        <f t="shared" si="92"/>
        <v>271.73544012419364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>
        <f>EXP(-LN(2)/35)*BP110+(1-EXP(-LN(2)/35))/(LN(2)/35)*BL111*BM111*VLOOKUP('Données projet'!$B$11,Paramètres!$A$1:$I$89,3,0)*0.475*44/12</f>
        <v>0</v>
      </c>
      <c r="BQ111" s="23">
        <f>EXP(-LN(2)/25)*BQ110+(1-EXP(-LN(2)/25))/(LN(2)/25)*Calculateur!BL111*Calculateur!BN111*VLOOKUP('Données projet'!$B$11,Paramètres!$A$1:$I$89,3,0)*0.475*44/12</f>
        <v>0</v>
      </c>
      <c r="BR111" s="23">
        <f>EXP(-LN(2)/2)*BR110+(1-EXP(-LN(2)/2))/(LN(2)/2)*BL111*BO111*VLOOKUP('Données projet'!$B$11,Paramètres!$A$1:$I$89,3,0)*0.475*44/12</f>
        <v>0</v>
      </c>
      <c r="BS111" s="24">
        <f t="shared" si="63"/>
        <v>0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2.2737367544323206E-13</v>
      </c>
      <c r="BZ111" s="14">
        <f>BY111*VLOOKUP('Données projet'!$B$12,Paramètres!$A$1:$I$89,3,0)*VLOOKUP('Données projet'!$B$12,Paramètres!$A$1:$I$89,5,0)</f>
        <v>1.2710188457276673E-13</v>
      </c>
      <c r="CA111" s="14">
        <f t="shared" si="93"/>
        <v>1.856866851063998E-12</v>
      </c>
      <c r="CB111" s="22">
        <f t="shared" si="64"/>
        <v>3.4554122145673649E-12</v>
      </c>
      <c r="CC111" s="62">
        <f t="shared" si="65"/>
        <v>293.33333333333678</v>
      </c>
      <c r="CD111" s="62">
        <f ca="1">AVERAGE(OFFSET($CC$3,0,0,'Données projet'!$E$12+1,1))-AVERAGE(OFFSET($H$3,0,0,'Données projet'!$E$12+1,1))</f>
        <v>323.98185264074681</v>
      </c>
      <c r="CE111" s="62">
        <f t="shared" si="94"/>
        <v>301.22207291854005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>
        <f>EXP(-LN(2)/35)*CK110+(1-EXP(-LN(2)/35))/(LN(2)/35)*CG111*CH111*VLOOKUP('Données projet'!$B$12,Paramètres!$A$1:$I$89,3,0)*0.475*44/12</f>
        <v>0.9521249876753427</v>
      </c>
      <c r="CL111" s="23">
        <f>EXP(-LN(2)/25)*CL110+(1-EXP(-LN(2)/25))/(LN(2)/25)*Calculateur!CG111*Calculateur!CI111*VLOOKUP('Données projet'!$B$12,Paramètres!$A$1:$I$89,3,0)*0.475*44/12</f>
        <v>0.94863291009079864</v>
      </c>
      <c r="CM111" s="23">
        <f>EXP(-LN(2)/2)*CM110+(1-EXP(-LN(2)/2))/(LN(2)/2)*CG111*CJ111*VLOOKUP('Données projet'!$B$12,Paramètres!$A$1:$I$89,3,0)*0.475*44/12</f>
        <v>1.1073656750555566E-11</v>
      </c>
      <c r="CN111" s="24">
        <f t="shared" si="66"/>
        <v>1.900757897777215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3.1</v>
      </c>
      <c r="CT111" s="13">
        <f>IF('Données projet'!$A$140&gt;35,CT110+CS111-DB110,IF(A111&lt;'Données projet'!$A$140,$CQ$205^A111,IF(A111='Données projet'!$A$140,'Données projet'!$B$140,CT110+CS111-DB110)))</f>
        <v>226.79999999999978</v>
      </c>
      <c r="CU111" s="18">
        <f>CT111*VLOOKUP('Données projet'!$B$13,Paramètres!$A$1:$I$89,3,0)*VLOOKUP('Données projet'!$B$13,Paramètres!$A$1:$I$89,5,0)</f>
        <v>258.27983999999975</v>
      </c>
      <c r="CV111" s="14">
        <f t="shared" si="95"/>
        <v>62.355567822391407</v>
      </c>
      <c r="CW111" s="22">
        <f t="shared" si="67"/>
        <v>558.44000195733122</v>
      </c>
      <c r="CX111" s="62">
        <f t="shared" si="68"/>
        <v>851.77333529066459</v>
      </c>
      <c r="CY111" s="62">
        <f ca="1">AVERAGE(OFFSET($CX$3,0,0,'Données projet'!$E$13+1,1))-AVERAGE(OFFSET($H$3,0,0,'Données projet'!$E$13+1,1))</f>
        <v>399.78832690250164</v>
      </c>
      <c r="CZ111" s="62">
        <f t="shared" si="96"/>
        <v>174.32967064896343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>
        <f>EXP(-LN(2)/35)*DF110+(1-EXP(-LN(2)/35))/(LN(2)/35)*DB111*DC111*VLOOKUP('Données projet'!$B$13,Paramètres!$A$1:$I$89,3,0)*0.475*44/12</f>
        <v>0</v>
      </c>
      <c r="DG111" s="23">
        <f>EXP(-LN(2)/25)*DG110+(1-EXP(-LN(2)/25))/(LN(2)/25)*Calculateur!DB111*Calculateur!DD111*VLOOKUP('Données projet'!$B$13,Paramètres!$A$1:$I$89,3,0)*0.475*44/12</f>
        <v>0</v>
      </c>
      <c r="DH111" s="23">
        <f>EXP(-LN(2)/2)*DH110+(1-EXP(-LN(2)/2))/(LN(2)/2)*DB111*DE111*VLOOKUP('Données projet'!$B$13,Paramètres!$A$1:$I$89,3,0)*0.475*44/12</f>
        <v>0</v>
      </c>
      <c r="DI111" s="24">
        <f t="shared" si="69"/>
        <v>0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4.4000000000000004</v>
      </c>
      <c r="DO111" s="13">
        <f>IF('Données projet'!$A$166&gt;35,DO110+DN111-DW110,IF(A111&lt;'Données projet'!$A$166,$DL$205^A111,IF(A111='Données projet'!$A$166,'Données projet'!$B$166,DO110+DN111-DW110)))</f>
        <v>296.19999999999965</v>
      </c>
      <c r="DP111" s="18">
        <f>DO111*VLOOKUP('Données projet'!$B$14,Paramètres!$A$1:$I$89,3,0)*VLOOKUP('Données projet'!$B$14,Paramètres!$A$1:$I$89,5,0)</f>
        <v>249.51887999999971</v>
      </c>
      <c r="DQ111" s="14">
        <f t="shared" si="97"/>
        <v>60.482904697997853</v>
      </c>
      <c r="DR111" s="22">
        <f t="shared" si="70"/>
        <v>539.91977501567897</v>
      </c>
      <c r="DS111" s="62">
        <f t="shared" si="71"/>
        <v>833.25310834901234</v>
      </c>
      <c r="DT111" s="62">
        <f ca="1">AVERAGE(OFFSET($DS$3,0,0,'Données projet'!$E$14+1,1))-AVERAGE(OFFSET($H$3,0,0,'Données projet'!$E$14+1,1))</f>
        <v>402.15128814037058</v>
      </c>
      <c r="DU111" s="62">
        <f t="shared" si="98"/>
        <v>232.85411068442738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>
        <f>EXP(-LN(2)/35)*EA110+(1-EXP(-LN(2)/35))/(LN(2)/35)*DW111*DX111*VLOOKUP('Données projet'!$B$14,Paramètres!$A$1:$I$89,3,0)*0.475*44/12</f>
        <v>0</v>
      </c>
      <c r="EB111" s="23">
        <f>EXP(-LN(2)/25)*EB110+(1-EXP(-LN(2)/25))/(LN(2)/25)*Calculateur!DW111*Calculateur!DY111*VLOOKUP('Données projet'!$B$14,Paramètres!$A$1:$I$89,3,0)*0.475*44/12</f>
        <v>0</v>
      </c>
      <c r="EC111" s="23">
        <f>EXP(-LN(2)/2)*EC110+(1-EXP(-LN(2)/2))/(LN(2)/2)*DW111*DZ111*VLOOKUP('Données projet'!$B$14,Paramètres!$A$1:$I$89,3,0)*0.475*44/12</f>
        <v>0</v>
      </c>
      <c r="ED111" s="24">
        <f t="shared" si="72"/>
        <v>0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3.7179487179487181</v>
      </c>
      <c r="EJ111" s="13">
        <f>IF('Données projet'!$A$192&gt;35,EJ110+EI111-ER110,IF(A111&lt;'Données projet'!$A$192,$EG$205^A111,IF(A111='Données projet'!$A$192,'Données projet'!$B$192,EJ110+EI111-ER110)))</f>
        <v>381.02564102564128</v>
      </c>
      <c r="EK111" s="18">
        <f>EJ111*VLOOKUP('Données projet'!$B$15,Paramètres!$A$1:$I$89,3,0)*VLOOKUP('Données projet'!$B$15,Paramètres!$A$1:$I$89,5,0)</f>
        <v>398.24800000000033</v>
      </c>
      <c r="EL111" s="14">
        <f t="shared" si="99"/>
        <v>91.421383416537566</v>
      </c>
      <c r="EM111" s="22">
        <f t="shared" si="73"/>
        <v>852.84084278380351</v>
      </c>
      <c r="EN111" s="62">
        <f t="shared" si="74"/>
        <v>1146.1741761171368</v>
      </c>
      <c r="EO111" s="62">
        <f ca="1">AVERAGE(OFFSET($EN$3,0,0,'Données projet'!$E$15+1,1))-AVERAGE(OFFSET($H$3,0,0,'Données projet'!$E$15+1,1))</f>
        <v>595.89992279024398</v>
      </c>
      <c r="EP111" s="62">
        <f t="shared" si="100"/>
        <v>378.16197659288338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>
        <f>EXP(-LN(2)/35)*EV110+(1-EXP(-LN(2)/35))/(LN(2)/35)*ER111*ES111*VLOOKUP('Données projet'!$B$15,Paramètres!$A$1:$I$89,3,0)*0.475*44/12</f>
        <v>0</v>
      </c>
      <c r="EW111" s="23">
        <f>EXP(-LN(2)/25)*EW110+(1-EXP(-LN(2)/25))/(LN(2)/25)*Calculateur!ER111*Calculateur!ET111*VLOOKUP('Données projet'!$B$15,Paramètres!$A$1:$I$89,3,0)*0.475*44/12</f>
        <v>0</v>
      </c>
      <c r="EX111" s="23">
        <f>EXP(-LN(2)/2)*EX110+(1-EXP(-LN(2)/2))/(LN(2)/2)*ER111*EU111*VLOOKUP('Données projet'!$B$15,Paramètres!$A$1:$I$89,3,0)*0.475*44/12</f>
        <v>0</v>
      </c>
      <c r="EY111" s="24">
        <f t="shared" si="75"/>
        <v>0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-2.2737367544323206E-13</v>
      </c>
      <c r="FF111" s="18">
        <f>FE111*VLOOKUP('Données projet'!$B$16,Paramètres!$A$1:$I$89,3,0)*VLOOKUP('Données projet'!$B$16,Paramètres!$A$1:$I$89,5,0)</f>
        <v>-1.3596945791505279E-13</v>
      </c>
      <c r="FG111" s="14" t="e">
        <f t="shared" si="101"/>
        <v>#NUM!</v>
      </c>
      <c r="FH111" s="22" t="e">
        <f t="shared" si="76"/>
        <v>#NUM!</v>
      </c>
      <c r="FI111" s="62" t="e">
        <f t="shared" si="77"/>
        <v>#NUM!</v>
      </c>
      <c r="FJ111" s="62">
        <f ca="1">AVERAGE(OFFSET($FI$3,0,0,'Données projet'!$E$16+1,1))-AVERAGE(OFFSET($H$3,0,0,'Données projet'!$E$16+1,1))</f>
        <v>257.56116197646924</v>
      </c>
      <c r="FK111" s="62">
        <f t="shared" si="102"/>
        <v>269.95556918835888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>
        <f>EXP(-LN(2)/35)*FQ110+(1-EXP(-LN(2)/35))/(LN(2)/35)*FM111*FN111*VLOOKUP('Données projet'!$B$16,Paramètres!$A$1:$I$89,3,0)*0.475*44/12</f>
        <v>3.1112407937590674</v>
      </c>
      <c r="FR111" s="23">
        <f>EXP(-LN(2)/25)*FR110+(1-EXP(-LN(2)/25))/(LN(2)/25)*Calculateur!FM111*Calculateur!FO111*VLOOKUP('Données projet'!$B$16,Paramètres!$A$1:$I$89,3,0)*0.475*44/12</f>
        <v>1.8568320574805632</v>
      </c>
      <c r="FS111" s="23">
        <f>EXP(-LN(2)/2)*FS110+(1-EXP(-LN(2)/2))/(LN(2)/2)*FM111*FP111*VLOOKUP('Données projet'!$B$16,Paramètres!$A$1:$I$89,3,0)*0.475*44/12</f>
        <v>1.5559787101619774E-11</v>
      </c>
      <c r="FT111" s="24">
        <f t="shared" si="78"/>
        <v>4.968072851255191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-2.8421709430404007E-13</v>
      </c>
      <c r="GA111" s="18">
        <f>FZ111*VLOOKUP('Données projet'!$B$17,Paramètres!$A$1:$I$89,3,0)*VLOOKUP('Données projet'!$B$17,Paramètres!$A$1:$I$89,5,0)</f>
        <v>-1.69961822393816E-13</v>
      </c>
      <c r="GB111" s="14" t="e">
        <f t="shared" si="103"/>
        <v>#NUM!</v>
      </c>
      <c r="GC111" s="22" t="e">
        <f t="shared" si="79"/>
        <v>#NUM!</v>
      </c>
      <c r="GD111" s="62" t="e">
        <f t="shared" si="80"/>
        <v>#NUM!</v>
      </c>
      <c r="GE111" s="62">
        <f ca="1">AVERAGE(OFFSET($GD$3,0,0,'Données projet'!$E$17+1,1))-AVERAGE(OFFSET($H$3,0,0,'Données projet'!$E$17+1,1))</f>
        <v>289.12367833861299</v>
      </c>
      <c r="GF111" s="62">
        <f t="shared" si="104"/>
        <v>229.06617320689003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>
        <f>EXP(-LN(2)/35)*GL110+(1-EXP(-LN(2)/35))/(LN(2)/35)*GH111*GI111*VLOOKUP('Données projet'!$B$17,Paramètres!$A$1:$I$89,3,0)*0.475*44/12</f>
        <v>0</v>
      </c>
      <c r="GM111" s="23">
        <f>EXP(-LN(2)/25)*GM110+(1-EXP(-LN(2)/25))/(LN(2)/25)*Calculateur!GH111*Calculateur!GJ111*VLOOKUP('Données projet'!$B$17,Paramètres!$A$1:$I$89,3,0)*0.475*44/12</f>
        <v>0</v>
      </c>
      <c r="GN111" s="23">
        <f>EXP(-LN(2)/2)*GN110+(1-EXP(-LN(2)/2))/(LN(2)/2)*GH111*GK111*VLOOKUP('Données projet'!$B$17,Paramètres!$A$1:$I$89,3,0)*0.475*44/12</f>
        <v>7.5430490651805476E-12</v>
      </c>
      <c r="GO111" s="23">
        <f t="shared" si="81"/>
        <v>7.5430490651805476E-12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7.9089743589743575</v>
      </c>
      <c r="GU111" s="13">
        <f>IF('Données projet'!$A$270&gt;35,GU110+GT111-HC110,IF(A111&lt;'Données projet'!$A$270,$GR$205^A111,IF(A111='Données projet'!$A$270,'Données projet'!$B$270,GU110+GT111-HC110)))</f>
        <v>405.29102564102561</v>
      </c>
      <c r="GV111" s="18">
        <f>GU111*VLOOKUP('Données projet'!$B$18,Paramètres!$A$1:$I$89,3,0)*VLOOKUP('Données projet'!$B$18,Paramètres!$A$1:$I$89,5,0)</f>
        <v>189.67619999999997</v>
      </c>
      <c r="GW111" s="14">
        <f t="shared" si="105"/>
        <v>47.468358163684449</v>
      </c>
      <c r="GX111" s="22">
        <f t="shared" si="82"/>
        <v>413.02677213508372</v>
      </c>
      <c r="GY111" s="62">
        <f t="shared" si="83"/>
        <v>706.36010546841703</v>
      </c>
      <c r="GZ111" s="62">
        <f ca="1">AVERAGE(OFFSET($GY$3,0,0,'Données projet'!$E$18+1,1))-AVERAGE(OFFSET($H$3,0,0,'Données projet'!$E$18+1,1))</f>
        <v>284.88646502866419</v>
      </c>
      <c r="HA111" s="62">
        <f t="shared" si="106"/>
        <v>190.4880882944471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>
        <f>EXP(-LN(2)/35)*HG110+(1-EXP(-LN(2)/35))/(LN(2)/35)*HC111*HD111*VLOOKUP('Données projet'!$B$18,Paramètres!$A$1:$I$89,3,0)*0.475*44/12</f>
        <v>0</v>
      </c>
      <c r="HH111" s="23">
        <f>EXP(-LN(2)/25)*HH110+(1-EXP(-LN(2)/25))/(LN(2)/25)*Calculateur!HC111*Calculateur!HE111*VLOOKUP('Données projet'!$B$18,Paramètres!$A$1:$I$89,3,0)*0.475*44/12</f>
        <v>0</v>
      </c>
      <c r="HI111" s="23">
        <f>EXP(-LN(2)/2)*HI110+(1-EXP(-LN(2)/2))/(LN(2)/2)*HC111*HF111*VLOOKUP('Données projet'!$B$18,Paramètres!$A$1:$I$89,3,0)*0.475*44/12</f>
        <v>0</v>
      </c>
      <c r="HJ111" s="24">
        <f t="shared" si="84"/>
        <v>0</v>
      </c>
    </row>
    <row r="112" spans="1:218" s="5" customFormat="1" x14ac:dyDescent="0.25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2">
        <f t="shared" si="86"/>
        <v>0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0</v>
      </c>
      <c r="H112" s="70">
        <f t="shared" si="56"/>
        <v>256.66666666666669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3.0769230769230802</v>
      </c>
      <c r="N112" s="14">
        <f>IF('Données projet'!$A$36&gt;35,N111+M112-V111,IF(A112&lt;'Données projet'!$A$36,$K$205^A112,IF(A112='Données projet'!$A$36,'Données projet'!$B$36,N111+M112-V111)))</f>
        <v>250.12820512820525</v>
      </c>
      <c r="O112" s="14">
        <f>N112*VLOOKUP('Données projet'!$B$9,Paramètres!$A$1:$I$89,3,0)*VLOOKUP('Données projet'!$B$9,Paramètres!$A$1:$I$89,5,0)</f>
        <v>238.02200000000013</v>
      </c>
      <c r="P112" s="14">
        <f t="shared" si="87"/>
        <v>58.013749383704898</v>
      </c>
      <c r="Q112" s="22">
        <f t="shared" si="107"/>
        <v>515.59559684328622</v>
      </c>
      <c r="R112" s="62">
        <f t="shared" si="55"/>
        <v>808.92893017661959</v>
      </c>
      <c r="S112" s="62">
        <f ca="1">AVERAGE(OFFSET($R$3,0,0,'Données projet'!$E$9+1,1))-AVERAGE(OFFSET($H$3,0,0,'Données projet'!$E$9+1,1))</f>
        <v>367.11183928586667</v>
      </c>
      <c r="T112" s="62">
        <f t="shared" si="88"/>
        <v>281.52963027844595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0</v>
      </c>
      <c r="AA112" s="23">
        <f>EXP(-LN(2)/25)*AA111+(1-EXP(-LN(2)/25))/(LN(2)/25)*Calculateur!V112*Calculateur!X112*VLOOKUP('Données projet'!$B$9,Paramètres!$A$1:$I$89,3,0)*0.475*44/12</f>
        <v>0</v>
      </c>
      <c r="AB112" s="23">
        <f>EXP(-LN(2)/2)*AB111+(1-EXP(-LN(2)/2))/(LN(2)/2)*V112*Y112*VLOOKUP('Données projet'!$B$9,Paramètres!$A$1:$I$89,3,0)*0.475*44/12</f>
        <v>0</v>
      </c>
      <c r="AC112" s="24">
        <f t="shared" si="57"/>
        <v>0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4.4000000000000004</v>
      </c>
      <c r="AI112" s="14">
        <f>IF('Données projet'!$A$62&gt;35,AI111+AH112-AQ111,IF(A112&lt;'Données projet'!$A$62,$AF$205^A112,IF(A112='Données projet'!$A$62,'Données projet'!$B$62,AI111+AH112-AQ111)))</f>
        <v>300.59999999999962</v>
      </c>
      <c r="AJ112" s="14">
        <f>AI112*VLOOKUP('Données projet'!$B$10,Paramètres!$A$1:$I$89,3,0)*VLOOKUP('Données projet'!$B$10,Paramètres!$A$1:$I$89,5,0)</f>
        <v>271.98287999999962</v>
      </c>
      <c r="AK112" s="14">
        <f t="shared" si="89"/>
        <v>65.269907092018684</v>
      </c>
      <c r="AL112" s="22">
        <f t="shared" si="58"/>
        <v>587.38193751859842</v>
      </c>
      <c r="AM112" s="62">
        <f t="shared" si="59"/>
        <v>880.71527085193179</v>
      </c>
      <c r="AN112" s="62">
        <f ca="1">AVERAGE(OFFSET($AM$3,0,0,'Données projet'!$E$10+1,1))-AVERAGE(OFFSET($H$3,0,0,'Données projet'!$E$10+1,1))</f>
        <v>428.8489304403459</v>
      </c>
      <c r="AO112" s="62">
        <f t="shared" si="90"/>
        <v>247.01165577562966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0</v>
      </c>
      <c r="AV112" s="23">
        <f>EXP(-LN(2)/25)*AV111+(1-EXP(-LN(2)/25))/(LN(2)/25)*Calculateur!AQ112*Calculateur!AS112*VLOOKUP('Données projet'!$B$10,Paramètres!$A$1:$I$89,3,0)*0.475*44/12</f>
        <v>0</v>
      </c>
      <c r="AW112" s="23">
        <f>EXP(-LN(2)/2)*AW111+(1-EXP(-LN(2)/2))/(LN(2)/2)*AQ112*AT112*VLOOKUP('Données projet'!$B$10,Paramètres!$A$1:$I$89,3,0)*0.475*44/12</f>
        <v>0</v>
      </c>
      <c r="AX112" s="23">
        <f t="shared" si="60"/>
        <v>0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4.4000000000000004</v>
      </c>
      <c r="BD112" s="13">
        <f>IF('Données projet'!$A$88&gt;35,BD111+BC112-BL111,IF(A112&lt;'Données projet'!$A$88,$BA$205^A112,IF(A112='Données projet'!$A$88,'Données projet'!$B$88,BD111+BC112-BL111)))</f>
        <v>300.59999999999962</v>
      </c>
      <c r="BE112" s="14">
        <f>BD112*VLOOKUP('Données projet'!$B$11,Paramètres!$A$1:$I$89,3,0)*VLOOKUP('Données projet'!$B$11,Paramètres!$A$1:$I$89,5,0)</f>
        <v>304.80839999999961</v>
      </c>
      <c r="BF112" s="14">
        <f t="shared" si="91"/>
        <v>72.183554053972728</v>
      </c>
      <c r="BG112" s="22">
        <f t="shared" si="61"/>
        <v>656.59431997733509</v>
      </c>
      <c r="BH112" s="62">
        <f t="shared" si="62"/>
        <v>949.92765331066835</v>
      </c>
      <c r="BI112" s="62">
        <f ca="1">AVERAGE(OFFSET($BH$3,0,0,'Données projet'!$E$11+1,1))-AVERAGE(OFFSET($H$3,0,0,'Données projet'!$E$11+1,1))</f>
        <v>475.47920969424894</v>
      </c>
      <c r="BJ112" s="62">
        <f t="shared" si="92"/>
        <v>271.73544012419364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>
        <f>EXP(-LN(2)/35)*BP111+(1-EXP(-LN(2)/35))/(LN(2)/35)*BL112*BM112*VLOOKUP('Données projet'!$B$11,Paramètres!$A$1:$I$89,3,0)*0.475*44/12</f>
        <v>0</v>
      </c>
      <c r="BQ112" s="23">
        <f>EXP(-LN(2)/25)*BQ111+(1-EXP(-LN(2)/25))/(LN(2)/25)*Calculateur!BL112*Calculateur!BN112*VLOOKUP('Données projet'!$B$11,Paramètres!$A$1:$I$89,3,0)*0.475*44/12</f>
        <v>0</v>
      </c>
      <c r="BR112" s="23">
        <f>EXP(-LN(2)/2)*BR111+(1-EXP(-LN(2)/2))/(LN(2)/2)*BL112*BO112*VLOOKUP('Données projet'!$B$11,Paramètres!$A$1:$I$89,3,0)*0.475*44/12</f>
        <v>0</v>
      </c>
      <c r="BS112" s="24">
        <f t="shared" si="63"/>
        <v>0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2.2737367544323206E-13</v>
      </c>
      <c r="BZ112" s="14">
        <f>BY112*VLOOKUP('Données projet'!$B$12,Paramètres!$A$1:$I$89,3,0)*VLOOKUP('Données projet'!$B$12,Paramètres!$A$1:$I$89,5,0)</f>
        <v>1.2710188457276673E-13</v>
      </c>
      <c r="CA112" s="14">
        <f t="shared" si="93"/>
        <v>1.856866851063998E-12</v>
      </c>
      <c r="CB112" s="22">
        <f t="shared" si="64"/>
        <v>3.4554122145673649E-12</v>
      </c>
      <c r="CC112" s="62">
        <f t="shared" si="65"/>
        <v>293.33333333333678</v>
      </c>
      <c r="CD112" s="62">
        <f ca="1">AVERAGE(OFFSET($CC$3,0,0,'Données projet'!$E$12+1,1))-AVERAGE(OFFSET($H$3,0,0,'Données projet'!$E$12+1,1))</f>
        <v>323.98185264074681</v>
      </c>
      <c r="CE112" s="62">
        <f t="shared" si="94"/>
        <v>301.22207291854005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>
        <f>EXP(-LN(2)/35)*CK111+(1-EXP(-LN(2)/35))/(LN(2)/35)*CG112*CH112*VLOOKUP('Données projet'!$B$12,Paramètres!$A$1:$I$89,3,0)*0.475*44/12</f>
        <v>0.9334543974059285</v>
      </c>
      <c r="CL112" s="23">
        <f>EXP(-LN(2)/25)*CL111+(1-EXP(-LN(2)/25))/(LN(2)/25)*Calculateur!CG112*Calculateur!CI112*VLOOKUP('Données projet'!$B$12,Paramètres!$A$1:$I$89,3,0)*0.475*44/12</f>
        <v>0.92269249327792913</v>
      </c>
      <c r="CM112" s="23">
        <f>EXP(-LN(2)/2)*CM111+(1-EXP(-LN(2)/2))/(LN(2)/2)*CG112*CJ112*VLOOKUP('Données projet'!$B$12,Paramètres!$A$1:$I$89,3,0)*0.475*44/12</f>
        <v>7.8302577808500294E-12</v>
      </c>
      <c r="CN112" s="24">
        <f t="shared" si="66"/>
        <v>1.8561468906916878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3.1</v>
      </c>
      <c r="CT112" s="13">
        <f>IF('Données projet'!$A$140&gt;35,CT111+CS112-DB111,IF(A112&lt;'Données projet'!$A$140,$CQ$205^A112,IF(A112='Données projet'!$A$140,'Données projet'!$B$140,CT111+CS112-DB111)))</f>
        <v>229.89999999999978</v>
      </c>
      <c r="CU112" s="18">
        <f>CT112*VLOOKUP('Données projet'!$B$13,Paramètres!$A$1:$I$89,3,0)*VLOOKUP('Données projet'!$B$13,Paramètres!$A$1:$I$89,5,0)</f>
        <v>261.81011999999976</v>
      </c>
      <c r="CV112" s="14">
        <f t="shared" si="95"/>
        <v>63.108066455425579</v>
      </c>
      <c r="CW112" s="22">
        <f t="shared" si="67"/>
        <v>565.89917474319907</v>
      </c>
      <c r="CX112" s="62">
        <f t="shared" si="68"/>
        <v>859.23250807653244</v>
      </c>
      <c r="CY112" s="62">
        <f ca="1">AVERAGE(OFFSET($CX$3,0,0,'Données projet'!$E$13+1,1))-AVERAGE(OFFSET($H$3,0,0,'Données projet'!$E$13+1,1))</f>
        <v>399.78832690250164</v>
      </c>
      <c r="CZ112" s="62">
        <f t="shared" si="96"/>
        <v>174.32967064896343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>
        <f>EXP(-LN(2)/35)*DF111+(1-EXP(-LN(2)/35))/(LN(2)/35)*DB112*DC112*VLOOKUP('Données projet'!$B$13,Paramètres!$A$1:$I$89,3,0)*0.475*44/12</f>
        <v>0</v>
      </c>
      <c r="DG112" s="23">
        <f>EXP(-LN(2)/25)*DG111+(1-EXP(-LN(2)/25))/(LN(2)/25)*Calculateur!DB112*Calculateur!DD112*VLOOKUP('Données projet'!$B$13,Paramètres!$A$1:$I$89,3,0)*0.475*44/12</f>
        <v>0</v>
      </c>
      <c r="DH112" s="23">
        <f>EXP(-LN(2)/2)*DH111+(1-EXP(-LN(2)/2))/(LN(2)/2)*DB112*DE112*VLOOKUP('Données projet'!$B$13,Paramètres!$A$1:$I$89,3,0)*0.475*44/12</f>
        <v>0</v>
      </c>
      <c r="DI112" s="24">
        <f t="shared" si="69"/>
        <v>0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4.4000000000000004</v>
      </c>
      <c r="DO112" s="13">
        <f>IF('Données projet'!$A$166&gt;35,DO111+DN112-DW111,IF(A112&lt;'Données projet'!$A$166,$DL$205^A112,IF(A112='Données projet'!$A$166,'Données projet'!$B$166,DO111+DN112-DW111)))</f>
        <v>300.59999999999962</v>
      </c>
      <c r="DP112" s="18">
        <f>DO112*VLOOKUP('Données projet'!$B$14,Paramètres!$A$1:$I$89,3,0)*VLOOKUP('Données projet'!$B$14,Paramètres!$A$1:$I$89,5,0)</f>
        <v>253.22543999999971</v>
      </c>
      <c r="DQ112" s="14">
        <f t="shared" si="97"/>
        <v>61.276104137439418</v>
      </c>
      <c r="DR112" s="22">
        <f t="shared" si="70"/>
        <v>547.75685603937313</v>
      </c>
      <c r="DS112" s="62">
        <f t="shared" si="71"/>
        <v>841.09018937270639</v>
      </c>
      <c r="DT112" s="62">
        <f ca="1">AVERAGE(OFFSET($DS$3,0,0,'Données projet'!$E$14+1,1))-AVERAGE(OFFSET($H$3,0,0,'Données projet'!$E$14+1,1))</f>
        <v>402.15128814037058</v>
      </c>
      <c r="DU112" s="62">
        <f t="shared" si="98"/>
        <v>232.85411068442738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>
        <f>EXP(-LN(2)/35)*EA111+(1-EXP(-LN(2)/35))/(LN(2)/35)*DW112*DX112*VLOOKUP('Données projet'!$B$14,Paramètres!$A$1:$I$89,3,0)*0.475*44/12</f>
        <v>0</v>
      </c>
      <c r="EB112" s="23">
        <f>EXP(-LN(2)/25)*EB111+(1-EXP(-LN(2)/25))/(LN(2)/25)*Calculateur!DW112*Calculateur!DY112*VLOOKUP('Données projet'!$B$14,Paramètres!$A$1:$I$89,3,0)*0.475*44/12</f>
        <v>0</v>
      </c>
      <c r="EC112" s="23">
        <f>EXP(-LN(2)/2)*EC111+(1-EXP(-LN(2)/2))/(LN(2)/2)*DW112*DZ112*VLOOKUP('Données projet'!$B$14,Paramètres!$A$1:$I$89,3,0)*0.475*44/12</f>
        <v>0</v>
      </c>
      <c r="ED112" s="24">
        <f t="shared" si="72"/>
        <v>0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3.7179487179487181</v>
      </c>
      <c r="EJ112" s="13">
        <f>IF('Données projet'!$A$192&gt;35,EJ111+EI112-ER111,IF(A112&lt;'Données projet'!$A$192,$EG$205^A112,IF(A112='Données projet'!$A$192,'Données projet'!$B$192,EJ111+EI112-ER111)))</f>
        <v>384.74358974359001</v>
      </c>
      <c r="EK112" s="18">
        <f>EJ112*VLOOKUP('Données projet'!$B$15,Paramètres!$A$1:$I$89,3,0)*VLOOKUP('Données projet'!$B$15,Paramètres!$A$1:$I$89,5,0)</f>
        <v>402.13400000000036</v>
      </c>
      <c r="EL112" s="14">
        <f t="shared" si="99"/>
        <v>92.209166905599432</v>
      </c>
      <c r="EM112" s="22">
        <f t="shared" si="73"/>
        <v>860.98101569391963</v>
      </c>
      <c r="EN112" s="62">
        <f t="shared" si="74"/>
        <v>1154.314349027253</v>
      </c>
      <c r="EO112" s="62">
        <f ca="1">AVERAGE(OFFSET($EN$3,0,0,'Données projet'!$E$15+1,1))-AVERAGE(OFFSET($H$3,0,0,'Données projet'!$E$15+1,1))</f>
        <v>595.89992279024398</v>
      </c>
      <c r="EP112" s="62">
        <f t="shared" si="100"/>
        <v>378.16197659288338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>
        <f>EXP(-LN(2)/35)*EV111+(1-EXP(-LN(2)/35))/(LN(2)/35)*ER112*ES112*VLOOKUP('Données projet'!$B$15,Paramètres!$A$1:$I$89,3,0)*0.475*44/12</f>
        <v>0</v>
      </c>
      <c r="EW112" s="23">
        <f>EXP(-LN(2)/25)*EW111+(1-EXP(-LN(2)/25))/(LN(2)/25)*Calculateur!ER112*Calculateur!ET112*VLOOKUP('Données projet'!$B$15,Paramètres!$A$1:$I$89,3,0)*0.475*44/12</f>
        <v>0</v>
      </c>
      <c r="EX112" s="23">
        <f>EXP(-LN(2)/2)*EX111+(1-EXP(-LN(2)/2))/(LN(2)/2)*ER112*EU112*VLOOKUP('Données projet'!$B$15,Paramètres!$A$1:$I$89,3,0)*0.475*44/12</f>
        <v>0</v>
      </c>
      <c r="EY112" s="24">
        <f t="shared" si="75"/>
        <v>0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-2.2737367544323206E-13</v>
      </c>
      <c r="FF112" s="18">
        <f>FE112*VLOOKUP('Données projet'!$B$16,Paramètres!$A$1:$I$89,3,0)*VLOOKUP('Données projet'!$B$16,Paramètres!$A$1:$I$89,5,0)</f>
        <v>-1.3596945791505279E-13</v>
      </c>
      <c r="FG112" s="14" t="e">
        <f t="shared" si="101"/>
        <v>#NUM!</v>
      </c>
      <c r="FH112" s="22" t="e">
        <f t="shared" si="76"/>
        <v>#NUM!</v>
      </c>
      <c r="FI112" s="62" t="e">
        <f t="shared" si="77"/>
        <v>#NUM!</v>
      </c>
      <c r="FJ112" s="62">
        <f ca="1">AVERAGE(OFFSET($FI$3,0,0,'Données projet'!$E$16+1,1))-AVERAGE(OFFSET($H$3,0,0,'Données projet'!$E$16+1,1))</f>
        <v>257.56116197646924</v>
      </c>
      <c r="FK112" s="62">
        <f t="shared" si="102"/>
        <v>269.95556918835888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>
        <f>EXP(-LN(2)/35)*FQ111+(1-EXP(-LN(2)/35))/(LN(2)/35)*FM112*FN112*VLOOKUP('Données projet'!$B$16,Paramètres!$A$1:$I$89,3,0)*0.475*44/12</f>
        <v>3.050231259462957</v>
      </c>
      <c r="FR112" s="23">
        <f>EXP(-LN(2)/25)*FR111+(1-EXP(-LN(2)/25))/(LN(2)/25)*Calculateur!FM112*Calculateur!FO112*VLOOKUP('Données projet'!$B$16,Paramètres!$A$1:$I$89,3,0)*0.475*44/12</f>
        <v>1.8060568872222031</v>
      </c>
      <c r="FS112" s="23">
        <f>EXP(-LN(2)/2)*FS111+(1-EXP(-LN(2)/2))/(LN(2)/2)*FM112*FP112*VLOOKUP('Données projet'!$B$16,Paramètres!$A$1:$I$89,3,0)*0.475*44/12</f>
        <v>1.1002430973374318E-11</v>
      </c>
      <c r="FT112" s="24">
        <f t="shared" si="78"/>
        <v>4.8562881466961629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-2.8421709430404007E-13</v>
      </c>
      <c r="GA112" s="18">
        <f>FZ112*VLOOKUP('Données projet'!$B$17,Paramètres!$A$1:$I$89,3,0)*VLOOKUP('Données projet'!$B$17,Paramètres!$A$1:$I$89,5,0)</f>
        <v>-1.69961822393816E-13</v>
      </c>
      <c r="GB112" s="14" t="e">
        <f t="shared" si="103"/>
        <v>#NUM!</v>
      </c>
      <c r="GC112" s="22" t="e">
        <f t="shared" si="79"/>
        <v>#NUM!</v>
      </c>
      <c r="GD112" s="62" t="e">
        <f t="shared" si="80"/>
        <v>#NUM!</v>
      </c>
      <c r="GE112" s="62">
        <f ca="1">AVERAGE(OFFSET($GD$3,0,0,'Données projet'!$E$17+1,1))-AVERAGE(OFFSET($H$3,0,0,'Données projet'!$E$17+1,1))</f>
        <v>289.12367833861299</v>
      </c>
      <c r="GF112" s="62">
        <f t="shared" si="104"/>
        <v>229.06617320689003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>
        <f>EXP(-LN(2)/35)*GL111+(1-EXP(-LN(2)/35))/(LN(2)/35)*GH112*GI112*VLOOKUP('Données projet'!$B$17,Paramètres!$A$1:$I$89,3,0)*0.475*44/12</f>
        <v>0</v>
      </c>
      <c r="GM112" s="23">
        <f>EXP(-LN(2)/25)*GM111+(1-EXP(-LN(2)/25))/(LN(2)/25)*Calculateur!GH112*Calculateur!GJ112*VLOOKUP('Données projet'!$B$17,Paramètres!$A$1:$I$89,3,0)*0.475*44/12</f>
        <v>0</v>
      </c>
      <c r="GN112" s="23">
        <f>EXP(-LN(2)/2)*GN111+(1-EXP(-LN(2)/2))/(LN(2)/2)*GH112*GK112*VLOOKUP('Données projet'!$B$17,Paramètres!$A$1:$I$89,3,0)*0.475*44/12</f>
        <v>5.3337411448120134E-12</v>
      </c>
      <c r="GO112" s="23">
        <f t="shared" si="81"/>
        <v>5.3337411448120134E-12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>
        <f>VLOOKUP(A112,'Données projet'!$A$269:$I$289,2,0)</f>
        <v>413.2</v>
      </c>
      <c r="GS112" s="13">
        <f>VLOOKUP(A112,'Données projet'!$A$269:$I$289,9,0)</f>
        <v>7.9089743589743575</v>
      </c>
      <c r="GT112" s="13">
        <f t="array" ref="GT112">INDEX(GS:GS,MIN(IF(ISNUMBER(GS112:GS308),ROW(GS112:GS308),"")))</f>
        <v>7.9089743589743575</v>
      </c>
      <c r="GU112" s="13">
        <f>IF('Données projet'!$A$270&gt;35,GU111+GT112-HC111,IF(A112&lt;'Données projet'!$A$270,$GR$205^A112,IF(A112='Données projet'!$A$270,'Données projet'!$B$270,GU111+GT112-HC111)))</f>
        <v>413.2</v>
      </c>
      <c r="GV112" s="18">
        <f>GU112*VLOOKUP('Données projet'!$B$18,Paramètres!$A$1:$I$89,3,0)*VLOOKUP('Données projet'!$B$18,Paramètres!$A$1:$I$89,5,0)</f>
        <v>193.37759999999997</v>
      </c>
      <c r="GW112" s="14">
        <f t="shared" si="105"/>
        <v>48.285924733018234</v>
      </c>
      <c r="GX112" s="22">
        <f t="shared" si="82"/>
        <v>420.89730557667332</v>
      </c>
      <c r="GY112" s="62">
        <f t="shared" si="83"/>
        <v>714.23063891000663</v>
      </c>
      <c r="GZ112" s="62">
        <f ca="1">AVERAGE(OFFSET($GY$3,0,0,'Données projet'!$E$18+1,1))-AVERAGE(OFFSET($H$3,0,0,'Données projet'!$E$18+1,1))</f>
        <v>284.88646502866419</v>
      </c>
      <c r="HA112" s="62">
        <f t="shared" si="106"/>
        <v>190.4880882944471</v>
      </c>
      <c r="HB112" s="16">
        <f>IF(ISNA(VLOOKUP(A112,'Données projet'!$A$269:$I$289,3,0)),0,VLOOKUP(A112,'Données projet'!$A$269:$I$289,3,0))</f>
        <v>6</v>
      </c>
      <c r="HC112" s="16">
        <f>IF(ISNA(VLOOKUP(A112,'Données projet'!$A$269:$I$289,4,0)),0,VLOOKUP(A112,'Données projet'!$A$269:$I$289,4,0))</f>
        <v>80.653846153846146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>
        <f>EXP(-LN(2)/35)*HG111+(1-EXP(-LN(2)/35))/(LN(2)/35)*HC112*HD112*VLOOKUP('Données projet'!$B$18,Paramètres!$A$1:$I$89,3,0)*0.475*44/12</f>
        <v>0</v>
      </c>
      <c r="HH112" s="23">
        <f>EXP(-LN(2)/25)*HH111+(1-EXP(-LN(2)/25))/(LN(2)/25)*Calculateur!HC112*Calculateur!HE112*VLOOKUP('Données projet'!$B$18,Paramètres!$A$1:$I$89,3,0)*0.475*44/12</f>
        <v>0</v>
      </c>
      <c r="HI112" s="23">
        <f>EXP(-LN(2)/2)*HI111+(1-EXP(-LN(2)/2))/(LN(2)/2)*HC112*HF112*VLOOKUP('Données projet'!$B$18,Paramètres!$A$1:$I$89,3,0)*0.475*44/12</f>
        <v>0</v>
      </c>
      <c r="HJ112" s="24">
        <f t="shared" si="84"/>
        <v>0</v>
      </c>
    </row>
    <row r="113" spans="1:218" s="5" customFormat="1" x14ac:dyDescent="0.25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2">
        <f t="shared" si="86"/>
        <v>0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0</v>
      </c>
      <c r="H113" s="70">
        <f t="shared" si="56"/>
        <v>256.66666666666669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>
        <f>VLOOKUP(A113,'Données projet'!$A$35:$I$55,2,0)</f>
        <v>253.2051282051282</v>
      </c>
      <c r="L113" s="13">
        <f>VLOOKUP(A113,'Données projet'!$A$35:$I$55,9,0)</f>
        <v>3.0769230769230802</v>
      </c>
      <c r="M113" s="13">
        <f t="array" ref="M113">INDEX(L:L,MIN(IF(ISNUMBER(L113:L309),ROW(L113:L309),"")))</f>
        <v>3.0769230769230802</v>
      </c>
      <c r="N113" s="14">
        <f>IF('Données projet'!$A$36&gt;35,N112+M113-V112,IF(A113&lt;'Données projet'!$A$36,$K$205^A113,IF(A113='Données projet'!$A$36,'Données projet'!$B$36,N112+M113-V112)))</f>
        <v>253.20512820512835</v>
      </c>
      <c r="O113" s="14">
        <f>N113*VLOOKUP('Données projet'!$B$9,Paramètres!$A$1:$I$89,3,0)*VLOOKUP('Données projet'!$B$9,Paramètres!$A$1:$I$89,5,0)</f>
        <v>240.95000000000013</v>
      </c>
      <c r="P113" s="14">
        <f t="shared" si="87"/>
        <v>58.643880591265685</v>
      </c>
      <c r="Q113" s="22">
        <f t="shared" si="107"/>
        <v>521.79267536312125</v>
      </c>
      <c r="R113" s="62">
        <f t="shared" si="55"/>
        <v>815.12600869645462</v>
      </c>
      <c r="S113" s="62">
        <f ca="1">AVERAGE(OFFSET($R$3,0,0,'Données projet'!$E$9+1,1))-AVERAGE(OFFSET($H$3,0,0,'Données projet'!$E$9+1,1))</f>
        <v>367.11183928586667</v>
      </c>
      <c r="T113" s="62">
        <f t="shared" si="88"/>
        <v>281.52963027844595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0</v>
      </c>
      <c r="AA113" s="23">
        <f>EXP(-LN(2)/25)*AA112+(1-EXP(-LN(2)/25))/(LN(2)/25)*Calculateur!V113*Calculateur!X113*VLOOKUP('Données projet'!$B$9,Paramètres!$A$1:$I$89,3,0)*0.475*44/12</f>
        <v>0</v>
      </c>
      <c r="AB113" s="23">
        <f>EXP(-LN(2)/2)*AB112+(1-EXP(-LN(2)/2))/(LN(2)/2)*V113*Y113*VLOOKUP('Données projet'!$B$9,Paramètres!$A$1:$I$89,3,0)*0.475*44/12</f>
        <v>0</v>
      </c>
      <c r="AC113" s="24">
        <f t="shared" si="57"/>
        <v>0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>
        <f>VLOOKUP(A113,'Données projet'!$A$61:$I$81,2,0)</f>
        <v>305</v>
      </c>
      <c r="AG113" s="13">
        <f>VLOOKUP(A113,'Données projet'!$A$61:$I$81,9,0)</f>
        <v>4.4000000000000004</v>
      </c>
      <c r="AH113" s="13">
        <f t="array" ref="AH113">INDEX(AG:AG,MIN(IF(ISNUMBER(AG113:AG309),ROW(AG113:AG309),"")))</f>
        <v>4.4000000000000004</v>
      </c>
      <c r="AI113" s="14">
        <f>IF('Données projet'!$A$62&gt;35,AI112+AH113-AQ112,IF(A113&lt;'Données projet'!$A$62,$AF$205^A113,IF(A113='Données projet'!$A$62,'Données projet'!$B$62,AI112+AH113-AQ112)))</f>
        <v>304.9999999999996</v>
      </c>
      <c r="AJ113" s="14">
        <f>AI113*VLOOKUP('Données projet'!$B$10,Paramètres!$A$1:$I$89,3,0)*VLOOKUP('Données projet'!$B$10,Paramètres!$A$1:$I$89,5,0)</f>
        <v>275.9639999999996</v>
      </c>
      <c r="AK113" s="14">
        <f t="shared" si="89"/>
        <v>66.113366665488797</v>
      </c>
      <c r="AL113" s="22">
        <f t="shared" si="58"/>
        <v>595.7847469423923</v>
      </c>
      <c r="AM113" s="62">
        <f t="shared" si="59"/>
        <v>889.11808027572556</v>
      </c>
      <c r="AN113" s="62">
        <f ca="1">AVERAGE(OFFSET($AM$3,0,0,'Données projet'!$E$10+1,1))-AVERAGE(OFFSET($H$3,0,0,'Données projet'!$E$10+1,1))</f>
        <v>428.8489304403459</v>
      </c>
      <c r="AO113" s="62">
        <f t="shared" si="90"/>
        <v>247.01165577562966</v>
      </c>
      <c r="AP113" s="16">
        <f>IF(ISNA(VLOOKUP(A113,'Données projet'!$A$61:$I$81,3,0)),0,VLOOKUP(A113,'Données projet'!$A$61:$I$81,3,0))</f>
        <v>9</v>
      </c>
      <c r="AQ113" s="16">
        <f>IF(ISNA(VLOOKUP(A113,'Données projet'!$A$61:$I$81,4,0)),0,VLOOKUP(A113,'Données projet'!$A$61:$I$81,4,0))</f>
        <v>39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0</v>
      </c>
      <c r="AV113" s="23">
        <f>EXP(-LN(2)/25)*AV112+(1-EXP(-LN(2)/25))/(LN(2)/25)*Calculateur!AQ113*Calculateur!AS113*VLOOKUP('Données projet'!$B$10,Paramètres!$A$1:$I$89,3,0)*0.475*44/12</f>
        <v>0</v>
      </c>
      <c r="AW113" s="23">
        <f>EXP(-LN(2)/2)*AW112+(1-EXP(-LN(2)/2))/(LN(2)/2)*AQ113*AT113*VLOOKUP('Données projet'!$B$10,Paramètres!$A$1:$I$89,3,0)*0.475*44/12</f>
        <v>0</v>
      </c>
      <c r="AX113" s="23">
        <f t="shared" si="60"/>
        <v>0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>
        <f>VLOOKUP(A113,'Données projet'!$A$87:$I$107,2,0)</f>
        <v>305</v>
      </c>
      <c r="BB113" s="13">
        <f>VLOOKUP(A113,'Données projet'!$A$87:$I$107,9,0)</f>
        <v>4.4000000000000004</v>
      </c>
      <c r="BC113" s="13">
        <f t="array" ref="BC113">INDEX(BB:BB,MIN(IF(ISNUMBER(BB113:BB309),ROW(BB113:BB309),"")))</f>
        <v>4.4000000000000004</v>
      </c>
      <c r="BD113" s="13">
        <f>IF('Données projet'!$A$88&gt;35,BD112+BC113-BL112,IF(A113&lt;'Données projet'!$A$88,$BA$205^A113,IF(A113='Données projet'!$A$88,'Données projet'!$B$88,BD112+BC113-BL112)))</f>
        <v>304.9999999999996</v>
      </c>
      <c r="BE113" s="14">
        <f>BD113*VLOOKUP('Données projet'!$B$11,Paramètres!$A$1:$I$89,3,0)*VLOOKUP('Données projet'!$B$11,Paramètres!$A$1:$I$89,5,0)</f>
        <v>309.26999999999958</v>
      </c>
      <c r="BF113" s="14">
        <f t="shared" si="91"/>
        <v>73.116356204710968</v>
      </c>
      <c r="BG113" s="22">
        <f t="shared" si="61"/>
        <v>665.98957038987078</v>
      </c>
      <c r="BH113" s="62">
        <f t="shared" si="62"/>
        <v>959.32290372320404</v>
      </c>
      <c r="BI113" s="62">
        <f ca="1">AVERAGE(OFFSET($BH$3,0,0,'Données projet'!$E$11+1,1))-AVERAGE(OFFSET($H$3,0,0,'Données projet'!$E$11+1,1))</f>
        <v>475.47920969424894</v>
      </c>
      <c r="BJ113" s="62">
        <f t="shared" si="92"/>
        <v>271.73544012419364</v>
      </c>
      <c r="BK113" s="16">
        <f>IF(ISNA(VLOOKUP(A113,'Données projet'!$A$87:$I$107,3,0)),0,VLOOKUP(A113,'Données projet'!$A$87:$I$107,3,0))</f>
        <v>9</v>
      </c>
      <c r="BL113" s="16">
        <f>IF(ISNA(VLOOKUP(A113,'Données projet'!$A$87:$I$107,4,0)),0,VLOOKUP(A113,'Données projet'!$A$87:$I$107,4,0))</f>
        <v>39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>
        <f>EXP(-LN(2)/35)*BP112+(1-EXP(-LN(2)/35))/(LN(2)/35)*BL113*BM113*VLOOKUP('Données projet'!$B$11,Paramètres!$A$1:$I$89,3,0)*0.475*44/12</f>
        <v>0</v>
      </c>
      <c r="BQ113" s="23">
        <f>EXP(-LN(2)/25)*BQ112+(1-EXP(-LN(2)/25))/(LN(2)/25)*Calculateur!BL113*Calculateur!BN113*VLOOKUP('Données projet'!$B$11,Paramètres!$A$1:$I$89,3,0)*0.475*44/12</f>
        <v>0</v>
      </c>
      <c r="BR113" s="23">
        <f>EXP(-LN(2)/2)*BR112+(1-EXP(-LN(2)/2))/(LN(2)/2)*BL113*BO113*VLOOKUP('Données projet'!$B$11,Paramètres!$A$1:$I$89,3,0)*0.475*44/12</f>
        <v>0</v>
      </c>
      <c r="BS113" s="24">
        <f t="shared" si="63"/>
        <v>0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2.2737367544323206E-13</v>
      </c>
      <c r="BZ113" s="14">
        <f>BY113*VLOOKUP('Données projet'!$B$12,Paramètres!$A$1:$I$89,3,0)*VLOOKUP('Données projet'!$B$12,Paramètres!$A$1:$I$89,5,0)</f>
        <v>1.2710188457276673E-13</v>
      </c>
      <c r="CA113" s="14">
        <f t="shared" si="93"/>
        <v>1.856866851063998E-12</v>
      </c>
      <c r="CB113" s="22">
        <f t="shared" si="64"/>
        <v>3.4554122145673649E-12</v>
      </c>
      <c r="CC113" s="62">
        <f t="shared" si="65"/>
        <v>293.33333333333678</v>
      </c>
      <c r="CD113" s="62">
        <f ca="1">AVERAGE(OFFSET($CC$3,0,0,'Données projet'!$E$12+1,1))-AVERAGE(OFFSET($H$3,0,0,'Données projet'!$E$12+1,1))</f>
        <v>323.98185264074681</v>
      </c>
      <c r="CE113" s="62">
        <f t="shared" si="94"/>
        <v>301.22207291854005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>
        <f>EXP(-LN(2)/35)*CK112+(1-EXP(-LN(2)/35))/(LN(2)/35)*CG113*CH113*VLOOKUP('Données projet'!$B$12,Paramètres!$A$1:$I$89,3,0)*0.475*44/12</f>
        <v>0.91514992602376188</v>
      </c>
      <c r="CL113" s="23">
        <f>EXP(-LN(2)/25)*CL112+(1-EXP(-LN(2)/25))/(LN(2)/25)*Calculateur!CG113*Calculateur!CI113*VLOOKUP('Données projet'!$B$12,Paramètres!$A$1:$I$89,3,0)*0.475*44/12</f>
        <v>0.89746141852695482</v>
      </c>
      <c r="CM113" s="23">
        <f>EXP(-LN(2)/2)*CM112+(1-EXP(-LN(2)/2))/(LN(2)/2)*CG113*CJ113*VLOOKUP('Données projet'!$B$12,Paramètres!$A$1:$I$89,3,0)*0.475*44/12</f>
        <v>5.5368283752777831E-12</v>
      </c>
      <c r="CN113" s="24">
        <f t="shared" si="66"/>
        <v>1.8126113445562537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>
        <f>VLOOKUP(A113,'Données projet'!$A$139:$I$159,2,0)</f>
        <v>233</v>
      </c>
      <c r="CR113" s="13">
        <f>VLOOKUP(A113,'Données projet'!$A$139:$I$159,9,0)</f>
        <v>3.1</v>
      </c>
      <c r="CS113" s="13">
        <f t="array" ref="CS113">INDEX(CR:CR,MIN(IF(ISNUMBER(CR113:CR309),ROW(CR113:CR309),"")))</f>
        <v>3.1</v>
      </c>
      <c r="CT113" s="13">
        <f>IF('Données projet'!$A$140&gt;35,CT112+CS113-DB112,IF(A113&lt;'Données projet'!$A$140,$CQ$205^A113,IF(A113='Données projet'!$A$140,'Données projet'!$B$140,CT112+CS113-DB112)))</f>
        <v>232.99999999999977</v>
      </c>
      <c r="CU113" s="18">
        <f>CT113*VLOOKUP('Données projet'!$B$13,Paramètres!$A$1:$I$89,3,0)*VLOOKUP('Données projet'!$B$13,Paramètres!$A$1:$I$89,5,0)</f>
        <v>265.34039999999976</v>
      </c>
      <c r="CV113" s="14">
        <f t="shared" si="95"/>
        <v>63.85938489132635</v>
      </c>
      <c r="CW113" s="22">
        <f t="shared" si="67"/>
        <v>573.35629201905965</v>
      </c>
      <c r="CX113" s="62">
        <f t="shared" si="68"/>
        <v>866.68962535239302</v>
      </c>
      <c r="CY113" s="62">
        <f ca="1">AVERAGE(OFFSET($CX$3,0,0,'Données projet'!$E$13+1,1))-AVERAGE(OFFSET($H$3,0,0,'Données projet'!$E$13+1,1))</f>
        <v>399.78832690250164</v>
      </c>
      <c r="CZ113" s="62">
        <f t="shared" si="96"/>
        <v>174.32967064896343</v>
      </c>
      <c r="DA113" s="16">
        <f>IF(ISNA(VLOOKUP(A113,'Données projet'!$A$139:$I$159,3,0)),0,VLOOKUP(A113,'Données projet'!$A$139:$I$159,3,0))</f>
        <v>8</v>
      </c>
      <c r="DB113" s="16">
        <f>IF(ISNA(VLOOKUP(A113,'Données projet'!$A$139:$I$159,4,0)),0,VLOOKUP(A113,'Données projet'!$A$139:$I$159,4,0))</f>
        <v>27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>
        <f>EXP(-LN(2)/35)*DF112+(1-EXP(-LN(2)/35))/(LN(2)/35)*DB113*DC113*VLOOKUP('Données projet'!$B$13,Paramètres!$A$1:$I$89,3,0)*0.475*44/12</f>
        <v>0</v>
      </c>
      <c r="DG113" s="23">
        <f>EXP(-LN(2)/25)*DG112+(1-EXP(-LN(2)/25))/(LN(2)/25)*Calculateur!DB113*Calculateur!DD113*VLOOKUP('Données projet'!$B$13,Paramètres!$A$1:$I$89,3,0)*0.475*44/12</f>
        <v>0</v>
      </c>
      <c r="DH113" s="23">
        <f>EXP(-LN(2)/2)*DH112+(1-EXP(-LN(2)/2))/(LN(2)/2)*DB113*DE113*VLOOKUP('Données projet'!$B$13,Paramètres!$A$1:$I$89,3,0)*0.475*44/12</f>
        <v>0</v>
      </c>
      <c r="DI113" s="24">
        <f t="shared" si="69"/>
        <v>0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>
        <f>VLOOKUP(A113,'Données projet'!$A$165:$I$185,2,0)</f>
        <v>305</v>
      </c>
      <c r="DM113" s="13">
        <f>VLOOKUP(A113,'Données projet'!$A$165:$I$185,9,0)</f>
        <v>4.4000000000000004</v>
      </c>
      <c r="DN113" s="13">
        <f t="array" ref="DN113">INDEX(DM:DM,MIN(IF(ISNUMBER(DM113:DM309),ROW(DM113:DM309),"")))</f>
        <v>4.4000000000000004</v>
      </c>
      <c r="DO113" s="13">
        <f>IF('Données projet'!$A$166&gt;35,DO112+DN113-DW112,IF(A113&lt;'Données projet'!$A$166,$DL$205^A113,IF(A113='Données projet'!$A$166,'Données projet'!$B$166,DO112+DN113-DW112)))</f>
        <v>304.9999999999996</v>
      </c>
      <c r="DP113" s="18">
        <f>DO113*VLOOKUP('Données projet'!$B$14,Paramètres!$A$1:$I$89,3,0)*VLOOKUP('Données projet'!$B$14,Paramètres!$A$1:$I$89,5,0)</f>
        <v>256.93199999999968</v>
      </c>
      <c r="DQ113" s="14">
        <f t="shared" si="97"/>
        <v>62.0679532293465</v>
      </c>
      <c r="DR113" s="22">
        <f t="shared" si="70"/>
        <v>555.59158520777794</v>
      </c>
      <c r="DS113" s="62">
        <f t="shared" si="71"/>
        <v>848.92491854111131</v>
      </c>
      <c r="DT113" s="62">
        <f ca="1">AVERAGE(OFFSET($DS$3,0,0,'Données projet'!$E$14+1,1))-AVERAGE(OFFSET($H$3,0,0,'Données projet'!$E$14+1,1))</f>
        <v>402.15128814037058</v>
      </c>
      <c r="DU113" s="62">
        <f t="shared" si="98"/>
        <v>232.85411068442738</v>
      </c>
      <c r="DV113" s="16">
        <f>IF(ISNA(VLOOKUP(A113,'Données projet'!$A$165:$I$185,3,0)),0,VLOOKUP(A113,'Données projet'!$A$165:$I$185,3,0))</f>
        <v>9</v>
      </c>
      <c r="DW113" s="16">
        <f>IF(ISNA(VLOOKUP(A113,'Données projet'!$A$165:$I$185,4,0)),0,VLOOKUP(A113,'Données projet'!$A$165:$I$185,4,0))</f>
        <v>39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>
        <f>EXP(-LN(2)/35)*EA112+(1-EXP(-LN(2)/35))/(LN(2)/35)*DW113*DX113*VLOOKUP('Données projet'!$B$14,Paramètres!$A$1:$I$89,3,0)*0.475*44/12</f>
        <v>0</v>
      </c>
      <c r="EB113" s="23">
        <f>EXP(-LN(2)/25)*EB112+(1-EXP(-LN(2)/25))/(LN(2)/25)*Calculateur!DW113*Calculateur!DY113*VLOOKUP('Données projet'!$B$14,Paramètres!$A$1:$I$89,3,0)*0.475*44/12</f>
        <v>0</v>
      </c>
      <c r="EC113" s="23">
        <f>EXP(-LN(2)/2)*EC112+(1-EXP(-LN(2)/2))/(LN(2)/2)*DW113*DZ113*VLOOKUP('Données projet'!$B$14,Paramètres!$A$1:$I$89,3,0)*0.475*44/12</f>
        <v>0</v>
      </c>
      <c r="ED113" s="24">
        <f t="shared" si="72"/>
        <v>0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>
        <f>VLOOKUP(A113,'Données projet'!$A$191:$I$211,2,0)</f>
        <v>388.46153846153845</v>
      </c>
      <c r="EH113" s="13">
        <f>VLOOKUP(A113,'Données projet'!$A$191:$I$211,9,0)</f>
        <v>3.7179487179487181</v>
      </c>
      <c r="EI113" s="13">
        <f t="array" ref="EI113">INDEX(EH:EH,MIN(IF(ISNUMBER(EH113:EH309),ROW(EH113:EH309),"")))</f>
        <v>3.7179487179487181</v>
      </c>
      <c r="EJ113" s="13">
        <f>IF('Données projet'!$A$192&gt;35,EJ112+EI113-ER112,IF(A113&lt;'Données projet'!$A$192,$EG$205^A113,IF(A113='Données projet'!$A$192,'Données projet'!$B$192,EJ112+EI113-ER112)))</f>
        <v>388.46153846153874</v>
      </c>
      <c r="EK113" s="18">
        <f>EJ113*VLOOKUP('Données projet'!$B$15,Paramètres!$A$1:$I$89,3,0)*VLOOKUP('Données projet'!$B$15,Paramètres!$A$1:$I$89,5,0)</f>
        <v>406.02000000000027</v>
      </c>
      <c r="EL113" s="14">
        <f t="shared" si="99"/>
        <v>92.996064759651532</v>
      </c>
      <c r="EM113" s="22">
        <f t="shared" si="73"/>
        <v>869.11964612306019</v>
      </c>
      <c r="EN113" s="62">
        <f t="shared" si="74"/>
        <v>1162.4529794563935</v>
      </c>
      <c r="EO113" s="62">
        <f ca="1">AVERAGE(OFFSET($EN$3,0,0,'Données projet'!$E$15+1,1))-AVERAGE(OFFSET($H$3,0,0,'Données projet'!$E$15+1,1))</f>
        <v>595.89992279024398</v>
      </c>
      <c r="EP113" s="62">
        <f t="shared" si="100"/>
        <v>378.16197659288338</v>
      </c>
      <c r="EQ113" s="16">
        <f>IF(ISNA(VLOOKUP(A113,'Données projet'!$A$191:$I$211,3,0)),0,VLOOKUP(A113,'Données projet'!$A$191:$I$211,3,0))</f>
        <v>10</v>
      </c>
      <c r="ER113" s="16">
        <f>IF(ISNA(VLOOKUP(A113,'Données projet'!$A$191:$I$211,4,0)),0,VLOOKUP(A113,'Données projet'!$A$191:$I$211,4,0))</f>
        <v>23.076923076923077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>
        <f>EXP(-LN(2)/35)*EV112+(1-EXP(-LN(2)/35))/(LN(2)/35)*ER113*ES113*VLOOKUP('Données projet'!$B$15,Paramètres!$A$1:$I$89,3,0)*0.475*44/12</f>
        <v>0</v>
      </c>
      <c r="EW113" s="23">
        <f>EXP(-LN(2)/25)*EW112+(1-EXP(-LN(2)/25))/(LN(2)/25)*Calculateur!ER113*Calculateur!ET113*VLOOKUP('Données projet'!$B$15,Paramètres!$A$1:$I$89,3,0)*0.475*44/12</f>
        <v>0</v>
      </c>
      <c r="EX113" s="23">
        <f>EXP(-LN(2)/2)*EX112+(1-EXP(-LN(2)/2))/(LN(2)/2)*ER113*EU113*VLOOKUP('Données projet'!$B$15,Paramètres!$A$1:$I$89,3,0)*0.475*44/12</f>
        <v>0</v>
      </c>
      <c r="EY113" s="24">
        <f t="shared" si="75"/>
        <v>0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-2.2737367544323206E-13</v>
      </c>
      <c r="FF113" s="18">
        <f>FE113*VLOOKUP('Données projet'!$B$16,Paramètres!$A$1:$I$89,3,0)*VLOOKUP('Données projet'!$B$16,Paramètres!$A$1:$I$89,5,0)</f>
        <v>-1.3596945791505279E-13</v>
      </c>
      <c r="FG113" s="14" t="e">
        <f t="shared" si="101"/>
        <v>#NUM!</v>
      </c>
      <c r="FH113" s="22" t="e">
        <f t="shared" si="76"/>
        <v>#NUM!</v>
      </c>
      <c r="FI113" s="62" t="e">
        <f t="shared" si="77"/>
        <v>#NUM!</v>
      </c>
      <c r="FJ113" s="62">
        <f ca="1">AVERAGE(OFFSET($FI$3,0,0,'Données projet'!$E$16+1,1))-AVERAGE(OFFSET($H$3,0,0,'Données projet'!$E$16+1,1))</f>
        <v>257.56116197646924</v>
      </c>
      <c r="FK113" s="62">
        <f t="shared" si="102"/>
        <v>269.95556918835888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>
        <f>EXP(-LN(2)/35)*FQ112+(1-EXP(-LN(2)/35))/(LN(2)/35)*FM113*FN113*VLOOKUP('Données projet'!$B$16,Paramètres!$A$1:$I$89,3,0)*0.475*44/12</f>
        <v>2.9904180849222519</v>
      </c>
      <c r="FR113" s="23">
        <f>EXP(-LN(2)/25)*FR112+(1-EXP(-LN(2)/25))/(LN(2)/25)*Calculateur!FM113*Calculateur!FO113*VLOOKUP('Données projet'!$B$16,Paramètres!$A$1:$I$89,3,0)*0.475*44/12</f>
        <v>1.7566701666647082</v>
      </c>
      <c r="FS113" s="23">
        <f>EXP(-LN(2)/2)*FS112+(1-EXP(-LN(2)/2))/(LN(2)/2)*FM113*FP113*VLOOKUP('Données projet'!$B$16,Paramètres!$A$1:$I$89,3,0)*0.475*44/12</f>
        <v>7.7798935508098869E-12</v>
      </c>
      <c r="FT113" s="24">
        <f t="shared" si="78"/>
        <v>4.7470882515947395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-2.8421709430404007E-13</v>
      </c>
      <c r="GA113" s="18">
        <f>FZ113*VLOOKUP('Données projet'!$B$17,Paramètres!$A$1:$I$89,3,0)*VLOOKUP('Données projet'!$B$17,Paramètres!$A$1:$I$89,5,0)</f>
        <v>-1.69961822393816E-13</v>
      </c>
      <c r="GB113" s="14" t="e">
        <f t="shared" si="103"/>
        <v>#NUM!</v>
      </c>
      <c r="GC113" s="22" t="e">
        <f t="shared" si="79"/>
        <v>#NUM!</v>
      </c>
      <c r="GD113" s="62" t="e">
        <f t="shared" si="80"/>
        <v>#NUM!</v>
      </c>
      <c r="GE113" s="62">
        <f ca="1">AVERAGE(OFFSET($GD$3,0,0,'Données projet'!$E$17+1,1))-AVERAGE(OFFSET($H$3,0,0,'Données projet'!$E$17+1,1))</f>
        <v>289.12367833861299</v>
      </c>
      <c r="GF113" s="62">
        <f t="shared" si="104"/>
        <v>229.06617320689003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>
        <f>EXP(-LN(2)/35)*GL112+(1-EXP(-LN(2)/35))/(LN(2)/35)*GH113*GI113*VLOOKUP('Données projet'!$B$17,Paramètres!$A$1:$I$89,3,0)*0.475*44/12</f>
        <v>0</v>
      </c>
      <c r="GM113" s="23">
        <f>EXP(-LN(2)/25)*GM112+(1-EXP(-LN(2)/25))/(LN(2)/25)*Calculateur!GH113*Calculateur!GJ113*VLOOKUP('Données projet'!$B$17,Paramètres!$A$1:$I$89,3,0)*0.475*44/12</f>
        <v>0</v>
      </c>
      <c r="GN113" s="23">
        <f>EXP(-LN(2)/2)*GN112+(1-EXP(-LN(2)/2))/(LN(2)/2)*GH113*GK113*VLOOKUP('Données projet'!$B$17,Paramètres!$A$1:$I$89,3,0)*0.475*44/12</f>
        <v>3.7715245325902738E-12</v>
      </c>
      <c r="GO113" s="23">
        <f t="shared" si="81"/>
        <v>3.7715245325902738E-12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7.0935897435897362</v>
      </c>
      <c r="GU113" s="13">
        <f>IF('Données projet'!$A$270&gt;35,GU112+GT113-HC112,IF(A113&lt;'Données projet'!$A$270,$GR$205^A113,IF(A113='Données projet'!$A$270,'Données projet'!$B$270,GU112+GT113-HC112)))</f>
        <v>339.6397435897436</v>
      </c>
      <c r="GV113" s="18">
        <f>GU113*VLOOKUP('Données projet'!$B$18,Paramètres!$A$1:$I$89,3,0)*VLOOKUP('Données projet'!$B$18,Paramètres!$A$1:$I$89,5,0)</f>
        <v>158.95140000000001</v>
      </c>
      <c r="GW113" s="14">
        <f t="shared" si="105"/>
        <v>40.605910315547177</v>
      </c>
      <c r="GX113" s="22">
        <f t="shared" si="82"/>
        <v>347.56231546624463</v>
      </c>
      <c r="GY113" s="62">
        <f t="shared" si="83"/>
        <v>640.89564879957788</v>
      </c>
      <c r="GZ113" s="62">
        <f ca="1">AVERAGE(OFFSET($GY$3,0,0,'Données projet'!$E$18+1,1))-AVERAGE(OFFSET($H$3,0,0,'Données projet'!$E$18+1,1))</f>
        <v>284.88646502866419</v>
      </c>
      <c r="HA113" s="62">
        <f t="shared" si="106"/>
        <v>190.4880882944471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>
        <f>EXP(-LN(2)/35)*HG112+(1-EXP(-LN(2)/35))/(LN(2)/35)*HC113*HD113*VLOOKUP('Données projet'!$B$18,Paramètres!$A$1:$I$89,3,0)*0.475*44/12</f>
        <v>0</v>
      </c>
      <c r="HH113" s="23">
        <f>EXP(-LN(2)/25)*HH112+(1-EXP(-LN(2)/25))/(LN(2)/25)*Calculateur!HC113*Calculateur!HE113*VLOOKUP('Données projet'!$B$18,Paramètres!$A$1:$I$89,3,0)*0.475*44/12</f>
        <v>0</v>
      </c>
      <c r="HI113" s="23">
        <f>EXP(-LN(2)/2)*HI112+(1-EXP(-LN(2)/2))/(LN(2)/2)*HC113*HF113*VLOOKUP('Données projet'!$B$18,Paramètres!$A$1:$I$89,3,0)*0.475*44/12</f>
        <v>0</v>
      </c>
      <c r="HJ113" s="24">
        <f t="shared" si="84"/>
        <v>0</v>
      </c>
    </row>
    <row r="114" spans="1:218" s="5" customFormat="1" x14ac:dyDescent="0.25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2">
        <f t="shared" si="86"/>
        <v>0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0</v>
      </c>
      <c r="H114" s="70">
        <f t="shared" si="56"/>
        <v>256.66666666666669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2.8846153846153841</v>
      </c>
      <c r="N114" s="14">
        <f>IF('Données projet'!$A$36&gt;35,N113+M114-V113,IF(A114&lt;'Données projet'!$A$36,$K$205^A114,IF(A114='Données projet'!$A$36,'Données projet'!$B$36,N113+M114-V113)))</f>
        <v>256.0897435897437</v>
      </c>
      <c r="O114" s="14">
        <f>N114*VLOOKUP('Données projet'!$B$9,Paramètres!$A$1:$I$89,3,0)*VLOOKUP('Données projet'!$B$9,Paramètres!$A$1:$I$89,5,0)</f>
        <v>243.69500000000011</v>
      </c>
      <c r="P114" s="14">
        <f t="shared" si="87"/>
        <v>59.233819432983545</v>
      </c>
      <c r="Q114" s="22">
        <f t="shared" si="107"/>
        <v>527.60102717911309</v>
      </c>
      <c r="R114" s="62">
        <f t="shared" si="55"/>
        <v>820.93436051244635</v>
      </c>
      <c r="S114" s="62">
        <f ca="1">AVERAGE(OFFSET($R$3,0,0,'Données projet'!$E$9+1,1))-AVERAGE(OFFSET($H$3,0,0,'Données projet'!$E$9+1,1))</f>
        <v>367.11183928586667</v>
      </c>
      <c r="T114" s="62">
        <f t="shared" si="88"/>
        <v>281.52963027844595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0</v>
      </c>
      <c r="AA114" s="23">
        <f>EXP(-LN(2)/25)*AA113+(1-EXP(-LN(2)/25))/(LN(2)/25)*Calculateur!V114*Calculateur!X114*VLOOKUP('Données projet'!$B$9,Paramètres!$A$1:$I$89,3,0)*0.475*44/12</f>
        <v>0</v>
      </c>
      <c r="AB114" s="23">
        <f>EXP(-LN(2)/2)*AB113+(1-EXP(-LN(2)/2))/(LN(2)/2)*V114*Y114*VLOOKUP('Données projet'!$B$9,Paramètres!$A$1:$I$89,3,0)*0.475*44/12</f>
        <v>0</v>
      </c>
      <c r="AC114" s="24">
        <f t="shared" si="57"/>
        <v>0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3.7</v>
      </c>
      <c r="AI114" s="14">
        <f>IF('Données projet'!$A$62&gt;35,AI113+AH114-AQ113,IF(A114&lt;'Données projet'!$A$62,$AF$205^A114,IF(A114='Données projet'!$A$62,'Données projet'!$B$62,AI113+AH114-AQ113)))</f>
        <v>269.69999999999959</v>
      </c>
      <c r="AJ114" s="14">
        <f>AI114*VLOOKUP('Données projet'!$B$10,Paramètres!$A$1:$I$89,3,0)*VLOOKUP('Données projet'!$B$10,Paramètres!$A$1:$I$89,5,0)</f>
        <v>244.02455999999964</v>
      </c>
      <c r="AK114" s="14">
        <f t="shared" si="89"/>
        <v>59.304594314969229</v>
      </c>
      <c r="AL114" s="22">
        <f t="shared" si="58"/>
        <v>528.29827709857079</v>
      </c>
      <c r="AM114" s="62">
        <f t="shared" si="59"/>
        <v>821.63161043190416</v>
      </c>
      <c r="AN114" s="62">
        <f ca="1">AVERAGE(OFFSET($AM$3,0,0,'Données projet'!$E$10+1,1))-AVERAGE(OFFSET($H$3,0,0,'Données projet'!$E$10+1,1))</f>
        <v>428.8489304403459</v>
      </c>
      <c r="AO114" s="62">
        <f t="shared" si="90"/>
        <v>247.01165577562966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0</v>
      </c>
      <c r="AV114" s="23">
        <f>EXP(-LN(2)/25)*AV113+(1-EXP(-LN(2)/25))/(LN(2)/25)*Calculateur!AQ114*Calculateur!AS114*VLOOKUP('Données projet'!$B$10,Paramètres!$A$1:$I$89,3,0)*0.475*44/12</f>
        <v>0</v>
      </c>
      <c r="AW114" s="23">
        <f>EXP(-LN(2)/2)*AW113+(1-EXP(-LN(2)/2))/(LN(2)/2)*AQ114*AT114*VLOOKUP('Données projet'!$B$10,Paramètres!$A$1:$I$89,3,0)*0.475*44/12</f>
        <v>0</v>
      </c>
      <c r="AX114" s="23">
        <f t="shared" si="60"/>
        <v>0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3.7</v>
      </c>
      <c r="BD114" s="13">
        <f>IF('Données projet'!$A$88&gt;35,BD113+BC114-BL113,IF(A114&lt;'Données projet'!$A$88,$BA$205^A114,IF(A114='Données projet'!$A$88,'Données projet'!$B$88,BD113+BC114-BL113)))</f>
        <v>269.69999999999959</v>
      </c>
      <c r="BE114" s="14">
        <f>BD114*VLOOKUP('Données projet'!$B$11,Paramètres!$A$1:$I$89,3,0)*VLOOKUP('Données projet'!$B$11,Paramètres!$A$1:$I$89,5,0)</f>
        <v>273.47579999999959</v>
      </c>
      <c r="BF114" s="14">
        <f t="shared" si="91"/>
        <v>65.586371730977532</v>
      </c>
      <c r="BG114" s="22">
        <f t="shared" si="61"/>
        <v>590.53328243145177</v>
      </c>
      <c r="BH114" s="62">
        <f t="shared" si="62"/>
        <v>883.86661576478514</v>
      </c>
      <c r="BI114" s="62">
        <f ca="1">AVERAGE(OFFSET($BH$3,0,0,'Données projet'!$E$11+1,1))-AVERAGE(OFFSET($H$3,0,0,'Données projet'!$E$11+1,1))</f>
        <v>475.47920969424894</v>
      </c>
      <c r="BJ114" s="62">
        <f t="shared" si="92"/>
        <v>271.73544012419364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>
        <f>EXP(-LN(2)/35)*BP113+(1-EXP(-LN(2)/35))/(LN(2)/35)*BL114*BM114*VLOOKUP('Données projet'!$B$11,Paramètres!$A$1:$I$89,3,0)*0.475*44/12</f>
        <v>0</v>
      </c>
      <c r="BQ114" s="23">
        <f>EXP(-LN(2)/25)*BQ113+(1-EXP(-LN(2)/25))/(LN(2)/25)*Calculateur!BL114*Calculateur!BN114*VLOOKUP('Données projet'!$B$11,Paramètres!$A$1:$I$89,3,0)*0.475*44/12</f>
        <v>0</v>
      </c>
      <c r="BR114" s="23">
        <f>EXP(-LN(2)/2)*BR113+(1-EXP(-LN(2)/2))/(LN(2)/2)*BL114*BO114*VLOOKUP('Données projet'!$B$11,Paramètres!$A$1:$I$89,3,0)*0.475*44/12</f>
        <v>0</v>
      </c>
      <c r="BS114" s="24">
        <f t="shared" si="63"/>
        <v>0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2.2737367544323206E-13</v>
      </c>
      <c r="BZ114" s="14">
        <f>BY114*VLOOKUP('Données projet'!$B$12,Paramètres!$A$1:$I$89,3,0)*VLOOKUP('Données projet'!$B$12,Paramètres!$A$1:$I$89,5,0)</f>
        <v>1.2710188457276673E-13</v>
      </c>
      <c r="CA114" s="14">
        <f t="shared" si="93"/>
        <v>1.856866851063998E-12</v>
      </c>
      <c r="CB114" s="22">
        <f t="shared" si="64"/>
        <v>3.4554122145673649E-12</v>
      </c>
      <c r="CC114" s="62">
        <f t="shared" si="65"/>
        <v>293.33333333333678</v>
      </c>
      <c r="CD114" s="62">
        <f ca="1">AVERAGE(OFFSET($CC$3,0,0,'Données projet'!$E$12+1,1))-AVERAGE(OFFSET($H$3,0,0,'Données projet'!$E$12+1,1))</f>
        <v>323.98185264074681</v>
      </c>
      <c r="CE114" s="62">
        <f t="shared" si="94"/>
        <v>301.22207291854005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>
        <f>EXP(-LN(2)/35)*CK113+(1-EXP(-LN(2)/35))/(LN(2)/35)*CG114*CH114*VLOOKUP('Données projet'!$B$12,Paramètres!$A$1:$I$89,3,0)*0.475*44/12</f>
        <v>0.89720439416077447</v>
      </c>
      <c r="CL114" s="23">
        <f>EXP(-LN(2)/25)*CL113+(1-EXP(-LN(2)/25))/(LN(2)/25)*Calculateur!CG114*Calculateur!CI114*VLOOKUP('Données projet'!$B$12,Paramètres!$A$1:$I$89,3,0)*0.475*44/12</f>
        <v>0.87292028884189043</v>
      </c>
      <c r="CM114" s="23">
        <f>EXP(-LN(2)/2)*CM113+(1-EXP(-LN(2)/2))/(LN(2)/2)*CG114*CJ114*VLOOKUP('Données projet'!$B$12,Paramètres!$A$1:$I$89,3,0)*0.475*44/12</f>
        <v>3.9151288904250147E-12</v>
      </c>
      <c r="CN114" s="24">
        <f t="shared" si="66"/>
        <v>1.77012468300658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2.8</v>
      </c>
      <c r="CT114" s="13">
        <f>IF('Données projet'!$A$140&gt;35,CT113+CS114-DB113,IF(A114&lt;'Données projet'!$A$140,$CQ$205^A114,IF(A114='Données projet'!$A$140,'Données projet'!$B$140,CT113+CS114-DB113)))</f>
        <v>208.79999999999978</v>
      </c>
      <c r="CU114" s="18">
        <f>CT114*VLOOKUP('Données projet'!$B$13,Paramètres!$A$1:$I$89,3,0)*VLOOKUP('Données projet'!$B$13,Paramètres!$A$1:$I$89,5,0)</f>
        <v>237.78143999999975</v>
      </c>
      <c r="CV114" s="14">
        <f t="shared" si="95"/>
        <v>57.9619387969109</v>
      </c>
      <c r="CW114" s="22">
        <f t="shared" si="67"/>
        <v>515.08638473795259</v>
      </c>
      <c r="CX114" s="62">
        <f t="shared" si="68"/>
        <v>808.41971807128584</v>
      </c>
      <c r="CY114" s="62">
        <f ca="1">AVERAGE(OFFSET($CX$3,0,0,'Données projet'!$E$13+1,1))-AVERAGE(OFFSET($H$3,0,0,'Données projet'!$E$13+1,1))</f>
        <v>399.78832690250164</v>
      </c>
      <c r="CZ114" s="62">
        <f t="shared" si="96"/>
        <v>174.32967064896343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>
        <f>EXP(-LN(2)/35)*DF113+(1-EXP(-LN(2)/35))/(LN(2)/35)*DB114*DC114*VLOOKUP('Données projet'!$B$13,Paramètres!$A$1:$I$89,3,0)*0.475*44/12</f>
        <v>0</v>
      </c>
      <c r="DG114" s="23">
        <f>EXP(-LN(2)/25)*DG113+(1-EXP(-LN(2)/25))/(LN(2)/25)*Calculateur!DB114*Calculateur!DD114*VLOOKUP('Données projet'!$B$13,Paramètres!$A$1:$I$89,3,0)*0.475*44/12</f>
        <v>0</v>
      </c>
      <c r="DH114" s="23">
        <f>EXP(-LN(2)/2)*DH113+(1-EXP(-LN(2)/2))/(LN(2)/2)*DB114*DE114*VLOOKUP('Données projet'!$B$13,Paramètres!$A$1:$I$89,3,0)*0.475*44/12</f>
        <v>0</v>
      </c>
      <c r="DI114" s="24">
        <f t="shared" si="69"/>
        <v>0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3.7</v>
      </c>
      <c r="DO114" s="13">
        <f>IF('Données projet'!$A$166&gt;35,DO113+DN114-DW113,IF(A114&lt;'Données projet'!$A$166,$DL$205^A114,IF(A114='Données projet'!$A$166,'Données projet'!$B$166,DO113+DN114-DW113)))</f>
        <v>269.69999999999959</v>
      </c>
      <c r="DP114" s="18">
        <f>DO114*VLOOKUP('Données projet'!$B$14,Paramètres!$A$1:$I$89,3,0)*VLOOKUP('Données projet'!$B$14,Paramètres!$A$1:$I$89,5,0)</f>
        <v>227.19527999999966</v>
      </c>
      <c r="DQ114" s="14">
        <f t="shared" si="97"/>
        <v>55.675803122401177</v>
      </c>
      <c r="DR114" s="22">
        <f t="shared" si="70"/>
        <v>492.66713643818139</v>
      </c>
      <c r="DS114" s="62">
        <f t="shared" si="71"/>
        <v>786.00046977151464</v>
      </c>
      <c r="DT114" s="62">
        <f ca="1">AVERAGE(OFFSET($DS$3,0,0,'Données projet'!$E$14+1,1))-AVERAGE(OFFSET($H$3,0,0,'Données projet'!$E$14+1,1))</f>
        <v>402.15128814037058</v>
      </c>
      <c r="DU114" s="62">
        <f t="shared" si="98"/>
        <v>232.85411068442738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>
        <f>EXP(-LN(2)/35)*EA113+(1-EXP(-LN(2)/35))/(LN(2)/35)*DW114*DX114*VLOOKUP('Données projet'!$B$14,Paramètres!$A$1:$I$89,3,0)*0.475*44/12</f>
        <v>0</v>
      </c>
      <c r="EB114" s="23">
        <f>EXP(-LN(2)/25)*EB113+(1-EXP(-LN(2)/25))/(LN(2)/25)*Calculateur!DW114*Calculateur!DY114*VLOOKUP('Données projet'!$B$14,Paramètres!$A$1:$I$89,3,0)*0.475*44/12</f>
        <v>0</v>
      </c>
      <c r="EC114" s="23">
        <f>EXP(-LN(2)/2)*EC113+(1-EXP(-LN(2)/2))/(LN(2)/2)*DW114*DZ114*VLOOKUP('Données projet'!$B$14,Paramètres!$A$1:$I$89,3,0)*0.475*44/12</f>
        <v>0</v>
      </c>
      <c r="ED114" s="24">
        <f t="shared" si="72"/>
        <v>0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3.3974358974359005</v>
      </c>
      <c r="EJ114" s="13">
        <f>IF('Données projet'!$A$192&gt;35,EJ113+EI114-ER113,IF(A114&lt;'Données projet'!$A$192,$EG$205^A114,IF(A114='Données projet'!$A$192,'Données projet'!$B$192,EJ113+EI114-ER113)))</f>
        <v>368.78205128205155</v>
      </c>
      <c r="EK114" s="18">
        <f>EJ114*VLOOKUP('Données projet'!$B$15,Paramètres!$A$1:$I$89,3,0)*VLOOKUP('Données projet'!$B$15,Paramètres!$A$1:$I$89,5,0)</f>
        <v>385.45100000000031</v>
      </c>
      <c r="EL114" s="14">
        <f t="shared" si="99"/>
        <v>88.820748650387245</v>
      </c>
      <c r="EM114" s="22">
        <f t="shared" si="73"/>
        <v>826.02329556609175</v>
      </c>
      <c r="EN114" s="62">
        <f t="shared" si="74"/>
        <v>1119.356628899425</v>
      </c>
      <c r="EO114" s="62">
        <f ca="1">AVERAGE(OFFSET($EN$3,0,0,'Données projet'!$E$15+1,1))-AVERAGE(OFFSET($H$3,0,0,'Données projet'!$E$15+1,1))</f>
        <v>595.89992279024398</v>
      </c>
      <c r="EP114" s="62">
        <f t="shared" si="100"/>
        <v>378.16197659288338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>
        <f>EXP(-LN(2)/35)*EV113+(1-EXP(-LN(2)/35))/(LN(2)/35)*ER114*ES114*VLOOKUP('Données projet'!$B$15,Paramètres!$A$1:$I$89,3,0)*0.475*44/12</f>
        <v>0</v>
      </c>
      <c r="EW114" s="23">
        <f>EXP(-LN(2)/25)*EW113+(1-EXP(-LN(2)/25))/(LN(2)/25)*Calculateur!ER114*Calculateur!ET114*VLOOKUP('Données projet'!$B$15,Paramètres!$A$1:$I$89,3,0)*0.475*44/12</f>
        <v>0</v>
      </c>
      <c r="EX114" s="23">
        <f>EXP(-LN(2)/2)*EX113+(1-EXP(-LN(2)/2))/(LN(2)/2)*ER114*EU114*VLOOKUP('Données projet'!$B$15,Paramètres!$A$1:$I$89,3,0)*0.475*44/12</f>
        <v>0</v>
      </c>
      <c r="EY114" s="24">
        <f t="shared" si="75"/>
        <v>0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-2.2737367544323206E-13</v>
      </c>
      <c r="FF114" s="18">
        <f>FE114*VLOOKUP('Données projet'!$B$16,Paramètres!$A$1:$I$89,3,0)*VLOOKUP('Données projet'!$B$16,Paramètres!$A$1:$I$89,5,0)</f>
        <v>-1.3596945791505279E-13</v>
      </c>
      <c r="FG114" s="14" t="e">
        <f t="shared" si="101"/>
        <v>#NUM!</v>
      </c>
      <c r="FH114" s="22" t="e">
        <f t="shared" si="76"/>
        <v>#NUM!</v>
      </c>
      <c r="FI114" s="62" t="e">
        <f t="shared" si="77"/>
        <v>#NUM!</v>
      </c>
      <c r="FJ114" s="62">
        <f ca="1">AVERAGE(OFFSET($FI$3,0,0,'Données projet'!$E$16+1,1))-AVERAGE(OFFSET($H$3,0,0,'Données projet'!$E$16+1,1))</f>
        <v>257.56116197646924</v>
      </c>
      <c r="FK114" s="62">
        <f t="shared" si="102"/>
        <v>269.95556918835888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>
        <f>EXP(-LN(2)/35)*FQ113+(1-EXP(-LN(2)/35))/(LN(2)/35)*FM114*FN114*VLOOKUP('Données projet'!$B$16,Paramètres!$A$1:$I$89,3,0)*0.475*44/12</f>
        <v>2.9317778102518557</v>
      </c>
      <c r="FR114" s="23">
        <f>EXP(-LN(2)/25)*FR113+(1-EXP(-LN(2)/25))/(LN(2)/25)*Calculateur!FM114*Calculateur!FO114*VLOOKUP('Données projet'!$B$16,Paramètres!$A$1:$I$89,3,0)*0.475*44/12</f>
        <v>1.7086339285779926</v>
      </c>
      <c r="FS114" s="23">
        <f>EXP(-LN(2)/2)*FS113+(1-EXP(-LN(2)/2))/(LN(2)/2)*FM114*FP114*VLOOKUP('Données projet'!$B$16,Paramètres!$A$1:$I$89,3,0)*0.475*44/12</f>
        <v>5.501215486687159E-12</v>
      </c>
      <c r="FT114" s="24">
        <f t="shared" si="78"/>
        <v>4.6404117388353496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-2.8421709430404007E-13</v>
      </c>
      <c r="GA114" s="18">
        <f>FZ114*VLOOKUP('Données projet'!$B$17,Paramètres!$A$1:$I$89,3,0)*VLOOKUP('Données projet'!$B$17,Paramètres!$A$1:$I$89,5,0)</f>
        <v>-1.69961822393816E-13</v>
      </c>
      <c r="GB114" s="14" t="e">
        <f t="shared" si="103"/>
        <v>#NUM!</v>
      </c>
      <c r="GC114" s="22" t="e">
        <f t="shared" si="79"/>
        <v>#NUM!</v>
      </c>
      <c r="GD114" s="62" t="e">
        <f t="shared" si="80"/>
        <v>#NUM!</v>
      </c>
      <c r="GE114" s="62">
        <f ca="1">AVERAGE(OFFSET($GD$3,0,0,'Données projet'!$E$17+1,1))-AVERAGE(OFFSET($H$3,0,0,'Données projet'!$E$17+1,1))</f>
        <v>289.12367833861299</v>
      </c>
      <c r="GF114" s="62">
        <f t="shared" si="104"/>
        <v>229.06617320689003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>
        <f>EXP(-LN(2)/35)*GL113+(1-EXP(-LN(2)/35))/(LN(2)/35)*GH114*GI114*VLOOKUP('Données projet'!$B$17,Paramètres!$A$1:$I$89,3,0)*0.475*44/12</f>
        <v>0</v>
      </c>
      <c r="GM114" s="23">
        <f>EXP(-LN(2)/25)*GM113+(1-EXP(-LN(2)/25))/(LN(2)/25)*Calculateur!GH114*Calculateur!GJ114*VLOOKUP('Données projet'!$B$17,Paramètres!$A$1:$I$89,3,0)*0.475*44/12</f>
        <v>0</v>
      </c>
      <c r="GN114" s="23">
        <f>EXP(-LN(2)/2)*GN113+(1-EXP(-LN(2)/2))/(LN(2)/2)*GH114*GK114*VLOOKUP('Données projet'!$B$17,Paramètres!$A$1:$I$89,3,0)*0.475*44/12</f>
        <v>2.6668705724060067E-12</v>
      </c>
      <c r="GO114" s="23">
        <f t="shared" si="81"/>
        <v>2.6668705724060067E-12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7.0935897435897362</v>
      </c>
      <c r="GU114" s="13">
        <f>IF('Données projet'!$A$270&gt;35,GU113+GT114-HC113,IF(A114&lt;'Données projet'!$A$270,$GR$205^A114,IF(A114='Données projet'!$A$270,'Données projet'!$B$270,GU113+GT114-HC113)))</f>
        <v>346.73333333333335</v>
      </c>
      <c r="GV114" s="18">
        <f>GU114*VLOOKUP('Données projet'!$B$18,Paramètres!$A$1:$I$89,3,0)*VLOOKUP('Données projet'!$B$18,Paramètres!$A$1:$I$89,5,0)</f>
        <v>162.27119999999999</v>
      </c>
      <c r="GW114" s="14">
        <f t="shared" si="105"/>
        <v>41.354369909446504</v>
      </c>
      <c r="GX114" s="22">
        <f t="shared" si="82"/>
        <v>354.64786759228599</v>
      </c>
      <c r="GY114" s="62">
        <f t="shared" si="83"/>
        <v>647.98120092561931</v>
      </c>
      <c r="GZ114" s="62">
        <f ca="1">AVERAGE(OFFSET($GY$3,0,0,'Données projet'!$E$18+1,1))-AVERAGE(OFFSET($H$3,0,0,'Données projet'!$E$18+1,1))</f>
        <v>284.88646502866419</v>
      </c>
      <c r="HA114" s="62">
        <f t="shared" si="106"/>
        <v>190.4880882944471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>
        <f>EXP(-LN(2)/35)*HG113+(1-EXP(-LN(2)/35))/(LN(2)/35)*HC114*HD114*VLOOKUP('Données projet'!$B$18,Paramètres!$A$1:$I$89,3,0)*0.475*44/12</f>
        <v>0</v>
      </c>
      <c r="HH114" s="23">
        <f>EXP(-LN(2)/25)*HH113+(1-EXP(-LN(2)/25))/(LN(2)/25)*Calculateur!HC114*Calculateur!HE114*VLOOKUP('Données projet'!$B$18,Paramètres!$A$1:$I$89,3,0)*0.475*44/12</f>
        <v>0</v>
      </c>
      <c r="HI114" s="23">
        <f>EXP(-LN(2)/2)*HI113+(1-EXP(-LN(2)/2))/(LN(2)/2)*HC114*HF114*VLOOKUP('Données projet'!$B$18,Paramètres!$A$1:$I$89,3,0)*0.475*44/12</f>
        <v>0</v>
      </c>
      <c r="HJ114" s="24">
        <f t="shared" si="84"/>
        <v>0</v>
      </c>
    </row>
    <row r="115" spans="1:218" s="5" customFormat="1" x14ac:dyDescent="0.25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2">
        <f t="shared" si="86"/>
        <v>0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0</v>
      </c>
      <c r="H115" s="70">
        <f t="shared" si="56"/>
        <v>256.66666666666669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2.8846153846153841</v>
      </c>
      <c r="N115" s="14">
        <f>IF('Données projet'!$A$36&gt;35,N114+M115-V114,IF(A115&lt;'Données projet'!$A$36,$K$205^A115,IF(A115='Données projet'!$A$36,'Données projet'!$B$36,N114+M115-V114)))</f>
        <v>258.97435897435906</v>
      </c>
      <c r="O115" s="14">
        <f>N115*VLOOKUP('Données projet'!$B$9,Paramètres!$A$1:$I$89,3,0)*VLOOKUP('Données projet'!$B$9,Paramètres!$A$1:$I$89,5,0)</f>
        <v>246.44000000000011</v>
      </c>
      <c r="P115" s="14">
        <f t="shared" si="87"/>
        <v>59.822985272492645</v>
      </c>
      <c r="Q115" s="22">
        <f t="shared" si="107"/>
        <v>533.40803268292484</v>
      </c>
      <c r="R115" s="62">
        <f t="shared" si="55"/>
        <v>826.7413660162581</v>
      </c>
      <c r="S115" s="62">
        <f ca="1">AVERAGE(OFFSET($R$3,0,0,'Données projet'!$E$9+1,1))-AVERAGE(OFFSET($H$3,0,0,'Données projet'!$E$9+1,1))</f>
        <v>367.11183928586667</v>
      </c>
      <c r="T115" s="62">
        <f t="shared" si="88"/>
        <v>281.52963027844595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0</v>
      </c>
      <c r="AA115" s="23">
        <f>EXP(-LN(2)/25)*AA114+(1-EXP(-LN(2)/25))/(LN(2)/25)*Calculateur!V115*Calculateur!X115*VLOOKUP('Données projet'!$B$9,Paramètres!$A$1:$I$89,3,0)*0.475*44/12</f>
        <v>0</v>
      </c>
      <c r="AB115" s="23">
        <f>EXP(-LN(2)/2)*AB114+(1-EXP(-LN(2)/2))/(LN(2)/2)*V115*Y115*VLOOKUP('Données projet'!$B$9,Paramètres!$A$1:$I$89,3,0)*0.475*44/12</f>
        <v>0</v>
      </c>
      <c r="AC115" s="24">
        <f t="shared" si="57"/>
        <v>0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3.7</v>
      </c>
      <c r="AI115" s="14">
        <f>IF('Données projet'!$A$62&gt;35,AI114+AH115-AQ114,IF(A115&lt;'Données projet'!$A$62,$AF$205^A115,IF(A115='Données projet'!$A$62,'Données projet'!$B$62,AI114+AH115-AQ114)))</f>
        <v>273.39999999999958</v>
      </c>
      <c r="AJ115" s="14">
        <f>AI115*VLOOKUP('Données projet'!$B$10,Paramètres!$A$1:$I$89,3,0)*VLOOKUP('Données projet'!$B$10,Paramètres!$A$1:$I$89,5,0)</f>
        <v>247.3723199999996</v>
      </c>
      <c r="AK115" s="14">
        <f t="shared" si="89"/>
        <v>60.022917171130942</v>
      </c>
      <c r="AL115" s="22">
        <f t="shared" si="58"/>
        <v>535.38003807305233</v>
      </c>
      <c r="AM115" s="62">
        <f t="shared" si="59"/>
        <v>828.7133714063857</v>
      </c>
      <c r="AN115" s="62">
        <f ca="1">AVERAGE(OFFSET($AM$3,0,0,'Données projet'!$E$10+1,1))-AVERAGE(OFFSET($H$3,0,0,'Données projet'!$E$10+1,1))</f>
        <v>428.8489304403459</v>
      </c>
      <c r="AO115" s="62">
        <f t="shared" si="90"/>
        <v>247.01165577562966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0</v>
      </c>
      <c r="AV115" s="23">
        <f>EXP(-LN(2)/25)*AV114+(1-EXP(-LN(2)/25))/(LN(2)/25)*Calculateur!AQ115*Calculateur!AS115*VLOOKUP('Données projet'!$B$10,Paramètres!$A$1:$I$89,3,0)*0.475*44/12</f>
        <v>0</v>
      </c>
      <c r="AW115" s="23">
        <f>EXP(-LN(2)/2)*AW114+(1-EXP(-LN(2)/2))/(LN(2)/2)*AQ115*AT115*VLOOKUP('Données projet'!$B$10,Paramètres!$A$1:$I$89,3,0)*0.475*44/12</f>
        <v>0</v>
      </c>
      <c r="AX115" s="23">
        <f t="shared" si="60"/>
        <v>0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3.7</v>
      </c>
      <c r="BD115" s="13">
        <f>IF('Données projet'!$A$88&gt;35,BD114+BC115-BL114,IF(A115&lt;'Données projet'!$A$88,$BA$205^A115,IF(A115='Données projet'!$A$88,'Données projet'!$B$88,BD114+BC115-BL114)))</f>
        <v>273.39999999999958</v>
      </c>
      <c r="BE115" s="14">
        <f>BD115*VLOOKUP('Données projet'!$B$11,Paramètres!$A$1:$I$89,3,0)*VLOOKUP('Données projet'!$B$11,Paramètres!$A$1:$I$89,5,0)</f>
        <v>277.2275999999996</v>
      </c>
      <c r="BF115" s="14">
        <f t="shared" si="91"/>
        <v>66.380782187895392</v>
      </c>
      <c r="BG115" s="22">
        <f t="shared" si="61"/>
        <v>598.45126564391705</v>
      </c>
      <c r="BH115" s="62">
        <f t="shared" si="62"/>
        <v>891.78459897725043</v>
      </c>
      <c r="BI115" s="62">
        <f ca="1">AVERAGE(OFFSET($BH$3,0,0,'Données projet'!$E$11+1,1))-AVERAGE(OFFSET($H$3,0,0,'Données projet'!$E$11+1,1))</f>
        <v>475.47920969424894</v>
      </c>
      <c r="BJ115" s="62">
        <f t="shared" si="92"/>
        <v>271.73544012419364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>
        <f>EXP(-LN(2)/35)*BP114+(1-EXP(-LN(2)/35))/(LN(2)/35)*BL115*BM115*VLOOKUP('Données projet'!$B$11,Paramètres!$A$1:$I$89,3,0)*0.475*44/12</f>
        <v>0</v>
      </c>
      <c r="BQ115" s="23">
        <f>EXP(-LN(2)/25)*BQ114+(1-EXP(-LN(2)/25))/(LN(2)/25)*Calculateur!BL115*Calculateur!BN115*VLOOKUP('Données projet'!$B$11,Paramètres!$A$1:$I$89,3,0)*0.475*44/12</f>
        <v>0</v>
      </c>
      <c r="BR115" s="23">
        <f>EXP(-LN(2)/2)*BR114+(1-EXP(-LN(2)/2))/(LN(2)/2)*BL115*BO115*VLOOKUP('Données projet'!$B$11,Paramètres!$A$1:$I$89,3,0)*0.475*44/12</f>
        <v>0</v>
      </c>
      <c r="BS115" s="24">
        <f t="shared" si="63"/>
        <v>0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2.2737367544323206E-13</v>
      </c>
      <c r="BZ115" s="14">
        <f>BY115*VLOOKUP('Données projet'!$B$12,Paramètres!$A$1:$I$89,3,0)*VLOOKUP('Données projet'!$B$12,Paramètres!$A$1:$I$89,5,0)</f>
        <v>1.2710188457276673E-13</v>
      </c>
      <c r="CA115" s="14">
        <f t="shared" si="93"/>
        <v>1.856866851063998E-12</v>
      </c>
      <c r="CB115" s="22">
        <f t="shared" si="64"/>
        <v>3.4554122145673649E-12</v>
      </c>
      <c r="CC115" s="62">
        <f t="shared" si="65"/>
        <v>293.33333333333678</v>
      </c>
      <c r="CD115" s="62">
        <f ca="1">AVERAGE(OFFSET($CC$3,0,0,'Données projet'!$E$12+1,1))-AVERAGE(OFFSET($H$3,0,0,'Données projet'!$E$12+1,1))</f>
        <v>323.98185264074681</v>
      </c>
      <c r="CE115" s="62">
        <f t="shared" si="94"/>
        <v>301.22207291854005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>
        <f>EXP(-LN(2)/35)*CK114+(1-EXP(-LN(2)/35))/(LN(2)/35)*CG115*CH115*VLOOKUP('Données projet'!$B$12,Paramètres!$A$1:$I$89,3,0)*0.475*44/12</f>
        <v>0.87961076323192655</v>
      </c>
      <c r="CL115" s="23">
        <f>EXP(-LN(2)/25)*CL114+(1-EXP(-LN(2)/25))/(LN(2)/25)*Calculateur!CG115*Calculateur!CI115*VLOOKUP('Données projet'!$B$12,Paramètres!$A$1:$I$89,3,0)*0.475*44/12</f>
        <v>0.84905023763862608</v>
      </c>
      <c r="CM115" s="23">
        <f>EXP(-LN(2)/2)*CM114+(1-EXP(-LN(2)/2))/(LN(2)/2)*CG115*CJ115*VLOOKUP('Données projet'!$B$12,Paramètres!$A$1:$I$89,3,0)*0.475*44/12</f>
        <v>2.7684141876388915E-12</v>
      </c>
      <c r="CN115" s="24">
        <f t="shared" si="66"/>
        <v>1.7286610008733212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2.8</v>
      </c>
      <c r="CT115" s="13">
        <f>IF('Données projet'!$A$140&gt;35,CT114+CS115-DB114,IF(A115&lt;'Données projet'!$A$140,$CQ$205^A115,IF(A115='Données projet'!$A$140,'Données projet'!$B$140,CT114+CS115-DB114)))</f>
        <v>211.5999999999998</v>
      </c>
      <c r="CU115" s="18">
        <f>CT115*VLOOKUP('Données projet'!$B$13,Paramètres!$A$1:$I$89,3,0)*VLOOKUP('Données projet'!$B$13,Paramètres!$A$1:$I$89,5,0)</f>
        <v>240.97007999999977</v>
      </c>
      <c r="CV115" s="14">
        <f t="shared" si="95"/>
        <v>58.648198893942315</v>
      </c>
      <c r="CW115" s="22">
        <f t="shared" si="67"/>
        <v>521.8351690736157</v>
      </c>
      <c r="CX115" s="62">
        <f t="shared" si="68"/>
        <v>815.16850240694907</v>
      </c>
      <c r="CY115" s="62">
        <f ca="1">AVERAGE(OFFSET($CX$3,0,0,'Données projet'!$E$13+1,1))-AVERAGE(OFFSET($H$3,0,0,'Données projet'!$E$13+1,1))</f>
        <v>399.78832690250164</v>
      </c>
      <c r="CZ115" s="62">
        <f t="shared" si="96"/>
        <v>174.32967064896343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>
        <f>EXP(-LN(2)/35)*DF114+(1-EXP(-LN(2)/35))/(LN(2)/35)*DB115*DC115*VLOOKUP('Données projet'!$B$13,Paramètres!$A$1:$I$89,3,0)*0.475*44/12</f>
        <v>0</v>
      </c>
      <c r="DG115" s="23">
        <f>EXP(-LN(2)/25)*DG114+(1-EXP(-LN(2)/25))/(LN(2)/25)*Calculateur!DB115*Calculateur!DD115*VLOOKUP('Données projet'!$B$13,Paramètres!$A$1:$I$89,3,0)*0.475*44/12</f>
        <v>0</v>
      </c>
      <c r="DH115" s="23">
        <f>EXP(-LN(2)/2)*DH114+(1-EXP(-LN(2)/2))/(LN(2)/2)*DB115*DE115*VLOOKUP('Données projet'!$B$13,Paramètres!$A$1:$I$89,3,0)*0.475*44/12</f>
        <v>0</v>
      </c>
      <c r="DI115" s="24">
        <f t="shared" si="69"/>
        <v>0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3.7</v>
      </c>
      <c r="DO115" s="13">
        <f>IF('Données projet'!$A$166&gt;35,DO114+DN115-DW114,IF(A115&lt;'Données projet'!$A$166,$DL$205^A115,IF(A115='Données projet'!$A$166,'Données projet'!$B$166,DO114+DN115-DW114)))</f>
        <v>273.39999999999958</v>
      </c>
      <c r="DP115" s="18">
        <f>DO115*VLOOKUP('Données projet'!$B$14,Paramètres!$A$1:$I$89,3,0)*VLOOKUP('Données projet'!$B$14,Paramètres!$A$1:$I$89,5,0)</f>
        <v>230.31215999999969</v>
      </c>
      <c r="DQ115" s="14">
        <f t="shared" si="97"/>
        <v>56.350172492598332</v>
      </c>
      <c r="DR115" s="22">
        <f t="shared" si="70"/>
        <v>499.27022909127487</v>
      </c>
      <c r="DS115" s="62">
        <f t="shared" si="71"/>
        <v>792.60356242460819</v>
      </c>
      <c r="DT115" s="62">
        <f ca="1">AVERAGE(OFFSET($DS$3,0,0,'Données projet'!$E$14+1,1))-AVERAGE(OFFSET($H$3,0,0,'Données projet'!$E$14+1,1))</f>
        <v>402.15128814037058</v>
      </c>
      <c r="DU115" s="62">
        <f t="shared" si="98"/>
        <v>232.85411068442738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>
        <f>EXP(-LN(2)/35)*EA114+(1-EXP(-LN(2)/35))/(LN(2)/35)*DW115*DX115*VLOOKUP('Données projet'!$B$14,Paramètres!$A$1:$I$89,3,0)*0.475*44/12</f>
        <v>0</v>
      </c>
      <c r="EB115" s="23">
        <f>EXP(-LN(2)/25)*EB114+(1-EXP(-LN(2)/25))/(LN(2)/25)*Calculateur!DW115*Calculateur!DY115*VLOOKUP('Données projet'!$B$14,Paramètres!$A$1:$I$89,3,0)*0.475*44/12</f>
        <v>0</v>
      </c>
      <c r="EC115" s="23">
        <f>EXP(-LN(2)/2)*EC114+(1-EXP(-LN(2)/2))/(LN(2)/2)*DW115*DZ115*VLOOKUP('Données projet'!$B$14,Paramètres!$A$1:$I$89,3,0)*0.475*44/12</f>
        <v>0</v>
      </c>
      <c r="ED115" s="24">
        <f t="shared" si="72"/>
        <v>0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3.3974358974359005</v>
      </c>
      <c r="EJ115" s="13">
        <f>IF('Données projet'!$A$192&gt;35,EJ114+EI115-ER114,IF(A115&lt;'Données projet'!$A$192,$EG$205^A115,IF(A115='Données projet'!$A$192,'Données projet'!$B$192,EJ114+EI115-ER114)))</f>
        <v>372.17948717948747</v>
      </c>
      <c r="EK115" s="18">
        <f>EJ115*VLOOKUP('Données projet'!$B$15,Paramètres!$A$1:$I$89,3,0)*VLOOKUP('Données projet'!$B$15,Paramètres!$A$1:$I$89,5,0)</f>
        <v>389.00200000000035</v>
      </c>
      <c r="EL115" s="14">
        <f t="shared" si="99"/>
        <v>89.543384508286877</v>
      </c>
      <c r="EM115" s="22">
        <f t="shared" si="73"/>
        <v>833.46654468526685</v>
      </c>
      <c r="EN115" s="62">
        <f t="shared" si="74"/>
        <v>1126.7998780186001</v>
      </c>
      <c r="EO115" s="62">
        <f ca="1">AVERAGE(OFFSET($EN$3,0,0,'Données projet'!$E$15+1,1))-AVERAGE(OFFSET($H$3,0,0,'Données projet'!$E$15+1,1))</f>
        <v>595.89992279024398</v>
      </c>
      <c r="EP115" s="62">
        <f t="shared" si="100"/>
        <v>378.16197659288338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>
        <f>EXP(-LN(2)/35)*EV114+(1-EXP(-LN(2)/35))/(LN(2)/35)*ER115*ES115*VLOOKUP('Données projet'!$B$15,Paramètres!$A$1:$I$89,3,0)*0.475*44/12</f>
        <v>0</v>
      </c>
      <c r="EW115" s="23">
        <f>EXP(-LN(2)/25)*EW114+(1-EXP(-LN(2)/25))/(LN(2)/25)*Calculateur!ER115*Calculateur!ET115*VLOOKUP('Données projet'!$B$15,Paramètres!$A$1:$I$89,3,0)*0.475*44/12</f>
        <v>0</v>
      </c>
      <c r="EX115" s="23">
        <f>EXP(-LN(2)/2)*EX114+(1-EXP(-LN(2)/2))/(LN(2)/2)*ER115*EU115*VLOOKUP('Données projet'!$B$15,Paramètres!$A$1:$I$89,3,0)*0.475*44/12</f>
        <v>0</v>
      </c>
      <c r="EY115" s="24">
        <f t="shared" si="75"/>
        <v>0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-2.2737367544323206E-13</v>
      </c>
      <c r="FF115" s="18">
        <f>FE115*VLOOKUP('Données projet'!$B$16,Paramètres!$A$1:$I$89,3,0)*VLOOKUP('Données projet'!$B$16,Paramètres!$A$1:$I$89,5,0)</f>
        <v>-1.3596945791505279E-13</v>
      </c>
      <c r="FG115" s="14" t="e">
        <f t="shared" si="101"/>
        <v>#NUM!</v>
      </c>
      <c r="FH115" s="22" t="e">
        <f t="shared" si="76"/>
        <v>#NUM!</v>
      </c>
      <c r="FI115" s="62" t="e">
        <f t="shared" si="77"/>
        <v>#NUM!</v>
      </c>
      <c r="FJ115" s="62">
        <f ca="1">AVERAGE(OFFSET($FI$3,0,0,'Données projet'!$E$16+1,1))-AVERAGE(OFFSET($H$3,0,0,'Données projet'!$E$16+1,1))</f>
        <v>257.56116197646924</v>
      </c>
      <c r="FK115" s="62">
        <f t="shared" si="102"/>
        <v>269.95556918835888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>
        <f>EXP(-LN(2)/35)*FQ114+(1-EXP(-LN(2)/35))/(LN(2)/35)*FM115*FN115*VLOOKUP('Données projet'!$B$16,Paramètres!$A$1:$I$89,3,0)*0.475*44/12</f>
        <v>2.87428743560071</v>
      </c>
      <c r="FR115" s="23">
        <f>EXP(-LN(2)/25)*FR114+(1-EXP(-LN(2)/25))/(LN(2)/25)*Calculateur!FM115*Calculateur!FO115*VLOOKUP('Données projet'!$B$16,Paramètres!$A$1:$I$89,3,0)*0.475*44/12</f>
        <v>1.6619112439478743</v>
      </c>
      <c r="FS115" s="23">
        <f>EXP(-LN(2)/2)*FS114+(1-EXP(-LN(2)/2))/(LN(2)/2)*FM115*FP115*VLOOKUP('Données projet'!$B$16,Paramètres!$A$1:$I$89,3,0)*0.475*44/12</f>
        <v>3.8899467754049434E-12</v>
      </c>
      <c r="FT115" s="24">
        <f t="shared" si="78"/>
        <v>4.5361986795524745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-2.8421709430404007E-13</v>
      </c>
      <c r="GA115" s="18">
        <f>FZ115*VLOOKUP('Données projet'!$B$17,Paramètres!$A$1:$I$89,3,0)*VLOOKUP('Données projet'!$B$17,Paramètres!$A$1:$I$89,5,0)</f>
        <v>-1.69961822393816E-13</v>
      </c>
      <c r="GB115" s="14" t="e">
        <f t="shared" si="103"/>
        <v>#NUM!</v>
      </c>
      <c r="GC115" s="22" t="e">
        <f t="shared" si="79"/>
        <v>#NUM!</v>
      </c>
      <c r="GD115" s="62" t="e">
        <f t="shared" si="80"/>
        <v>#NUM!</v>
      </c>
      <c r="GE115" s="62">
        <f ca="1">AVERAGE(OFFSET($GD$3,0,0,'Données projet'!$E$17+1,1))-AVERAGE(OFFSET($H$3,0,0,'Données projet'!$E$17+1,1))</f>
        <v>289.12367833861299</v>
      </c>
      <c r="GF115" s="62">
        <f t="shared" si="104"/>
        <v>229.06617320689003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>
        <f>EXP(-LN(2)/35)*GL114+(1-EXP(-LN(2)/35))/(LN(2)/35)*GH115*GI115*VLOOKUP('Données projet'!$B$17,Paramètres!$A$1:$I$89,3,0)*0.475*44/12</f>
        <v>0</v>
      </c>
      <c r="GM115" s="23">
        <f>EXP(-LN(2)/25)*GM114+(1-EXP(-LN(2)/25))/(LN(2)/25)*Calculateur!GH115*Calculateur!GJ115*VLOOKUP('Données projet'!$B$17,Paramètres!$A$1:$I$89,3,0)*0.475*44/12</f>
        <v>0</v>
      </c>
      <c r="GN115" s="23">
        <f>EXP(-LN(2)/2)*GN114+(1-EXP(-LN(2)/2))/(LN(2)/2)*GH115*GK115*VLOOKUP('Données projet'!$B$17,Paramètres!$A$1:$I$89,3,0)*0.475*44/12</f>
        <v>1.8857622662951369E-12</v>
      </c>
      <c r="GO115" s="23">
        <f t="shared" si="81"/>
        <v>1.8857622662951369E-12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7.0935897435897362</v>
      </c>
      <c r="GU115" s="13">
        <f>IF('Données projet'!$A$270&gt;35,GU114+GT115-HC114,IF(A115&lt;'Données projet'!$A$270,$GR$205^A115,IF(A115='Données projet'!$A$270,'Données projet'!$B$270,GU114+GT115-HC114)))</f>
        <v>353.82692307692309</v>
      </c>
      <c r="GV115" s="18">
        <f>GU115*VLOOKUP('Données projet'!$B$18,Paramètres!$A$1:$I$89,3,0)*VLOOKUP('Données projet'!$B$18,Paramètres!$A$1:$I$89,5,0)</f>
        <v>165.59100000000001</v>
      </c>
      <c r="GW115" s="14">
        <f t="shared" si="105"/>
        <v>42.101049147412809</v>
      </c>
      <c r="GX115" s="22">
        <f t="shared" si="82"/>
        <v>361.73031893174402</v>
      </c>
      <c r="GY115" s="62">
        <f t="shared" si="83"/>
        <v>655.06365226507728</v>
      </c>
      <c r="GZ115" s="62">
        <f ca="1">AVERAGE(OFFSET($GY$3,0,0,'Données projet'!$E$18+1,1))-AVERAGE(OFFSET($H$3,0,0,'Données projet'!$E$18+1,1))</f>
        <v>284.88646502866419</v>
      </c>
      <c r="HA115" s="62">
        <f t="shared" si="106"/>
        <v>190.4880882944471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>
        <f>EXP(-LN(2)/35)*HG114+(1-EXP(-LN(2)/35))/(LN(2)/35)*HC115*HD115*VLOOKUP('Données projet'!$B$18,Paramètres!$A$1:$I$89,3,0)*0.475*44/12</f>
        <v>0</v>
      </c>
      <c r="HH115" s="23">
        <f>EXP(-LN(2)/25)*HH114+(1-EXP(-LN(2)/25))/(LN(2)/25)*Calculateur!HC115*Calculateur!HE115*VLOOKUP('Données projet'!$B$18,Paramètres!$A$1:$I$89,3,0)*0.475*44/12</f>
        <v>0</v>
      </c>
      <c r="HI115" s="23">
        <f>EXP(-LN(2)/2)*HI114+(1-EXP(-LN(2)/2))/(LN(2)/2)*HC115*HF115*VLOOKUP('Données projet'!$B$18,Paramètres!$A$1:$I$89,3,0)*0.475*44/12</f>
        <v>0</v>
      </c>
      <c r="HJ115" s="24">
        <f t="shared" si="84"/>
        <v>0</v>
      </c>
    </row>
    <row r="116" spans="1:218" s="5" customFormat="1" x14ac:dyDescent="0.25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2">
        <f t="shared" si="86"/>
        <v>0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0</v>
      </c>
      <c r="H116" s="70">
        <f t="shared" si="56"/>
        <v>256.66666666666669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2.8846153846153841</v>
      </c>
      <c r="N116" s="14">
        <f>IF('Données projet'!$A$36&gt;35,N115+M116-V115,IF(A116&lt;'Données projet'!$A$36,$K$205^A116,IF(A116='Données projet'!$A$36,'Données projet'!$B$36,N115+M116-V115)))</f>
        <v>261.85897435897442</v>
      </c>
      <c r="O116" s="14">
        <f>N116*VLOOKUP('Données projet'!$B$9,Paramètres!$A$1:$I$89,3,0)*VLOOKUP('Données projet'!$B$9,Paramètres!$A$1:$I$89,5,0)</f>
        <v>249.18500000000006</v>
      </c>
      <c r="P116" s="14">
        <f t="shared" si="87"/>
        <v>60.411387716360778</v>
      </c>
      <c r="Q116" s="22">
        <f t="shared" si="107"/>
        <v>539.21370860599507</v>
      </c>
      <c r="R116" s="62">
        <f t="shared" si="55"/>
        <v>832.54704193932844</v>
      </c>
      <c r="S116" s="62">
        <f ca="1">AVERAGE(OFFSET($R$3,0,0,'Données projet'!$E$9+1,1))-AVERAGE(OFFSET($H$3,0,0,'Données projet'!$E$9+1,1))</f>
        <v>367.11183928586667</v>
      </c>
      <c r="T116" s="62">
        <f t="shared" si="88"/>
        <v>281.52963027844595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0</v>
      </c>
      <c r="AA116" s="23">
        <f>EXP(-LN(2)/25)*AA115+(1-EXP(-LN(2)/25))/(LN(2)/25)*Calculateur!V116*Calculateur!X116*VLOOKUP('Données projet'!$B$9,Paramètres!$A$1:$I$89,3,0)*0.475*44/12</f>
        <v>0</v>
      </c>
      <c r="AB116" s="23">
        <f>EXP(-LN(2)/2)*AB115+(1-EXP(-LN(2)/2))/(LN(2)/2)*V116*Y116*VLOOKUP('Données projet'!$B$9,Paramètres!$A$1:$I$89,3,0)*0.475*44/12</f>
        <v>0</v>
      </c>
      <c r="AC116" s="24">
        <f t="shared" si="57"/>
        <v>0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3.7</v>
      </c>
      <c r="AI116" s="14">
        <f>IF('Données projet'!$A$62&gt;35,AI115+AH116-AQ115,IF(A116&lt;'Données projet'!$A$62,$AF$205^A116,IF(A116='Données projet'!$A$62,'Données projet'!$B$62,AI115+AH116-AQ115)))</f>
        <v>277.09999999999957</v>
      </c>
      <c r="AJ116" s="14">
        <f>AI116*VLOOKUP('Données projet'!$B$10,Paramètres!$A$1:$I$89,3,0)*VLOOKUP('Données projet'!$B$10,Paramètres!$A$1:$I$89,5,0)</f>
        <v>250.7200799999996</v>
      </c>
      <c r="AK116" s="14">
        <f t="shared" si="89"/>
        <v>60.740109326032709</v>
      </c>
      <c r="AL116" s="22">
        <f t="shared" si="58"/>
        <v>542.45982974283959</v>
      </c>
      <c r="AM116" s="62">
        <f t="shared" si="59"/>
        <v>835.79316307617296</v>
      </c>
      <c r="AN116" s="62">
        <f ca="1">AVERAGE(OFFSET($AM$3,0,0,'Données projet'!$E$10+1,1))-AVERAGE(OFFSET($H$3,0,0,'Données projet'!$E$10+1,1))</f>
        <v>428.8489304403459</v>
      </c>
      <c r="AO116" s="62">
        <f t="shared" si="90"/>
        <v>247.01165577562966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0</v>
      </c>
      <c r="AV116" s="23">
        <f>EXP(-LN(2)/25)*AV115+(1-EXP(-LN(2)/25))/(LN(2)/25)*Calculateur!AQ116*Calculateur!AS116*VLOOKUP('Données projet'!$B$10,Paramètres!$A$1:$I$89,3,0)*0.475*44/12</f>
        <v>0</v>
      </c>
      <c r="AW116" s="23">
        <f>EXP(-LN(2)/2)*AW115+(1-EXP(-LN(2)/2))/(LN(2)/2)*AQ116*AT116*VLOOKUP('Données projet'!$B$10,Paramètres!$A$1:$I$89,3,0)*0.475*44/12</f>
        <v>0</v>
      </c>
      <c r="AX116" s="23">
        <f t="shared" si="60"/>
        <v>0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3.7</v>
      </c>
      <c r="BD116" s="13">
        <f>IF('Données projet'!$A$88&gt;35,BD115+BC116-BL115,IF(A116&lt;'Données projet'!$A$88,$BA$205^A116,IF(A116='Données projet'!$A$88,'Données projet'!$B$88,BD115+BC116-BL115)))</f>
        <v>277.09999999999957</v>
      </c>
      <c r="BE116" s="14">
        <f>BD116*VLOOKUP('Données projet'!$B$11,Paramètres!$A$1:$I$89,3,0)*VLOOKUP('Données projet'!$B$11,Paramètres!$A$1:$I$89,5,0)</f>
        <v>280.9793999999996</v>
      </c>
      <c r="BF116" s="14">
        <f t="shared" si="91"/>
        <v>67.173942175199358</v>
      </c>
      <c r="BG116" s="22">
        <f t="shared" si="61"/>
        <v>606.36707095513827</v>
      </c>
      <c r="BH116" s="62">
        <f t="shared" si="62"/>
        <v>899.70040428847165</v>
      </c>
      <c r="BI116" s="62">
        <f ca="1">AVERAGE(OFFSET($BH$3,0,0,'Données projet'!$E$11+1,1))-AVERAGE(OFFSET($H$3,0,0,'Données projet'!$E$11+1,1))</f>
        <v>475.47920969424894</v>
      </c>
      <c r="BJ116" s="62">
        <f t="shared" si="92"/>
        <v>271.73544012419364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>
        <f>EXP(-LN(2)/35)*BP115+(1-EXP(-LN(2)/35))/(LN(2)/35)*BL116*BM116*VLOOKUP('Données projet'!$B$11,Paramètres!$A$1:$I$89,3,0)*0.475*44/12</f>
        <v>0</v>
      </c>
      <c r="BQ116" s="23">
        <f>EXP(-LN(2)/25)*BQ115+(1-EXP(-LN(2)/25))/(LN(2)/25)*Calculateur!BL116*Calculateur!BN116*VLOOKUP('Données projet'!$B$11,Paramètres!$A$1:$I$89,3,0)*0.475*44/12</f>
        <v>0</v>
      </c>
      <c r="BR116" s="23">
        <f>EXP(-LN(2)/2)*BR115+(1-EXP(-LN(2)/2))/(LN(2)/2)*BL116*BO116*VLOOKUP('Données projet'!$B$11,Paramètres!$A$1:$I$89,3,0)*0.475*44/12</f>
        <v>0</v>
      </c>
      <c r="BS116" s="24">
        <f t="shared" si="63"/>
        <v>0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2.2737367544323206E-13</v>
      </c>
      <c r="BZ116" s="14">
        <f>BY116*VLOOKUP('Données projet'!$B$12,Paramètres!$A$1:$I$89,3,0)*VLOOKUP('Données projet'!$B$12,Paramètres!$A$1:$I$89,5,0)</f>
        <v>1.2710188457276673E-13</v>
      </c>
      <c r="CA116" s="14">
        <f t="shared" si="93"/>
        <v>1.856866851063998E-12</v>
      </c>
      <c r="CB116" s="22">
        <f t="shared" si="64"/>
        <v>3.4554122145673649E-12</v>
      </c>
      <c r="CC116" s="62">
        <f t="shared" si="65"/>
        <v>293.33333333333678</v>
      </c>
      <c r="CD116" s="62">
        <f ca="1">AVERAGE(OFFSET($CC$3,0,0,'Données projet'!$E$12+1,1))-AVERAGE(OFFSET($H$3,0,0,'Données projet'!$E$12+1,1))</f>
        <v>323.98185264074681</v>
      </c>
      <c r="CE116" s="62">
        <f t="shared" si="94"/>
        <v>301.22207291854005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>
        <f>EXP(-LN(2)/35)*CK115+(1-EXP(-LN(2)/35))/(LN(2)/35)*CG116*CH116*VLOOKUP('Données projet'!$B$12,Paramètres!$A$1:$I$89,3,0)*0.475*44/12</f>
        <v>0.8623621326745381</v>
      </c>
      <c r="CL116" s="23">
        <f>EXP(-LN(2)/25)*CL115+(1-EXP(-LN(2)/25))/(LN(2)/25)*Calculateur!CG116*Calculateur!CI116*VLOOKUP('Données projet'!$B$12,Paramètres!$A$1:$I$89,3,0)*0.475*44/12</f>
        <v>0.82583291424078642</v>
      </c>
      <c r="CM116" s="23">
        <f>EXP(-LN(2)/2)*CM115+(1-EXP(-LN(2)/2))/(LN(2)/2)*CG116*CJ116*VLOOKUP('Données projet'!$B$12,Paramètres!$A$1:$I$89,3,0)*0.475*44/12</f>
        <v>1.9575644452125074E-12</v>
      </c>
      <c r="CN116" s="24">
        <f t="shared" si="66"/>
        <v>1.6881950469172819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2.8</v>
      </c>
      <c r="CT116" s="13">
        <f>IF('Données projet'!$A$140&gt;35,CT115+CS116-DB115,IF(A116&lt;'Données projet'!$A$140,$CQ$205^A116,IF(A116='Données projet'!$A$140,'Données projet'!$B$140,CT115+CS116-DB115)))</f>
        <v>214.39999999999981</v>
      </c>
      <c r="CU116" s="18">
        <f>CT116*VLOOKUP('Données projet'!$B$13,Paramètres!$A$1:$I$89,3,0)*VLOOKUP('Données projet'!$B$13,Paramètres!$A$1:$I$89,5,0)</f>
        <v>244.15871999999979</v>
      </c>
      <c r="CV116" s="14">
        <f t="shared" si="95"/>
        <v>59.333402749839735</v>
      </c>
      <c r="CW116" s="22">
        <f t="shared" si="67"/>
        <v>528.58211378930378</v>
      </c>
      <c r="CX116" s="62">
        <f t="shared" si="68"/>
        <v>821.91544712263703</v>
      </c>
      <c r="CY116" s="62">
        <f ca="1">AVERAGE(OFFSET($CX$3,0,0,'Données projet'!$E$13+1,1))-AVERAGE(OFFSET($H$3,0,0,'Données projet'!$E$13+1,1))</f>
        <v>399.78832690250164</v>
      </c>
      <c r="CZ116" s="62">
        <f t="shared" si="96"/>
        <v>174.32967064896343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>
        <f>EXP(-LN(2)/35)*DF115+(1-EXP(-LN(2)/35))/(LN(2)/35)*DB116*DC116*VLOOKUP('Données projet'!$B$13,Paramètres!$A$1:$I$89,3,0)*0.475*44/12</f>
        <v>0</v>
      </c>
      <c r="DG116" s="23">
        <f>EXP(-LN(2)/25)*DG115+(1-EXP(-LN(2)/25))/(LN(2)/25)*Calculateur!DB116*Calculateur!DD116*VLOOKUP('Données projet'!$B$13,Paramètres!$A$1:$I$89,3,0)*0.475*44/12</f>
        <v>0</v>
      </c>
      <c r="DH116" s="23">
        <f>EXP(-LN(2)/2)*DH115+(1-EXP(-LN(2)/2))/(LN(2)/2)*DB116*DE116*VLOOKUP('Données projet'!$B$13,Paramètres!$A$1:$I$89,3,0)*0.475*44/12</f>
        <v>0</v>
      </c>
      <c r="DI116" s="24">
        <f t="shared" si="69"/>
        <v>0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3.7</v>
      </c>
      <c r="DO116" s="13">
        <f>IF('Données projet'!$A$166&gt;35,DO115+DN116-DW115,IF(A116&lt;'Données projet'!$A$166,$DL$205^A116,IF(A116='Données projet'!$A$166,'Données projet'!$B$166,DO115+DN116-DW115)))</f>
        <v>277.09999999999957</v>
      </c>
      <c r="DP116" s="18">
        <f>DO116*VLOOKUP('Données projet'!$B$14,Paramètres!$A$1:$I$89,3,0)*VLOOKUP('Données projet'!$B$14,Paramètres!$A$1:$I$89,5,0)</f>
        <v>233.42903999999967</v>
      </c>
      <c r="DQ116" s="14">
        <f t="shared" si="97"/>
        <v>57.023480348060083</v>
      </c>
      <c r="DR116" s="22">
        <f t="shared" si="70"/>
        <v>505.87147293953734</v>
      </c>
      <c r="DS116" s="62">
        <f t="shared" si="71"/>
        <v>799.20480627287066</v>
      </c>
      <c r="DT116" s="62">
        <f ca="1">AVERAGE(OFFSET($DS$3,0,0,'Données projet'!$E$14+1,1))-AVERAGE(OFFSET($H$3,0,0,'Données projet'!$E$14+1,1))</f>
        <v>402.15128814037058</v>
      </c>
      <c r="DU116" s="62">
        <f t="shared" si="98"/>
        <v>232.85411068442738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>
        <f>EXP(-LN(2)/35)*EA115+(1-EXP(-LN(2)/35))/(LN(2)/35)*DW116*DX116*VLOOKUP('Données projet'!$B$14,Paramètres!$A$1:$I$89,3,0)*0.475*44/12</f>
        <v>0</v>
      </c>
      <c r="EB116" s="23">
        <f>EXP(-LN(2)/25)*EB115+(1-EXP(-LN(2)/25))/(LN(2)/25)*Calculateur!DW116*Calculateur!DY116*VLOOKUP('Données projet'!$B$14,Paramètres!$A$1:$I$89,3,0)*0.475*44/12</f>
        <v>0</v>
      </c>
      <c r="EC116" s="23">
        <f>EXP(-LN(2)/2)*EC115+(1-EXP(-LN(2)/2))/(LN(2)/2)*DW116*DZ116*VLOOKUP('Données projet'!$B$14,Paramètres!$A$1:$I$89,3,0)*0.475*44/12</f>
        <v>0</v>
      </c>
      <c r="ED116" s="24">
        <f t="shared" si="72"/>
        <v>0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3.3974358974359005</v>
      </c>
      <c r="EJ116" s="13">
        <f>IF('Données projet'!$A$192&gt;35,EJ115+EI116-ER115,IF(A116&lt;'Données projet'!$A$192,$EG$205^A116,IF(A116='Données projet'!$A$192,'Données projet'!$B$192,EJ115+EI116-ER115)))</f>
        <v>375.57692307692338</v>
      </c>
      <c r="EK116" s="18">
        <f>EJ116*VLOOKUP('Données projet'!$B$15,Paramètres!$A$1:$I$89,3,0)*VLOOKUP('Données projet'!$B$15,Paramètres!$A$1:$I$89,5,0)</f>
        <v>392.5530000000004</v>
      </c>
      <c r="EL116" s="14">
        <f t="shared" si="99"/>
        <v>90.265252921656369</v>
      </c>
      <c r="EM116" s="22">
        <f t="shared" si="73"/>
        <v>840.90845717188552</v>
      </c>
      <c r="EN116" s="62">
        <f t="shared" si="74"/>
        <v>1134.2417905052189</v>
      </c>
      <c r="EO116" s="62">
        <f ca="1">AVERAGE(OFFSET($EN$3,0,0,'Données projet'!$E$15+1,1))-AVERAGE(OFFSET($H$3,0,0,'Données projet'!$E$15+1,1))</f>
        <v>595.89992279024398</v>
      </c>
      <c r="EP116" s="62">
        <f t="shared" si="100"/>
        <v>378.16197659288338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>
        <f>EXP(-LN(2)/35)*EV115+(1-EXP(-LN(2)/35))/(LN(2)/35)*ER116*ES116*VLOOKUP('Données projet'!$B$15,Paramètres!$A$1:$I$89,3,0)*0.475*44/12</f>
        <v>0</v>
      </c>
      <c r="EW116" s="23">
        <f>EXP(-LN(2)/25)*EW115+(1-EXP(-LN(2)/25))/(LN(2)/25)*Calculateur!ER116*Calculateur!ET116*VLOOKUP('Données projet'!$B$15,Paramètres!$A$1:$I$89,3,0)*0.475*44/12</f>
        <v>0</v>
      </c>
      <c r="EX116" s="23">
        <f>EXP(-LN(2)/2)*EX115+(1-EXP(-LN(2)/2))/(LN(2)/2)*ER116*EU116*VLOOKUP('Données projet'!$B$15,Paramètres!$A$1:$I$89,3,0)*0.475*44/12</f>
        <v>0</v>
      </c>
      <c r="EY116" s="24">
        <f t="shared" si="75"/>
        <v>0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-2.2737367544323206E-13</v>
      </c>
      <c r="FF116" s="18">
        <f>FE116*VLOOKUP('Données projet'!$B$16,Paramètres!$A$1:$I$89,3,0)*VLOOKUP('Données projet'!$B$16,Paramètres!$A$1:$I$89,5,0)</f>
        <v>-1.3596945791505279E-13</v>
      </c>
      <c r="FG116" s="14" t="e">
        <f t="shared" si="101"/>
        <v>#NUM!</v>
      </c>
      <c r="FH116" s="22" t="e">
        <f t="shared" si="76"/>
        <v>#NUM!</v>
      </c>
      <c r="FI116" s="62" t="e">
        <f t="shared" si="77"/>
        <v>#NUM!</v>
      </c>
      <c r="FJ116" s="62">
        <f ca="1">AVERAGE(OFFSET($FI$3,0,0,'Données projet'!$E$16+1,1))-AVERAGE(OFFSET($H$3,0,0,'Données projet'!$E$16+1,1))</f>
        <v>257.56116197646924</v>
      </c>
      <c r="FK116" s="62">
        <f t="shared" si="102"/>
        <v>269.95556918835888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>
        <f>EXP(-LN(2)/35)*FQ115+(1-EXP(-LN(2)/35))/(LN(2)/35)*FM116*FN116*VLOOKUP('Données projet'!$B$16,Paramètres!$A$1:$I$89,3,0)*0.475*44/12</f>
        <v>2.8179244121308074</v>
      </c>
      <c r="FR116" s="23">
        <f>EXP(-LN(2)/25)*FR115+(1-EXP(-LN(2)/25))/(LN(2)/25)*Calculateur!FM116*Calculateur!FO116*VLOOKUP('Données projet'!$B$16,Paramètres!$A$1:$I$89,3,0)*0.475*44/12</f>
        <v>1.6164661935860056</v>
      </c>
      <c r="FS116" s="23">
        <f>EXP(-LN(2)/2)*FS115+(1-EXP(-LN(2)/2))/(LN(2)/2)*FM116*FP116*VLOOKUP('Données projet'!$B$16,Paramètres!$A$1:$I$89,3,0)*0.475*44/12</f>
        <v>2.7506077433435795E-12</v>
      </c>
      <c r="FT116" s="24">
        <f t="shared" si="78"/>
        <v>4.4343906057195639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-2.8421709430404007E-13</v>
      </c>
      <c r="GA116" s="18">
        <f>FZ116*VLOOKUP('Données projet'!$B$17,Paramètres!$A$1:$I$89,3,0)*VLOOKUP('Données projet'!$B$17,Paramètres!$A$1:$I$89,5,0)</f>
        <v>-1.69961822393816E-13</v>
      </c>
      <c r="GB116" s="14" t="e">
        <f t="shared" si="103"/>
        <v>#NUM!</v>
      </c>
      <c r="GC116" s="22" t="e">
        <f t="shared" si="79"/>
        <v>#NUM!</v>
      </c>
      <c r="GD116" s="62" t="e">
        <f t="shared" si="80"/>
        <v>#NUM!</v>
      </c>
      <c r="GE116" s="62">
        <f ca="1">AVERAGE(OFFSET($GD$3,0,0,'Données projet'!$E$17+1,1))-AVERAGE(OFFSET($H$3,0,0,'Données projet'!$E$17+1,1))</f>
        <v>289.12367833861299</v>
      </c>
      <c r="GF116" s="62">
        <f t="shared" si="104"/>
        <v>229.06617320689003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>
        <f>EXP(-LN(2)/35)*GL115+(1-EXP(-LN(2)/35))/(LN(2)/35)*GH116*GI116*VLOOKUP('Données projet'!$B$17,Paramètres!$A$1:$I$89,3,0)*0.475*44/12</f>
        <v>0</v>
      </c>
      <c r="GM116" s="23">
        <f>EXP(-LN(2)/25)*GM115+(1-EXP(-LN(2)/25))/(LN(2)/25)*Calculateur!GH116*Calculateur!GJ116*VLOOKUP('Données projet'!$B$17,Paramètres!$A$1:$I$89,3,0)*0.475*44/12</f>
        <v>0</v>
      </c>
      <c r="GN116" s="23">
        <f>EXP(-LN(2)/2)*GN115+(1-EXP(-LN(2)/2))/(LN(2)/2)*GH116*GK116*VLOOKUP('Données projet'!$B$17,Paramètres!$A$1:$I$89,3,0)*0.475*44/12</f>
        <v>1.3334352862030033E-12</v>
      </c>
      <c r="GO116" s="23">
        <f t="shared" si="81"/>
        <v>1.3334352862030033E-12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7.0935897435897362</v>
      </c>
      <c r="GU116" s="13">
        <f>IF('Données projet'!$A$270&gt;35,GU115+GT116-HC115,IF(A116&lt;'Données projet'!$A$270,$GR$205^A116,IF(A116='Données projet'!$A$270,'Données projet'!$B$270,GU115+GT116-HC115)))</f>
        <v>360.92051282051284</v>
      </c>
      <c r="GV116" s="18">
        <f>GU116*VLOOKUP('Données projet'!$B$18,Paramètres!$A$1:$I$89,3,0)*VLOOKUP('Données projet'!$B$18,Paramètres!$A$1:$I$89,5,0)</f>
        <v>168.91079999999999</v>
      </c>
      <c r="GW116" s="14">
        <f t="shared" si="105"/>
        <v>42.845987835941031</v>
      </c>
      <c r="GX116" s="22">
        <f t="shared" si="82"/>
        <v>368.80973881426394</v>
      </c>
      <c r="GY116" s="62">
        <f t="shared" si="83"/>
        <v>662.14307214759719</v>
      </c>
      <c r="GZ116" s="62">
        <f ca="1">AVERAGE(OFFSET($GY$3,0,0,'Données projet'!$E$18+1,1))-AVERAGE(OFFSET($H$3,0,0,'Données projet'!$E$18+1,1))</f>
        <v>284.88646502866419</v>
      </c>
      <c r="HA116" s="62">
        <f t="shared" si="106"/>
        <v>190.4880882944471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>
        <f>EXP(-LN(2)/35)*HG115+(1-EXP(-LN(2)/35))/(LN(2)/35)*HC116*HD116*VLOOKUP('Données projet'!$B$18,Paramètres!$A$1:$I$89,3,0)*0.475*44/12</f>
        <v>0</v>
      </c>
      <c r="HH116" s="23">
        <f>EXP(-LN(2)/25)*HH115+(1-EXP(-LN(2)/25))/(LN(2)/25)*Calculateur!HC116*Calculateur!HE116*VLOOKUP('Données projet'!$B$18,Paramètres!$A$1:$I$89,3,0)*0.475*44/12</f>
        <v>0</v>
      </c>
      <c r="HI116" s="23">
        <f>EXP(-LN(2)/2)*HI115+(1-EXP(-LN(2)/2))/(LN(2)/2)*HC116*HF116*VLOOKUP('Données projet'!$B$18,Paramètres!$A$1:$I$89,3,0)*0.475*44/12</f>
        <v>0</v>
      </c>
      <c r="HJ116" s="24">
        <f t="shared" si="84"/>
        <v>0</v>
      </c>
    </row>
    <row r="117" spans="1:218" s="5" customFormat="1" x14ac:dyDescent="0.25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2">
        <f t="shared" si="86"/>
        <v>0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0</v>
      </c>
      <c r="H117" s="70">
        <f t="shared" si="56"/>
        <v>256.66666666666669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2.8846153846153841</v>
      </c>
      <c r="N117" s="14">
        <f>IF('Données projet'!$A$36&gt;35,N116+M117-V116,IF(A117&lt;'Données projet'!$A$36,$K$205^A117,IF(A117='Données projet'!$A$36,'Données projet'!$B$36,N116+M117-V116)))</f>
        <v>264.74358974358978</v>
      </c>
      <c r="O117" s="14">
        <f>N117*VLOOKUP('Données projet'!$B$9,Paramètres!$A$1:$I$89,3,0)*VLOOKUP('Données projet'!$B$9,Paramètres!$A$1:$I$89,5,0)</f>
        <v>251.93000000000004</v>
      </c>
      <c r="P117" s="14">
        <f t="shared" si="87"/>
        <v>60.999036147317533</v>
      </c>
      <c r="Q117" s="22">
        <f t="shared" si="107"/>
        <v>545.0180712899114</v>
      </c>
      <c r="R117" s="62">
        <f t="shared" si="55"/>
        <v>838.35140462324466</v>
      </c>
      <c r="S117" s="62">
        <f ca="1">AVERAGE(OFFSET($R$3,0,0,'Données projet'!$E$9+1,1))-AVERAGE(OFFSET($H$3,0,0,'Données projet'!$E$9+1,1))</f>
        <v>367.11183928586667</v>
      </c>
      <c r="T117" s="62">
        <f t="shared" si="88"/>
        <v>281.52963027844595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0</v>
      </c>
      <c r="AA117" s="23">
        <f>EXP(-LN(2)/25)*AA116+(1-EXP(-LN(2)/25))/(LN(2)/25)*Calculateur!V117*Calculateur!X117*VLOOKUP('Données projet'!$B$9,Paramètres!$A$1:$I$89,3,0)*0.475*44/12</f>
        <v>0</v>
      </c>
      <c r="AB117" s="23">
        <f>EXP(-LN(2)/2)*AB116+(1-EXP(-LN(2)/2))/(LN(2)/2)*V117*Y117*VLOOKUP('Données projet'!$B$9,Paramètres!$A$1:$I$89,3,0)*0.475*44/12</f>
        <v>0</v>
      </c>
      <c r="AC117" s="24">
        <f t="shared" si="57"/>
        <v>0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3.7</v>
      </c>
      <c r="AI117" s="14">
        <f>IF('Données projet'!$A$62&gt;35,AI116+AH117-AQ116,IF(A117&lt;'Données projet'!$A$62,$AF$205^A117,IF(A117='Données projet'!$A$62,'Données projet'!$B$62,AI116+AH117-AQ116)))</f>
        <v>280.79999999999956</v>
      </c>
      <c r="AJ117" s="14">
        <f>AI117*VLOOKUP('Données projet'!$B$10,Paramètres!$A$1:$I$89,3,0)*VLOOKUP('Données projet'!$B$10,Paramètres!$A$1:$I$89,5,0)</f>
        <v>254.06783999999956</v>
      </c>
      <c r="AK117" s="14">
        <f t="shared" si="89"/>
        <v>61.456187622750669</v>
      </c>
      <c r="AL117" s="22">
        <f t="shared" si="58"/>
        <v>549.53768144295657</v>
      </c>
      <c r="AM117" s="62">
        <f t="shared" si="59"/>
        <v>842.87101477628994</v>
      </c>
      <c r="AN117" s="62">
        <f ca="1">AVERAGE(OFFSET($AM$3,0,0,'Données projet'!$E$10+1,1))-AVERAGE(OFFSET($H$3,0,0,'Données projet'!$E$10+1,1))</f>
        <v>428.8489304403459</v>
      </c>
      <c r="AO117" s="62">
        <f t="shared" si="90"/>
        <v>247.01165577562966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0</v>
      </c>
      <c r="AV117" s="23">
        <f>EXP(-LN(2)/25)*AV116+(1-EXP(-LN(2)/25))/(LN(2)/25)*Calculateur!AQ117*Calculateur!AS117*VLOOKUP('Données projet'!$B$10,Paramètres!$A$1:$I$89,3,0)*0.475*44/12</f>
        <v>0</v>
      </c>
      <c r="AW117" s="23">
        <f>EXP(-LN(2)/2)*AW116+(1-EXP(-LN(2)/2))/(LN(2)/2)*AQ117*AT117*VLOOKUP('Données projet'!$B$10,Paramètres!$A$1:$I$89,3,0)*0.475*44/12</f>
        <v>0</v>
      </c>
      <c r="AX117" s="23">
        <f t="shared" si="60"/>
        <v>0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3.7</v>
      </c>
      <c r="BD117" s="13">
        <f>IF('Données projet'!$A$88&gt;35,BD116+BC117-BL116,IF(A117&lt;'Données projet'!$A$88,$BA$205^A117,IF(A117='Données projet'!$A$88,'Données projet'!$B$88,BD116+BC117-BL116)))</f>
        <v>280.79999999999956</v>
      </c>
      <c r="BE117" s="14">
        <f>BD117*VLOOKUP('Données projet'!$B$11,Paramètres!$A$1:$I$89,3,0)*VLOOKUP('Données projet'!$B$11,Paramètres!$A$1:$I$89,5,0)</f>
        <v>284.7311999999996</v>
      </c>
      <c r="BF117" s="14">
        <f t="shared" si="91"/>
        <v>67.965870320050882</v>
      </c>
      <c r="BG117" s="22">
        <f t="shared" si="61"/>
        <v>614.28073080742126</v>
      </c>
      <c r="BH117" s="62">
        <f t="shared" si="62"/>
        <v>907.61406414075464</v>
      </c>
      <c r="BI117" s="62">
        <f ca="1">AVERAGE(OFFSET($BH$3,0,0,'Données projet'!$E$11+1,1))-AVERAGE(OFFSET($H$3,0,0,'Données projet'!$E$11+1,1))</f>
        <v>475.47920969424894</v>
      </c>
      <c r="BJ117" s="62">
        <f t="shared" si="92"/>
        <v>271.73544012419364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>
        <f>EXP(-LN(2)/35)*BP116+(1-EXP(-LN(2)/35))/(LN(2)/35)*BL117*BM117*VLOOKUP('Données projet'!$B$11,Paramètres!$A$1:$I$89,3,0)*0.475*44/12</f>
        <v>0</v>
      </c>
      <c r="BQ117" s="23">
        <f>EXP(-LN(2)/25)*BQ116+(1-EXP(-LN(2)/25))/(LN(2)/25)*Calculateur!BL117*Calculateur!BN117*VLOOKUP('Données projet'!$B$11,Paramètres!$A$1:$I$89,3,0)*0.475*44/12</f>
        <v>0</v>
      </c>
      <c r="BR117" s="23">
        <f>EXP(-LN(2)/2)*BR116+(1-EXP(-LN(2)/2))/(LN(2)/2)*BL117*BO117*VLOOKUP('Données projet'!$B$11,Paramètres!$A$1:$I$89,3,0)*0.475*44/12</f>
        <v>0</v>
      </c>
      <c r="BS117" s="24">
        <f t="shared" si="63"/>
        <v>0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2.2737367544323206E-13</v>
      </c>
      <c r="BZ117" s="14">
        <f>BY117*VLOOKUP('Données projet'!$B$12,Paramètres!$A$1:$I$89,3,0)*VLOOKUP('Données projet'!$B$12,Paramètres!$A$1:$I$89,5,0)</f>
        <v>1.2710188457276673E-13</v>
      </c>
      <c r="CA117" s="14">
        <f t="shared" si="93"/>
        <v>1.856866851063998E-12</v>
      </c>
      <c r="CB117" s="22">
        <f t="shared" si="64"/>
        <v>3.4554122145673649E-12</v>
      </c>
      <c r="CC117" s="62">
        <f t="shared" si="65"/>
        <v>293.33333333333678</v>
      </c>
      <c r="CD117" s="62">
        <f ca="1">AVERAGE(OFFSET($CC$3,0,0,'Données projet'!$E$12+1,1))-AVERAGE(OFFSET($H$3,0,0,'Données projet'!$E$12+1,1))</f>
        <v>323.98185264074681</v>
      </c>
      <c r="CE117" s="62">
        <f t="shared" si="94"/>
        <v>301.22207291854005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>
        <f>EXP(-LN(2)/35)*CK116+(1-EXP(-LN(2)/35))/(LN(2)/35)*CG117*CH117*VLOOKUP('Données projet'!$B$12,Paramètres!$A$1:$I$89,3,0)*0.475*44/12</f>
        <v>0.84545173724175426</v>
      </c>
      <c r="CL117" s="23">
        <f>EXP(-LN(2)/25)*CL116+(1-EXP(-LN(2)/25))/(LN(2)/25)*Calculateur!CG117*Calculateur!CI117*VLOOKUP('Données projet'!$B$12,Paramètres!$A$1:$I$89,3,0)*0.475*44/12</f>
        <v>0.8032504697722066</v>
      </c>
      <c r="CM117" s="23">
        <f>EXP(-LN(2)/2)*CM116+(1-EXP(-LN(2)/2))/(LN(2)/2)*CG117*CJ117*VLOOKUP('Données projet'!$B$12,Paramètres!$A$1:$I$89,3,0)*0.475*44/12</f>
        <v>1.3842070938194458E-12</v>
      </c>
      <c r="CN117" s="24">
        <f t="shared" si="66"/>
        <v>1.648702207015345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2.8</v>
      </c>
      <c r="CT117" s="13">
        <f>IF('Données projet'!$A$140&gt;35,CT116+CS117-DB116,IF(A117&lt;'Données projet'!$A$140,$CQ$205^A117,IF(A117='Données projet'!$A$140,'Données projet'!$B$140,CT116+CS117-DB116)))</f>
        <v>217.19999999999982</v>
      </c>
      <c r="CU117" s="18">
        <f>CT117*VLOOKUP('Données projet'!$B$13,Paramètres!$A$1:$I$89,3,0)*VLOOKUP('Données projet'!$B$13,Paramètres!$A$1:$I$89,5,0)</f>
        <v>247.34735999999981</v>
      </c>
      <c r="CV117" s="14">
        <f t="shared" si="95"/>
        <v>60.017565753622286</v>
      </c>
      <c r="CW117" s="22">
        <f t="shared" si="67"/>
        <v>535.3272456875585</v>
      </c>
      <c r="CX117" s="62">
        <f t="shared" si="68"/>
        <v>828.66057902089187</v>
      </c>
      <c r="CY117" s="62">
        <f ca="1">AVERAGE(OFFSET($CX$3,0,0,'Données projet'!$E$13+1,1))-AVERAGE(OFFSET($H$3,0,0,'Données projet'!$E$13+1,1))</f>
        <v>399.78832690250164</v>
      </c>
      <c r="CZ117" s="62">
        <f t="shared" si="96"/>
        <v>174.32967064896343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>
        <f>EXP(-LN(2)/35)*DF116+(1-EXP(-LN(2)/35))/(LN(2)/35)*DB117*DC117*VLOOKUP('Données projet'!$B$13,Paramètres!$A$1:$I$89,3,0)*0.475*44/12</f>
        <v>0</v>
      </c>
      <c r="DG117" s="23">
        <f>EXP(-LN(2)/25)*DG116+(1-EXP(-LN(2)/25))/(LN(2)/25)*Calculateur!DB117*Calculateur!DD117*VLOOKUP('Données projet'!$B$13,Paramètres!$A$1:$I$89,3,0)*0.475*44/12</f>
        <v>0</v>
      </c>
      <c r="DH117" s="23">
        <f>EXP(-LN(2)/2)*DH116+(1-EXP(-LN(2)/2))/(LN(2)/2)*DB117*DE117*VLOOKUP('Données projet'!$B$13,Paramètres!$A$1:$I$89,3,0)*0.475*44/12</f>
        <v>0</v>
      </c>
      <c r="DI117" s="24">
        <f t="shared" si="69"/>
        <v>0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3.7</v>
      </c>
      <c r="DO117" s="13">
        <f>IF('Données projet'!$A$166&gt;35,DO116+DN117-DW116,IF(A117&lt;'Données projet'!$A$166,$DL$205^A117,IF(A117='Données projet'!$A$166,'Données projet'!$B$166,DO116+DN117-DW116)))</f>
        <v>280.79999999999956</v>
      </c>
      <c r="DP117" s="18">
        <f>DO117*VLOOKUP('Données projet'!$B$14,Paramètres!$A$1:$I$89,3,0)*VLOOKUP('Données projet'!$B$14,Paramètres!$A$1:$I$89,5,0)</f>
        <v>236.54591999999965</v>
      </c>
      <c r="DQ117" s="14">
        <f t="shared" si="97"/>
        <v>57.695742501250976</v>
      </c>
      <c r="DR117" s="22">
        <f t="shared" si="70"/>
        <v>512.47089552301156</v>
      </c>
      <c r="DS117" s="62">
        <f t="shared" si="71"/>
        <v>805.80422885634493</v>
      </c>
      <c r="DT117" s="62">
        <f ca="1">AVERAGE(OFFSET($DS$3,0,0,'Données projet'!$E$14+1,1))-AVERAGE(OFFSET($H$3,0,0,'Données projet'!$E$14+1,1))</f>
        <v>402.15128814037058</v>
      </c>
      <c r="DU117" s="62">
        <f t="shared" si="98"/>
        <v>232.85411068442738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>
        <f>EXP(-LN(2)/35)*EA116+(1-EXP(-LN(2)/35))/(LN(2)/35)*DW117*DX117*VLOOKUP('Données projet'!$B$14,Paramètres!$A$1:$I$89,3,0)*0.475*44/12</f>
        <v>0</v>
      </c>
      <c r="EB117" s="23">
        <f>EXP(-LN(2)/25)*EB116+(1-EXP(-LN(2)/25))/(LN(2)/25)*Calculateur!DW117*Calculateur!DY117*VLOOKUP('Données projet'!$B$14,Paramètres!$A$1:$I$89,3,0)*0.475*44/12</f>
        <v>0</v>
      </c>
      <c r="EC117" s="23">
        <f>EXP(-LN(2)/2)*EC116+(1-EXP(-LN(2)/2))/(LN(2)/2)*DW117*DZ117*VLOOKUP('Données projet'!$B$14,Paramètres!$A$1:$I$89,3,0)*0.475*44/12</f>
        <v>0</v>
      </c>
      <c r="ED117" s="24">
        <f t="shared" si="72"/>
        <v>0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3.3974358974359005</v>
      </c>
      <c r="EJ117" s="13">
        <f>IF('Données projet'!$A$192&gt;35,EJ116+EI117-ER116,IF(A117&lt;'Données projet'!$A$192,$EG$205^A117,IF(A117='Données projet'!$A$192,'Données projet'!$B$192,EJ116+EI117-ER116)))</f>
        <v>378.97435897435929</v>
      </c>
      <c r="EK117" s="18">
        <f>EJ117*VLOOKUP('Données projet'!$B$15,Paramètres!$A$1:$I$89,3,0)*VLOOKUP('Données projet'!$B$15,Paramètres!$A$1:$I$89,5,0)</f>
        <v>396.10400000000033</v>
      </c>
      <c r="EL117" s="14">
        <f t="shared" si="99"/>
        <v>90.986361636941226</v>
      </c>
      <c r="EM117" s="22">
        <f t="shared" si="73"/>
        <v>848.34904651767317</v>
      </c>
      <c r="EN117" s="62">
        <f t="shared" si="74"/>
        <v>1141.6823798510065</v>
      </c>
      <c r="EO117" s="62">
        <f ca="1">AVERAGE(OFFSET($EN$3,0,0,'Données projet'!$E$15+1,1))-AVERAGE(OFFSET($H$3,0,0,'Données projet'!$E$15+1,1))</f>
        <v>595.89992279024398</v>
      </c>
      <c r="EP117" s="62">
        <f t="shared" si="100"/>
        <v>378.16197659288338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>
        <f>EXP(-LN(2)/35)*EV116+(1-EXP(-LN(2)/35))/(LN(2)/35)*ER117*ES117*VLOOKUP('Données projet'!$B$15,Paramètres!$A$1:$I$89,3,0)*0.475*44/12</f>
        <v>0</v>
      </c>
      <c r="EW117" s="23">
        <f>EXP(-LN(2)/25)*EW116+(1-EXP(-LN(2)/25))/(LN(2)/25)*Calculateur!ER117*Calculateur!ET117*VLOOKUP('Données projet'!$B$15,Paramètres!$A$1:$I$89,3,0)*0.475*44/12</f>
        <v>0</v>
      </c>
      <c r="EX117" s="23">
        <f>EXP(-LN(2)/2)*EX116+(1-EXP(-LN(2)/2))/(LN(2)/2)*ER117*EU117*VLOOKUP('Données projet'!$B$15,Paramètres!$A$1:$I$89,3,0)*0.475*44/12</f>
        <v>0</v>
      </c>
      <c r="EY117" s="24">
        <f t="shared" si="75"/>
        <v>0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-2.2737367544323206E-13</v>
      </c>
      <c r="FF117" s="18">
        <f>FE117*VLOOKUP('Données projet'!$B$16,Paramètres!$A$1:$I$89,3,0)*VLOOKUP('Données projet'!$B$16,Paramètres!$A$1:$I$89,5,0)</f>
        <v>-1.3596945791505279E-13</v>
      </c>
      <c r="FG117" s="14" t="e">
        <f t="shared" si="101"/>
        <v>#NUM!</v>
      </c>
      <c r="FH117" s="22" t="e">
        <f t="shared" si="76"/>
        <v>#NUM!</v>
      </c>
      <c r="FI117" s="62" t="e">
        <f t="shared" si="77"/>
        <v>#NUM!</v>
      </c>
      <c r="FJ117" s="62">
        <f ca="1">AVERAGE(OFFSET($FI$3,0,0,'Données projet'!$E$16+1,1))-AVERAGE(OFFSET($H$3,0,0,'Données projet'!$E$16+1,1))</f>
        <v>257.56116197646924</v>
      </c>
      <c r="FK117" s="62">
        <f t="shared" si="102"/>
        <v>269.95556918835888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>
        <f>EXP(-LN(2)/35)*FQ116+(1-EXP(-LN(2)/35))/(LN(2)/35)*FM117*FN117*VLOOKUP('Données projet'!$B$16,Paramètres!$A$1:$I$89,3,0)*0.475*44/12</f>
        <v>2.7626666331730996</v>
      </c>
      <c r="FR117" s="23">
        <f>EXP(-LN(2)/25)*FR116+(1-EXP(-LN(2)/25))/(LN(2)/25)*Calculateur!FM117*Calculateur!FO117*VLOOKUP('Données projet'!$B$16,Paramètres!$A$1:$I$89,3,0)*0.475*44/12</f>
        <v>1.5722638405161338</v>
      </c>
      <c r="FS117" s="23">
        <f>EXP(-LN(2)/2)*FS116+(1-EXP(-LN(2)/2))/(LN(2)/2)*FM117*FP117*VLOOKUP('Données projet'!$B$16,Paramètres!$A$1:$I$89,3,0)*0.475*44/12</f>
        <v>1.9449733877024717E-12</v>
      </c>
      <c r="FT117" s="24">
        <f t="shared" si="78"/>
        <v>4.3349304736911787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-2.8421709430404007E-13</v>
      </c>
      <c r="GA117" s="18">
        <f>FZ117*VLOOKUP('Données projet'!$B$17,Paramètres!$A$1:$I$89,3,0)*VLOOKUP('Données projet'!$B$17,Paramètres!$A$1:$I$89,5,0)</f>
        <v>-1.69961822393816E-13</v>
      </c>
      <c r="GB117" s="14" t="e">
        <f t="shared" si="103"/>
        <v>#NUM!</v>
      </c>
      <c r="GC117" s="22" t="e">
        <f t="shared" si="79"/>
        <v>#NUM!</v>
      </c>
      <c r="GD117" s="62" t="e">
        <f t="shared" si="80"/>
        <v>#NUM!</v>
      </c>
      <c r="GE117" s="62">
        <f ca="1">AVERAGE(OFFSET($GD$3,0,0,'Données projet'!$E$17+1,1))-AVERAGE(OFFSET($H$3,0,0,'Données projet'!$E$17+1,1))</f>
        <v>289.12367833861299</v>
      </c>
      <c r="GF117" s="62">
        <f t="shared" si="104"/>
        <v>229.06617320689003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>
        <f>EXP(-LN(2)/35)*GL116+(1-EXP(-LN(2)/35))/(LN(2)/35)*GH117*GI117*VLOOKUP('Données projet'!$B$17,Paramètres!$A$1:$I$89,3,0)*0.475*44/12</f>
        <v>0</v>
      </c>
      <c r="GM117" s="23">
        <f>EXP(-LN(2)/25)*GM116+(1-EXP(-LN(2)/25))/(LN(2)/25)*Calculateur!GH117*Calculateur!GJ117*VLOOKUP('Données projet'!$B$17,Paramètres!$A$1:$I$89,3,0)*0.475*44/12</f>
        <v>0</v>
      </c>
      <c r="GN117" s="23">
        <f>EXP(-LN(2)/2)*GN116+(1-EXP(-LN(2)/2))/(LN(2)/2)*GH117*GK117*VLOOKUP('Données projet'!$B$17,Paramètres!$A$1:$I$89,3,0)*0.475*44/12</f>
        <v>9.4288113314756844E-13</v>
      </c>
      <c r="GO117" s="23">
        <f t="shared" si="81"/>
        <v>9.4288113314756844E-13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7.0935897435897362</v>
      </c>
      <c r="GU117" s="13">
        <f>IF('Données projet'!$A$270&gt;35,GU116+GT117-HC116,IF(A117&lt;'Données projet'!$A$270,$GR$205^A117,IF(A117='Données projet'!$A$270,'Données projet'!$B$270,GU116+GT117-HC116)))</f>
        <v>368.01410256410259</v>
      </c>
      <c r="GV117" s="18">
        <f>GU117*VLOOKUP('Données projet'!$B$18,Paramètres!$A$1:$I$89,3,0)*VLOOKUP('Données projet'!$B$18,Paramètres!$A$1:$I$89,5,0)</f>
        <v>172.23060000000001</v>
      </c>
      <c r="GW117" s="14">
        <f t="shared" si="105"/>
        <v>43.58922412730584</v>
      </c>
      <c r="GX117" s="22">
        <f t="shared" si="82"/>
        <v>375.88619368839096</v>
      </c>
      <c r="GY117" s="62">
        <f t="shared" si="83"/>
        <v>669.21952702172428</v>
      </c>
      <c r="GZ117" s="62">
        <f ca="1">AVERAGE(OFFSET($GY$3,0,0,'Données projet'!$E$18+1,1))-AVERAGE(OFFSET($H$3,0,0,'Données projet'!$E$18+1,1))</f>
        <v>284.88646502866419</v>
      </c>
      <c r="HA117" s="62">
        <f t="shared" si="106"/>
        <v>190.4880882944471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>
        <f>EXP(-LN(2)/35)*HG116+(1-EXP(-LN(2)/35))/(LN(2)/35)*HC117*HD117*VLOOKUP('Données projet'!$B$18,Paramètres!$A$1:$I$89,3,0)*0.475*44/12</f>
        <v>0</v>
      </c>
      <c r="HH117" s="23">
        <f>EXP(-LN(2)/25)*HH116+(1-EXP(-LN(2)/25))/(LN(2)/25)*Calculateur!HC117*Calculateur!HE117*VLOOKUP('Données projet'!$B$18,Paramètres!$A$1:$I$89,3,0)*0.475*44/12</f>
        <v>0</v>
      </c>
      <c r="HI117" s="23">
        <f>EXP(-LN(2)/2)*HI116+(1-EXP(-LN(2)/2))/(LN(2)/2)*HC117*HF117*VLOOKUP('Données projet'!$B$18,Paramètres!$A$1:$I$89,3,0)*0.475*44/12</f>
        <v>0</v>
      </c>
      <c r="HJ117" s="24">
        <f t="shared" si="84"/>
        <v>0</v>
      </c>
    </row>
    <row r="118" spans="1:218" s="5" customFormat="1" x14ac:dyDescent="0.25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2">
        <f t="shared" si="86"/>
        <v>0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0</v>
      </c>
      <c r="H118" s="70">
        <f t="shared" si="56"/>
        <v>256.66666666666669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2.8846153846153841</v>
      </c>
      <c r="N118" s="14">
        <f>IF('Données projet'!$A$36&gt;35,N117+M118-V117,IF(A118&lt;'Données projet'!$A$36,$K$205^A118,IF(A118='Données projet'!$A$36,'Données projet'!$B$36,N117+M118-V117)))</f>
        <v>267.62820512820514</v>
      </c>
      <c r="O118" s="14">
        <f>N118*VLOOKUP('Données projet'!$B$9,Paramètres!$A$1:$I$89,3,0)*VLOOKUP('Données projet'!$B$9,Paramètres!$A$1:$I$89,5,0)</f>
        <v>254.67500000000001</v>
      </c>
      <c r="P118" s="14">
        <f t="shared" si="87"/>
        <v>61.585939731850885</v>
      </c>
      <c r="Q118" s="22">
        <f t="shared" si="107"/>
        <v>550.82113669964031</v>
      </c>
      <c r="R118" s="62">
        <f t="shared" si="55"/>
        <v>844.15447003297368</v>
      </c>
      <c r="S118" s="62">
        <f ca="1">AVERAGE(OFFSET($R$3,0,0,'Données projet'!$E$9+1,1))-AVERAGE(OFFSET($H$3,0,0,'Données projet'!$E$9+1,1))</f>
        <v>367.11183928586667</v>
      </c>
      <c r="T118" s="62">
        <f t="shared" si="88"/>
        <v>281.52963027844595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0</v>
      </c>
      <c r="AA118" s="23">
        <f>EXP(-LN(2)/25)*AA117+(1-EXP(-LN(2)/25))/(LN(2)/25)*Calculateur!V118*Calculateur!X118*VLOOKUP('Données projet'!$B$9,Paramètres!$A$1:$I$89,3,0)*0.475*44/12</f>
        <v>0</v>
      </c>
      <c r="AB118" s="23">
        <f>EXP(-LN(2)/2)*AB117+(1-EXP(-LN(2)/2))/(LN(2)/2)*V118*Y118*VLOOKUP('Données projet'!$B$9,Paramètres!$A$1:$I$89,3,0)*0.475*44/12</f>
        <v>0</v>
      </c>
      <c r="AC118" s="24">
        <f t="shared" si="57"/>
        <v>0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3.7</v>
      </c>
      <c r="AI118" s="14">
        <f>IF('Données projet'!$A$62&gt;35,AI117+AH118-AQ117,IF(A118&lt;'Données projet'!$A$62,$AF$205^A118,IF(A118='Données projet'!$A$62,'Données projet'!$B$62,AI117+AH118-AQ117)))</f>
        <v>284.49999999999955</v>
      </c>
      <c r="AJ118" s="14">
        <f>AI118*VLOOKUP('Données projet'!$B$10,Paramètres!$A$1:$I$89,3,0)*VLOOKUP('Données projet'!$B$10,Paramètres!$A$1:$I$89,5,0)</f>
        <v>257.41559999999959</v>
      </c>
      <c r="AK118" s="14">
        <f t="shared" si="89"/>
        <v>62.171168434977062</v>
      </c>
      <c r="AL118" s="22">
        <f t="shared" si="58"/>
        <v>556.61362169091774</v>
      </c>
      <c r="AM118" s="62">
        <f t="shared" si="59"/>
        <v>849.94695502425111</v>
      </c>
      <c r="AN118" s="62">
        <f ca="1">AVERAGE(OFFSET($AM$3,0,0,'Données projet'!$E$10+1,1))-AVERAGE(OFFSET($H$3,0,0,'Données projet'!$E$10+1,1))</f>
        <v>428.8489304403459</v>
      </c>
      <c r="AO118" s="62">
        <f t="shared" si="90"/>
        <v>247.01165577562966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0</v>
      </c>
      <c r="AV118" s="23">
        <f>EXP(-LN(2)/25)*AV117+(1-EXP(-LN(2)/25))/(LN(2)/25)*Calculateur!AQ118*Calculateur!AS118*VLOOKUP('Données projet'!$B$10,Paramètres!$A$1:$I$89,3,0)*0.475*44/12</f>
        <v>0</v>
      </c>
      <c r="AW118" s="23">
        <f>EXP(-LN(2)/2)*AW117+(1-EXP(-LN(2)/2))/(LN(2)/2)*AQ118*AT118*VLOOKUP('Données projet'!$B$10,Paramètres!$A$1:$I$89,3,0)*0.475*44/12</f>
        <v>0</v>
      </c>
      <c r="AX118" s="23">
        <f t="shared" si="60"/>
        <v>0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3.7</v>
      </c>
      <c r="BD118" s="13">
        <f>IF('Données projet'!$A$88&gt;35,BD117+BC118-BL117,IF(A118&lt;'Données projet'!$A$88,$BA$205^A118,IF(A118='Données projet'!$A$88,'Données projet'!$B$88,BD117+BC118-BL117)))</f>
        <v>284.49999999999955</v>
      </c>
      <c r="BE118" s="14">
        <f>BD118*VLOOKUP('Données projet'!$B$11,Paramètres!$A$1:$I$89,3,0)*VLOOKUP('Données projet'!$B$11,Paramètres!$A$1:$I$89,5,0)</f>
        <v>288.48299999999955</v>
      </c>
      <c r="BF118" s="14">
        <f t="shared" si="91"/>
        <v>68.756584730508635</v>
      </c>
      <c r="BG118" s="22">
        <f t="shared" si="61"/>
        <v>622.19227673896842</v>
      </c>
      <c r="BH118" s="62">
        <f t="shared" si="62"/>
        <v>915.52561007230179</v>
      </c>
      <c r="BI118" s="62">
        <f ca="1">AVERAGE(OFFSET($BH$3,0,0,'Données projet'!$E$11+1,1))-AVERAGE(OFFSET($H$3,0,0,'Données projet'!$E$11+1,1))</f>
        <v>475.47920969424894</v>
      </c>
      <c r="BJ118" s="62">
        <f t="shared" si="92"/>
        <v>271.73544012419364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>
        <f>EXP(-LN(2)/35)*BP117+(1-EXP(-LN(2)/35))/(LN(2)/35)*BL118*BM118*VLOOKUP('Données projet'!$B$11,Paramètres!$A$1:$I$89,3,0)*0.475*44/12</f>
        <v>0</v>
      </c>
      <c r="BQ118" s="23">
        <f>EXP(-LN(2)/25)*BQ117+(1-EXP(-LN(2)/25))/(LN(2)/25)*Calculateur!BL118*Calculateur!BN118*VLOOKUP('Données projet'!$B$11,Paramètres!$A$1:$I$89,3,0)*0.475*44/12</f>
        <v>0</v>
      </c>
      <c r="BR118" s="23">
        <f>EXP(-LN(2)/2)*BR117+(1-EXP(-LN(2)/2))/(LN(2)/2)*BL118*BO118*VLOOKUP('Données projet'!$B$11,Paramètres!$A$1:$I$89,3,0)*0.475*44/12</f>
        <v>0</v>
      </c>
      <c r="BS118" s="24">
        <f t="shared" si="63"/>
        <v>0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2.2737367544323206E-13</v>
      </c>
      <c r="BZ118" s="14">
        <f>BY118*VLOOKUP('Données projet'!$B$12,Paramètres!$A$1:$I$89,3,0)*VLOOKUP('Données projet'!$B$12,Paramètres!$A$1:$I$89,5,0)</f>
        <v>1.2710188457276673E-13</v>
      </c>
      <c r="CA118" s="14">
        <f t="shared" si="93"/>
        <v>1.856866851063998E-12</v>
      </c>
      <c r="CB118" s="22">
        <f t="shared" si="64"/>
        <v>3.4554122145673649E-12</v>
      </c>
      <c r="CC118" s="62">
        <f t="shared" si="65"/>
        <v>293.33333333333678</v>
      </c>
      <c r="CD118" s="62">
        <f ca="1">AVERAGE(OFFSET($CC$3,0,0,'Données projet'!$E$12+1,1))-AVERAGE(OFFSET($H$3,0,0,'Données projet'!$E$12+1,1))</f>
        <v>323.98185264074681</v>
      </c>
      <c r="CE118" s="62">
        <f t="shared" si="94"/>
        <v>301.22207291854005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>
        <f>EXP(-LN(2)/35)*CK117+(1-EXP(-LN(2)/35))/(LN(2)/35)*CG118*CH118*VLOOKUP('Données projet'!$B$12,Paramètres!$A$1:$I$89,3,0)*0.475*44/12</f>
        <v>0.82887294434908454</v>
      </c>
      <c r="CL118" s="23">
        <f>EXP(-LN(2)/25)*CL117+(1-EXP(-LN(2)/25))/(LN(2)/25)*Calculateur!CG118*Calculateur!CI118*VLOOKUP('Données projet'!$B$12,Paramètres!$A$1:$I$89,3,0)*0.475*44/12</f>
        <v>0.78128554343517931</v>
      </c>
      <c r="CM118" s="23">
        <f>EXP(-LN(2)/2)*CM117+(1-EXP(-LN(2)/2))/(LN(2)/2)*CG118*CJ118*VLOOKUP('Données projet'!$B$12,Paramètres!$A$1:$I$89,3,0)*0.475*44/12</f>
        <v>9.7878222260625368E-13</v>
      </c>
      <c r="CN118" s="24">
        <f t="shared" si="66"/>
        <v>1.6101584877852426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2.8</v>
      </c>
      <c r="CT118" s="13">
        <f>IF('Données projet'!$A$140&gt;35,CT117+CS118-DB117,IF(A118&lt;'Données projet'!$A$140,$CQ$205^A118,IF(A118='Données projet'!$A$140,'Données projet'!$B$140,CT117+CS118-DB117)))</f>
        <v>219.99999999999983</v>
      </c>
      <c r="CU118" s="18">
        <f>CT118*VLOOKUP('Données projet'!$B$13,Paramètres!$A$1:$I$89,3,0)*VLOOKUP('Données projet'!$B$13,Paramètres!$A$1:$I$89,5,0)</f>
        <v>250.53599999999983</v>
      </c>
      <c r="CV118" s="14">
        <f t="shared" si="95"/>
        <v>60.700702874726744</v>
      </c>
      <c r="CW118" s="22">
        <f t="shared" si="67"/>
        <v>542.07059084014872</v>
      </c>
      <c r="CX118" s="62">
        <f t="shared" si="68"/>
        <v>835.40392417348198</v>
      </c>
      <c r="CY118" s="62">
        <f ca="1">AVERAGE(OFFSET($CX$3,0,0,'Données projet'!$E$13+1,1))-AVERAGE(OFFSET($H$3,0,0,'Données projet'!$E$13+1,1))</f>
        <v>399.78832690250164</v>
      </c>
      <c r="CZ118" s="62">
        <f t="shared" si="96"/>
        <v>174.32967064896343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>
        <f>EXP(-LN(2)/35)*DF117+(1-EXP(-LN(2)/35))/(LN(2)/35)*DB118*DC118*VLOOKUP('Données projet'!$B$13,Paramètres!$A$1:$I$89,3,0)*0.475*44/12</f>
        <v>0</v>
      </c>
      <c r="DG118" s="23">
        <f>EXP(-LN(2)/25)*DG117+(1-EXP(-LN(2)/25))/(LN(2)/25)*Calculateur!DB118*Calculateur!DD118*VLOOKUP('Données projet'!$B$13,Paramètres!$A$1:$I$89,3,0)*0.475*44/12</f>
        <v>0</v>
      </c>
      <c r="DH118" s="23">
        <f>EXP(-LN(2)/2)*DH117+(1-EXP(-LN(2)/2))/(LN(2)/2)*DB118*DE118*VLOOKUP('Données projet'!$B$13,Paramètres!$A$1:$I$89,3,0)*0.475*44/12</f>
        <v>0</v>
      </c>
      <c r="DI118" s="24">
        <f t="shared" si="69"/>
        <v>0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3.7</v>
      </c>
      <c r="DO118" s="13">
        <f>IF('Données projet'!$A$166&gt;35,DO117+DN118-DW117,IF(A118&lt;'Données projet'!$A$166,$DL$205^A118,IF(A118='Données projet'!$A$166,'Données projet'!$B$166,DO117+DN118-DW117)))</f>
        <v>284.49999999999955</v>
      </c>
      <c r="DP118" s="18">
        <f>DO118*VLOOKUP('Données projet'!$B$14,Paramètres!$A$1:$I$89,3,0)*VLOOKUP('Données projet'!$B$14,Paramètres!$A$1:$I$89,5,0)</f>
        <v>239.66279999999963</v>
      </c>
      <c r="DQ118" s="14">
        <f t="shared" si="97"/>
        <v>58.366974323972691</v>
      </c>
      <c r="DR118" s="22">
        <f t="shared" si="70"/>
        <v>519.06852361425183</v>
      </c>
      <c r="DS118" s="62">
        <f t="shared" si="71"/>
        <v>812.4018569475852</v>
      </c>
      <c r="DT118" s="62">
        <f ca="1">AVERAGE(OFFSET($DS$3,0,0,'Données projet'!$E$14+1,1))-AVERAGE(OFFSET($H$3,0,0,'Données projet'!$E$14+1,1))</f>
        <v>402.15128814037058</v>
      </c>
      <c r="DU118" s="62">
        <f t="shared" si="98"/>
        <v>232.85411068442738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>
        <f>EXP(-LN(2)/35)*EA117+(1-EXP(-LN(2)/35))/(LN(2)/35)*DW118*DX118*VLOOKUP('Données projet'!$B$14,Paramètres!$A$1:$I$89,3,0)*0.475*44/12</f>
        <v>0</v>
      </c>
      <c r="EB118" s="23">
        <f>EXP(-LN(2)/25)*EB117+(1-EXP(-LN(2)/25))/(LN(2)/25)*Calculateur!DW118*Calculateur!DY118*VLOOKUP('Données projet'!$B$14,Paramètres!$A$1:$I$89,3,0)*0.475*44/12</f>
        <v>0</v>
      </c>
      <c r="EC118" s="23">
        <f>EXP(-LN(2)/2)*EC117+(1-EXP(-LN(2)/2))/(LN(2)/2)*DW118*DZ118*VLOOKUP('Données projet'!$B$14,Paramètres!$A$1:$I$89,3,0)*0.475*44/12</f>
        <v>0</v>
      </c>
      <c r="ED118" s="24">
        <f t="shared" si="72"/>
        <v>0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3.3974358974359005</v>
      </c>
      <c r="EJ118" s="13">
        <f>IF('Données projet'!$A$192&gt;35,EJ117+EI118-ER117,IF(A118&lt;'Données projet'!$A$192,$EG$205^A118,IF(A118='Données projet'!$A$192,'Données projet'!$B$192,EJ117+EI118-ER117)))</f>
        <v>382.3717948717952</v>
      </c>
      <c r="EK118" s="18">
        <f>EJ118*VLOOKUP('Données projet'!$B$15,Paramètres!$A$1:$I$89,3,0)*VLOOKUP('Données projet'!$B$15,Paramètres!$A$1:$I$89,5,0)</f>
        <v>399.65500000000043</v>
      </c>
      <c r="EL118" s="14">
        <f t="shared" si="99"/>
        <v>91.706718253683178</v>
      </c>
      <c r="EM118" s="22">
        <f t="shared" si="73"/>
        <v>855.78832595849883</v>
      </c>
      <c r="EN118" s="62">
        <f t="shared" si="74"/>
        <v>1149.1216592918322</v>
      </c>
      <c r="EO118" s="62">
        <f ca="1">AVERAGE(OFFSET($EN$3,0,0,'Données projet'!$E$15+1,1))-AVERAGE(OFFSET($H$3,0,0,'Données projet'!$E$15+1,1))</f>
        <v>595.89992279024398</v>
      </c>
      <c r="EP118" s="62">
        <f t="shared" si="100"/>
        <v>378.16197659288338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>
        <f>EXP(-LN(2)/35)*EV117+(1-EXP(-LN(2)/35))/(LN(2)/35)*ER118*ES118*VLOOKUP('Données projet'!$B$15,Paramètres!$A$1:$I$89,3,0)*0.475*44/12</f>
        <v>0</v>
      </c>
      <c r="EW118" s="23">
        <f>EXP(-LN(2)/25)*EW117+(1-EXP(-LN(2)/25))/(LN(2)/25)*Calculateur!ER118*Calculateur!ET118*VLOOKUP('Données projet'!$B$15,Paramètres!$A$1:$I$89,3,0)*0.475*44/12</f>
        <v>0</v>
      </c>
      <c r="EX118" s="23">
        <f>EXP(-LN(2)/2)*EX117+(1-EXP(-LN(2)/2))/(LN(2)/2)*ER118*EU118*VLOOKUP('Données projet'!$B$15,Paramètres!$A$1:$I$89,3,0)*0.475*44/12</f>
        <v>0</v>
      </c>
      <c r="EY118" s="24">
        <f t="shared" si="75"/>
        <v>0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-2.2737367544323206E-13</v>
      </c>
      <c r="FF118" s="18">
        <f>FE118*VLOOKUP('Données projet'!$B$16,Paramètres!$A$1:$I$89,3,0)*VLOOKUP('Données projet'!$B$16,Paramètres!$A$1:$I$89,5,0)</f>
        <v>-1.3596945791505279E-13</v>
      </c>
      <c r="FG118" s="14" t="e">
        <f t="shared" si="101"/>
        <v>#NUM!</v>
      </c>
      <c r="FH118" s="22" t="e">
        <f t="shared" si="76"/>
        <v>#NUM!</v>
      </c>
      <c r="FI118" s="62" t="e">
        <f t="shared" si="77"/>
        <v>#NUM!</v>
      </c>
      <c r="FJ118" s="62">
        <f ca="1">AVERAGE(OFFSET($FI$3,0,0,'Données projet'!$E$16+1,1))-AVERAGE(OFFSET($H$3,0,0,'Données projet'!$E$16+1,1))</f>
        <v>257.56116197646924</v>
      </c>
      <c r="FK118" s="62">
        <f t="shared" si="102"/>
        <v>269.95556918835888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>
        <f>EXP(-LN(2)/35)*FQ117+(1-EXP(-LN(2)/35))/(LN(2)/35)*FM118*FN118*VLOOKUP('Données projet'!$B$16,Paramètres!$A$1:$I$89,3,0)*0.475*44/12</f>
        <v>2.7084924255568352</v>
      </c>
      <c r="FR118" s="23">
        <f>EXP(-LN(2)/25)*FR117+(1-EXP(-LN(2)/25))/(LN(2)/25)*Calculateur!FM118*Calculateur!FO118*VLOOKUP('Données projet'!$B$16,Paramètres!$A$1:$I$89,3,0)*0.475*44/12</f>
        <v>1.5292702031154581</v>
      </c>
      <c r="FS118" s="23">
        <f>EXP(-LN(2)/2)*FS117+(1-EXP(-LN(2)/2))/(LN(2)/2)*FM118*FP118*VLOOKUP('Données projet'!$B$16,Paramètres!$A$1:$I$89,3,0)*0.475*44/12</f>
        <v>1.3753038716717898E-12</v>
      </c>
      <c r="FT118" s="24">
        <f t="shared" si="78"/>
        <v>4.2377626286736678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-2.8421709430404007E-13</v>
      </c>
      <c r="GA118" s="18">
        <f>FZ118*VLOOKUP('Données projet'!$B$17,Paramètres!$A$1:$I$89,3,0)*VLOOKUP('Données projet'!$B$17,Paramètres!$A$1:$I$89,5,0)</f>
        <v>-1.69961822393816E-13</v>
      </c>
      <c r="GB118" s="14" t="e">
        <f t="shared" si="103"/>
        <v>#NUM!</v>
      </c>
      <c r="GC118" s="22" t="e">
        <f t="shared" si="79"/>
        <v>#NUM!</v>
      </c>
      <c r="GD118" s="62" t="e">
        <f t="shared" si="80"/>
        <v>#NUM!</v>
      </c>
      <c r="GE118" s="62">
        <f ca="1">AVERAGE(OFFSET($GD$3,0,0,'Données projet'!$E$17+1,1))-AVERAGE(OFFSET($H$3,0,0,'Données projet'!$E$17+1,1))</f>
        <v>289.12367833861299</v>
      </c>
      <c r="GF118" s="62">
        <f t="shared" si="104"/>
        <v>229.06617320689003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>
        <f>EXP(-LN(2)/35)*GL117+(1-EXP(-LN(2)/35))/(LN(2)/35)*GH118*GI118*VLOOKUP('Données projet'!$B$17,Paramètres!$A$1:$I$89,3,0)*0.475*44/12</f>
        <v>0</v>
      </c>
      <c r="GM118" s="23">
        <f>EXP(-LN(2)/25)*GM117+(1-EXP(-LN(2)/25))/(LN(2)/25)*Calculateur!GH118*Calculateur!GJ118*VLOOKUP('Données projet'!$B$17,Paramètres!$A$1:$I$89,3,0)*0.475*44/12</f>
        <v>0</v>
      </c>
      <c r="GN118" s="23">
        <f>EXP(-LN(2)/2)*GN117+(1-EXP(-LN(2)/2))/(LN(2)/2)*GH118*GK118*VLOOKUP('Données projet'!$B$17,Paramètres!$A$1:$I$89,3,0)*0.475*44/12</f>
        <v>6.6671764310150167E-13</v>
      </c>
      <c r="GO118" s="23">
        <f t="shared" si="81"/>
        <v>6.6671764310150167E-13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>
        <f>VLOOKUP(A118,'Données projet'!$A$269:$I$289,2,0)</f>
        <v>375.10769230769228</v>
      </c>
      <c r="GS118" s="13">
        <f>VLOOKUP(A118,'Données projet'!$A$269:$I$289,9,0)</f>
        <v>7.0935897435897362</v>
      </c>
      <c r="GT118" s="13">
        <f t="array" ref="GT118">INDEX(GS:GS,MIN(IF(ISNUMBER(GS118:GS314),ROW(GS118:GS314),"")))</f>
        <v>7.0935897435897362</v>
      </c>
      <c r="GU118" s="13">
        <f>IF('Données projet'!$A$270&gt;35,GU117+GT118-HC117,IF(A118&lt;'Données projet'!$A$270,$GR$205^A118,IF(A118='Données projet'!$A$270,'Données projet'!$B$270,GU117+GT118-HC117)))</f>
        <v>375.10769230769233</v>
      </c>
      <c r="GV118" s="18">
        <f>GU118*VLOOKUP('Données projet'!$B$18,Paramètres!$A$1:$I$89,3,0)*VLOOKUP('Données projet'!$B$18,Paramètres!$A$1:$I$89,5,0)</f>
        <v>175.55040000000002</v>
      </c>
      <c r="GW118" s="14">
        <f t="shared" si="105"/>
        <v>44.330794618843079</v>
      </c>
      <c r="GX118" s="22">
        <f t="shared" si="82"/>
        <v>382.95974729448511</v>
      </c>
      <c r="GY118" s="62">
        <f t="shared" si="83"/>
        <v>676.29308062781843</v>
      </c>
      <c r="GZ118" s="62">
        <f ca="1">AVERAGE(OFFSET($GY$3,0,0,'Données projet'!$E$18+1,1))-AVERAGE(OFFSET($H$3,0,0,'Données projet'!$E$18+1,1))</f>
        <v>284.88646502866419</v>
      </c>
      <c r="HA118" s="62">
        <f t="shared" si="106"/>
        <v>190.4880882944471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>
        <f>EXP(-LN(2)/35)*HG117+(1-EXP(-LN(2)/35))/(LN(2)/35)*HC118*HD118*VLOOKUP('Données projet'!$B$18,Paramètres!$A$1:$I$89,3,0)*0.475*44/12</f>
        <v>0</v>
      </c>
      <c r="HH118" s="23">
        <f>EXP(-LN(2)/25)*HH117+(1-EXP(-LN(2)/25))/(LN(2)/25)*Calculateur!HC118*Calculateur!HE118*VLOOKUP('Données projet'!$B$18,Paramètres!$A$1:$I$89,3,0)*0.475*44/12</f>
        <v>0</v>
      </c>
      <c r="HI118" s="23">
        <f>EXP(-LN(2)/2)*HI117+(1-EXP(-LN(2)/2))/(LN(2)/2)*HC118*HF118*VLOOKUP('Données projet'!$B$18,Paramètres!$A$1:$I$89,3,0)*0.475*44/12</f>
        <v>0</v>
      </c>
      <c r="HJ118" s="24">
        <f t="shared" si="84"/>
        <v>0</v>
      </c>
    </row>
    <row r="119" spans="1:218" s="5" customFormat="1" x14ac:dyDescent="0.25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2">
        <f t="shared" si="86"/>
        <v>0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0</v>
      </c>
      <c r="H119" s="70">
        <f t="shared" si="56"/>
        <v>256.66666666666669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2.8846153846153841</v>
      </c>
      <c r="N119" s="14">
        <f>IF('Données projet'!$A$36&gt;35,N118+M119-V118,IF(A119&lt;'Données projet'!$A$36,$K$205^A119,IF(A119='Données projet'!$A$36,'Données projet'!$B$36,N118+M119-V118)))</f>
        <v>270.5128205128205</v>
      </c>
      <c r="O119" s="14">
        <f>N119*VLOOKUP('Données projet'!$B$9,Paramètres!$A$1:$I$89,3,0)*VLOOKUP('Données projet'!$B$9,Paramètres!$A$1:$I$89,5,0)</f>
        <v>257.41999999999996</v>
      </c>
      <c r="P119" s="14">
        <f t="shared" si="87"/>
        <v>62.172107427466436</v>
      </c>
      <c r="Q119" s="22">
        <f t="shared" si="107"/>
        <v>556.6229204361706</v>
      </c>
      <c r="R119" s="62">
        <f t="shared" si="55"/>
        <v>849.95625376950397</v>
      </c>
      <c r="S119" s="62">
        <f ca="1">AVERAGE(OFFSET($R$3,0,0,'Données projet'!$E$9+1,1))-AVERAGE(OFFSET($H$3,0,0,'Données projet'!$E$9+1,1))</f>
        <v>367.11183928586667</v>
      </c>
      <c r="T119" s="62">
        <f t="shared" si="88"/>
        <v>281.52963027844595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0</v>
      </c>
      <c r="AA119" s="23">
        <f>EXP(-LN(2)/25)*AA118+(1-EXP(-LN(2)/25))/(LN(2)/25)*Calculateur!V119*Calculateur!X119*VLOOKUP('Données projet'!$B$9,Paramètres!$A$1:$I$89,3,0)*0.475*44/12</f>
        <v>0</v>
      </c>
      <c r="AB119" s="23">
        <f>EXP(-LN(2)/2)*AB118+(1-EXP(-LN(2)/2))/(LN(2)/2)*V119*Y119*VLOOKUP('Données projet'!$B$9,Paramètres!$A$1:$I$89,3,0)*0.475*44/12</f>
        <v>0</v>
      </c>
      <c r="AC119" s="24">
        <f t="shared" si="57"/>
        <v>0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3.7</v>
      </c>
      <c r="AI119" s="14">
        <f>IF('Données projet'!$A$62&gt;35,AI118+AH119-AQ118,IF(A119&lt;'Données projet'!$A$62,$AF$205^A119,IF(A119='Données projet'!$A$62,'Données projet'!$B$62,AI118+AH119-AQ118)))</f>
        <v>288.19999999999953</v>
      </c>
      <c r="AJ119" s="14">
        <f>AI119*VLOOKUP('Données projet'!$B$10,Paramètres!$A$1:$I$89,3,0)*VLOOKUP('Données projet'!$B$10,Paramètres!$A$1:$I$89,5,0)</f>
        <v>260.76335999999958</v>
      </c>
      <c r="AK119" s="14">
        <f t="shared" si="89"/>
        <v>62.885067686031896</v>
      </c>
      <c r="AL119" s="22">
        <f t="shared" si="58"/>
        <v>563.68767821983818</v>
      </c>
      <c r="AM119" s="62">
        <f t="shared" si="59"/>
        <v>857.02101155317155</v>
      </c>
      <c r="AN119" s="62">
        <f ca="1">AVERAGE(OFFSET($AM$3,0,0,'Données projet'!$E$10+1,1))-AVERAGE(OFFSET($H$3,0,0,'Données projet'!$E$10+1,1))</f>
        <v>428.8489304403459</v>
      </c>
      <c r="AO119" s="62">
        <f t="shared" si="90"/>
        <v>247.01165577562966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0</v>
      </c>
      <c r="AV119" s="23">
        <f>EXP(-LN(2)/25)*AV118+(1-EXP(-LN(2)/25))/(LN(2)/25)*Calculateur!AQ119*Calculateur!AS119*VLOOKUP('Données projet'!$B$10,Paramètres!$A$1:$I$89,3,0)*0.475*44/12</f>
        <v>0</v>
      </c>
      <c r="AW119" s="23">
        <f>EXP(-LN(2)/2)*AW118+(1-EXP(-LN(2)/2))/(LN(2)/2)*AQ119*AT119*VLOOKUP('Données projet'!$B$10,Paramètres!$A$1:$I$89,3,0)*0.475*44/12</f>
        <v>0</v>
      </c>
      <c r="AX119" s="23">
        <f t="shared" si="60"/>
        <v>0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3.7</v>
      </c>
      <c r="BD119" s="13">
        <f>IF('Données projet'!$A$88&gt;35,BD118+BC119-BL118,IF(A119&lt;'Données projet'!$A$88,$BA$205^A119,IF(A119='Données projet'!$A$88,'Données projet'!$B$88,BD118+BC119-BL118)))</f>
        <v>288.19999999999953</v>
      </c>
      <c r="BE119" s="14">
        <f>BD119*VLOOKUP('Données projet'!$B$11,Paramètres!$A$1:$I$89,3,0)*VLOOKUP('Données projet'!$B$11,Paramètres!$A$1:$I$89,5,0)</f>
        <v>292.23479999999955</v>
      </c>
      <c r="BF119" s="14">
        <f t="shared" si="91"/>
        <v>69.546103016553644</v>
      </c>
      <c r="BG119" s="22">
        <f t="shared" si="61"/>
        <v>630.10173942049676</v>
      </c>
      <c r="BH119" s="62">
        <f t="shared" si="62"/>
        <v>923.43507275383013</v>
      </c>
      <c r="BI119" s="62">
        <f ca="1">AVERAGE(OFFSET($BH$3,0,0,'Données projet'!$E$11+1,1))-AVERAGE(OFFSET($H$3,0,0,'Données projet'!$E$11+1,1))</f>
        <v>475.47920969424894</v>
      </c>
      <c r="BJ119" s="62">
        <f t="shared" si="92"/>
        <v>271.73544012419364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>
        <f>EXP(-LN(2)/35)*BP118+(1-EXP(-LN(2)/35))/(LN(2)/35)*BL119*BM119*VLOOKUP('Données projet'!$B$11,Paramètres!$A$1:$I$89,3,0)*0.475*44/12</f>
        <v>0</v>
      </c>
      <c r="BQ119" s="23">
        <f>EXP(-LN(2)/25)*BQ118+(1-EXP(-LN(2)/25))/(LN(2)/25)*Calculateur!BL119*Calculateur!BN119*VLOOKUP('Données projet'!$B$11,Paramètres!$A$1:$I$89,3,0)*0.475*44/12</f>
        <v>0</v>
      </c>
      <c r="BR119" s="23">
        <f>EXP(-LN(2)/2)*BR118+(1-EXP(-LN(2)/2))/(LN(2)/2)*BL119*BO119*VLOOKUP('Données projet'!$B$11,Paramètres!$A$1:$I$89,3,0)*0.475*44/12</f>
        <v>0</v>
      </c>
      <c r="BS119" s="24">
        <f t="shared" si="63"/>
        <v>0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2.2737367544323206E-13</v>
      </c>
      <c r="BZ119" s="14">
        <f>BY119*VLOOKUP('Données projet'!$B$12,Paramètres!$A$1:$I$89,3,0)*VLOOKUP('Données projet'!$B$12,Paramètres!$A$1:$I$89,5,0)</f>
        <v>1.2710188457276673E-13</v>
      </c>
      <c r="CA119" s="14">
        <f t="shared" si="93"/>
        <v>1.856866851063998E-12</v>
      </c>
      <c r="CB119" s="22">
        <f t="shared" si="64"/>
        <v>3.4554122145673649E-12</v>
      </c>
      <c r="CC119" s="62">
        <f t="shared" si="65"/>
        <v>293.33333333333678</v>
      </c>
      <c r="CD119" s="62">
        <f ca="1">AVERAGE(OFFSET($CC$3,0,0,'Données projet'!$E$12+1,1))-AVERAGE(OFFSET($H$3,0,0,'Données projet'!$E$12+1,1))</f>
        <v>323.98185264074681</v>
      </c>
      <c r="CE119" s="62">
        <f t="shared" si="94"/>
        <v>301.22207291854005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>
        <f>EXP(-LN(2)/35)*CK118+(1-EXP(-LN(2)/35))/(LN(2)/35)*CG119*CH119*VLOOKUP('Données projet'!$B$12,Paramètres!$A$1:$I$89,3,0)*0.475*44/12</f>
        <v>0.81261925147297487</v>
      </c>
      <c r="CL119" s="23">
        <f>EXP(-LN(2)/25)*CL118+(1-EXP(-LN(2)/25))/(LN(2)/25)*Calculateur!CG119*Calculateur!CI119*VLOOKUP('Données projet'!$B$12,Paramètres!$A$1:$I$89,3,0)*0.475*44/12</f>
        <v>0.75992124916392323</v>
      </c>
      <c r="CM119" s="23">
        <f>EXP(-LN(2)/2)*CM118+(1-EXP(-LN(2)/2))/(LN(2)/2)*CG119*CJ119*VLOOKUP('Données projet'!$B$12,Paramètres!$A$1:$I$89,3,0)*0.475*44/12</f>
        <v>6.9210354690972288E-13</v>
      </c>
      <c r="CN119" s="24">
        <f t="shared" si="66"/>
        <v>1.5725405006375903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2.8</v>
      </c>
      <c r="CT119" s="13">
        <f>IF('Données projet'!$A$140&gt;35,CT118+CS119-DB118,IF(A119&lt;'Données projet'!$A$140,$CQ$205^A119,IF(A119='Données projet'!$A$140,'Données projet'!$B$140,CT118+CS119-DB118)))</f>
        <v>222.79999999999984</v>
      </c>
      <c r="CU119" s="18">
        <f>CT119*VLOOKUP('Données projet'!$B$13,Paramètres!$A$1:$I$89,3,0)*VLOOKUP('Données projet'!$B$13,Paramètres!$A$1:$I$89,5,0)</f>
        <v>253.72463999999985</v>
      </c>
      <c r="CV119" s="14">
        <f t="shared" si="95"/>
        <v>61.382828679639495</v>
      </c>
      <c r="CW119" s="22">
        <f t="shared" si="67"/>
        <v>548.81217461703852</v>
      </c>
      <c r="CX119" s="62">
        <f t="shared" si="68"/>
        <v>842.14550795037189</v>
      </c>
      <c r="CY119" s="62">
        <f ca="1">AVERAGE(OFFSET($CX$3,0,0,'Données projet'!$E$13+1,1))-AVERAGE(OFFSET($H$3,0,0,'Données projet'!$E$13+1,1))</f>
        <v>399.78832690250164</v>
      </c>
      <c r="CZ119" s="62">
        <f t="shared" si="96"/>
        <v>174.32967064896343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>
        <f>EXP(-LN(2)/35)*DF118+(1-EXP(-LN(2)/35))/(LN(2)/35)*DB119*DC119*VLOOKUP('Données projet'!$B$13,Paramètres!$A$1:$I$89,3,0)*0.475*44/12</f>
        <v>0</v>
      </c>
      <c r="DG119" s="23">
        <f>EXP(-LN(2)/25)*DG118+(1-EXP(-LN(2)/25))/(LN(2)/25)*Calculateur!DB119*Calculateur!DD119*VLOOKUP('Données projet'!$B$13,Paramètres!$A$1:$I$89,3,0)*0.475*44/12</f>
        <v>0</v>
      </c>
      <c r="DH119" s="23">
        <f>EXP(-LN(2)/2)*DH118+(1-EXP(-LN(2)/2))/(LN(2)/2)*DB119*DE119*VLOOKUP('Données projet'!$B$13,Paramètres!$A$1:$I$89,3,0)*0.475*44/12</f>
        <v>0</v>
      </c>
      <c r="DI119" s="24">
        <f t="shared" si="69"/>
        <v>0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3.7</v>
      </c>
      <c r="DO119" s="13">
        <f>IF('Données projet'!$A$166&gt;35,DO118+DN119-DW118,IF(A119&lt;'Données projet'!$A$166,$DL$205^A119,IF(A119='Données projet'!$A$166,'Données projet'!$B$166,DO118+DN119-DW118)))</f>
        <v>288.19999999999953</v>
      </c>
      <c r="DP119" s="18">
        <f>DO119*VLOOKUP('Données projet'!$B$14,Paramètres!$A$1:$I$89,3,0)*VLOOKUP('Données projet'!$B$14,Paramètres!$A$1:$I$89,5,0)</f>
        <v>242.77967999999964</v>
      </c>
      <c r="DQ119" s="14">
        <f t="shared" si="97"/>
        <v>59.037190765212706</v>
      </c>
      <c r="DR119" s="22">
        <f t="shared" si="70"/>
        <v>525.66438324941146</v>
      </c>
      <c r="DS119" s="62">
        <f t="shared" si="71"/>
        <v>818.99771658274472</v>
      </c>
      <c r="DT119" s="62">
        <f ca="1">AVERAGE(OFFSET($DS$3,0,0,'Données projet'!$E$14+1,1))-AVERAGE(OFFSET($H$3,0,0,'Données projet'!$E$14+1,1))</f>
        <v>402.15128814037058</v>
      </c>
      <c r="DU119" s="62">
        <f t="shared" si="98"/>
        <v>232.85411068442738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>
        <f>EXP(-LN(2)/35)*EA118+(1-EXP(-LN(2)/35))/(LN(2)/35)*DW119*DX119*VLOOKUP('Données projet'!$B$14,Paramètres!$A$1:$I$89,3,0)*0.475*44/12</f>
        <v>0</v>
      </c>
      <c r="EB119" s="23">
        <f>EXP(-LN(2)/25)*EB118+(1-EXP(-LN(2)/25))/(LN(2)/25)*Calculateur!DW119*Calculateur!DY119*VLOOKUP('Données projet'!$B$14,Paramètres!$A$1:$I$89,3,0)*0.475*44/12</f>
        <v>0</v>
      </c>
      <c r="EC119" s="23">
        <f>EXP(-LN(2)/2)*EC118+(1-EXP(-LN(2)/2))/(LN(2)/2)*DW119*DZ119*VLOOKUP('Données projet'!$B$14,Paramètres!$A$1:$I$89,3,0)*0.475*44/12</f>
        <v>0</v>
      </c>
      <c r="ED119" s="24">
        <f t="shared" si="72"/>
        <v>0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3.3974358974359005</v>
      </c>
      <c r="EJ119" s="13">
        <f>IF('Données projet'!$A$192&gt;35,EJ118+EI119-ER118,IF(A119&lt;'Données projet'!$A$192,$EG$205^A119,IF(A119='Données projet'!$A$192,'Données projet'!$B$192,EJ118+EI119-ER118)))</f>
        <v>385.76923076923111</v>
      </c>
      <c r="EK119" s="18">
        <f>EJ119*VLOOKUP('Données projet'!$B$15,Paramètres!$A$1:$I$89,3,0)*VLOOKUP('Données projet'!$B$15,Paramètres!$A$1:$I$89,5,0)</f>
        <v>403.20600000000036</v>
      </c>
      <c r="EL119" s="14">
        <f t="shared" si="99"/>
        <v>92.426330228586465</v>
      </c>
      <c r="EM119" s="22">
        <f t="shared" si="73"/>
        <v>863.22630848145536</v>
      </c>
      <c r="EN119" s="62">
        <f t="shared" si="74"/>
        <v>1156.5596418147886</v>
      </c>
      <c r="EO119" s="62">
        <f ca="1">AVERAGE(OFFSET($EN$3,0,0,'Données projet'!$E$15+1,1))-AVERAGE(OFFSET($H$3,0,0,'Données projet'!$E$15+1,1))</f>
        <v>595.89992279024398</v>
      </c>
      <c r="EP119" s="62">
        <f t="shared" si="100"/>
        <v>378.16197659288338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>
        <f>EXP(-LN(2)/35)*EV118+(1-EXP(-LN(2)/35))/(LN(2)/35)*ER119*ES119*VLOOKUP('Données projet'!$B$15,Paramètres!$A$1:$I$89,3,0)*0.475*44/12</f>
        <v>0</v>
      </c>
      <c r="EW119" s="23">
        <f>EXP(-LN(2)/25)*EW118+(1-EXP(-LN(2)/25))/(LN(2)/25)*Calculateur!ER119*Calculateur!ET119*VLOOKUP('Données projet'!$B$15,Paramètres!$A$1:$I$89,3,0)*0.475*44/12</f>
        <v>0</v>
      </c>
      <c r="EX119" s="23">
        <f>EXP(-LN(2)/2)*EX118+(1-EXP(-LN(2)/2))/(LN(2)/2)*ER119*EU119*VLOOKUP('Données projet'!$B$15,Paramètres!$A$1:$I$89,3,0)*0.475*44/12</f>
        <v>0</v>
      </c>
      <c r="EY119" s="24">
        <f t="shared" si="75"/>
        <v>0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-2.2737367544323206E-13</v>
      </c>
      <c r="FF119" s="18">
        <f>FE119*VLOOKUP('Données projet'!$B$16,Paramètres!$A$1:$I$89,3,0)*VLOOKUP('Données projet'!$B$16,Paramètres!$A$1:$I$89,5,0)</f>
        <v>-1.3596945791505279E-13</v>
      </c>
      <c r="FG119" s="14" t="e">
        <f t="shared" si="101"/>
        <v>#NUM!</v>
      </c>
      <c r="FH119" s="22" t="e">
        <f t="shared" si="76"/>
        <v>#NUM!</v>
      </c>
      <c r="FI119" s="62" t="e">
        <f t="shared" si="77"/>
        <v>#NUM!</v>
      </c>
      <c r="FJ119" s="62">
        <f ca="1">AVERAGE(OFFSET($FI$3,0,0,'Données projet'!$E$16+1,1))-AVERAGE(OFFSET($H$3,0,0,'Données projet'!$E$16+1,1))</f>
        <v>257.56116197646924</v>
      </c>
      <c r="FK119" s="62">
        <f t="shared" si="102"/>
        <v>269.95556918835888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>
        <f>EXP(-LN(2)/35)*FQ118+(1-EXP(-LN(2)/35))/(LN(2)/35)*FM119*FN119*VLOOKUP('Données projet'!$B$16,Paramètres!$A$1:$I$89,3,0)*0.475*44/12</f>
        <v>2.6553805411089222</v>
      </c>
      <c r="FR119" s="23">
        <f>EXP(-LN(2)/25)*FR118+(1-EXP(-LN(2)/25))/(LN(2)/25)*Calculateur!FM119*Calculateur!FO119*VLOOKUP('Données projet'!$B$16,Paramètres!$A$1:$I$89,3,0)*0.475*44/12</f>
        <v>1.487452228990441</v>
      </c>
      <c r="FS119" s="23">
        <f>EXP(-LN(2)/2)*FS118+(1-EXP(-LN(2)/2))/(LN(2)/2)*FM119*FP119*VLOOKUP('Données projet'!$B$16,Paramètres!$A$1:$I$89,3,0)*0.475*44/12</f>
        <v>9.7248669385123586E-13</v>
      </c>
      <c r="FT119" s="24">
        <f t="shared" si="78"/>
        <v>4.1428327701003358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-2.8421709430404007E-13</v>
      </c>
      <c r="GA119" s="18">
        <f>FZ119*VLOOKUP('Données projet'!$B$17,Paramètres!$A$1:$I$89,3,0)*VLOOKUP('Données projet'!$B$17,Paramètres!$A$1:$I$89,5,0)</f>
        <v>-1.69961822393816E-13</v>
      </c>
      <c r="GB119" s="14" t="e">
        <f t="shared" si="103"/>
        <v>#NUM!</v>
      </c>
      <c r="GC119" s="22" t="e">
        <f t="shared" si="79"/>
        <v>#NUM!</v>
      </c>
      <c r="GD119" s="62" t="e">
        <f t="shared" si="80"/>
        <v>#NUM!</v>
      </c>
      <c r="GE119" s="62">
        <f ca="1">AVERAGE(OFFSET($GD$3,0,0,'Données projet'!$E$17+1,1))-AVERAGE(OFFSET($H$3,0,0,'Données projet'!$E$17+1,1))</f>
        <v>289.12367833861299</v>
      </c>
      <c r="GF119" s="62">
        <f t="shared" si="104"/>
        <v>229.06617320689003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>
        <f>EXP(-LN(2)/35)*GL118+(1-EXP(-LN(2)/35))/(LN(2)/35)*GH119*GI119*VLOOKUP('Données projet'!$B$17,Paramètres!$A$1:$I$89,3,0)*0.475*44/12</f>
        <v>0</v>
      </c>
      <c r="GM119" s="23">
        <f>EXP(-LN(2)/25)*GM118+(1-EXP(-LN(2)/25))/(LN(2)/25)*Calculateur!GH119*Calculateur!GJ119*VLOOKUP('Données projet'!$B$17,Paramètres!$A$1:$I$89,3,0)*0.475*44/12</f>
        <v>0</v>
      </c>
      <c r="GN119" s="23">
        <f>EXP(-LN(2)/2)*GN118+(1-EXP(-LN(2)/2))/(LN(2)/2)*GH119*GK119*VLOOKUP('Données projet'!$B$17,Paramètres!$A$1:$I$89,3,0)*0.475*44/12</f>
        <v>4.7144056657378422E-13</v>
      </c>
      <c r="GO119" s="23">
        <f t="shared" si="81"/>
        <v>4.7144056657378422E-13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7.083333333333333</v>
      </c>
      <c r="GU119" s="13">
        <f>IF('Données projet'!$A$270&gt;35,GU118+GT119-HC118,IF(A119&lt;'Données projet'!$A$270,$GR$205^A119,IF(A119='Données projet'!$A$270,'Données projet'!$B$270,GU118+GT119-HC118)))</f>
        <v>382.19102564102565</v>
      </c>
      <c r="GV119" s="18">
        <f>GU119*VLOOKUP('Données projet'!$B$18,Paramètres!$A$1:$I$89,3,0)*VLOOKUP('Données projet'!$B$18,Paramètres!$A$1:$I$89,5,0)</f>
        <v>178.86539999999999</v>
      </c>
      <c r="GW119" s="14">
        <f t="shared" si="105"/>
        <v>45.069665748308438</v>
      </c>
      <c r="GX119" s="22">
        <f t="shared" si="82"/>
        <v>390.02023951163716</v>
      </c>
      <c r="GY119" s="62">
        <f t="shared" si="83"/>
        <v>683.35357284497047</v>
      </c>
      <c r="GZ119" s="62">
        <f ca="1">AVERAGE(OFFSET($GY$3,0,0,'Données projet'!$E$18+1,1))-AVERAGE(OFFSET($H$3,0,0,'Données projet'!$E$18+1,1))</f>
        <v>284.88646502866419</v>
      </c>
      <c r="HA119" s="62">
        <f t="shared" si="106"/>
        <v>190.4880882944471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>
        <f>EXP(-LN(2)/35)*HG118+(1-EXP(-LN(2)/35))/(LN(2)/35)*HC119*HD119*VLOOKUP('Données projet'!$B$18,Paramètres!$A$1:$I$89,3,0)*0.475*44/12</f>
        <v>0</v>
      </c>
      <c r="HH119" s="23">
        <f>EXP(-LN(2)/25)*HH118+(1-EXP(-LN(2)/25))/(LN(2)/25)*Calculateur!HC119*Calculateur!HE119*VLOOKUP('Données projet'!$B$18,Paramètres!$A$1:$I$89,3,0)*0.475*44/12</f>
        <v>0</v>
      </c>
      <c r="HI119" s="23">
        <f>EXP(-LN(2)/2)*HI118+(1-EXP(-LN(2)/2))/(LN(2)/2)*HC119*HF119*VLOOKUP('Données projet'!$B$18,Paramètres!$A$1:$I$89,3,0)*0.475*44/12</f>
        <v>0</v>
      </c>
      <c r="HJ119" s="24">
        <f t="shared" si="84"/>
        <v>0</v>
      </c>
    </row>
    <row r="120" spans="1:218" s="5" customFormat="1" x14ac:dyDescent="0.25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2">
        <f t="shared" si="86"/>
        <v>0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0</v>
      </c>
      <c r="H120" s="70">
        <f t="shared" si="56"/>
        <v>256.66666666666669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2.8846153846153841</v>
      </c>
      <c r="N120" s="14">
        <f>IF('Données projet'!$A$36&gt;35,N119+M120-V119,IF(A120&lt;'Données projet'!$A$36,$K$205^A120,IF(A120='Données projet'!$A$36,'Données projet'!$B$36,N119+M120-V119)))</f>
        <v>273.39743589743586</v>
      </c>
      <c r="O120" s="14">
        <f>N120*VLOOKUP('Données projet'!$B$9,Paramètres!$A$1:$I$89,3,0)*VLOOKUP('Données projet'!$B$9,Paramètres!$A$1:$I$89,5,0)</f>
        <v>260.16499999999996</v>
      </c>
      <c r="P120" s="14">
        <f t="shared" si="87"/>
        <v>62.757547989628748</v>
      </c>
      <c r="Q120" s="22">
        <f t="shared" si="107"/>
        <v>562.42343774860331</v>
      </c>
      <c r="R120" s="62">
        <f t="shared" si="55"/>
        <v>855.75677108193668</v>
      </c>
      <c r="S120" s="62">
        <f ca="1">AVERAGE(OFFSET($R$3,0,0,'Données projet'!$E$9+1,1))-AVERAGE(OFFSET($H$3,0,0,'Données projet'!$E$9+1,1))</f>
        <v>367.11183928586667</v>
      </c>
      <c r="T120" s="62">
        <f t="shared" si="88"/>
        <v>281.52963027844595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0</v>
      </c>
      <c r="AA120" s="23">
        <f>EXP(-LN(2)/25)*AA119+(1-EXP(-LN(2)/25))/(LN(2)/25)*Calculateur!V120*Calculateur!X120*VLOOKUP('Données projet'!$B$9,Paramètres!$A$1:$I$89,3,0)*0.475*44/12</f>
        <v>0</v>
      </c>
      <c r="AB120" s="23">
        <f>EXP(-LN(2)/2)*AB119+(1-EXP(-LN(2)/2))/(LN(2)/2)*V120*Y120*VLOOKUP('Données projet'!$B$9,Paramètres!$A$1:$I$89,3,0)*0.475*44/12</f>
        <v>0</v>
      </c>
      <c r="AC120" s="24">
        <f t="shared" si="57"/>
        <v>0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3.7</v>
      </c>
      <c r="AI120" s="14">
        <f>IF('Données projet'!$A$62&gt;35,AI119+AH120-AQ119,IF(A120&lt;'Données projet'!$A$62,$AF$205^A120,IF(A120='Données projet'!$A$62,'Données projet'!$B$62,AI119+AH120-AQ119)))</f>
        <v>291.89999999999952</v>
      </c>
      <c r="AJ120" s="14">
        <f>AI120*VLOOKUP('Données projet'!$B$10,Paramètres!$A$1:$I$89,3,0)*VLOOKUP('Données projet'!$B$10,Paramètres!$A$1:$I$89,5,0)</f>
        <v>264.11111999999957</v>
      </c>
      <c r="AK120" s="14">
        <f t="shared" si="89"/>
        <v>63.597900866870546</v>
      </c>
      <c r="AL120" s="22">
        <f t="shared" si="58"/>
        <v>570.75987800979885</v>
      </c>
      <c r="AM120" s="62">
        <f t="shared" si="59"/>
        <v>864.09321134313223</v>
      </c>
      <c r="AN120" s="62">
        <f ca="1">AVERAGE(OFFSET($AM$3,0,0,'Données projet'!$E$10+1,1))-AVERAGE(OFFSET($H$3,0,0,'Données projet'!$E$10+1,1))</f>
        <v>428.8489304403459</v>
      </c>
      <c r="AO120" s="62">
        <f t="shared" si="90"/>
        <v>247.01165577562966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0</v>
      </c>
      <c r="AV120" s="23">
        <f>EXP(-LN(2)/25)*AV119+(1-EXP(-LN(2)/25))/(LN(2)/25)*Calculateur!AQ120*Calculateur!AS120*VLOOKUP('Données projet'!$B$10,Paramètres!$A$1:$I$89,3,0)*0.475*44/12</f>
        <v>0</v>
      </c>
      <c r="AW120" s="23">
        <f>EXP(-LN(2)/2)*AW119+(1-EXP(-LN(2)/2))/(LN(2)/2)*AQ120*AT120*VLOOKUP('Données projet'!$B$10,Paramètres!$A$1:$I$89,3,0)*0.475*44/12</f>
        <v>0</v>
      </c>
      <c r="AX120" s="23">
        <f t="shared" si="60"/>
        <v>0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3.7</v>
      </c>
      <c r="BD120" s="13">
        <f>IF('Données projet'!$A$88&gt;35,BD119+BC120-BL119,IF(A120&lt;'Données projet'!$A$88,$BA$205^A120,IF(A120='Données projet'!$A$88,'Données projet'!$B$88,BD119+BC120-BL119)))</f>
        <v>291.89999999999952</v>
      </c>
      <c r="BE120" s="14">
        <f>BD120*VLOOKUP('Données projet'!$B$11,Paramètres!$A$1:$I$89,3,0)*VLOOKUP('Données projet'!$B$11,Paramètres!$A$1:$I$89,5,0)</f>
        <v>295.98659999999956</v>
      </c>
      <c r="BF120" s="14">
        <f t="shared" si="91"/>
        <v>70.334442310004661</v>
      </c>
      <c r="BG120" s="22">
        <f t="shared" si="61"/>
        <v>638.00914868992402</v>
      </c>
      <c r="BH120" s="62">
        <f t="shared" si="62"/>
        <v>931.34248202325739</v>
      </c>
      <c r="BI120" s="62">
        <f ca="1">AVERAGE(OFFSET($BH$3,0,0,'Données projet'!$E$11+1,1))-AVERAGE(OFFSET($H$3,0,0,'Données projet'!$E$11+1,1))</f>
        <v>475.47920969424894</v>
      </c>
      <c r="BJ120" s="62">
        <f t="shared" si="92"/>
        <v>271.73544012419364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>
        <f>EXP(-LN(2)/35)*BP119+(1-EXP(-LN(2)/35))/(LN(2)/35)*BL120*BM120*VLOOKUP('Données projet'!$B$11,Paramètres!$A$1:$I$89,3,0)*0.475*44/12</f>
        <v>0</v>
      </c>
      <c r="BQ120" s="23">
        <f>EXP(-LN(2)/25)*BQ119+(1-EXP(-LN(2)/25))/(LN(2)/25)*Calculateur!BL120*Calculateur!BN120*VLOOKUP('Données projet'!$B$11,Paramètres!$A$1:$I$89,3,0)*0.475*44/12</f>
        <v>0</v>
      </c>
      <c r="BR120" s="23">
        <f>EXP(-LN(2)/2)*BR119+(1-EXP(-LN(2)/2))/(LN(2)/2)*BL120*BO120*VLOOKUP('Données projet'!$B$11,Paramètres!$A$1:$I$89,3,0)*0.475*44/12</f>
        <v>0</v>
      </c>
      <c r="BS120" s="24">
        <f t="shared" si="63"/>
        <v>0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2.2737367544323206E-13</v>
      </c>
      <c r="BZ120" s="14">
        <f>BY120*VLOOKUP('Données projet'!$B$12,Paramètres!$A$1:$I$89,3,0)*VLOOKUP('Données projet'!$B$12,Paramètres!$A$1:$I$89,5,0)</f>
        <v>1.2710188457276673E-13</v>
      </c>
      <c r="CA120" s="14">
        <f t="shared" si="93"/>
        <v>1.856866851063998E-12</v>
      </c>
      <c r="CB120" s="22">
        <f t="shared" si="64"/>
        <v>3.4554122145673649E-12</v>
      </c>
      <c r="CC120" s="62">
        <f t="shared" si="65"/>
        <v>293.33333333333678</v>
      </c>
      <c r="CD120" s="62">
        <f ca="1">AVERAGE(OFFSET($CC$3,0,0,'Données projet'!$E$12+1,1))-AVERAGE(OFFSET($H$3,0,0,'Données projet'!$E$12+1,1))</f>
        <v>323.98185264074681</v>
      </c>
      <c r="CE120" s="62">
        <f t="shared" si="94"/>
        <v>301.22207291854005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>
        <f>EXP(-LN(2)/35)*CK119+(1-EXP(-LN(2)/35))/(LN(2)/35)*CG120*CH120*VLOOKUP('Données projet'!$B$12,Paramètres!$A$1:$I$89,3,0)*0.475*44/12</f>
        <v>0.79668428360039201</v>
      </c>
      <c r="CL120" s="23">
        <f>EXP(-LN(2)/25)*CL119+(1-EXP(-LN(2)/25))/(LN(2)/25)*Calculateur!CG120*Calculateur!CI120*VLOOKUP('Données projet'!$B$12,Paramètres!$A$1:$I$89,3,0)*0.475*44/12</f>
        <v>0.7391411626430141</v>
      </c>
      <c r="CM120" s="23">
        <f>EXP(-LN(2)/2)*CM119+(1-EXP(-LN(2)/2))/(LN(2)/2)*CG120*CJ120*VLOOKUP('Données projet'!$B$12,Paramètres!$A$1:$I$89,3,0)*0.475*44/12</f>
        <v>4.8939111130312684E-13</v>
      </c>
      <c r="CN120" s="24">
        <f t="shared" si="66"/>
        <v>1.5358254462438956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2.8</v>
      </c>
      <c r="CT120" s="13">
        <f>IF('Données projet'!$A$140&gt;35,CT119+CS120-DB119,IF(A120&lt;'Données projet'!$A$140,$CQ$205^A120,IF(A120='Données projet'!$A$140,'Données projet'!$B$140,CT119+CS120-DB119)))</f>
        <v>225.59999999999985</v>
      </c>
      <c r="CU120" s="18">
        <f>CT120*VLOOKUP('Données projet'!$B$13,Paramètres!$A$1:$I$89,3,0)*VLOOKUP('Données projet'!$B$13,Paramètres!$A$1:$I$89,5,0)</f>
        <v>256.91327999999982</v>
      </c>
      <c r="CV120" s="14">
        <f t="shared" si="95"/>
        <v>62.063957347667916</v>
      </c>
      <c r="CW120" s="22">
        <f t="shared" si="67"/>
        <v>555.55202171385451</v>
      </c>
      <c r="CX120" s="62">
        <f t="shared" si="68"/>
        <v>848.88535504718789</v>
      </c>
      <c r="CY120" s="62">
        <f ca="1">AVERAGE(OFFSET($CX$3,0,0,'Données projet'!$E$13+1,1))-AVERAGE(OFFSET($H$3,0,0,'Données projet'!$E$13+1,1))</f>
        <v>399.78832690250164</v>
      </c>
      <c r="CZ120" s="62">
        <f t="shared" si="96"/>
        <v>174.32967064896343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>
        <f>EXP(-LN(2)/35)*DF119+(1-EXP(-LN(2)/35))/(LN(2)/35)*DB120*DC120*VLOOKUP('Données projet'!$B$13,Paramètres!$A$1:$I$89,3,0)*0.475*44/12</f>
        <v>0</v>
      </c>
      <c r="DG120" s="23">
        <f>EXP(-LN(2)/25)*DG119+(1-EXP(-LN(2)/25))/(LN(2)/25)*Calculateur!DB120*Calculateur!DD120*VLOOKUP('Données projet'!$B$13,Paramètres!$A$1:$I$89,3,0)*0.475*44/12</f>
        <v>0</v>
      </c>
      <c r="DH120" s="23">
        <f>EXP(-LN(2)/2)*DH119+(1-EXP(-LN(2)/2))/(LN(2)/2)*DB120*DE120*VLOOKUP('Données projet'!$B$13,Paramètres!$A$1:$I$89,3,0)*0.475*44/12</f>
        <v>0</v>
      </c>
      <c r="DI120" s="24">
        <f t="shared" si="69"/>
        <v>0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3.7</v>
      </c>
      <c r="DO120" s="13">
        <f>IF('Données projet'!$A$166&gt;35,DO119+DN120-DW119,IF(A120&lt;'Données projet'!$A$166,$DL$205^A120,IF(A120='Données projet'!$A$166,'Données projet'!$B$166,DO119+DN120-DW119)))</f>
        <v>291.89999999999952</v>
      </c>
      <c r="DP120" s="18">
        <f>DO120*VLOOKUP('Données projet'!$B$14,Paramètres!$A$1:$I$89,3,0)*VLOOKUP('Données projet'!$B$14,Paramètres!$A$1:$I$89,5,0)</f>
        <v>245.89655999999962</v>
      </c>
      <c r="DQ120" s="14">
        <f t="shared" si="97"/>
        <v>59.706406368049571</v>
      </c>
      <c r="DR120" s="22">
        <f t="shared" si="70"/>
        <v>532.25849975768563</v>
      </c>
      <c r="DS120" s="62">
        <f t="shared" si="71"/>
        <v>825.591833091019</v>
      </c>
      <c r="DT120" s="62">
        <f ca="1">AVERAGE(OFFSET($DS$3,0,0,'Données projet'!$E$14+1,1))-AVERAGE(OFFSET($H$3,0,0,'Données projet'!$E$14+1,1))</f>
        <v>402.15128814037058</v>
      </c>
      <c r="DU120" s="62">
        <f t="shared" si="98"/>
        <v>232.85411068442738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>
        <f>EXP(-LN(2)/35)*EA119+(1-EXP(-LN(2)/35))/(LN(2)/35)*DW120*DX120*VLOOKUP('Données projet'!$B$14,Paramètres!$A$1:$I$89,3,0)*0.475*44/12</f>
        <v>0</v>
      </c>
      <c r="EB120" s="23">
        <f>EXP(-LN(2)/25)*EB119+(1-EXP(-LN(2)/25))/(LN(2)/25)*Calculateur!DW120*Calculateur!DY120*VLOOKUP('Données projet'!$B$14,Paramètres!$A$1:$I$89,3,0)*0.475*44/12</f>
        <v>0</v>
      </c>
      <c r="EC120" s="23">
        <f>EXP(-LN(2)/2)*EC119+(1-EXP(-LN(2)/2))/(LN(2)/2)*DW120*DZ120*VLOOKUP('Données projet'!$B$14,Paramètres!$A$1:$I$89,3,0)*0.475*44/12</f>
        <v>0</v>
      </c>
      <c r="ED120" s="24">
        <f t="shared" si="72"/>
        <v>0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3.3974358974359005</v>
      </c>
      <c r="EJ120" s="13">
        <f>IF('Données projet'!$A$192&gt;35,EJ119+EI120-ER119,IF(A120&lt;'Données projet'!$A$192,$EG$205^A120,IF(A120='Données projet'!$A$192,'Données projet'!$B$192,EJ119+EI120-ER119)))</f>
        <v>389.16666666666703</v>
      </c>
      <c r="EK120" s="18">
        <f>EJ120*VLOOKUP('Données projet'!$B$15,Paramètres!$A$1:$I$89,3,0)*VLOOKUP('Données projet'!$B$15,Paramètres!$A$1:$I$89,5,0)</f>
        <v>406.7570000000004</v>
      </c>
      <c r="EL120" s="14">
        <f t="shared" si="99"/>
        <v>93.145204879435894</v>
      </c>
      <c r="EM120" s="22">
        <f t="shared" si="73"/>
        <v>870.66300683168481</v>
      </c>
      <c r="EN120" s="62">
        <f t="shared" si="74"/>
        <v>1163.9963401650182</v>
      </c>
      <c r="EO120" s="62">
        <f ca="1">AVERAGE(OFFSET($EN$3,0,0,'Données projet'!$E$15+1,1))-AVERAGE(OFFSET($H$3,0,0,'Données projet'!$E$15+1,1))</f>
        <v>595.89992279024398</v>
      </c>
      <c r="EP120" s="62">
        <f t="shared" si="100"/>
        <v>378.16197659288338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>
        <f>EXP(-LN(2)/35)*EV119+(1-EXP(-LN(2)/35))/(LN(2)/35)*ER120*ES120*VLOOKUP('Données projet'!$B$15,Paramètres!$A$1:$I$89,3,0)*0.475*44/12</f>
        <v>0</v>
      </c>
      <c r="EW120" s="23">
        <f>EXP(-LN(2)/25)*EW119+(1-EXP(-LN(2)/25))/(LN(2)/25)*Calculateur!ER120*Calculateur!ET120*VLOOKUP('Données projet'!$B$15,Paramètres!$A$1:$I$89,3,0)*0.475*44/12</f>
        <v>0</v>
      </c>
      <c r="EX120" s="23">
        <f>EXP(-LN(2)/2)*EX119+(1-EXP(-LN(2)/2))/(LN(2)/2)*ER120*EU120*VLOOKUP('Données projet'!$B$15,Paramètres!$A$1:$I$89,3,0)*0.475*44/12</f>
        <v>0</v>
      </c>
      <c r="EY120" s="24">
        <f t="shared" si="75"/>
        <v>0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-2.2737367544323206E-13</v>
      </c>
      <c r="FF120" s="18">
        <f>FE120*VLOOKUP('Données projet'!$B$16,Paramètres!$A$1:$I$89,3,0)*VLOOKUP('Données projet'!$B$16,Paramètres!$A$1:$I$89,5,0)</f>
        <v>-1.3596945791505279E-13</v>
      </c>
      <c r="FG120" s="14" t="e">
        <f t="shared" si="101"/>
        <v>#NUM!</v>
      </c>
      <c r="FH120" s="22" t="e">
        <f t="shared" si="76"/>
        <v>#NUM!</v>
      </c>
      <c r="FI120" s="62" t="e">
        <f t="shared" si="77"/>
        <v>#NUM!</v>
      </c>
      <c r="FJ120" s="62">
        <f ca="1">AVERAGE(OFFSET($FI$3,0,0,'Données projet'!$E$16+1,1))-AVERAGE(OFFSET($H$3,0,0,'Données projet'!$E$16+1,1))</f>
        <v>257.56116197646924</v>
      </c>
      <c r="FK120" s="62">
        <f t="shared" si="102"/>
        <v>269.95556918835888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>
        <f>EXP(-LN(2)/35)*FQ119+(1-EXP(-LN(2)/35))/(LN(2)/35)*FM120*FN120*VLOOKUP('Données projet'!$B$16,Paramètres!$A$1:$I$89,3,0)*0.475*44/12</f>
        <v>2.6033101483199821</v>
      </c>
      <c r="FR120" s="23">
        <f>EXP(-LN(2)/25)*FR119+(1-EXP(-LN(2)/25))/(LN(2)/25)*Calculateur!FM120*Calculateur!FO120*VLOOKUP('Données projet'!$B$16,Paramètres!$A$1:$I$89,3,0)*0.475*44/12</f>
        <v>1.4467777695669843</v>
      </c>
      <c r="FS120" s="23">
        <f>EXP(-LN(2)/2)*FS119+(1-EXP(-LN(2)/2))/(LN(2)/2)*FM120*FP120*VLOOKUP('Données projet'!$B$16,Paramètres!$A$1:$I$89,3,0)*0.475*44/12</f>
        <v>6.8765193583589488E-13</v>
      </c>
      <c r="FT120" s="24">
        <f t="shared" si="78"/>
        <v>4.0500879178876534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-2.8421709430404007E-13</v>
      </c>
      <c r="GA120" s="18">
        <f>FZ120*VLOOKUP('Données projet'!$B$17,Paramètres!$A$1:$I$89,3,0)*VLOOKUP('Données projet'!$B$17,Paramètres!$A$1:$I$89,5,0)</f>
        <v>-1.69961822393816E-13</v>
      </c>
      <c r="GB120" s="14" t="e">
        <f t="shared" si="103"/>
        <v>#NUM!</v>
      </c>
      <c r="GC120" s="22" t="e">
        <f t="shared" si="79"/>
        <v>#NUM!</v>
      </c>
      <c r="GD120" s="62" t="e">
        <f t="shared" si="80"/>
        <v>#NUM!</v>
      </c>
      <c r="GE120" s="62">
        <f ca="1">AVERAGE(OFFSET($GD$3,0,0,'Données projet'!$E$17+1,1))-AVERAGE(OFFSET($H$3,0,0,'Données projet'!$E$17+1,1))</f>
        <v>289.12367833861299</v>
      </c>
      <c r="GF120" s="62">
        <f t="shared" si="104"/>
        <v>229.06617320689003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>
        <f>EXP(-LN(2)/35)*GL119+(1-EXP(-LN(2)/35))/(LN(2)/35)*GH120*GI120*VLOOKUP('Données projet'!$B$17,Paramètres!$A$1:$I$89,3,0)*0.475*44/12</f>
        <v>0</v>
      </c>
      <c r="GM120" s="23">
        <f>EXP(-LN(2)/25)*GM119+(1-EXP(-LN(2)/25))/(LN(2)/25)*Calculateur!GH120*Calculateur!GJ120*VLOOKUP('Données projet'!$B$17,Paramètres!$A$1:$I$89,3,0)*0.475*44/12</f>
        <v>0</v>
      </c>
      <c r="GN120" s="23">
        <f>EXP(-LN(2)/2)*GN119+(1-EXP(-LN(2)/2))/(LN(2)/2)*GH120*GK120*VLOOKUP('Données projet'!$B$17,Paramètres!$A$1:$I$89,3,0)*0.475*44/12</f>
        <v>3.3335882155075084E-13</v>
      </c>
      <c r="GO120" s="23">
        <f t="shared" si="81"/>
        <v>3.3335882155075084E-13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7.083333333333333</v>
      </c>
      <c r="GU120" s="13">
        <f>IF('Données projet'!$A$270&gt;35,GU119+GT120-HC119,IF(A120&lt;'Données projet'!$A$270,$GR$205^A120,IF(A120='Données projet'!$A$270,'Données projet'!$B$270,GU119+GT120-HC119)))</f>
        <v>389.27435897435896</v>
      </c>
      <c r="GV120" s="18">
        <f>GU120*VLOOKUP('Données projet'!$B$18,Paramètres!$A$1:$I$89,3,0)*VLOOKUP('Données projet'!$B$18,Paramètres!$A$1:$I$89,5,0)</f>
        <v>182.18039999999999</v>
      </c>
      <c r="GW120" s="14">
        <f t="shared" si="105"/>
        <v>45.806944534163691</v>
      </c>
      <c r="GX120" s="22">
        <f t="shared" si="82"/>
        <v>397.07795839700174</v>
      </c>
      <c r="GY120" s="62">
        <f t="shared" si="83"/>
        <v>690.41129173033505</v>
      </c>
      <c r="GZ120" s="62">
        <f ca="1">AVERAGE(OFFSET($GY$3,0,0,'Données projet'!$E$18+1,1))-AVERAGE(OFFSET($H$3,0,0,'Données projet'!$E$18+1,1))</f>
        <v>284.88646502866419</v>
      </c>
      <c r="HA120" s="62">
        <f t="shared" si="106"/>
        <v>190.4880882944471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>
        <f>EXP(-LN(2)/35)*HG119+(1-EXP(-LN(2)/35))/(LN(2)/35)*HC120*HD120*VLOOKUP('Données projet'!$B$18,Paramètres!$A$1:$I$89,3,0)*0.475*44/12</f>
        <v>0</v>
      </c>
      <c r="HH120" s="23">
        <f>EXP(-LN(2)/25)*HH119+(1-EXP(-LN(2)/25))/(LN(2)/25)*Calculateur!HC120*Calculateur!HE120*VLOOKUP('Données projet'!$B$18,Paramètres!$A$1:$I$89,3,0)*0.475*44/12</f>
        <v>0</v>
      </c>
      <c r="HI120" s="23">
        <f>EXP(-LN(2)/2)*HI119+(1-EXP(-LN(2)/2))/(LN(2)/2)*HC120*HF120*VLOOKUP('Données projet'!$B$18,Paramètres!$A$1:$I$89,3,0)*0.475*44/12</f>
        <v>0</v>
      </c>
      <c r="HJ120" s="24">
        <f t="shared" si="84"/>
        <v>0</v>
      </c>
    </row>
    <row r="121" spans="1:218" s="5" customFormat="1" x14ac:dyDescent="0.25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2">
        <f t="shared" si="86"/>
        <v>0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0</v>
      </c>
      <c r="H121" s="70">
        <f t="shared" si="56"/>
        <v>256.66666666666669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2.8846153846153841</v>
      </c>
      <c r="N121" s="14">
        <f>IF('Données projet'!$A$36&gt;35,N120+M121-V120,IF(A121&lt;'Données projet'!$A$36,$K$205^A121,IF(A121='Données projet'!$A$36,'Données projet'!$B$36,N120+M121-V120)))</f>
        <v>276.28205128205121</v>
      </c>
      <c r="O121" s="14">
        <f>N121*VLOOKUP('Données projet'!$B$9,Paramètres!$A$1:$I$89,3,0)*VLOOKUP('Données projet'!$B$9,Paramètres!$A$1:$I$89,5,0)</f>
        <v>262.90999999999997</v>
      </c>
      <c r="P121" s="14">
        <f t="shared" si="87"/>
        <v>63.342269978400836</v>
      </c>
      <c r="Q121" s="22">
        <f t="shared" si="107"/>
        <v>568.22270354571481</v>
      </c>
      <c r="R121" s="62">
        <f t="shared" si="55"/>
        <v>861.55603687904818</v>
      </c>
      <c r="S121" s="62">
        <f ca="1">AVERAGE(OFFSET($R$3,0,0,'Données projet'!$E$9+1,1))-AVERAGE(OFFSET($H$3,0,0,'Données projet'!$E$9+1,1))</f>
        <v>367.11183928586667</v>
      </c>
      <c r="T121" s="62">
        <f t="shared" si="88"/>
        <v>281.52963027844595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0</v>
      </c>
      <c r="AA121" s="23">
        <f>EXP(-LN(2)/25)*AA120+(1-EXP(-LN(2)/25))/(LN(2)/25)*Calculateur!V121*Calculateur!X121*VLOOKUP('Données projet'!$B$9,Paramètres!$A$1:$I$89,3,0)*0.475*44/12</f>
        <v>0</v>
      </c>
      <c r="AB121" s="23">
        <f>EXP(-LN(2)/2)*AB120+(1-EXP(-LN(2)/2))/(LN(2)/2)*V121*Y121*VLOOKUP('Données projet'!$B$9,Paramètres!$A$1:$I$89,3,0)*0.475*44/12</f>
        <v>0</v>
      </c>
      <c r="AC121" s="24">
        <f t="shared" si="57"/>
        <v>0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3.7</v>
      </c>
      <c r="AI121" s="14">
        <f>IF('Données projet'!$A$62&gt;35,AI120+AH121-AQ120,IF(A121&lt;'Données projet'!$A$62,$AF$205^A121,IF(A121='Données projet'!$A$62,'Données projet'!$B$62,AI120+AH121-AQ120)))</f>
        <v>295.59999999999951</v>
      </c>
      <c r="AJ121" s="14">
        <f>AI121*VLOOKUP('Données projet'!$B$10,Paramètres!$A$1:$I$89,3,0)*VLOOKUP('Données projet'!$B$10,Paramètres!$A$1:$I$89,5,0)</f>
        <v>267.45887999999951</v>
      </c>
      <c r="AK121" s="14">
        <f t="shared" si="89"/>
        <v>64.309683053152327</v>
      </c>
      <c r="AL121" s="22">
        <f t="shared" si="58"/>
        <v>577.8302473175728</v>
      </c>
      <c r="AM121" s="62">
        <f t="shared" si="59"/>
        <v>871.16358065090617</v>
      </c>
      <c r="AN121" s="62">
        <f ca="1">AVERAGE(OFFSET($AM$3,0,0,'Données projet'!$E$10+1,1))-AVERAGE(OFFSET($H$3,0,0,'Données projet'!$E$10+1,1))</f>
        <v>428.8489304403459</v>
      </c>
      <c r="AO121" s="62">
        <f t="shared" si="90"/>
        <v>247.01165577562966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0</v>
      </c>
      <c r="AV121" s="23">
        <f>EXP(-LN(2)/25)*AV120+(1-EXP(-LN(2)/25))/(LN(2)/25)*Calculateur!AQ121*Calculateur!AS121*VLOOKUP('Données projet'!$B$10,Paramètres!$A$1:$I$89,3,0)*0.475*44/12</f>
        <v>0</v>
      </c>
      <c r="AW121" s="23">
        <f>EXP(-LN(2)/2)*AW120+(1-EXP(-LN(2)/2))/(LN(2)/2)*AQ121*AT121*VLOOKUP('Données projet'!$B$10,Paramètres!$A$1:$I$89,3,0)*0.475*44/12</f>
        <v>0</v>
      </c>
      <c r="AX121" s="23">
        <f t="shared" si="60"/>
        <v>0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3.7</v>
      </c>
      <c r="BD121" s="13">
        <f>IF('Données projet'!$A$88&gt;35,BD120+BC121-BL120,IF(A121&lt;'Données projet'!$A$88,$BA$205^A121,IF(A121='Données projet'!$A$88,'Données projet'!$B$88,BD120+BC121-BL120)))</f>
        <v>295.59999999999951</v>
      </c>
      <c r="BE121" s="14">
        <f>BD121*VLOOKUP('Données projet'!$B$11,Paramètres!$A$1:$I$89,3,0)*VLOOKUP('Données projet'!$B$11,Paramètres!$A$1:$I$89,5,0)</f>
        <v>299.73839999999956</v>
      </c>
      <c r="BF121" s="14">
        <f t="shared" si="91"/>
        <v>71.121619283394352</v>
      </c>
      <c r="BG121" s="22">
        <f t="shared" si="61"/>
        <v>645.91453358524438</v>
      </c>
      <c r="BH121" s="62">
        <f t="shared" si="62"/>
        <v>939.24786691857776</v>
      </c>
      <c r="BI121" s="62">
        <f ca="1">AVERAGE(OFFSET($BH$3,0,0,'Données projet'!$E$11+1,1))-AVERAGE(OFFSET($H$3,0,0,'Données projet'!$E$11+1,1))</f>
        <v>475.47920969424894</v>
      </c>
      <c r="BJ121" s="62">
        <f t="shared" si="92"/>
        <v>271.73544012419364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>
        <f>EXP(-LN(2)/35)*BP120+(1-EXP(-LN(2)/35))/(LN(2)/35)*BL121*BM121*VLOOKUP('Données projet'!$B$11,Paramètres!$A$1:$I$89,3,0)*0.475*44/12</f>
        <v>0</v>
      </c>
      <c r="BQ121" s="23">
        <f>EXP(-LN(2)/25)*BQ120+(1-EXP(-LN(2)/25))/(LN(2)/25)*Calculateur!BL121*Calculateur!BN121*VLOOKUP('Données projet'!$B$11,Paramètres!$A$1:$I$89,3,0)*0.475*44/12</f>
        <v>0</v>
      </c>
      <c r="BR121" s="23">
        <f>EXP(-LN(2)/2)*BR120+(1-EXP(-LN(2)/2))/(LN(2)/2)*BL121*BO121*VLOOKUP('Données projet'!$B$11,Paramètres!$A$1:$I$89,3,0)*0.475*44/12</f>
        <v>0</v>
      </c>
      <c r="BS121" s="24">
        <f t="shared" si="63"/>
        <v>0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2.2737367544323206E-13</v>
      </c>
      <c r="BZ121" s="14">
        <f>BY121*VLOOKUP('Données projet'!$B$12,Paramètres!$A$1:$I$89,3,0)*VLOOKUP('Données projet'!$B$12,Paramètres!$A$1:$I$89,5,0)</f>
        <v>1.2710188457276673E-13</v>
      </c>
      <c r="CA121" s="14">
        <f t="shared" si="93"/>
        <v>1.856866851063998E-12</v>
      </c>
      <c r="CB121" s="22">
        <f t="shared" si="64"/>
        <v>3.4554122145673649E-12</v>
      </c>
      <c r="CC121" s="62">
        <f t="shared" si="65"/>
        <v>293.33333333333678</v>
      </c>
      <c r="CD121" s="62">
        <f ca="1">AVERAGE(OFFSET($CC$3,0,0,'Données projet'!$E$12+1,1))-AVERAGE(OFFSET($H$3,0,0,'Données projet'!$E$12+1,1))</f>
        <v>323.98185264074681</v>
      </c>
      <c r="CE121" s="62">
        <f t="shared" si="94"/>
        <v>301.22207291854005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>
        <f>EXP(-LN(2)/35)*CK120+(1-EXP(-LN(2)/35))/(LN(2)/35)*CG121*CH121*VLOOKUP('Données projet'!$B$12,Paramètres!$A$1:$I$89,3,0)*0.475*44/12</f>
        <v>0.78106179072841975</v>
      </c>
      <c r="CL121" s="23">
        <f>EXP(-LN(2)/25)*CL120+(1-EXP(-LN(2)/25))/(LN(2)/25)*Calculateur!CG121*Calculateur!CI121*VLOOKUP('Données projet'!$B$12,Paramètres!$A$1:$I$89,3,0)*0.475*44/12</f>
        <v>0.71892930868079652</v>
      </c>
      <c r="CM121" s="23">
        <f>EXP(-LN(2)/2)*CM120+(1-EXP(-LN(2)/2))/(LN(2)/2)*CG121*CJ121*VLOOKUP('Données projet'!$B$12,Paramètres!$A$1:$I$89,3,0)*0.475*44/12</f>
        <v>3.4605177345486144E-13</v>
      </c>
      <c r="CN121" s="24">
        <f t="shared" si="66"/>
        <v>1.4999910994095622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2.8</v>
      </c>
      <c r="CT121" s="13">
        <f>IF('Données projet'!$A$140&gt;35,CT120+CS121-DB120,IF(A121&lt;'Données projet'!$A$140,$CQ$205^A121,IF(A121='Données projet'!$A$140,'Données projet'!$B$140,CT120+CS121-DB120)))</f>
        <v>228.39999999999986</v>
      </c>
      <c r="CU121" s="18">
        <f>CT121*VLOOKUP('Données projet'!$B$13,Paramètres!$A$1:$I$89,3,0)*VLOOKUP('Données projet'!$B$13,Paramètres!$A$1:$I$89,5,0)</f>
        <v>260.10191999999984</v>
      </c>
      <c r="CV121" s="14">
        <f t="shared" si="95"/>
        <v>62.744102685906491</v>
      </c>
      <c r="CW121" s="22">
        <f t="shared" si="67"/>
        <v>562.29015617795346</v>
      </c>
      <c r="CX121" s="62">
        <f t="shared" si="68"/>
        <v>855.62348951128683</v>
      </c>
      <c r="CY121" s="62">
        <f ca="1">AVERAGE(OFFSET($CX$3,0,0,'Données projet'!$E$13+1,1))-AVERAGE(OFFSET($H$3,0,0,'Données projet'!$E$13+1,1))</f>
        <v>399.78832690250164</v>
      </c>
      <c r="CZ121" s="62">
        <f t="shared" si="96"/>
        <v>174.32967064896343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>
        <f>EXP(-LN(2)/35)*DF120+(1-EXP(-LN(2)/35))/(LN(2)/35)*DB121*DC121*VLOOKUP('Données projet'!$B$13,Paramètres!$A$1:$I$89,3,0)*0.475*44/12</f>
        <v>0</v>
      </c>
      <c r="DG121" s="23">
        <f>EXP(-LN(2)/25)*DG120+(1-EXP(-LN(2)/25))/(LN(2)/25)*Calculateur!DB121*Calculateur!DD121*VLOOKUP('Données projet'!$B$13,Paramètres!$A$1:$I$89,3,0)*0.475*44/12</f>
        <v>0</v>
      </c>
      <c r="DH121" s="23">
        <f>EXP(-LN(2)/2)*DH120+(1-EXP(-LN(2)/2))/(LN(2)/2)*DB121*DE121*VLOOKUP('Données projet'!$B$13,Paramètres!$A$1:$I$89,3,0)*0.475*44/12</f>
        <v>0</v>
      </c>
      <c r="DI121" s="24">
        <f t="shared" si="69"/>
        <v>0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3.7</v>
      </c>
      <c r="DO121" s="13">
        <f>IF('Données projet'!$A$166&gt;35,DO120+DN121-DW120,IF(A121&lt;'Données projet'!$A$166,$DL$205^A121,IF(A121='Données projet'!$A$166,'Données projet'!$B$166,DO120+DN121-DW120)))</f>
        <v>295.59999999999951</v>
      </c>
      <c r="DP121" s="18">
        <f>DO121*VLOOKUP('Données projet'!$B$14,Paramètres!$A$1:$I$89,3,0)*VLOOKUP('Données projet'!$B$14,Paramètres!$A$1:$I$89,5,0)</f>
        <v>249.0134399999996</v>
      </c>
      <c r="DQ121" s="14">
        <f t="shared" si="97"/>
        <v>60.374635285677471</v>
      </c>
      <c r="DR121" s="22">
        <f t="shared" si="70"/>
        <v>538.85089778922088</v>
      </c>
      <c r="DS121" s="62">
        <f t="shared" si="71"/>
        <v>832.18423112255414</v>
      </c>
      <c r="DT121" s="62">
        <f ca="1">AVERAGE(OFFSET($DS$3,0,0,'Données projet'!$E$14+1,1))-AVERAGE(OFFSET($H$3,0,0,'Données projet'!$E$14+1,1))</f>
        <v>402.15128814037058</v>
      </c>
      <c r="DU121" s="62">
        <f t="shared" si="98"/>
        <v>232.85411068442738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>
        <f>EXP(-LN(2)/35)*EA120+(1-EXP(-LN(2)/35))/(LN(2)/35)*DW121*DX121*VLOOKUP('Données projet'!$B$14,Paramètres!$A$1:$I$89,3,0)*0.475*44/12</f>
        <v>0</v>
      </c>
      <c r="EB121" s="23">
        <f>EXP(-LN(2)/25)*EB120+(1-EXP(-LN(2)/25))/(LN(2)/25)*Calculateur!DW121*Calculateur!DY121*VLOOKUP('Données projet'!$B$14,Paramètres!$A$1:$I$89,3,0)*0.475*44/12</f>
        <v>0</v>
      </c>
      <c r="EC121" s="23">
        <f>EXP(-LN(2)/2)*EC120+(1-EXP(-LN(2)/2))/(LN(2)/2)*DW121*DZ121*VLOOKUP('Données projet'!$B$14,Paramètres!$A$1:$I$89,3,0)*0.475*44/12</f>
        <v>0</v>
      </c>
      <c r="ED121" s="24">
        <f t="shared" si="72"/>
        <v>0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3.3974358974359005</v>
      </c>
      <c r="EJ121" s="13">
        <f>IF('Données projet'!$A$192&gt;35,EJ120+EI121-ER120,IF(A121&lt;'Données projet'!$A$192,$EG$205^A121,IF(A121='Données projet'!$A$192,'Données projet'!$B$192,EJ120+EI121-ER120)))</f>
        <v>392.56410256410294</v>
      </c>
      <c r="EK121" s="18">
        <f>EJ121*VLOOKUP('Données projet'!$B$15,Paramètres!$A$1:$I$89,3,0)*VLOOKUP('Données projet'!$B$15,Paramètres!$A$1:$I$89,5,0)</f>
        <v>410.30800000000039</v>
      </c>
      <c r="EL121" s="14">
        <f t="shared" si="99"/>
        <v>93.863349388874639</v>
      </c>
      <c r="EM121" s="22">
        <f t="shared" si="73"/>
        <v>878.09843351895722</v>
      </c>
      <c r="EN121" s="62">
        <f t="shared" si="74"/>
        <v>1171.4317668522906</v>
      </c>
      <c r="EO121" s="62">
        <f ca="1">AVERAGE(OFFSET($EN$3,0,0,'Données projet'!$E$15+1,1))-AVERAGE(OFFSET($H$3,0,0,'Données projet'!$E$15+1,1))</f>
        <v>595.89992279024398</v>
      </c>
      <c r="EP121" s="62">
        <f t="shared" si="100"/>
        <v>378.16197659288338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>
        <f>EXP(-LN(2)/35)*EV120+(1-EXP(-LN(2)/35))/(LN(2)/35)*ER121*ES121*VLOOKUP('Données projet'!$B$15,Paramètres!$A$1:$I$89,3,0)*0.475*44/12</f>
        <v>0</v>
      </c>
      <c r="EW121" s="23">
        <f>EXP(-LN(2)/25)*EW120+(1-EXP(-LN(2)/25))/(LN(2)/25)*Calculateur!ER121*Calculateur!ET121*VLOOKUP('Données projet'!$B$15,Paramètres!$A$1:$I$89,3,0)*0.475*44/12</f>
        <v>0</v>
      </c>
      <c r="EX121" s="23">
        <f>EXP(-LN(2)/2)*EX120+(1-EXP(-LN(2)/2))/(LN(2)/2)*ER121*EU121*VLOOKUP('Données projet'!$B$15,Paramètres!$A$1:$I$89,3,0)*0.475*44/12</f>
        <v>0</v>
      </c>
      <c r="EY121" s="24">
        <f t="shared" si="75"/>
        <v>0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-2.2737367544323206E-13</v>
      </c>
      <c r="FF121" s="18">
        <f>FE121*VLOOKUP('Données projet'!$B$16,Paramètres!$A$1:$I$89,3,0)*VLOOKUP('Données projet'!$B$16,Paramètres!$A$1:$I$89,5,0)</f>
        <v>-1.3596945791505279E-13</v>
      </c>
      <c r="FG121" s="14" t="e">
        <f t="shared" si="101"/>
        <v>#NUM!</v>
      </c>
      <c r="FH121" s="22" t="e">
        <f t="shared" si="76"/>
        <v>#NUM!</v>
      </c>
      <c r="FI121" s="62" t="e">
        <f t="shared" si="77"/>
        <v>#NUM!</v>
      </c>
      <c r="FJ121" s="62">
        <f ca="1">AVERAGE(OFFSET($FI$3,0,0,'Données projet'!$E$16+1,1))-AVERAGE(OFFSET($H$3,0,0,'Données projet'!$E$16+1,1))</f>
        <v>257.56116197646924</v>
      </c>
      <c r="FK121" s="62">
        <f t="shared" si="102"/>
        <v>269.95556918835888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>
        <f>EXP(-LN(2)/35)*FQ120+(1-EXP(-LN(2)/35))/(LN(2)/35)*FM121*FN121*VLOOKUP('Données projet'!$B$16,Paramètres!$A$1:$I$89,3,0)*0.475*44/12</f>
        <v>2.5522608241738292</v>
      </c>
      <c r="FR121" s="23">
        <f>EXP(-LN(2)/25)*FR120+(1-EXP(-LN(2)/25))/(LN(2)/25)*Calculateur!FM121*Calculateur!FO121*VLOOKUP('Données projet'!$B$16,Paramètres!$A$1:$I$89,3,0)*0.475*44/12</f>
        <v>1.4072155553754389</v>
      </c>
      <c r="FS121" s="23">
        <f>EXP(-LN(2)/2)*FS120+(1-EXP(-LN(2)/2))/(LN(2)/2)*FM121*FP121*VLOOKUP('Données projet'!$B$16,Paramètres!$A$1:$I$89,3,0)*0.475*44/12</f>
        <v>4.8624334692561793E-13</v>
      </c>
      <c r="FT121" s="24">
        <f t="shared" si="78"/>
        <v>3.9594763795497543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-2.8421709430404007E-13</v>
      </c>
      <c r="GA121" s="18">
        <f>FZ121*VLOOKUP('Données projet'!$B$17,Paramètres!$A$1:$I$89,3,0)*VLOOKUP('Données projet'!$B$17,Paramètres!$A$1:$I$89,5,0)</f>
        <v>-1.69961822393816E-13</v>
      </c>
      <c r="GB121" s="14" t="e">
        <f t="shared" si="103"/>
        <v>#NUM!</v>
      </c>
      <c r="GC121" s="22" t="e">
        <f t="shared" si="79"/>
        <v>#NUM!</v>
      </c>
      <c r="GD121" s="62" t="e">
        <f t="shared" si="80"/>
        <v>#NUM!</v>
      </c>
      <c r="GE121" s="62">
        <f ca="1">AVERAGE(OFFSET($GD$3,0,0,'Données projet'!$E$17+1,1))-AVERAGE(OFFSET($H$3,0,0,'Données projet'!$E$17+1,1))</f>
        <v>289.12367833861299</v>
      </c>
      <c r="GF121" s="62">
        <f t="shared" si="104"/>
        <v>229.06617320689003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>
        <f>EXP(-LN(2)/35)*GL120+(1-EXP(-LN(2)/35))/(LN(2)/35)*GH121*GI121*VLOOKUP('Données projet'!$B$17,Paramètres!$A$1:$I$89,3,0)*0.475*44/12</f>
        <v>0</v>
      </c>
      <c r="GM121" s="23">
        <f>EXP(-LN(2)/25)*GM120+(1-EXP(-LN(2)/25))/(LN(2)/25)*Calculateur!GH121*Calculateur!GJ121*VLOOKUP('Données projet'!$B$17,Paramètres!$A$1:$I$89,3,0)*0.475*44/12</f>
        <v>0</v>
      </c>
      <c r="GN121" s="23">
        <f>EXP(-LN(2)/2)*GN120+(1-EXP(-LN(2)/2))/(LN(2)/2)*GH121*GK121*VLOOKUP('Données projet'!$B$17,Paramètres!$A$1:$I$89,3,0)*0.475*44/12</f>
        <v>2.3572028328689211E-13</v>
      </c>
      <c r="GO121" s="23">
        <f t="shared" si="81"/>
        <v>2.3572028328689211E-13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7.083333333333333</v>
      </c>
      <c r="GU121" s="13">
        <f>IF('Données projet'!$A$270&gt;35,GU120+GT121-HC120,IF(A121&lt;'Données projet'!$A$270,$GR$205^A121,IF(A121='Données projet'!$A$270,'Données projet'!$B$270,GU120+GT121-HC120)))</f>
        <v>396.35769230769228</v>
      </c>
      <c r="GV121" s="18">
        <f>GU121*VLOOKUP('Données projet'!$B$18,Paramètres!$A$1:$I$89,3,0)*VLOOKUP('Données projet'!$B$18,Paramètres!$A$1:$I$89,5,0)</f>
        <v>185.49539999999999</v>
      </c>
      <c r="GW121" s="14">
        <f t="shared" si="105"/>
        <v>46.542663293107267</v>
      </c>
      <c r="GX121" s="22">
        <f t="shared" si="82"/>
        <v>404.13296023549515</v>
      </c>
      <c r="GY121" s="62">
        <f t="shared" si="83"/>
        <v>697.46629356882841</v>
      </c>
      <c r="GZ121" s="62">
        <f ca="1">AVERAGE(OFFSET($GY$3,0,0,'Données projet'!$E$18+1,1))-AVERAGE(OFFSET($H$3,0,0,'Données projet'!$E$18+1,1))</f>
        <v>284.88646502866419</v>
      </c>
      <c r="HA121" s="62">
        <f t="shared" si="106"/>
        <v>190.4880882944471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>
        <f>EXP(-LN(2)/35)*HG120+(1-EXP(-LN(2)/35))/(LN(2)/35)*HC121*HD121*VLOOKUP('Données projet'!$B$18,Paramètres!$A$1:$I$89,3,0)*0.475*44/12</f>
        <v>0</v>
      </c>
      <c r="HH121" s="23">
        <f>EXP(-LN(2)/25)*HH120+(1-EXP(-LN(2)/25))/(LN(2)/25)*Calculateur!HC121*Calculateur!HE121*VLOOKUP('Données projet'!$B$18,Paramètres!$A$1:$I$89,3,0)*0.475*44/12</f>
        <v>0</v>
      </c>
      <c r="HI121" s="23">
        <f>EXP(-LN(2)/2)*HI120+(1-EXP(-LN(2)/2))/(LN(2)/2)*HC121*HF121*VLOOKUP('Données projet'!$B$18,Paramètres!$A$1:$I$89,3,0)*0.475*44/12</f>
        <v>0</v>
      </c>
      <c r="HJ121" s="24">
        <f t="shared" si="84"/>
        <v>0</v>
      </c>
    </row>
    <row r="122" spans="1:218" s="5" customFormat="1" x14ac:dyDescent="0.25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2">
        <f t="shared" si="86"/>
        <v>0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0</v>
      </c>
      <c r="H122" s="70">
        <f t="shared" si="56"/>
        <v>256.66666666666669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2.8846153846153841</v>
      </c>
      <c r="N122" s="14">
        <f>IF('Données projet'!$A$36&gt;35,N121+M122-V121,IF(A122&lt;'Données projet'!$A$36,$K$205^A122,IF(A122='Données projet'!$A$36,'Données projet'!$B$36,N121+M122-V121)))</f>
        <v>279.16666666666657</v>
      </c>
      <c r="O122" s="14">
        <f>N122*VLOOKUP('Données projet'!$B$9,Paramètres!$A$1:$I$89,3,0)*VLOOKUP('Données projet'!$B$9,Paramètres!$A$1:$I$89,5,0)</f>
        <v>265.65499999999992</v>
      </c>
      <c r="P122" s="14">
        <f t="shared" si="87"/>
        <v>63.926281764798937</v>
      </c>
      <c r="Q122" s="22">
        <f t="shared" si="107"/>
        <v>574.02073240702464</v>
      </c>
      <c r="R122" s="62">
        <f t="shared" si="55"/>
        <v>867.35406574035801</v>
      </c>
      <c r="S122" s="62">
        <f ca="1">AVERAGE(OFFSET($R$3,0,0,'Données projet'!$E$9+1,1))-AVERAGE(OFFSET($H$3,0,0,'Données projet'!$E$9+1,1))</f>
        <v>367.11183928586667</v>
      </c>
      <c r="T122" s="62">
        <f t="shared" si="88"/>
        <v>281.52963027844595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0</v>
      </c>
      <c r="AA122" s="23">
        <f>EXP(-LN(2)/25)*AA121+(1-EXP(-LN(2)/25))/(LN(2)/25)*Calculateur!V122*Calculateur!X122*VLOOKUP('Données projet'!$B$9,Paramètres!$A$1:$I$89,3,0)*0.475*44/12</f>
        <v>0</v>
      </c>
      <c r="AB122" s="23">
        <f>EXP(-LN(2)/2)*AB121+(1-EXP(-LN(2)/2))/(LN(2)/2)*V122*Y122*VLOOKUP('Données projet'!$B$9,Paramètres!$A$1:$I$89,3,0)*0.475*44/12</f>
        <v>0</v>
      </c>
      <c r="AC122" s="24">
        <f t="shared" si="57"/>
        <v>0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3.7</v>
      </c>
      <c r="AI122" s="14">
        <f>IF('Données projet'!$A$62&gt;35,AI121+AH122-AQ121,IF(A122&lt;'Données projet'!$A$62,$AF$205^A122,IF(A122='Données projet'!$A$62,'Données projet'!$B$62,AI121+AH122-AQ121)))</f>
        <v>299.2999999999995</v>
      </c>
      <c r="AJ122" s="14">
        <f>AI122*VLOOKUP('Données projet'!$B$10,Paramètres!$A$1:$I$89,3,0)*VLOOKUP('Données projet'!$B$10,Paramètres!$A$1:$I$89,5,0)</f>
        <v>270.80663999999956</v>
      </c>
      <c r="AK122" s="14">
        <f t="shared" si="89"/>
        <v>65.020428921429911</v>
      </c>
      <c r="AL122" s="22">
        <f t="shared" si="58"/>
        <v>584.89881170482306</v>
      </c>
      <c r="AM122" s="62">
        <f t="shared" si="59"/>
        <v>878.23214503815643</v>
      </c>
      <c r="AN122" s="62">
        <f ca="1">AVERAGE(OFFSET($AM$3,0,0,'Données projet'!$E$10+1,1))-AVERAGE(OFFSET($H$3,0,0,'Données projet'!$E$10+1,1))</f>
        <v>428.8489304403459</v>
      </c>
      <c r="AO122" s="62">
        <f t="shared" si="90"/>
        <v>247.01165577562966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0</v>
      </c>
      <c r="AV122" s="23">
        <f>EXP(-LN(2)/25)*AV121+(1-EXP(-LN(2)/25))/(LN(2)/25)*Calculateur!AQ122*Calculateur!AS122*VLOOKUP('Données projet'!$B$10,Paramètres!$A$1:$I$89,3,0)*0.475*44/12</f>
        <v>0</v>
      </c>
      <c r="AW122" s="23">
        <f>EXP(-LN(2)/2)*AW121+(1-EXP(-LN(2)/2))/(LN(2)/2)*AQ122*AT122*VLOOKUP('Données projet'!$B$10,Paramètres!$A$1:$I$89,3,0)*0.475*44/12</f>
        <v>0</v>
      </c>
      <c r="AX122" s="23">
        <f t="shared" si="60"/>
        <v>0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3.7</v>
      </c>
      <c r="BD122" s="13">
        <f>IF('Données projet'!$A$88&gt;35,BD121+BC122-BL121,IF(A122&lt;'Données projet'!$A$88,$BA$205^A122,IF(A122='Données projet'!$A$88,'Données projet'!$B$88,BD121+BC122-BL121)))</f>
        <v>299.2999999999995</v>
      </c>
      <c r="BE122" s="14">
        <f>BD122*VLOOKUP('Données projet'!$B$11,Paramètres!$A$1:$I$89,3,0)*VLOOKUP('Données projet'!$B$11,Paramètres!$A$1:$I$89,5,0)</f>
        <v>303.4901999999995</v>
      </c>
      <c r="BF122" s="14">
        <f t="shared" si="91"/>
        <v>71.907650167874138</v>
      </c>
      <c r="BG122" s="22">
        <f t="shared" si="61"/>
        <v>653.81792237571324</v>
      </c>
      <c r="BH122" s="62">
        <f t="shared" si="62"/>
        <v>947.15125570904661</v>
      </c>
      <c r="BI122" s="62">
        <f ca="1">AVERAGE(OFFSET($BH$3,0,0,'Données projet'!$E$11+1,1))-AVERAGE(OFFSET($H$3,0,0,'Données projet'!$E$11+1,1))</f>
        <v>475.47920969424894</v>
      </c>
      <c r="BJ122" s="62">
        <f t="shared" si="92"/>
        <v>271.73544012419364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>
        <f>EXP(-LN(2)/35)*BP121+(1-EXP(-LN(2)/35))/(LN(2)/35)*BL122*BM122*VLOOKUP('Données projet'!$B$11,Paramètres!$A$1:$I$89,3,0)*0.475*44/12</f>
        <v>0</v>
      </c>
      <c r="BQ122" s="23">
        <f>EXP(-LN(2)/25)*BQ121+(1-EXP(-LN(2)/25))/(LN(2)/25)*Calculateur!BL122*Calculateur!BN122*VLOOKUP('Données projet'!$B$11,Paramètres!$A$1:$I$89,3,0)*0.475*44/12</f>
        <v>0</v>
      </c>
      <c r="BR122" s="23">
        <f>EXP(-LN(2)/2)*BR121+(1-EXP(-LN(2)/2))/(LN(2)/2)*BL122*BO122*VLOOKUP('Données projet'!$B$11,Paramètres!$A$1:$I$89,3,0)*0.475*44/12</f>
        <v>0</v>
      </c>
      <c r="BS122" s="24">
        <f t="shared" si="63"/>
        <v>0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2.2737367544323206E-13</v>
      </c>
      <c r="BZ122" s="14">
        <f>BY122*VLOOKUP('Données projet'!$B$12,Paramètres!$A$1:$I$89,3,0)*VLOOKUP('Données projet'!$B$12,Paramètres!$A$1:$I$89,5,0)</f>
        <v>1.2710188457276673E-13</v>
      </c>
      <c r="CA122" s="14">
        <f t="shared" si="93"/>
        <v>1.856866851063998E-12</v>
      </c>
      <c r="CB122" s="22">
        <f t="shared" si="64"/>
        <v>3.4554122145673649E-12</v>
      </c>
      <c r="CC122" s="62">
        <f t="shared" si="65"/>
        <v>293.33333333333678</v>
      </c>
      <c r="CD122" s="62">
        <f ca="1">AVERAGE(OFFSET($CC$3,0,0,'Données projet'!$E$12+1,1))-AVERAGE(OFFSET($H$3,0,0,'Données projet'!$E$12+1,1))</f>
        <v>323.98185264074681</v>
      </c>
      <c r="CE122" s="62">
        <f t="shared" si="94"/>
        <v>301.22207291854005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>
        <f>EXP(-LN(2)/35)*CK121+(1-EXP(-LN(2)/35))/(LN(2)/35)*CG122*CH122*VLOOKUP('Données projet'!$B$12,Paramètres!$A$1:$I$89,3,0)*0.475*44/12</f>
        <v>0.76574564541288714</v>
      </c>
      <c r="CL122" s="23">
        <f>EXP(-LN(2)/25)*CL121+(1-EXP(-LN(2)/25))/(LN(2)/25)*Calculateur!CG122*Calculateur!CI122*VLOOKUP('Données projet'!$B$12,Paramètres!$A$1:$I$89,3,0)*0.475*44/12</f>
        <v>0.69927014892807093</v>
      </c>
      <c r="CM122" s="23">
        <f>EXP(-LN(2)/2)*CM121+(1-EXP(-LN(2)/2))/(LN(2)/2)*CG122*CJ122*VLOOKUP('Données projet'!$B$12,Paramètres!$A$1:$I$89,3,0)*0.475*44/12</f>
        <v>2.4469555565156342E-13</v>
      </c>
      <c r="CN122" s="24">
        <f t="shared" si="66"/>
        <v>1.4650157943412028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2.8</v>
      </c>
      <c r="CT122" s="13">
        <f>IF('Données projet'!$A$140&gt;35,CT121+CS122-DB121,IF(A122&lt;'Données projet'!$A$140,$CQ$205^A122,IF(A122='Données projet'!$A$140,'Données projet'!$B$140,CT121+CS122-DB121)))</f>
        <v>231.19999999999987</v>
      </c>
      <c r="CU122" s="18">
        <f>CT122*VLOOKUP('Données projet'!$B$13,Paramètres!$A$1:$I$89,3,0)*VLOOKUP('Données projet'!$B$13,Paramètres!$A$1:$I$89,5,0)</f>
        <v>263.29055999999986</v>
      </c>
      <c r="CV122" s="14">
        <f t="shared" si="95"/>
        <v>63.423278143448577</v>
      </c>
      <c r="CW122" s="22">
        <f t="shared" si="67"/>
        <v>569.02660143317269</v>
      </c>
      <c r="CX122" s="62">
        <f t="shared" si="68"/>
        <v>862.35993476650606</v>
      </c>
      <c r="CY122" s="62">
        <f ca="1">AVERAGE(OFFSET($CX$3,0,0,'Données projet'!$E$13+1,1))-AVERAGE(OFFSET($H$3,0,0,'Données projet'!$E$13+1,1))</f>
        <v>399.78832690250164</v>
      </c>
      <c r="CZ122" s="62">
        <f t="shared" si="96"/>
        <v>174.32967064896343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>
        <f>EXP(-LN(2)/35)*DF121+(1-EXP(-LN(2)/35))/(LN(2)/35)*DB122*DC122*VLOOKUP('Données projet'!$B$13,Paramètres!$A$1:$I$89,3,0)*0.475*44/12</f>
        <v>0</v>
      </c>
      <c r="DG122" s="23">
        <f>EXP(-LN(2)/25)*DG121+(1-EXP(-LN(2)/25))/(LN(2)/25)*Calculateur!DB122*Calculateur!DD122*VLOOKUP('Données projet'!$B$13,Paramètres!$A$1:$I$89,3,0)*0.475*44/12</f>
        <v>0</v>
      </c>
      <c r="DH122" s="23">
        <f>EXP(-LN(2)/2)*DH121+(1-EXP(-LN(2)/2))/(LN(2)/2)*DB122*DE122*VLOOKUP('Données projet'!$B$13,Paramètres!$A$1:$I$89,3,0)*0.475*44/12</f>
        <v>0</v>
      </c>
      <c r="DI122" s="24">
        <f t="shared" si="69"/>
        <v>0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3.7</v>
      </c>
      <c r="DO122" s="13">
        <f>IF('Données projet'!$A$166&gt;35,DO121+DN122-DW121,IF(A122&lt;'Données projet'!$A$166,$DL$205^A122,IF(A122='Données projet'!$A$166,'Données projet'!$B$166,DO121+DN122-DW121)))</f>
        <v>299.2999999999995</v>
      </c>
      <c r="DP122" s="18">
        <f>DO122*VLOOKUP('Données projet'!$B$14,Paramètres!$A$1:$I$89,3,0)*VLOOKUP('Données projet'!$B$14,Paramètres!$A$1:$I$89,5,0)</f>
        <v>252.13031999999959</v>
      </c>
      <c r="DQ122" s="14">
        <f t="shared" si="97"/>
        <v>61.041891296605009</v>
      </c>
      <c r="DR122" s="22">
        <f t="shared" si="70"/>
        <v>545.44160134158631</v>
      </c>
      <c r="DS122" s="62">
        <f t="shared" si="71"/>
        <v>838.77493467491968</v>
      </c>
      <c r="DT122" s="62">
        <f ca="1">AVERAGE(OFFSET($DS$3,0,0,'Données projet'!$E$14+1,1))-AVERAGE(OFFSET($H$3,0,0,'Données projet'!$E$14+1,1))</f>
        <v>402.15128814037058</v>
      </c>
      <c r="DU122" s="62">
        <f t="shared" si="98"/>
        <v>232.85411068442738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>
        <f>EXP(-LN(2)/35)*EA121+(1-EXP(-LN(2)/35))/(LN(2)/35)*DW122*DX122*VLOOKUP('Données projet'!$B$14,Paramètres!$A$1:$I$89,3,0)*0.475*44/12</f>
        <v>0</v>
      </c>
      <c r="EB122" s="23">
        <f>EXP(-LN(2)/25)*EB121+(1-EXP(-LN(2)/25))/(LN(2)/25)*Calculateur!DW122*Calculateur!DY122*VLOOKUP('Données projet'!$B$14,Paramètres!$A$1:$I$89,3,0)*0.475*44/12</f>
        <v>0</v>
      </c>
      <c r="EC122" s="23">
        <f>EXP(-LN(2)/2)*EC121+(1-EXP(-LN(2)/2))/(LN(2)/2)*DW122*DZ122*VLOOKUP('Données projet'!$B$14,Paramètres!$A$1:$I$89,3,0)*0.475*44/12</f>
        <v>0</v>
      </c>
      <c r="ED122" s="24">
        <f t="shared" si="72"/>
        <v>0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3.3974358974359005</v>
      </c>
      <c r="EJ122" s="13">
        <f>IF('Données projet'!$A$192&gt;35,EJ121+EI122-ER121,IF(A122&lt;'Données projet'!$A$192,$EG$205^A122,IF(A122='Données projet'!$A$192,'Données projet'!$B$192,EJ121+EI122-ER121)))</f>
        <v>395.96153846153885</v>
      </c>
      <c r="EK122" s="18">
        <f>EJ122*VLOOKUP('Données projet'!$B$15,Paramètres!$A$1:$I$89,3,0)*VLOOKUP('Données projet'!$B$15,Paramètres!$A$1:$I$89,5,0)</f>
        <v>413.85900000000044</v>
      </c>
      <c r="EL122" s="14">
        <f t="shared" si="99"/>
        <v>94.580770808047944</v>
      </c>
      <c r="EM122" s="22">
        <f t="shared" si="73"/>
        <v>885.53260082401755</v>
      </c>
      <c r="EN122" s="62">
        <f t="shared" si="74"/>
        <v>1178.8659341573509</v>
      </c>
      <c r="EO122" s="62">
        <f ca="1">AVERAGE(OFFSET($EN$3,0,0,'Données projet'!$E$15+1,1))-AVERAGE(OFFSET($H$3,0,0,'Données projet'!$E$15+1,1))</f>
        <v>595.89992279024398</v>
      </c>
      <c r="EP122" s="62">
        <f t="shared" si="100"/>
        <v>378.16197659288338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>
        <f>EXP(-LN(2)/35)*EV121+(1-EXP(-LN(2)/35))/(LN(2)/35)*ER122*ES122*VLOOKUP('Données projet'!$B$15,Paramètres!$A$1:$I$89,3,0)*0.475*44/12</f>
        <v>0</v>
      </c>
      <c r="EW122" s="23">
        <f>EXP(-LN(2)/25)*EW121+(1-EXP(-LN(2)/25))/(LN(2)/25)*Calculateur!ER122*Calculateur!ET122*VLOOKUP('Données projet'!$B$15,Paramètres!$A$1:$I$89,3,0)*0.475*44/12</f>
        <v>0</v>
      </c>
      <c r="EX122" s="23">
        <f>EXP(-LN(2)/2)*EX121+(1-EXP(-LN(2)/2))/(LN(2)/2)*ER122*EU122*VLOOKUP('Données projet'!$B$15,Paramètres!$A$1:$I$89,3,0)*0.475*44/12</f>
        <v>0</v>
      </c>
      <c r="EY122" s="24">
        <f t="shared" si="75"/>
        <v>0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-2.2737367544323206E-13</v>
      </c>
      <c r="FF122" s="18">
        <f>FE122*VLOOKUP('Données projet'!$B$16,Paramètres!$A$1:$I$89,3,0)*VLOOKUP('Données projet'!$B$16,Paramètres!$A$1:$I$89,5,0)</f>
        <v>-1.3596945791505279E-13</v>
      </c>
      <c r="FG122" s="14" t="e">
        <f t="shared" si="101"/>
        <v>#NUM!</v>
      </c>
      <c r="FH122" s="22" t="e">
        <f t="shared" si="76"/>
        <v>#NUM!</v>
      </c>
      <c r="FI122" s="62" t="e">
        <f t="shared" si="77"/>
        <v>#NUM!</v>
      </c>
      <c r="FJ122" s="62">
        <f ca="1">AVERAGE(OFFSET($FI$3,0,0,'Données projet'!$E$16+1,1))-AVERAGE(OFFSET($H$3,0,0,'Données projet'!$E$16+1,1))</f>
        <v>257.56116197646924</v>
      </c>
      <c r="FK122" s="62">
        <f t="shared" si="102"/>
        <v>269.95556918835888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>
        <f>EXP(-LN(2)/35)*FQ121+(1-EXP(-LN(2)/35))/(LN(2)/35)*FM122*FN122*VLOOKUP('Données projet'!$B$16,Paramètres!$A$1:$I$89,3,0)*0.475*44/12</f>
        <v>2.5022125461371694</v>
      </c>
      <c r="FR122" s="23">
        <f>EXP(-LN(2)/25)*FR121+(1-EXP(-LN(2)/25))/(LN(2)/25)*Calculateur!FM122*Calculateur!FO122*VLOOKUP('Données projet'!$B$16,Paramètres!$A$1:$I$89,3,0)*0.475*44/12</f>
        <v>1.3687351720114476</v>
      </c>
      <c r="FS122" s="23">
        <f>EXP(-LN(2)/2)*FS121+(1-EXP(-LN(2)/2))/(LN(2)/2)*FM122*FP122*VLOOKUP('Données projet'!$B$16,Paramètres!$A$1:$I$89,3,0)*0.475*44/12</f>
        <v>3.4382596791794744E-13</v>
      </c>
      <c r="FT122" s="24">
        <f t="shared" si="78"/>
        <v>3.8709477181489609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-2.8421709430404007E-13</v>
      </c>
      <c r="GA122" s="18">
        <f>FZ122*VLOOKUP('Données projet'!$B$17,Paramètres!$A$1:$I$89,3,0)*VLOOKUP('Données projet'!$B$17,Paramètres!$A$1:$I$89,5,0)</f>
        <v>-1.69961822393816E-13</v>
      </c>
      <c r="GB122" s="14" t="e">
        <f t="shared" si="103"/>
        <v>#NUM!</v>
      </c>
      <c r="GC122" s="22" t="e">
        <f t="shared" si="79"/>
        <v>#NUM!</v>
      </c>
      <c r="GD122" s="62" t="e">
        <f t="shared" si="80"/>
        <v>#NUM!</v>
      </c>
      <c r="GE122" s="62">
        <f ca="1">AVERAGE(OFFSET($GD$3,0,0,'Données projet'!$E$17+1,1))-AVERAGE(OFFSET($H$3,0,0,'Données projet'!$E$17+1,1))</f>
        <v>289.12367833861299</v>
      </c>
      <c r="GF122" s="62">
        <f t="shared" si="104"/>
        <v>229.06617320689003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>
        <f>EXP(-LN(2)/35)*GL121+(1-EXP(-LN(2)/35))/(LN(2)/35)*GH122*GI122*VLOOKUP('Données projet'!$B$17,Paramètres!$A$1:$I$89,3,0)*0.475*44/12</f>
        <v>0</v>
      </c>
      <c r="GM122" s="23">
        <f>EXP(-LN(2)/25)*GM121+(1-EXP(-LN(2)/25))/(LN(2)/25)*Calculateur!GH122*Calculateur!GJ122*VLOOKUP('Données projet'!$B$17,Paramètres!$A$1:$I$89,3,0)*0.475*44/12</f>
        <v>0</v>
      </c>
      <c r="GN122" s="23">
        <f>EXP(-LN(2)/2)*GN121+(1-EXP(-LN(2)/2))/(LN(2)/2)*GH122*GK122*VLOOKUP('Données projet'!$B$17,Paramètres!$A$1:$I$89,3,0)*0.475*44/12</f>
        <v>1.6667941077537542E-13</v>
      </c>
      <c r="GO122" s="23">
        <f t="shared" si="81"/>
        <v>1.6667941077537542E-13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7.083333333333333</v>
      </c>
      <c r="GU122" s="13">
        <f>IF('Données projet'!$A$270&gt;35,GU121+GT122-HC121,IF(A122&lt;'Données projet'!$A$270,$GR$205^A122,IF(A122='Données projet'!$A$270,'Données projet'!$B$270,GU121+GT122-HC121)))</f>
        <v>403.44102564102559</v>
      </c>
      <c r="GV122" s="18">
        <f>GU122*VLOOKUP('Données projet'!$B$18,Paramètres!$A$1:$I$89,3,0)*VLOOKUP('Données projet'!$B$18,Paramètres!$A$1:$I$89,5,0)</f>
        <v>188.81039999999999</v>
      </c>
      <c r="GW122" s="14">
        <f t="shared" si="105"/>
        <v>47.276853120620757</v>
      </c>
      <c r="GX122" s="22">
        <f t="shared" si="82"/>
        <v>411.18529918508108</v>
      </c>
      <c r="GY122" s="62">
        <f t="shared" si="83"/>
        <v>704.51863251841439</v>
      </c>
      <c r="GZ122" s="62">
        <f ca="1">AVERAGE(OFFSET($GY$3,0,0,'Données projet'!$E$18+1,1))-AVERAGE(OFFSET($H$3,0,0,'Données projet'!$E$18+1,1))</f>
        <v>284.88646502866419</v>
      </c>
      <c r="HA122" s="62">
        <f t="shared" si="106"/>
        <v>190.4880882944471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>
        <f>EXP(-LN(2)/35)*HG121+(1-EXP(-LN(2)/35))/(LN(2)/35)*HC122*HD122*VLOOKUP('Données projet'!$B$18,Paramètres!$A$1:$I$89,3,0)*0.475*44/12</f>
        <v>0</v>
      </c>
      <c r="HH122" s="23">
        <f>EXP(-LN(2)/25)*HH121+(1-EXP(-LN(2)/25))/(LN(2)/25)*Calculateur!HC122*Calculateur!HE122*VLOOKUP('Données projet'!$B$18,Paramètres!$A$1:$I$89,3,0)*0.475*44/12</f>
        <v>0</v>
      </c>
      <c r="HI122" s="23">
        <f>EXP(-LN(2)/2)*HI121+(1-EXP(-LN(2)/2))/(LN(2)/2)*HC122*HF122*VLOOKUP('Données projet'!$B$18,Paramètres!$A$1:$I$89,3,0)*0.475*44/12</f>
        <v>0</v>
      </c>
      <c r="HJ122" s="24">
        <f t="shared" si="84"/>
        <v>0</v>
      </c>
    </row>
    <row r="123" spans="1:218" s="5" customFormat="1" x14ac:dyDescent="0.25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2">
        <f t="shared" si="86"/>
        <v>0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0</v>
      </c>
      <c r="H123" s="70">
        <f t="shared" si="56"/>
        <v>256.66666666666669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>
        <f>VLOOKUP(A123,'Données projet'!$A$35:$I$55,2,0)</f>
        <v>282.05128205128204</v>
      </c>
      <c r="L123" s="13">
        <f>VLOOKUP(A123,'Données projet'!$A$35:$I$55,9,0)</f>
        <v>2.8846153846153841</v>
      </c>
      <c r="M123" s="13">
        <f t="array" ref="M123">INDEX(L:L,MIN(IF(ISNUMBER(L123:L319),ROW(L123:L319),"")))</f>
        <v>2.8846153846153841</v>
      </c>
      <c r="N123" s="14">
        <f>IF('Données projet'!$A$36&gt;35,N122+M123-V122,IF(A123&lt;'Données projet'!$A$36,$K$205^A123,IF(A123='Données projet'!$A$36,'Données projet'!$B$36,N122+M123-V122)))</f>
        <v>282.05128205128193</v>
      </c>
      <c r="O123" s="14">
        <f>N123*VLOOKUP('Données projet'!$B$9,Paramètres!$A$1:$I$89,3,0)*VLOOKUP('Données projet'!$B$9,Paramètres!$A$1:$I$89,5,0)</f>
        <v>268.39999999999992</v>
      </c>
      <c r="P123" s="14">
        <f t="shared" si="87"/>
        <v>64.509591536876712</v>
      </c>
      <c r="Q123" s="22">
        <f t="shared" si="107"/>
        <v>579.81753859339335</v>
      </c>
      <c r="R123" s="62">
        <f t="shared" si="55"/>
        <v>873.15087192672672</v>
      </c>
      <c r="S123" s="62">
        <f ca="1">AVERAGE(OFFSET($R$3,0,0,'Données projet'!$E$9+1,1))-AVERAGE(OFFSET($H$3,0,0,'Données projet'!$E$9+1,1))</f>
        <v>367.11183928586667</v>
      </c>
      <c r="T123" s="62">
        <f t="shared" si="88"/>
        <v>281.52963027844595</v>
      </c>
      <c r="U123" s="16">
        <f>IF(ISNA(VLOOKUP(A123,'Données projet'!$A$35:$I$55,3,0)),0,VLOOKUP(A123,'Données projet'!$A$35:$I$55,3,0))</f>
        <v>10</v>
      </c>
      <c r="V123" s="16">
        <f>IF(ISNA(VLOOKUP(A123,'Données projet'!$A$35:$I$55,4,0)),0,VLOOKUP(A123,'Données projet'!$A$35:$I$55,4,0))</f>
        <v>282.05128205128204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0</v>
      </c>
      <c r="AA123" s="23">
        <f>EXP(-LN(2)/25)*AA122+(1-EXP(-LN(2)/25))/(LN(2)/25)*Calculateur!V123*Calculateur!X123*VLOOKUP('Données projet'!$B$9,Paramètres!$A$1:$I$89,3,0)*0.475*44/12</f>
        <v>0</v>
      </c>
      <c r="AB123" s="23">
        <f>EXP(-LN(2)/2)*AB122+(1-EXP(-LN(2)/2))/(LN(2)/2)*V123*Y123*VLOOKUP('Données projet'!$B$9,Paramètres!$A$1:$I$89,3,0)*0.475*44/12</f>
        <v>0</v>
      </c>
      <c r="AC123" s="24">
        <f t="shared" si="57"/>
        <v>0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>
        <f>VLOOKUP(A123,'Données projet'!$A$61:$I$81,2,0)</f>
        <v>303</v>
      </c>
      <c r="AG123" s="13">
        <f>VLOOKUP(A123,'Données projet'!$A$61:$I$81,9,0)</f>
        <v>3.7</v>
      </c>
      <c r="AH123" s="13">
        <f t="array" ref="AH123">INDEX(AG:AG,MIN(IF(ISNUMBER(AG123:AG319),ROW(AG123:AG319),"")))</f>
        <v>3.7</v>
      </c>
      <c r="AI123" s="14">
        <f>IF('Données projet'!$A$62&gt;35,AI122+AH123-AQ122,IF(A123&lt;'Données projet'!$A$62,$AF$205^A123,IF(A123='Données projet'!$A$62,'Données projet'!$B$62,AI122+AH123-AQ122)))</f>
        <v>302.99999999999949</v>
      </c>
      <c r="AJ123" s="14">
        <f>AI123*VLOOKUP('Données projet'!$B$10,Paramètres!$A$1:$I$89,3,0)*VLOOKUP('Données projet'!$B$10,Paramètres!$A$1:$I$89,5,0)</f>
        <v>274.15439999999955</v>
      </c>
      <c r="AK123" s="14">
        <f t="shared" si="89"/>
        <v>65.730152764515779</v>
      </c>
      <c r="AL123" s="22">
        <f t="shared" si="58"/>
        <v>591.96559606486414</v>
      </c>
      <c r="AM123" s="62">
        <f t="shared" si="59"/>
        <v>885.29892939819752</v>
      </c>
      <c r="AN123" s="62">
        <f ca="1">AVERAGE(OFFSET($AM$3,0,0,'Données projet'!$E$10+1,1))-AVERAGE(OFFSET($H$3,0,0,'Données projet'!$E$10+1,1))</f>
        <v>428.8489304403459</v>
      </c>
      <c r="AO123" s="62">
        <f t="shared" si="90"/>
        <v>247.01165577562966</v>
      </c>
      <c r="AP123" s="16">
        <f>IF(ISNA(VLOOKUP(A123,'Données projet'!$A$61:$I$81,3,0)),0,VLOOKUP(A123,'Données projet'!$A$61:$I$81,3,0))</f>
        <v>10</v>
      </c>
      <c r="AQ123" s="16">
        <f>IF(ISNA(VLOOKUP(A123,'Données projet'!$A$61:$I$81,4,0)),0,VLOOKUP(A123,'Données projet'!$A$61:$I$81,4,0))</f>
        <v>35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0</v>
      </c>
      <c r="AV123" s="23">
        <f>EXP(-LN(2)/25)*AV122+(1-EXP(-LN(2)/25))/(LN(2)/25)*Calculateur!AQ123*Calculateur!AS123*VLOOKUP('Données projet'!$B$10,Paramètres!$A$1:$I$89,3,0)*0.475*44/12</f>
        <v>0</v>
      </c>
      <c r="AW123" s="23">
        <f>EXP(-LN(2)/2)*AW122+(1-EXP(-LN(2)/2))/(LN(2)/2)*AQ123*AT123*VLOOKUP('Données projet'!$B$10,Paramètres!$A$1:$I$89,3,0)*0.475*44/12</f>
        <v>0</v>
      </c>
      <c r="AX123" s="23">
        <f t="shared" si="60"/>
        <v>0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>
        <f>VLOOKUP(A123,'Données projet'!$A$87:$I$107,2,0)</f>
        <v>303</v>
      </c>
      <c r="BB123" s="13">
        <f>VLOOKUP(A123,'Données projet'!$A$87:$I$107,9,0)</f>
        <v>3.7</v>
      </c>
      <c r="BC123" s="13">
        <f t="array" ref="BC123">INDEX(BB:BB,MIN(IF(ISNUMBER(BB123:BB319),ROW(BB123:BB319),"")))</f>
        <v>3.7</v>
      </c>
      <c r="BD123" s="13">
        <f>IF('Données projet'!$A$88&gt;35,BD122+BC123-BL122,IF(A123&lt;'Données projet'!$A$88,$BA$205^A123,IF(A123='Données projet'!$A$88,'Données projet'!$B$88,BD122+BC123-BL122)))</f>
        <v>302.99999999999949</v>
      </c>
      <c r="BE123" s="14">
        <f>BD123*VLOOKUP('Données projet'!$B$11,Paramètres!$A$1:$I$89,3,0)*VLOOKUP('Données projet'!$B$11,Paramètres!$A$1:$I$89,5,0)</f>
        <v>307.24199999999951</v>
      </c>
      <c r="BF123" s="14">
        <f t="shared" si="91"/>
        <v>72.692550770207717</v>
      </c>
      <c r="BG123" s="22">
        <f t="shared" si="61"/>
        <v>661.71934259144427</v>
      </c>
      <c r="BH123" s="62">
        <f t="shared" si="62"/>
        <v>955.05267592477753</v>
      </c>
      <c r="BI123" s="62">
        <f ca="1">AVERAGE(OFFSET($BH$3,0,0,'Données projet'!$E$11+1,1))-AVERAGE(OFFSET($H$3,0,0,'Données projet'!$E$11+1,1))</f>
        <v>475.47920969424894</v>
      </c>
      <c r="BJ123" s="62">
        <f t="shared" si="92"/>
        <v>271.73544012419364</v>
      </c>
      <c r="BK123" s="16">
        <f>IF(ISNA(VLOOKUP(A123,'Données projet'!$A$87:$I$107,3,0)),0,VLOOKUP(A123,'Données projet'!$A$87:$I$107,3,0))</f>
        <v>10</v>
      </c>
      <c r="BL123" s="16">
        <f>IF(ISNA(VLOOKUP(A123,'Données projet'!$A$87:$I$107,4,0)),0,VLOOKUP(A123,'Données projet'!$A$87:$I$107,4,0))</f>
        <v>35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>
        <f>EXP(-LN(2)/35)*BP122+(1-EXP(-LN(2)/35))/(LN(2)/35)*BL123*BM123*VLOOKUP('Données projet'!$B$11,Paramètres!$A$1:$I$89,3,0)*0.475*44/12</f>
        <v>0</v>
      </c>
      <c r="BQ123" s="23">
        <f>EXP(-LN(2)/25)*BQ122+(1-EXP(-LN(2)/25))/(LN(2)/25)*Calculateur!BL123*Calculateur!BN123*VLOOKUP('Données projet'!$B$11,Paramètres!$A$1:$I$89,3,0)*0.475*44/12</f>
        <v>0</v>
      </c>
      <c r="BR123" s="23">
        <f>EXP(-LN(2)/2)*BR122+(1-EXP(-LN(2)/2))/(LN(2)/2)*BL123*BO123*VLOOKUP('Données projet'!$B$11,Paramètres!$A$1:$I$89,3,0)*0.475*44/12</f>
        <v>0</v>
      </c>
      <c r="BS123" s="24">
        <f t="shared" si="63"/>
        <v>0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2.2737367544323206E-13</v>
      </c>
      <c r="BZ123" s="14">
        <f>BY123*VLOOKUP('Données projet'!$B$12,Paramètres!$A$1:$I$89,3,0)*VLOOKUP('Données projet'!$B$12,Paramètres!$A$1:$I$89,5,0)</f>
        <v>1.2710188457276673E-13</v>
      </c>
      <c r="CA123" s="14">
        <f t="shared" si="93"/>
        <v>1.856866851063998E-12</v>
      </c>
      <c r="CB123" s="22">
        <f t="shared" si="64"/>
        <v>3.4554122145673649E-12</v>
      </c>
      <c r="CC123" s="62">
        <f t="shared" si="65"/>
        <v>293.33333333333678</v>
      </c>
      <c r="CD123" s="62">
        <f ca="1">AVERAGE(OFFSET($CC$3,0,0,'Données projet'!$E$12+1,1))-AVERAGE(OFFSET($H$3,0,0,'Données projet'!$E$12+1,1))</f>
        <v>323.98185264074681</v>
      </c>
      <c r="CE123" s="62">
        <f t="shared" si="94"/>
        <v>301.22207291854005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>
        <f>EXP(-LN(2)/35)*CK122+(1-EXP(-LN(2)/35))/(LN(2)/35)*CG123*CH123*VLOOKUP('Données projet'!$B$12,Paramètres!$A$1:$I$89,3,0)*0.475*44/12</f>
        <v>0.75072984036506596</v>
      </c>
      <c r="CL123" s="23">
        <f>EXP(-LN(2)/25)*CL122+(1-EXP(-LN(2)/25))/(LN(2)/25)*Calculateur!CG123*Calculateur!CI123*VLOOKUP('Données projet'!$B$12,Paramètres!$A$1:$I$89,3,0)*0.475*44/12</f>
        <v>0.68014856993261386</v>
      </c>
      <c r="CM123" s="23">
        <f>EXP(-LN(2)/2)*CM122+(1-EXP(-LN(2)/2))/(LN(2)/2)*CG123*CJ123*VLOOKUP('Données projet'!$B$12,Paramètres!$A$1:$I$89,3,0)*0.475*44/12</f>
        <v>1.7302588672743072E-13</v>
      </c>
      <c r="CN123" s="24">
        <f t="shared" si="66"/>
        <v>1.4308784102978527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>
        <f>VLOOKUP(A123,'Données projet'!$A$139:$I$159,2,0)</f>
        <v>234</v>
      </c>
      <c r="CR123" s="13">
        <f>VLOOKUP(A123,'Données projet'!$A$139:$I$159,9,0)</f>
        <v>2.8</v>
      </c>
      <c r="CS123" s="13">
        <f t="array" ref="CS123">INDEX(CR:CR,MIN(IF(ISNUMBER(CR123:CR319),ROW(CR123:CR319),"")))</f>
        <v>2.8</v>
      </c>
      <c r="CT123" s="13">
        <f>IF('Données projet'!$A$140&gt;35,CT122+CS123-DB122,IF(A123&lt;'Données projet'!$A$140,$CQ$205^A123,IF(A123='Données projet'!$A$140,'Données projet'!$B$140,CT122+CS123-DB122)))</f>
        <v>233.99999999999989</v>
      </c>
      <c r="CU123" s="18">
        <f>CT123*VLOOKUP('Données projet'!$B$13,Paramètres!$A$1:$I$89,3,0)*VLOOKUP('Données projet'!$B$13,Paramètres!$A$1:$I$89,5,0)</f>
        <v>266.47919999999988</v>
      </c>
      <c r="CV123" s="14">
        <f t="shared" si="95"/>
        <v>64.101496824889622</v>
      </c>
      <c r="CW123" s="22">
        <f t="shared" si="67"/>
        <v>575.76138030334926</v>
      </c>
      <c r="CX123" s="62">
        <f t="shared" si="68"/>
        <v>869.09471363668263</v>
      </c>
      <c r="CY123" s="62">
        <f ca="1">AVERAGE(OFFSET($CX$3,0,0,'Données projet'!$E$13+1,1))-AVERAGE(OFFSET($H$3,0,0,'Données projet'!$E$13+1,1))</f>
        <v>399.78832690250164</v>
      </c>
      <c r="CZ123" s="62">
        <f t="shared" si="96"/>
        <v>174.32967064896343</v>
      </c>
      <c r="DA123" s="16">
        <f>IF(ISNA(VLOOKUP(A123,'Données projet'!$A$139:$I$159,3,0)),0,VLOOKUP(A123,'Données projet'!$A$139:$I$159,3,0))</f>
        <v>9</v>
      </c>
      <c r="DB123" s="16">
        <f>IF(ISNA(VLOOKUP(A123,'Données projet'!$A$139:$I$159,4,0)),0,VLOOKUP(A123,'Données projet'!$A$139:$I$159,4,0))</f>
        <v>25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>
        <f>EXP(-LN(2)/35)*DF122+(1-EXP(-LN(2)/35))/(LN(2)/35)*DB123*DC123*VLOOKUP('Données projet'!$B$13,Paramètres!$A$1:$I$89,3,0)*0.475*44/12</f>
        <v>0</v>
      </c>
      <c r="DG123" s="23">
        <f>EXP(-LN(2)/25)*DG122+(1-EXP(-LN(2)/25))/(LN(2)/25)*Calculateur!DB123*Calculateur!DD123*VLOOKUP('Données projet'!$B$13,Paramètres!$A$1:$I$89,3,0)*0.475*44/12</f>
        <v>0</v>
      </c>
      <c r="DH123" s="23">
        <f>EXP(-LN(2)/2)*DH122+(1-EXP(-LN(2)/2))/(LN(2)/2)*DB123*DE123*VLOOKUP('Données projet'!$B$13,Paramètres!$A$1:$I$89,3,0)*0.475*44/12</f>
        <v>0</v>
      </c>
      <c r="DI123" s="24">
        <f t="shared" si="69"/>
        <v>0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>
        <f>VLOOKUP(A123,'Données projet'!$A$165:$I$185,2,0)</f>
        <v>303</v>
      </c>
      <c r="DM123" s="13">
        <f>VLOOKUP(A123,'Données projet'!$A$165:$I$185,9,0)</f>
        <v>3.7</v>
      </c>
      <c r="DN123" s="13">
        <f t="array" ref="DN123">INDEX(DM:DM,MIN(IF(ISNUMBER(DM123:DM319),ROW(DM123:DM319),"")))</f>
        <v>3.7</v>
      </c>
      <c r="DO123" s="13">
        <f>IF('Données projet'!$A$166&gt;35,DO122+DN123-DW122,IF(A123&lt;'Données projet'!$A$166,$DL$205^A123,IF(A123='Données projet'!$A$166,'Données projet'!$B$166,DO122+DN123-DW122)))</f>
        <v>302.99999999999949</v>
      </c>
      <c r="DP123" s="18">
        <f>DO123*VLOOKUP('Données projet'!$B$14,Paramètres!$A$1:$I$89,3,0)*VLOOKUP('Données projet'!$B$14,Paramètres!$A$1:$I$89,5,0)</f>
        <v>255.24719999999957</v>
      </c>
      <c r="DQ123" s="14">
        <f t="shared" si="97"/>
        <v>61.708187819081161</v>
      </c>
      <c r="DR123" s="22">
        <f t="shared" si="70"/>
        <v>552.0306337848989</v>
      </c>
      <c r="DS123" s="62">
        <f t="shared" si="71"/>
        <v>845.36396711823227</v>
      </c>
      <c r="DT123" s="62">
        <f ca="1">AVERAGE(OFFSET($DS$3,0,0,'Données projet'!$E$14+1,1))-AVERAGE(OFFSET($H$3,0,0,'Données projet'!$E$14+1,1))</f>
        <v>402.15128814037058</v>
      </c>
      <c r="DU123" s="62">
        <f t="shared" si="98"/>
        <v>232.85411068442738</v>
      </c>
      <c r="DV123" s="16">
        <f>IF(ISNA(VLOOKUP(A123,'Données projet'!$A$165:$I$185,3,0)),0,VLOOKUP(A123,'Données projet'!$A$165:$I$185,3,0))</f>
        <v>10</v>
      </c>
      <c r="DW123" s="16">
        <f>IF(ISNA(VLOOKUP(A123,'Données projet'!$A$165:$I$185,4,0)),0,VLOOKUP(A123,'Données projet'!$A$165:$I$185,4,0))</f>
        <v>35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>
        <f>EXP(-LN(2)/35)*EA122+(1-EXP(-LN(2)/35))/(LN(2)/35)*DW123*DX123*VLOOKUP('Données projet'!$B$14,Paramètres!$A$1:$I$89,3,0)*0.475*44/12</f>
        <v>0</v>
      </c>
      <c r="EB123" s="23">
        <f>EXP(-LN(2)/25)*EB122+(1-EXP(-LN(2)/25))/(LN(2)/25)*Calculateur!DW123*Calculateur!DY123*VLOOKUP('Données projet'!$B$14,Paramètres!$A$1:$I$89,3,0)*0.475*44/12</f>
        <v>0</v>
      </c>
      <c r="EC123" s="23">
        <f>EXP(-LN(2)/2)*EC122+(1-EXP(-LN(2)/2))/(LN(2)/2)*DW123*DZ123*VLOOKUP('Données projet'!$B$14,Paramètres!$A$1:$I$89,3,0)*0.475*44/12</f>
        <v>0</v>
      </c>
      <c r="ED123" s="24">
        <f t="shared" si="72"/>
        <v>0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>
        <f>VLOOKUP(A123,'Données projet'!$A$191:$I$211,2,0)</f>
        <v>399.35897435897436</v>
      </c>
      <c r="EH123" s="13">
        <f>VLOOKUP(A123,'Données projet'!$A$191:$I$211,9,0)</f>
        <v>3.3974358974359005</v>
      </c>
      <c r="EI123" s="13">
        <f t="array" ref="EI123">INDEX(EH:EH,MIN(IF(ISNUMBER(EH123:EH319),ROW(EH123:EH319),"")))</f>
        <v>3.3974358974359005</v>
      </c>
      <c r="EJ123" s="13">
        <f>IF('Données projet'!$A$192&gt;35,EJ122+EI123-ER122,IF(A123&lt;'Données projet'!$A$192,$EG$205^A123,IF(A123='Données projet'!$A$192,'Données projet'!$B$192,EJ122+EI123-ER122)))</f>
        <v>399.35897435897476</v>
      </c>
      <c r="EK123" s="18">
        <f>EJ123*VLOOKUP('Données projet'!$B$15,Paramètres!$A$1:$I$89,3,0)*VLOOKUP('Données projet'!$B$15,Paramètres!$A$1:$I$89,5,0)</f>
        <v>417.41000000000048</v>
      </c>
      <c r="EL123" s="14">
        <f t="shared" si="99"/>
        <v>95.297476060117091</v>
      </c>
      <c r="EM123" s="22">
        <f t="shared" si="73"/>
        <v>892.96552080470462</v>
      </c>
      <c r="EN123" s="62">
        <f t="shared" si="74"/>
        <v>1186.298854138038</v>
      </c>
      <c r="EO123" s="62">
        <f ca="1">AVERAGE(OFFSET($EN$3,0,0,'Données projet'!$E$15+1,1))-AVERAGE(OFFSET($H$3,0,0,'Données projet'!$E$15+1,1))</f>
        <v>595.89992279024398</v>
      </c>
      <c r="EP123" s="62">
        <f t="shared" si="100"/>
        <v>378.16197659288338</v>
      </c>
      <c r="EQ123" s="16">
        <f>IF(ISNA(VLOOKUP(A123,'Données projet'!$A$191:$I$211,3,0)),0,VLOOKUP(A123,'Données projet'!$A$191:$I$211,3,0))</f>
        <v>11</v>
      </c>
      <c r="ER123" s="16">
        <f>IF(ISNA(VLOOKUP(A123,'Données projet'!$A$191:$I$211,4,0)),0,VLOOKUP(A123,'Données projet'!$A$191:$I$211,4,0))</f>
        <v>21.153846153846153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>
        <f>EXP(-LN(2)/35)*EV122+(1-EXP(-LN(2)/35))/(LN(2)/35)*ER123*ES123*VLOOKUP('Données projet'!$B$15,Paramètres!$A$1:$I$89,3,0)*0.475*44/12</f>
        <v>0</v>
      </c>
      <c r="EW123" s="23">
        <f>EXP(-LN(2)/25)*EW122+(1-EXP(-LN(2)/25))/(LN(2)/25)*Calculateur!ER123*Calculateur!ET123*VLOOKUP('Données projet'!$B$15,Paramètres!$A$1:$I$89,3,0)*0.475*44/12</f>
        <v>0</v>
      </c>
      <c r="EX123" s="23">
        <f>EXP(-LN(2)/2)*EX122+(1-EXP(-LN(2)/2))/(LN(2)/2)*ER123*EU123*VLOOKUP('Données projet'!$B$15,Paramètres!$A$1:$I$89,3,0)*0.475*44/12</f>
        <v>0</v>
      </c>
      <c r="EY123" s="24">
        <f t="shared" si="75"/>
        <v>0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-2.2737367544323206E-13</v>
      </c>
      <c r="FF123" s="18">
        <f>FE123*VLOOKUP('Données projet'!$B$16,Paramètres!$A$1:$I$89,3,0)*VLOOKUP('Données projet'!$B$16,Paramètres!$A$1:$I$89,5,0)</f>
        <v>-1.3596945791505279E-13</v>
      </c>
      <c r="FG123" s="14" t="e">
        <f t="shared" si="101"/>
        <v>#NUM!</v>
      </c>
      <c r="FH123" s="22" t="e">
        <f t="shared" si="76"/>
        <v>#NUM!</v>
      </c>
      <c r="FI123" s="62" t="e">
        <f t="shared" si="77"/>
        <v>#NUM!</v>
      </c>
      <c r="FJ123" s="62">
        <f ca="1">AVERAGE(OFFSET($FI$3,0,0,'Données projet'!$E$16+1,1))-AVERAGE(OFFSET($H$3,0,0,'Données projet'!$E$16+1,1))</f>
        <v>257.56116197646924</v>
      </c>
      <c r="FK123" s="62">
        <f t="shared" si="102"/>
        <v>269.95556918835888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>
        <f>EXP(-LN(2)/35)*FQ122+(1-EXP(-LN(2)/35))/(LN(2)/35)*FM123*FN123*VLOOKUP('Données projet'!$B$16,Paramètres!$A$1:$I$89,3,0)*0.475*44/12</f>
        <v>2.453145684306373</v>
      </c>
      <c r="FR123" s="23">
        <f>EXP(-LN(2)/25)*FR122+(1-EXP(-LN(2)/25))/(LN(2)/25)*Calculateur!FM123*Calculateur!FO123*VLOOKUP('Données projet'!$B$16,Paramètres!$A$1:$I$89,3,0)*0.475*44/12</f>
        <v>1.3313070367541402</v>
      </c>
      <c r="FS123" s="23">
        <f>EXP(-LN(2)/2)*FS122+(1-EXP(-LN(2)/2))/(LN(2)/2)*FM123*FP123*VLOOKUP('Données projet'!$B$16,Paramètres!$A$1:$I$89,3,0)*0.475*44/12</f>
        <v>2.4312167346280896E-13</v>
      </c>
      <c r="FT123" s="24">
        <f t="shared" si="78"/>
        <v>3.7844527210607564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-2.8421709430404007E-13</v>
      </c>
      <c r="GA123" s="18">
        <f>FZ123*VLOOKUP('Données projet'!$B$17,Paramètres!$A$1:$I$89,3,0)*VLOOKUP('Données projet'!$B$17,Paramètres!$A$1:$I$89,5,0)</f>
        <v>-1.69961822393816E-13</v>
      </c>
      <c r="GB123" s="14" t="e">
        <f t="shared" si="103"/>
        <v>#NUM!</v>
      </c>
      <c r="GC123" s="22" t="e">
        <f t="shared" si="79"/>
        <v>#NUM!</v>
      </c>
      <c r="GD123" s="62" t="e">
        <f t="shared" si="80"/>
        <v>#NUM!</v>
      </c>
      <c r="GE123" s="62">
        <f ca="1">AVERAGE(OFFSET($GD$3,0,0,'Données projet'!$E$17+1,1))-AVERAGE(OFFSET($H$3,0,0,'Données projet'!$E$17+1,1))</f>
        <v>289.12367833861299</v>
      </c>
      <c r="GF123" s="62">
        <f t="shared" si="104"/>
        <v>229.06617320689003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>
        <f>EXP(-LN(2)/35)*GL122+(1-EXP(-LN(2)/35))/(LN(2)/35)*GH123*GI123*VLOOKUP('Données projet'!$B$17,Paramètres!$A$1:$I$89,3,0)*0.475*44/12</f>
        <v>0</v>
      </c>
      <c r="GM123" s="23">
        <f>EXP(-LN(2)/25)*GM122+(1-EXP(-LN(2)/25))/(LN(2)/25)*Calculateur!GH123*Calculateur!GJ123*VLOOKUP('Données projet'!$B$17,Paramètres!$A$1:$I$89,3,0)*0.475*44/12</f>
        <v>0</v>
      </c>
      <c r="GN123" s="23">
        <f>EXP(-LN(2)/2)*GN122+(1-EXP(-LN(2)/2))/(LN(2)/2)*GH123*GK123*VLOOKUP('Données projet'!$B$17,Paramètres!$A$1:$I$89,3,0)*0.475*44/12</f>
        <v>1.1786014164344606E-13</v>
      </c>
      <c r="GO123" s="23">
        <f t="shared" si="81"/>
        <v>1.1786014164344606E-13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7.083333333333333</v>
      </c>
      <c r="GU123" s="13">
        <f>IF('Données projet'!$A$270&gt;35,GU122+GT123-HC122,IF(A123&lt;'Données projet'!$A$270,$GR$205^A123,IF(A123='Données projet'!$A$270,'Données projet'!$B$270,GU122+GT123-HC122)))</f>
        <v>410.5243589743589</v>
      </c>
      <c r="GV123" s="18">
        <f>GU123*VLOOKUP('Données projet'!$B$18,Paramètres!$A$1:$I$89,3,0)*VLOOKUP('Données projet'!$B$18,Paramètres!$A$1:$I$89,5,0)</f>
        <v>192.12539999999996</v>
      </c>
      <c r="GW123" s="14">
        <f t="shared" si="105"/>
        <v>48.009543957734422</v>
      </c>
      <c r="GX123" s="22">
        <f t="shared" si="82"/>
        <v>418.235027393054</v>
      </c>
      <c r="GY123" s="62">
        <f t="shared" si="83"/>
        <v>711.56836072638725</v>
      </c>
      <c r="GZ123" s="62">
        <f ca="1">AVERAGE(OFFSET($GY$3,0,0,'Données projet'!$E$18+1,1))-AVERAGE(OFFSET($H$3,0,0,'Données projet'!$E$18+1,1))</f>
        <v>284.88646502866419</v>
      </c>
      <c r="HA123" s="62">
        <f t="shared" si="106"/>
        <v>190.4880882944471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>
        <f>EXP(-LN(2)/35)*HG122+(1-EXP(-LN(2)/35))/(LN(2)/35)*HC123*HD123*VLOOKUP('Données projet'!$B$18,Paramètres!$A$1:$I$89,3,0)*0.475*44/12</f>
        <v>0</v>
      </c>
      <c r="HH123" s="23">
        <f>EXP(-LN(2)/25)*HH122+(1-EXP(-LN(2)/25))/(LN(2)/25)*Calculateur!HC123*Calculateur!HE123*VLOOKUP('Données projet'!$B$18,Paramètres!$A$1:$I$89,3,0)*0.475*44/12</f>
        <v>0</v>
      </c>
      <c r="HI123" s="23">
        <f>EXP(-LN(2)/2)*HI122+(1-EXP(-LN(2)/2))/(LN(2)/2)*HC123*HF123*VLOOKUP('Données projet'!$B$18,Paramètres!$A$1:$I$89,3,0)*0.475*44/12</f>
        <v>0</v>
      </c>
      <c r="HJ123" s="24">
        <f t="shared" si="84"/>
        <v>0</v>
      </c>
    </row>
    <row r="124" spans="1:218" s="5" customFormat="1" x14ac:dyDescent="0.25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2">
        <f t="shared" si="86"/>
        <v>0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0</v>
      </c>
      <c r="H124" s="70">
        <f t="shared" si="56"/>
        <v>256.66666666666669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-1.1368683772161603E-13</v>
      </c>
      <c r="O124" s="14">
        <f>N124*VLOOKUP('Données projet'!$B$9,Paramètres!$A$1:$I$89,3,0)*VLOOKUP('Données projet'!$B$9,Paramètres!$A$1:$I$89,5,0)</f>
        <v>-1.0818439477588981E-13</v>
      </c>
      <c r="P124" s="14" t="e">
        <f t="shared" si="87"/>
        <v>#NUM!</v>
      </c>
      <c r="Q124" s="22" t="e">
        <f t="shared" si="107"/>
        <v>#NUM!</v>
      </c>
      <c r="R124" s="62" t="e">
        <f t="shared" si="55"/>
        <v>#NUM!</v>
      </c>
      <c r="S124" s="62">
        <f ca="1">AVERAGE(OFFSET($R$3,0,0,'Données projet'!$E$9+1,1))-AVERAGE(OFFSET($H$3,0,0,'Données projet'!$E$9+1,1))</f>
        <v>367.11183928586667</v>
      </c>
      <c r="T124" s="62">
        <f t="shared" si="88"/>
        <v>281.52963027844595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0</v>
      </c>
      <c r="AA124" s="23">
        <f>EXP(-LN(2)/25)*AA123+(1-EXP(-LN(2)/25))/(LN(2)/25)*Calculateur!V124*Calculateur!X124*VLOOKUP('Données projet'!$B$9,Paramètres!$A$1:$I$89,3,0)*0.475*44/12</f>
        <v>0</v>
      </c>
      <c r="AB124" s="23">
        <f>EXP(-LN(2)/2)*AB123+(1-EXP(-LN(2)/2))/(LN(2)/2)*V124*Y124*VLOOKUP('Données projet'!$B$9,Paramètres!$A$1:$I$89,3,0)*0.475*44/12</f>
        <v>0</v>
      </c>
      <c r="AC124" s="24">
        <f t="shared" si="57"/>
        <v>0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3.2</v>
      </c>
      <c r="AI124" s="14">
        <f>IF('Données projet'!$A$62&gt;35,AI123+AH124-AQ123,IF(A124&lt;'Données projet'!$A$62,$AF$205^A124,IF(A124='Données projet'!$A$62,'Données projet'!$B$62,AI123+AH124-AQ123)))</f>
        <v>271.19999999999948</v>
      </c>
      <c r="AJ124" s="14">
        <f>AI124*VLOOKUP('Données projet'!$B$10,Paramètres!$A$1:$I$89,3,0)*VLOOKUP('Données projet'!$B$10,Paramètres!$A$1:$I$89,5,0)</f>
        <v>245.3817599999995</v>
      </c>
      <c r="AK124" s="14">
        <f t="shared" si="89"/>
        <v>59.595943661626663</v>
      </c>
      <c r="AL124" s="22">
        <f t="shared" si="58"/>
        <v>531.16950054399888</v>
      </c>
      <c r="AM124" s="62">
        <f t="shared" si="59"/>
        <v>824.50283387733225</v>
      </c>
      <c r="AN124" s="62">
        <f ca="1">AVERAGE(OFFSET($AM$3,0,0,'Données projet'!$E$10+1,1))-AVERAGE(OFFSET($H$3,0,0,'Données projet'!$E$10+1,1))</f>
        <v>428.8489304403459</v>
      </c>
      <c r="AO124" s="62">
        <f t="shared" si="90"/>
        <v>247.01165577562966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0</v>
      </c>
      <c r="AV124" s="23">
        <f>EXP(-LN(2)/25)*AV123+(1-EXP(-LN(2)/25))/(LN(2)/25)*Calculateur!AQ124*Calculateur!AS124*VLOOKUP('Données projet'!$B$10,Paramètres!$A$1:$I$89,3,0)*0.475*44/12</f>
        <v>0</v>
      </c>
      <c r="AW124" s="23">
        <f>EXP(-LN(2)/2)*AW123+(1-EXP(-LN(2)/2))/(LN(2)/2)*AQ124*AT124*VLOOKUP('Données projet'!$B$10,Paramètres!$A$1:$I$89,3,0)*0.475*44/12</f>
        <v>0</v>
      </c>
      <c r="AX124" s="23">
        <f t="shared" si="60"/>
        <v>0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3.2</v>
      </c>
      <c r="BD124" s="13">
        <f>IF('Données projet'!$A$88&gt;35,BD123+BC124-BL123,IF(A124&lt;'Données projet'!$A$88,$BA$205^A124,IF(A124='Données projet'!$A$88,'Données projet'!$B$88,BD123+BC124-BL123)))</f>
        <v>271.19999999999948</v>
      </c>
      <c r="BE124" s="14">
        <f>BD124*VLOOKUP('Données projet'!$B$11,Paramètres!$A$1:$I$89,3,0)*VLOOKUP('Données projet'!$B$11,Paramètres!$A$1:$I$89,5,0)</f>
        <v>274.9967999999995</v>
      </c>
      <c r="BF124" s="14">
        <f t="shared" si="91"/>
        <v>65.908581953881495</v>
      </c>
      <c r="BG124" s="22">
        <f t="shared" si="61"/>
        <v>593.74354023634271</v>
      </c>
      <c r="BH124" s="62">
        <f t="shared" si="62"/>
        <v>887.07687356967608</v>
      </c>
      <c r="BI124" s="62">
        <f ca="1">AVERAGE(OFFSET($BH$3,0,0,'Données projet'!$E$11+1,1))-AVERAGE(OFFSET($H$3,0,0,'Données projet'!$E$11+1,1))</f>
        <v>475.47920969424894</v>
      </c>
      <c r="BJ124" s="62">
        <f t="shared" si="92"/>
        <v>271.73544012419364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>
        <f>EXP(-LN(2)/35)*BP123+(1-EXP(-LN(2)/35))/(LN(2)/35)*BL124*BM124*VLOOKUP('Données projet'!$B$11,Paramètres!$A$1:$I$89,3,0)*0.475*44/12</f>
        <v>0</v>
      </c>
      <c r="BQ124" s="23">
        <f>EXP(-LN(2)/25)*BQ123+(1-EXP(-LN(2)/25))/(LN(2)/25)*Calculateur!BL124*Calculateur!BN124*VLOOKUP('Données projet'!$B$11,Paramètres!$A$1:$I$89,3,0)*0.475*44/12</f>
        <v>0</v>
      </c>
      <c r="BR124" s="23">
        <f>EXP(-LN(2)/2)*BR123+(1-EXP(-LN(2)/2))/(LN(2)/2)*BL124*BO124*VLOOKUP('Données projet'!$B$11,Paramètres!$A$1:$I$89,3,0)*0.475*44/12</f>
        <v>0</v>
      </c>
      <c r="BS124" s="24">
        <f t="shared" si="63"/>
        <v>0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2.2737367544323206E-13</v>
      </c>
      <c r="BZ124" s="14">
        <f>BY124*VLOOKUP('Données projet'!$B$12,Paramètres!$A$1:$I$89,3,0)*VLOOKUP('Données projet'!$B$12,Paramètres!$A$1:$I$89,5,0)</f>
        <v>1.2710188457276673E-13</v>
      </c>
      <c r="CA124" s="14">
        <f t="shared" si="93"/>
        <v>1.856866851063998E-12</v>
      </c>
      <c r="CB124" s="22">
        <f t="shared" si="64"/>
        <v>3.4554122145673649E-12</v>
      </c>
      <c r="CC124" s="62">
        <f t="shared" si="65"/>
        <v>293.33333333333678</v>
      </c>
      <c r="CD124" s="62">
        <f ca="1">AVERAGE(OFFSET($CC$3,0,0,'Données projet'!$E$12+1,1))-AVERAGE(OFFSET($H$3,0,0,'Données projet'!$E$12+1,1))</f>
        <v>323.98185264074681</v>
      </c>
      <c r="CE124" s="62">
        <f t="shared" si="94"/>
        <v>301.22207291854005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>
        <f>EXP(-LN(2)/35)*CK123+(1-EXP(-LN(2)/35))/(LN(2)/35)*CG124*CH124*VLOOKUP('Données projet'!$B$12,Paramètres!$A$1:$I$89,3,0)*0.475*44/12</f>
        <v>0.73600848609549574</v>
      </c>
      <c r="CL124" s="23">
        <f>EXP(-LN(2)/25)*CL123+(1-EXP(-LN(2)/25))/(LN(2)/25)*Calculateur!CG124*Calculateur!CI124*VLOOKUP('Données projet'!$B$12,Paramètres!$A$1:$I$89,3,0)*0.475*44/12</f>
        <v>0.66154987152034772</v>
      </c>
      <c r="CM124" s="23">
        <f>EXP(-LN(2)/2)*CM123+(1-EXP(-LN(2)/2))/(LN(2)/2)*CG124*CJ124*VLOOKUP('Données projet'!$B$12,Paramètres!$A$1:$I$89,3,0)*0.475*44/12</f>
        <v>1.2234777782578171E-13</v>
      </c>
      <c r="CN124" s="24">
        <f t="shared" si="66"/>
        <v>1.3975583576159658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2.4</v>
      </c>
      <c r="CT124" s="13">
        <f>IF('Données projet'!$A$140&gt;35,CT123+CS124-DB123,IF(A124&lt;'Données projet'!$A$140,$CQ$205^A124,IF(A124='Données projet'!$A$140,'Données projet'!$B$140,CT123+CS124-DB123)))</f>
        <v>211.39999999999989</v>
      </c>
      <c r="CU124" s="18">
        <f>CT124*VLOOKUP('Données projet'!$B$13,Paramètres!$A$1:$I$89,3,0)*VLOOKUP('Données projet'!$B$13,Paramètres!$A$1:$I$89,5,0)</f>
        <v>240.74231999999989</v>
      </c>
      <c r="CV124" s="14">
        <f t="shared" si="95"/>
        <v>58.599215528894327</v>
      </c>
      <c r="CW124" s="22">
        <f t="shared" si="67"/>
        <v>521.35317437949072</v>
      </c>
      <c r="CX124" s="62">
        <f t="shared" si="68"/>
        <v>814.6865077128241</v>
      </c>
      <c r="CY124" s="62">
        <f ca="1">AVERAGE(OFFSET($CX$3,0,0,'Données projet'!$E$13+1,1))-AVERAGE(OFFSET($H$3,0,0,'Données projet'!$E$13+1,1))</f>
        <v>399.78832690250164</v>
      </c>
      <c r="CZ124" s="62">
        <f t="shared" si="96"/>
        <v>174.32967064896343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>
        <f>EXP(-LN(2)/35)*DF123+(1-EXP(-LN(2)/35))/(LN(2)/35)*DB124*DC124*VLOOKUP('Données projet'!$B$13,Paramètres!$A$1:$I$89,3,0)*0.475*44/12</f>
        <v>0</v>
      </c>
      <c r="DG124" s="23">
        <f>EXP(-LN(2)/25)*DG123+(1-EXP(-LN(2)/25))/(LN(2)/25)*Calculateur!DB124*Calculateur!DD124*VLOOKUP('Données projet'!$B$13,Paramètres!$A$1:$I$89,3,0)*0.475*44/12</f>
        <v>0</v>
      </c>
      <c r="DH124" s="23">
        <f>EXP(-LN(2)/2)*DH123+(1-EXP(-LN(2)/2))/(LN(2)/2)*DB124*DE124*VLOOKUP('Données projet'!$B$13,Paramètres!$A$1:$I$89,3,0)*0.475*44/12</f>
        <v>0</v>
      </c>
      <c r="DI124" s="24">
        <f t="shared" si="69"/>
        <v>0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3.2</v>
      </c>
      <c r="DO124" s="13">
        <f>IF('Données projet'!$A$166&gt;35,DO123+DN124-DW123,IF(A124&lt;'Données projet'!$A$166,$DL$205^A124,IF(A124='Données projet'!$A$166,'Données projet'!$B$166,DO123+DN124-DW123)))</f>
        <v>271.19999999999948</v>
      </c>
      <c r="DP124" s="18">
        <f>DO124*VLOOKUP('Données projet'!$B$14,Paramètres!$A$1:$I$89,3,0)*VLOOKUP('Données projet'!$B$14,Paramètres!$A$1:$I$89,5,0)</f>
        <v>228.45887999999957</v>
      </c>
      <c r="DQ124" s="14">
        <f t="shared" si="97"/>
        <v>55.949325082237735</v>
      </c>
      <c r="DR124" s="22">
        <f t="shared" si="70"/>
        <v>495.34429051823003</v>
      </c>
      <c r="DS124" s="62">
        <f t="shared" si="71"/>
        <v>788.67762385156334</v>
      </c>
      <c r="DT124" s="62">
        <f ca="1">AVERAGE(OFFSET($DS$3,0,0,'Données projet'!$E$14+1,1))-AVERAGE(OFFSET($H$3,0,0,'Données projet'!$E$14+1,1))</f>
        <v>402.15128814037058</v>
      </c>
      <c r="DU124" s="62">
        <f t="shared" si="98"/>
        <v>232.85411068442738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>
        <f>EXP(-LN(2)/35)*EA123+(1-EXP(-LN(2)/35))/(LN(2)/35)*DW124*DX124*VLOOKUP('Données projet'!$B$14,Paramètres!$A$1:$I$89,3,0)*0.475*44/12</f>
        <v>0</v>
      </c>
      <c r="EB124" s="23">
        <f>EXP(-LN(2)/25)*EB123+(1-EXP(-LN(2)/25))/(LN(2)/25)*Calculateur!DW124*Calculateur!DY124*VLOOKUP('Données projet'!$B$14,Paramètres!$A$1:$I$89,3,0)*0.475*44/12</f>
        <v>0</v>
      </c>
      <c r="EC124" s="23">
        <f>EXP(-LN(2)/2)*EC123+(1-EXP(-LN(2)/2))/(LN(2)/2)*DW124*DZ124*VLOOKUP('Données projet'!$B$14,Paramètres!$A$1:$I$89,3,0)*0.475*44/12</f>
        <v>0</v>
      </c>
      <c r="ED124" s="24">
        <f t="shared" si="72"/>
        <v>0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3.0769230769230718</v>
      </c>
      <c r="EJ124" s="13">
        <f>IF('Données projet'!$A$192&gt;35,EJ123+EI124-ER123,IF(A124&lt;'Données projet'!$A$192,$EG$205^A124,IF(A124='Données projet'!$A$192,'Données projet'!$B$192,EJ123+EI124-ER123)))</f>
        <v>381.28205128205173</v>
      </c>
      <c r="EK124" s="18">
        <f>EJ124*VLOOKUP('Données projet'!$B$15,Paramètres!$A$1:$I$89,3,0)*VLOOKUP('Données projet'!$B$15,Paramètres!$A$1:$I$89,5,0)</f>
        <v>398.51600000000047</v>
      </c>
      <c r="EL124" s="14">
        <f t="shared" si="99"/>
        <v>91.475741943717054</v>
      </c>
      <c r="EM124" s="22">
        <f t="shared" si="73"/>
        <v>853.40228388530807</v>
      </c>
      <c r="EN124" s="62">
        <f t="shared" si="74"/>
        <v>1146.7356172186414</v>
      </c>
      <c r="EO124" s="62">
        <f ca="1">AVERAGE(OFFSET($EN$3,0,0,'Données projet'!$E$15+1,1))-AVERAGE(OFFSET($H$3,0,0,'Données projet'!$E$15+1,1))</f>
        <v>595.89992279024398</v>
      </c>
      <c r="EP124" s="62">
        <f t="shared" si="100"/>
        <v>378.16197659288338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>
        <f>EXP(-LN(2)/35)*EV123+(1-EXP(-LN(2)/35))/(LN(2)/35)*ER124*ES124*VLOOKUP('Données projet'!$B$15,Paramètres!$A$1:$I$89,3,0)*0.475*44/12</f>
        <v>0</v>
      </c>
      <c r="EW124" s="23">
        <f>EXP(-LN(2)/25)*EW123+(1-EXP(-LN(2)/25))/(LN(2)/25)*Calculateur!ER124*Calculateur!ET124*VLOOKUP('Données projet'!$B$15,Paramètres!$A$1:$I$89,3,0)*0.475*44/12</f>
        <v>0</v>
      </c>
      <c r="EX124" s="23">
        <f>EXP(-LN(2)/2)*EX123+(1-EXP(-LN(2)/2))/(LN(2)/2)*ER124*EU124*VLOOKUP('Données projet'!$B$15,Paramètres!$A$1:$I$89,3,0)*0.475*44/12</f>
        <v>0</v>
      </c>
      <c r="EY124" s="24">
        <f t="shared" si="75"/>
        <v>0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-2.2737367544323206E-13</v>
      </c>
      <c r="FF124" s="18">
        <f>FE124*VLOOKUP('Données projet'!$B$16,Paramètres!$A$1:$I$89,3,0)*VLOOKUP('Données projet'!$B$16,Paramètres!$A$1:$I$89,5,0)</f>
        <v>-1.3596945791505279E-13</v>
      </c>
      <c r="FG124" s="14" t="e">
        <f t="shared" si="101"/>
        <v>#NUM!</v>
      </c>
      <c r="FH124" s="22" t="e">
        <f t="shared" si="76"/>
        <v>#NUM!</v>
      </c>
      <c r="FI124" s="62" t="e">
        <f t="shared" si="77"/>
        <v>#NUM!</v>
      </c>
      <c r="FJ124" s="62">
        <f ca="1">AVERAGE(OFFSET($FI$3,0,0,'Données projet'!$E$16+1,1))-AVERAGE(OFFSET($H$3,0,0,'Données projet'!$E$16+1,1))</f>
        <v>257.56116197646924</v>
      </c>
      <c r="FK124" s="62">
        <f t="shared" si="102"/>
        <v>269.95556918835888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>
        <f>EXP(-LN(2)/35)*FQ123+(1-EXP(-LN(2)/35))/(LN(2)/35)*FM124*FN124*VLOOKUP('Données projet'!$B$16,Paramètres!$A$1:$I$89,3,0)*0.475*44/12</f>
        <v>2.4050409937082482</v>
      </c>
      <c r="FR124" s="23">
        <f>EXP(-LN(2)/25)*FR123+(1-EXP(-LN(2)/25))/(LN(2)/25)*Calculateur!FM124*Calculateur!FO124*VLOOKUP('Données projet'!$B$16,Paramètres!$A$1:$I$89,3,0)*0.475*44/12</f>
        <v>1.2949023758237039</v>
      </c>
      <c r="FS124" s="23">
        <f>EXP(-LN(2)/2)*FS123+(1-EXP(-LN(2)/2))/(LN(2)/2)*FM124*FP124*VLOOKUP('Données projet'!$B$16,Paramètres!$A$1:$I$89,3,0)*0.475*44/12</f>
        <v>1.7191298395897372E-13</v>
      </c>
      <c r="FT124" s="24">
        <f t="shared" si="78"/>
        <v>3.6999433695321238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-2.8421709430404007E-13</v>
      </c>
      <c r="GA124" s="18">
        <f>FZ124*VLOOKUP('Données projet'!$B$17,Paramètres!$A$1:$I$89,3,0)*VLOOKUP('Données projet'!$B$17,Paramètres!$A$1:$I$89,5,0)</f>
        <v>-1.69961822393816E-13</v>
      </c>
      <c r="GB124" s="14" t="e">
        <f t="shared" si="103"/>
        <v>#NUM!</v>
      </c>
      <c r="GC124" s="22" t="e">
        <f t="shared" si="79"/>
        <v>#NUM!</v>
      </c>
      <c r="GD124" s="62" t="e">
        <f t="shared" si="80"/>
        <v>#NUM!</v>
      </c>
      <c r="GE124" s="62">
        <f ca="1">AVERAGE(OFFSET($GD$3,0,0,'Données projet'!$E$17+1,1))-AVERAGE(OFFSET($H$3,0,0,'Données projet'!$E$17+1,1))</f>
        <v>289.12367833861299</v>
      </c>
      <c r="GF124" s="62">
        <f t="shared" si="104"/>
        <v>229.06617320689003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>
        <f>EXP(-LN(2)/35)*GL123+(1-EXP(-LN(2)/35))/(LN(2)/35)*GH124*GI124*VLOOKUP('Données projet'!$B$17,Paramètres!$A$1:$I$89,3,0)*0.475*44/12</f>
        <v>0</v>
      </c>
      <c r="GM124" s="23">
        <f>EXP(-LN(2)/25)*GM123+(1-EXP(-LN(2)/25))/(LN(2)/25)*Calculateur!GH124*Calculateur!GJ124*VLOOKUP('Données projet'!$B$17,Paramètres!$A$1:$I$89,3,0)*0.475*44/12</f>
        <v>0</v>
      </c>
      <c r="GN124" s="23">
        <f>EXP(-LN(2)/2)*GN123+(1-EXP(-LN(2)/2))/(LN(2)/2)*GH124*GK124*VLOOKUP('Données projet'!$B$17,Paramètres!$A$1:$I$89,3,0)*0.475*44/12</f>
        <v>8.3339705387687709E-14</v>
      </c>
      <c r="GO124" s="23">
        <f t="shared" si="81"/>
        <v>8.3339705387687709E-14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>
        <f>VLOOKUP(A124,'Données projet'!$A$269:$I$289,2,0)</f>
        <v>417.60769230769228</v>
      </c>
      <c r="GS124" s="13">
        <f>VLOOKUP(A124,'Données projet'!$A$269:$I$289,9,0)</f>
        <v>7.083333333333333</v>
      </c>
      <c r="GT124" s="13">
        <f t="array" ref="GT124">INDEX(GS:GS,MIN(IF(ISNUMBER(GS124:GS320),ROW(GS124:GS320),"")))</f>
        <v>7.083333333333333</v>
      </c>
      <c r="GU124" s="13">
        <f>IF('Données projet'!$A$270&gt;35,GU123+GT124-HC123,IF(A124&lt;'Données projet'!$A$270,$GR$205^A124,IF(A124='Données projet'!$A$270,'Données projet'!$B$270,GU123+GT124-HC123)))</f>
        <v>417.60769230769222</v>
      </c>
      <c r="GV124" s="18">
        <f>GU124*VLOOKUP('Données projet'!$B$18,Paramètres!$A$1:$I$89,3,0)*VLOOKUP('Données projet'!$B$18,Paramètres!$A$1:$I$89,5,0)</f>
        <v>195.44039999999998</v>
      </c>
      <c r="GW124" s="14">
        <f t="shared" si="105"/>
        <v>48.740764653053269</v>
      </c>
      <c r="GX124" s="22">
        <f t="shared" si="82"/>
        <v>425.28219510406774</v>
      </c>
      <c r="GY124" s="62">
        <f t="shared" si="83"/>
        <v>718.61552843740105</v>
      </c>
      <c r="GZ124" s="62">
        <f ca="1">AVERAGE(OFFSET($GY$3,0,0,'Données projet'!$E$18+1,1))-AVERAGE(OFFSET($H$3,0,0,'Données projet'!$E$18+1,1))</f>
        <v>284.88646502866419</v>
      </c>
      <c r="HA124" s="62">
        <f t="shared" si="106"/>
        <v>190.4880882944471</v>
      </c>
      <c r="HB124" s="16">
        <f>IF(ISNA(VLOOKUP(A124,'Données projet'!$A$269:$I$289,3,0)),0,VLOOKUP(A124,'Données projet'!$A$269:$I$289,3,0))</f>
        <v>7</v>
      </c>
      <c r="HC124" s="16">
        <f>IF(ISNA(VLOOKUP(A124,'Données projet'!$A$269:$I$289,4,0)),0,VLOOKUP(A124,'Données projet'!$A$269:$I$289,4,0))</f>
        <v>207.07692307692307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>
        <f>EXP(-LN(2)/35)*HG123+(1-EXP(-LN(2)/35))/(LN(2)/35)*HC124*HD124*VLOOKUP('Données projet'!$B$18,Paramètres!$A$1:$I$89,3,0)*0.475*44/12</f>
        <v>0</v>
      </c>
      <c r="HH124" s="23">
        <f>EXP(-LN(2)/25)*HH123+(1-EXP(-LN(2)/25))/(LN(2)/25)*Calculateur!HC124*Calculateur!HE124*VLOOKUP('Données projet'!$B$18,Paramètres!$A$1:$I$89,3,0)*0.475*44/12</f>
        <v>0</v>
      </c>
      <c r="HI124" s="23">
        <f>EXP(-LN(2)/2)*HI123+(1-EXP(-LN(2)/2))/(LN(2)/2)*HC124*HF124*VLOOKUP('Données projet'!$B$18,Paramètres!$A$1:$I$89,3,0)*0.475*44/12</f>
        <v>0</v>
      </c>
      <c r="HJ124" s="24">
        <f t="shared" si="84"/>
        <v>0</v>
      </c>
    </row>
    <row r="125" spans="1:218" s="5" customFormat="1" x14ac:dyDescent="0.25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2">
        <f t="shared" si="86"/>
        <v>0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0</v>
      </c>
      <c r="H125" s="70">
        <f t="shared" si="56"/>
        <v>256.66666666666669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-1.1368683772161603E-13</v>
      </c>
      <c r="O125" s="14">
        <f>N125*VLOOKUP('Données projet'!$B$9,Paramètres!$A$1:$I$89,3,0)*VLOOKUP('Données projet'!$B$9,Paramètres!$A$1:$I$89,5,0)</f>
        <v>-1.0818439477588981E-13</v>
      </c>
      <c r="P125" s="14" t="e">
        <f t="shared" si="87"/>
        <v>#NUM!</v>
      </c>
      <c r="Q125" s="22" t="e">
        <f t="shared" si="107"/>
        <v>#NUM!</v>
      </c>
      <c r="R125" s="62" t="e">
        <f t="shared" si="55"/>
        <v>#NUM!</v>
      </c>
      <c r="S125" s="62">
        <f ca="1">AVERAGE(OFFSET($R$3,0,0,'Données projet'!$E$9+1,1))-AVERAGE(OFFSET($H$3,0,0,'Données projet'!$E$9+1,1))</f>
        <v>367.11183928586667</v>
      </c>
      <c r="T125" s="62">
        <f t="shared" si="88"/>
        <v>281.52963027844595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0</v>
      </c>
      <c r="AA125" s="23">
        <f>EXP(-LN(2)/25)*AA124+(1-EXP(-LN(2)/25))/(LN(2)/25)*Calculateur!V125*Calculateur!X125*VLOOKUP('Données projet'!$B$9,Paramètres!$A$1:$I$89,3,0)*0.475*44/12</f>
        <v>0</v>
      </c>
      <c r="AB125" s="23">
        <f>EXP(-LN(2)/2)*AB124+(1-EXP(-LN(2)/2))/(LN(2)/2)*V125*Y125*VLOOKUP('Données projet'!$B$9,Paramètres!$A$1:$I$89,3,0)*0.475*44/12</f>
        <v>0</v>
      </c>
      <c r="AC125" s="24">
        <f t="shared" si="57"/>
        <v>0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3.2</v>
      </c>
      <c r="AI125" s="14">
        <f>IF('Données projet'!$A$62&gt;35,AI124+AH125-AQ124,IF(A125&lt;'Données projet'!$A$62,$AF$205^A125,IF(A125='Données projet'!$A$62,'Données projet'!$B$62,AI124+AH125-AQ124)))</f>
        <v>274.39999999999947</v>
      </c>
      <c r="AJ125" s="14">
        <f>AI125*VLOOKUP('Données projet'!$B$10,Paramètres!$A$1:$I$89,3,0)*VLOOKUP('Données projet'!$B$10,Paramètres!$A$1:$I$89,5,0)</f>
        <v>248.27711999999951</v>
      </c>
      <c r="AK125" s="14">
        <f t="shared" si="89"/>
        <v>60.216863677580257</v>
      </c>
      <c r="AL125" s="22">
        <f t="shared" si="58"/>
        <v>537.29368823845141</v>
      </c>
      <c r="AM125" s="62">
        <f t="shared" si="59"/>
        <v>830.62702157178478</v>
      </c>
      <c r="AN125" s="62">
        <f ca="1">AVERAGE(OFFSET($AM$3,0,0,'Données projet'!$E$10+1,1))-AVERAGE(OFFSET($H$3,0,0,'Données projet'!$E$10+1,1))</f>
        <v>428.8489304403459</v>
      </c>
      <c r="AO125" s="62">
        <f t="shared" si="90"/>
        <v>247.01165577562966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0</v>
      </c>
      <c r="AV125" s="23">
        <f>EXP(-LN(2)/25)*AV124+(1-EXP(-LN(2)/25))/(LN(2)/25)*Calculateur!AQ125*Calculateur!AS125*VLOOKUP('Données projet'!$B$10,Paramètres!$A$1:$I$89,3,0)*0.475*44/12</f>
        <v>0</v>
      </c>
      <c r="AW125" s="23">
        <f>EXP(-LN(2)/2)*AW124+(1-EXP(-LN(2)/2))/(LN(2)/2)*AQ125*AT125*VLOOKUP('Données projet'!$B$10,Paramètres!$A$1:$I$89,3,0)*0.475*44/12</f>
        <v>0</v>
      </c>
      <c r="AX125" s="23">
        <f t="shared" si="60"/>
        <v>0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3.2</v>
      </c>
      <c r="BD125" s="13">
        <f>IF('Données projet'!$A$88&gt;35,BD124+BC125-BL124,IF(A125&lt;'Données projet'!$A$88,$BA$205^A125,IF(A125='Données projet'!$A$88,'Données projet'!$B$88,BD124+BC125-BL124)))</f>
        <v>274.39999999999947</v>
      </c>
      <c r="BE125" s="14">
        <f>BD125*VLOOKUP('Données projet'!$B$11,Paramètres!$A$1:$I$89,3,0)*VLOOKUP('Données projet'!$B$11,Paramètres!$A$1:$I$89,5,0)</f>
        <v>278.24159999999949</v>
      </c>
      <c r="BF125" s="14">
        <f t="shared" si="91"/>
        <v>66.595272276139681</v>
      </c>
      <c r="BG125" s="22">
        <f t="shared" si="61"/>
        <v>600.59088588094244</v>
      </c>
      <c r="BH125" s="62">
        <f t="shared" si="62"/>
        <v>893.92421921427581</v>
      </c>
      <c r="BI125" s="62">
        <f ca="1">AVERAGE(OFFSET($BH$3,0,0,'Données projet'!$E$11+1,1))-AVERAGE(OFFSET($H$3,0,0,'Données projet'!$E$11+1,1))</f>
        <v>475.47920969424894</v>
      </c>
      <c r="BJ125" s="62">
        <f t="shared" si="92"/>
        <v>271.73544012419364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>
        <f>EXP(-LN(2)/35)*BP124+(1-EXP(-LN(2)/35))/(LN(2)/35)*BL125*BM125*VLOOKUP('Données projet'!$B$11,Paramètres!$A$1:$I$89,3,0)*0.475*44/12</f>
        <v>0</v>
      </c>
      <c r="BQ125" s="23">
        <f>EXP(-LN(2)/25)*BQ124+(1-EXP(-LN(2)/25))/(LN(2)/25)*Calculateur!BL125*Calculateur!BN125*VLOOKUP('Données projet'!$B$11,Paramètres!$A$1:$I$89,3,0)*0.475*44/12</f>
        <v>0</v>
      </c>
      <c r="BR125" s="23">
        <f>EXP(-LN(2)/2)*BR124+(1-EXP(-LN(2)/2))/(LN(2)/2)*BL125*BO125*VLOOKUP('Données projet'!$B$11,Paramètres!$A$1:$I$89,3,0)*0.475*44/12</f>
        <v>0</v>
      </c>
      <c r="BS125" s="24">
        <f t="shared" si="63"/>
        <v>0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2.2737367544323206E-13</v>
      </c>
      <c r="BZ125" s="14">
        <f>BY125*VLOOKUP('Données projet'!$B$12,Paramètres!$A$1:$I$89,3,0)*VLOOKUP('Données projet'!$B$12,Paramètres!$A$1:$I$89,5,0)</f>
        <v>1.2710188457276673E-13</v>
      </c>
      <c r="CA125" s="14">
        <f t="shared" si="93"/>
        <v>1.856866851063998E-12</v>
      </c>
      <c r="CB125" s="22">
        <f t="shared" si="64"/>
        <v>3.4554122145673649E-12</v>
      </c>
      <c r="CC125" s="62">
        <f t="shared" si="65"/>
        <v>293.33333333333678</v>
      </c>
      <c r="CD125" s="62">
        <f ca="1">AVERAGE(OFFSET($CC$3,0,0,'Données projet'!$E$12+1,1))-AVERAGE(OFFSET($H$3,0,0,'Données projet'!$E$12+1,1))</f>
        <v>323.98185264074681</v>
      </c>
      <c r="CE125" s="62">
        <f t="shared" si="94"/>
        <v>301.22207291854005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>
        <f>EXP(-LN(2)/35)*CK124+(1-EXP(-LN(2)/35))/(LN(2)/35)*CG125*CH125*VLOOKUP('Données projet'!$B$12,Paramètres!$A$1:$I$89,3,0)*0.475*44/12</f>
        <v>0.72157580860401238</v>
      </c>
      <c r="CL125" s="23">
        <f>EXP(-LN(2)/25)*CL124+(1-EXP(-LN(2)/25))/(LN(2)/25)*Calculateur!CG125*Calculateur!CI125*VLOOKUP('Données projet'!$B$12,Paramètres!$A$1:$I$89,3,0)*0.475*44/12</f>
        <v>0.64345975549422807</v>
      </c>
      <c r="CM125" s="23">
        <f>EXP(-LN(2)/2)*CM124+(1-EXP(-LN(2)/2))/(LN(2)/2)*CG125*CJ125*VLOOKUP('Données projet'!$B$12,Paramètres!$A$1:$I$89,3,0)*0.475*44/12</f>
        <v>8.651294336371536E-14</v>
      </c>
      <c r="CN125" s="24">
        <f t="shared" si="66"/>
        <v>1.3650355640983269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2.4</v>
      </c>
      <c r="CT125" s="13">
        <f>IF('Données projet'!$A$140&gt;35,CT124+CS125-DB124,IF(A125&lt;'Données projet'!$A$140,$CQ$205^A125,IF(A125='Données projet'!$A$140,'Données projet'!$B$140,CT124+CS125-DB124)))</f>
        <v>213.7999999999999</v>
      </c>
      <c r="CU125" s="18">
        <f>CT125*VLOOKUP('Données projet'!$B$13,Paramètres!$A$1:$I$89,3,0)*VLOOKUP('Données projet'!$B$13,Paramètres!$A$1:$I$89,5,0)</f>
        <v>243.47543999999991</v>
      </c>
      <c r="CV125" s="14">
        <f t="shared" si="95"/>
        <v>59.186661492774945</v>
      </c>
      <c r="CW125" s="22">
        <f t="shared" si="67"/>
        <v>527.13649343324948</v>
      </c>
      <c r="CX125" s="62">
        <f t="shared" si="68"/>
        <v>820.46982676658286</v>
      </c>
      <c r="CY125" s="62">
        <f ca="1">AVERAGE(OFFSET($CX$3,0,0,'Données projet'!$E$13+1,1))-AVERAGE(OFFSET($H$3,0,0,'Données projet'!$E$13+1,1))</f>
        <v>399.78832690250164</v>
      </c>
      <c r="CZ125" s="62">
        <f t="shared" si="96"/>
        <v>174.32967064896343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>
        <f>EXP(-LN(2)/35)*DF124+(1-EXP(-LN(2)/35))/(LN(2)/35)*DB125*DC125*VLOOKUP('Données projet'!$B$13,Paramètres!$A$1:$I$89,3,0)*0.475*44/12</f>
        <v>0</v>
      </c>
      <c r="DG125" s="23">
        <f>EXP(-LN(2)/25)*DG124+(1-EXP(-LN(2)/25))/(LN(2)/25)*Calculateur!DB125*Calculateur!DD125*VLOOKUP('Données projet'!$B$13,Paramètres!$A$1:$I$89,3,0)*0.475*44/12</f>
        <v>0</v>
      </c>
      <c r="DH125" s="23">
        <f>EXP(-LN(2)/2)*DH124+(1-EXP(-LN(2)/2))/(LN(2)/2)*DB125*DE125*VLOOKUP('Données projet'!$B$13,Paramètres!$A$1:$I$89,3,0)*0.475*44/12</f>
        <v>0</v>
      </c>
      <c r="DI125" s="24">
        <f t="shared" si="69"/>
        <v>0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3.2</v>
      </c>
      <c r="DO125" s="13">
        <f>IF('Données projet'!$A$166&gt;35,DO124+DN125-DW124,IF(A125&lt;'Données projet'!$A$166,$DL$205^A125,IF(A125='Données projet'!$A$166,'Données projet'!$B$166,DO124+DN125-DW124)))</f>
        <v>274.39999999999947</v>
      </c>
      <c r="DP125" s="18">
        <f>DO125*VLOOKUP('Données projet'!$B$14,Paramètres!$A$1:$I$89,3,0)*VLOOKUP('Données projet'!$B$14,Paramètres!$A$1:$I$89,5,0)</f>
        <v>231.15455999999958</v>
      </c>
      <c r="DQ125" s="14">
        <f t="shared" si="97"/>
        <v>56.532251598510435</v>
      </c>
      <c r="DR125" s="22">
        <f t="shared" si="70"/>
        <v>501.05453020073833</v>
      </c>
      <c r="DS125" s="62">
        <f t="shared" si="71"/>
        <v>794.38786353407158</v>
      </c>
      <c r="DT125" s="62">
        <f ca="1">AVERAGE(OFFSET($DS$3,0,0,'Données projet'!$E$14+1,1))-AVERAGE(OFFSET($H$3,0,0,'Données projet'!$E$14+1,1))</f>
        <v>402.15128814037058</v>
      </c>
      <c r="DU125" s="62">
        <f t="shared" si="98"/>
        <v>232.85411068442738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>
        <f>EXP(-LN(2)/35)*EA124+(1-EXP(-LN(2)/35))/(LN(2)/35)*DW125*DX125*VLOOKUP('Données projet'!$B$14,Paramètres!$A$1:$I$89,3,0)*0.475*44/12</f>
        <v>0</v>
      </c>
      <c r="EB125" s="23">
        <f>EXP(-LN(2)/25)*EB124+(1-EXP(-LN(2)/25))/(LN(2)/25)*Calculateur!DW125*Calculateur!DY125*VLOOKUP('Données projet'!$B$14,Paramètres!$A$1:$I$89,3,0)*0.475*44/12</f>
        <v>0</v>
      </c>
      <c r="EC125" s="23">
        <f>EXP(-LN(2)/2)*EC124+(1-EXP(-LN(2)/2))/(LN(2)/2)*DW125*DZ125*VLOOKUP('Données projet'!$B$14,Paramètres!$A$1:$I$89,3,0)*0.475*44/12</f>
        <v>0</v>
      </c>
      <c r="ED125" s="24">
        <f t="shared" si="72"/>
        <v>0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3.0769230769230718</v>
      </c>
      <c r="EJ125" s="13">
        <f>IF('Données projet'!$A$192&gt;35,EJ124+EI125-ER124,IF(A125&lt;'Données projet'!$A$192,$EG$205^A125,IF(A125='Données projet'!$A$192,'Données projet'!$B$192,EJ124+EI125-ER124)))</f>
        <v>384.35897435897482</v>
      </c>
      <c r="EK125" s="18">
        <f>EJ125*VLOOKUP('Données projet'!$B$15,Paramètres!$A$1:$I$89,3,0)*VLOOKUP('Données projet'!$B$15,Paramètres!$A$1:$I$89,5,0)</f>
        <v>401.73200000000054</v>
      </c>
      <c r="EL125" s="14">
        <f t="shared" si="99"/>
        <v>92.127713294836596</v>
      </c>
      <c r="EM125" s="22">
        <f t="shared" si="73"/>
        <v>860.13900065517464</v>
      </c>
      <c r="EN125" s="62">
        <f t="shared" si="74"/>
        <v>1153.4723339885079</v>
      </c>
      <c r="EO125" s="62">
        <f ca="1">AVERAGE(OFFSET($EN$3,0,0,'Données projet'!$E$15+1,1))-AVERAGE(OFFSET($H$3,0,0,'Données projet'!$E$15+1,1))</f>
        <v>595.89992279024398</v>
      </c>
      <c r="EP125" s="62">
        <f t="shared" si="100"/>
        <v>378.16197659288338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>
        <f>EXP(-LN(2)/35)*EV124+(1-EXP(-LN(2)/35))/(LN(2)/35)*ER125*ES125*VLOOKUP('Données projet'!$B$15,Paramètres!$A$1:$I$89,3,0)*0.475*44/12</f>
        <v>0</v>
      </c>
      <c r="EW125" s="23">
        <f>EXP(-LN(2)/25)*EW124+(1-EXP(-LN(2)/25))/(LN(2)/25)*Calculateur!ER125*Calculateur!ET125*VLOOKUP('Données projet'!$B$15,Paramètres!$A$1:$I$89,3,0)*0.475*44/12</f>
        <v>0</v>
      </c>
      <c r="EX125" s="23">
        <f>EXP(-LN(2)/2)*EX124+(1-EXP(-LN(2)/2))/(LN(2)/2)*ER125*EU125*VLOOKUP('Données projet'!$B$15,Paramètres!$A$1:$I$89,3,0)*0.475*44/12</f>
        <v>0</v>
      </c>
      <c r="EY125" s="24">
        <f t="shared" si="75"/>
        <v>0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-2.2737367544323206E-13</v>
      </c>
      <c r="FF125" s="18">
        <f>FE125*VLOOKUP('Données projet'!$B$16,Paramètres!$A$1:$I$89,3,0)*VLOOKUP('Données projet'!$B$16,Paramètres!$A$1:$I$89,5,0)</f>
        <v>-1.3596945791505279E-13</v>
      </c>
      <c r="FG125" s="14" t="e">
        <f t="shared" si="101"/>
        <v>#NUM!</v>
      </c>
      <c r="FH125" s="22" t="e">
        <f t="shared" si="76"/>
        <v>#NUM!</v>
      </c>
      <c r="FI125" s="62" t="e">
        <f t="shared" si="77"/>
        <v>#NUM!</v>
      </c>
      <c r="FJ125" s="62">
        <f ca="1">AVERAGE(OFFSET($FI$3,0,0,'Données projet'!$E$16+1,1))-AVERAGE(OFFSET($H$3,0,0,'Données projet'!$E$16+1,1))</f>
        <v>257.56116197646924</v>
      </c>
      <c r="FK125" s="62">
        <f t="shared" si="102"/>
        <v>269.95556918835888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>
        <f>EXP(-LN(2)/35)*FQ124+(1-EXP(-LN(2)/35))/(LN(2)/35)*FM125*FN125*VLOOKUP('Données projet'!$B$16,Paramètres!$A$1:$I$89,3,0)*0.475*44/12</f>
        <v>2.3578796067517884</v>
      </c>
      <c r="FR125" s="23">
        <f>EXP(-LN(2)/25)*FR124+(1-EXP(-LN(2)/25))/(LN(2)/25)*Calculateur!FM125*Calculateur!FO125*VLOOKUP('Données projet'!$B$16,Paramètres!$A$1:$I$89,3,0)*0.475*44/12</f>
        <v>1.2594932022608483</v>
      </c>
      <c r="FS125" s="23">
        <f>EXP(-LN(2)/2)*FS124+(1-EXP(-LN(2)/2))/(LN(2)/2)*FM125*FP125*VLOOKUP('Données projet'!$B$16,Paramètres!$A$1:$I$89,3,0)*0.475*44/12</f>
        <v>1.2156083673140448E-13</v>
      </c>
      <c r="FT125" s="24">
        <f t="shared" si="78"/>
        <v>3.6173728090127586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-2.8421709430404007E-13</v>
      </c>
      <c r="GA125" s="18">
        <f>FZ125*VLOOKUP('Données projet'!$B$17,Paramètres!$A$1:$I$89,3,0)*VLOOKUP('Données projet'!$B$17,Paramètres!$A$1:$I$89,5,0)</f>
        <v>-1.69961822393816E-13</v>
      </c>
      <c r="GB125" s="14" t="e">
        <f t="shared" si="103"/>
        <v>#NUM!</v>
      </c>
      <c r="GC125" s="22" t="e">
        <f t="shared" si="79"/>
        <v>#NUM!</v>
      </c>
      <c r="GD125" s="62" t="e">
        <f t="shared" si="80"/>
        <v>#NUM!</v>
      </c>
      <c r="GE125" s="62">
        <f ca="1">AVERAGE(OFFSET($GD$3,0,0,'Données projet'!$E$17+1,1))-AVERAGE(OFFSET($H$3,0,0,'Données projet'!$E$17+1,1))</f>
        <v>289.12367833861299</v>
      </c>
      <c r="GF125" s="62">
        <f t="shared" si="104"/>
        <v>229.06617320689003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>
        <f>EXP(-LN(2)/35)*GL124+(1-EXP(-LN(2)/35))/(LN(2)/35)*GH125*GI125*VLOOKUP('Données projet'!$B$17,Paramètres!$A$1:$I$89,3,0)*0.475*44/12</f>
        <v>0</v>
      </c>
      <c r="GM125" s="23">
        <f>EXP(-LN(2)/25)*GM124+(1-EXP(-LN(2)/25))/(LN(2)/25)*Calculateur!GH125*Calculateur!GJ125*VLOOKUP('Données projet'!$B$17,Paramètres!$A$1:$I$89,3,0)*0.475*44/12</f>
        <v>0</v>
      </c>
      <c r="GN125" s="23">
        <f>EXP(-LN(2)/2)*GN124+(1-EXP(-LN(2)/2))/(LN(2)/2)*GH125*GK125*VLOOKUP('Données projet'!$B$17,Paramètres!$A$1:$I$89,3,0)*0.475*44/12</f>
        <v>5.8930070821723028E-14</v>
      </c>
      <c r="GO125" s="23">
        <f t="shared" si="81"/>
        <v>5.8930070821723028E-14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5.1538461538461551</v>
      </c>
      <c r="GU125" s="13">
        <f>IF('Données projet'!$A$270&gt;35,GU124+GT125-HC124,IF(A125&lt;'Données projet'!$A$270,$GR$205^A125,IF(A125='Données projet'!$A$270,'Données projet'!$B$270,GU124+GT125-HC124)))</f>
        <v>215.68461538461528</v>
      </c>
      <c r="GV125" s="18">
        <f>GU125*VLOOKUP('Données projet'!$B$18,Paramètres!$A$1:$I$89,3,0)*VLOOKUP('Données projet'!$B$18,Paramètres!$A$1:$I$89,5,0)</f>
        <v>100.94039999999994</v>
      </c>
      <c r="GW125" s="14">
        <f t="shared" si="105"/>
        <v>27.185912689038414</v>
      </c>
      <c r="GX125" s="22">
        <f t="shared" si="82"/>
        <v>223.15332793340841</v>
      </c>
      <c r="GY125" s="62">
        <f t="shared" si="83"/>
        <v>516.48666126674175</v>
      </c>
      <c r="GZ125" s="62">
        <f ca="1">AVERAGE(OFFSET($GY$3,0,0,'Données projet'!$E$18+1,1))-AVERAGE(OFFSET($H$3,0,0,'Données projet'!$E$18+1,1))</f>
        <v>284.88646502866419</v>
      </c>
      <c r="HA125" s="62">
        <f t="shared" si="106"/>
        <v>190.4880882944471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>
        <f>EXP(-LN(2)/35)*HG124+(1-EXP(-LN(2)/35))/(LN(2)/35)*HC125*HD125*VLOOKUP('Données projet'!$B$18,Paramètres!$A$1:$I$89,3,0)*0.475*44/12</f>
        <v>0</v>
      </c>
      <c r="HH125" s="23">
        <f>EXP(-LN(2)/25)*HH124+(1-EXP(-LN(2)/25))/(LN(2)/25)*Calculateur!HC125*Calculateur!HE125*VLOOKUP('Données projet'!$B$18,Paramètres!$A$1:$I$89,3,0)*0.475*44/12</f>
        <v>0</v>
      </c>
      <c r="HI125" s="23">
        <f>EXP(-LN(2)/2)*HI124+(1-EXP(-LN(2)/2))/(LN(2)/2)*HC125*HF125*VLOOKUP('Données projet'!$B$18,Paramètres!$A$1:$I$89,3,0)*0.475*44/12</f>
        <v>0</v>
      </c>
      <c r="HJ125" s="24">
        <f t="shared" si="84"/>
        <v>0</v>
      </c>
    </row>
    <row r="126" spans="1:218" s="5" customFormat="1" x14ac:dyDescent="0.25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2">
        <f t="shared" si="86"/>
        <v>0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0</v>
      </c>
      <c r="H126" s="70">
        <f t="shared" si="56"/>
        <v>256.66666666666669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-1.1368683772161603E-13</v>
      </c>
      <c r="O126" s="14">
        <f>N126*VLOOKUP('Données projet'!$B$9,Paramètres!$A$1:$I$89,3,0)*VLOOKUP('Données projet'!$B$9,Paramètres!$A$1:$I$89,5,0)</f>
        <v>-1.0818439477588981E-13</v>
      </c>
      <c r="P126" s="14" t="e">
        <f t="shared" si="87"/>
        <v>#NUM!</v>
      </c>
      <c r="Q126" s="22" t="e">
        <f t="shared" si="107"/>
        <v>#NUM!</v>
      </c>
      <c r="R126" s="62" t="e">
        <f t="shared" si="55"/>
        <v>#NUM!</v>
      </c>
      <c r="S126" s="62">
        <f ca="1">AVERAGE(OFFSET($R$3,0,0,'Données projet'!$E$9+1,1))-AVERAGE(OFFSET($H$3,0,0,'Données projet'!$E$9+1,1))</f>
        <v>367.11183928586667</v>
      </c>
      <c r="T126" s="62">
        <f t="shared" si="88"/>
        <v>281.52963027844595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0</v>
      </c>
      <c r="AA126" s="23">
        <f>EXP(-LN(2)/25)*AA125+(1-EXP(-LN(2)/25))/(LN(2)/25)*Calculateur!V126*Calculateur!X126*VLOOKUP('Données projet'!$B$9,Paramètres!$A$1:$I$89,3,0)*0.475*44/12</f>
        <v>0</v>
      </c>
      <c r="AB126" s="23">
        <f>EXP(-LN(2)/2)*AB125+(1-EXP(-LN(2)/2))/(LN(2)/2)*V126*Y126*VLOOKUP('Données projet'!$B$9,Paramètres!$A$1:$I$89,3,0)*0.475*44/12</f>
        <v>0</v>
      </c>
      <c r="AC126" s="24">
        <f t="shared" si="57"/>
        <v>0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3.2</v>
      </c>
      <c r="AI126" s="14">
        <f>IF('Données projet'!$A$62&gt;35,AI125+AH126-AQ125,IF(A126&lt;'Données projet'!$A$62,$AF$205^A126,IF(A126='Données projet'!$A$62,'Données projet'!$B$62,AI125+AH126-AQ125)))</f>
        <v>277.59999999999945</v>
      </c>
      <c r="AJ126" s="14">
        <f>AI126*VLOOKUP('Données projet'!$B$10,Paramètres!$A$1:$I$89,3,0)*VLOOKUP('Données projet'!$B$10,Paramètres!$A$1:$I$89,5,0)</f>
        <v>251.1724799999995</v>
      </c>
      <c r="AK126" s="14">
        <f t="shared" si="89"/>
        <v>60.836941386956575</v>
      </c>
      <c r="AL126" s="22">
        <f t="shared" si="58"/>
        <v>543.41640891561519</v>
      </c>
      <c r="AM126" s="62">
        <f t="shared" si="59"/>
        <v>836.74974224894845</v>
      </c>
      <c r="AN126" s="62">
        <f ca="1">AVERAGE(OFFSET($AM$3,0,0,'Données projet'!$E$10+1,1))-AVERAGE(OFFSET($H$3,0,0,'Données projet'!$E$10+1,1))</f>
        <v>428.8489304403459</v>
      </c>
      <c r="AO126" s="62">
        <f t="shared" si="90"/>
        <v>247.01165577562966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0</v>
      </c>
      <c r="AV126" s="23">
        <f>EXP(-LN(2)/25)*AV125+(1-EXP(-LN(2)/25))/(LN(2)/25)*Calculateur!AQ126*Calculateur!AS126*VLOOKUP('Données projet'!$B$10,Paramètres!$A$1:$I$89,3,0)*0.475*44/12</f>
        <v>0</v>
      </c>
      <c r="AW126" s="23">
        <f>EXP(-LN(2)/2)*AW125+(1-EXP(-LN(2)/2))/(LN(2)/2)*AQ126*AT126*VLOOKUP('Données projet'!$B$10,Paramètres!$A$1:$I$89,3,0)*0.475*44/12</f>
        <v>0</v>
      </c>
      <c r="AX126" s="23">
        <f t="shared" si="60"/>
        <v>0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3.2</v>
      </c>
      <c r="BD126" s="13">
        <f>IF('Données projet'!$A$88&gt;35,BD125+BC126-BL125,IF(A126&lt;'Données projet'!$A$88,$BA$205^A126,IF(A126='Données projet'!$A$88,'Données projet'!$B$88,BD125+BC126-BL125)))</f>
        <v>277.59999999999945</v>
      </c>
      <c r="BE126" s="14">
        <f>BD126*VLOOKUP('Données projet'!$B$11,Paramètres!$A$1:$I$89,3,0)*VLOOKUP('Données projet'!$B$11,Paramètres!$A$1:$I$89,5,0)</f>
        <v>281.48639999999949</v>
      </c>
      <c r="BF126" s="14">
        <f t="shared" si="91"/>
        <v>67.281031071373235</v>
      </c>
      <c r="BG126" s="22">
        <f t="shared" si="61"/>
        <v>607.43660911597419</v>
      </c>
      <c r="BH126" s="62">
        <f t="shared" si="62"/>
        <v>900.76994244930756</v>
      </c>
      <c r="BI126" s="62">
        <f ca="1">AVERAGE(OFFSET($BH$3,0,0,'Données projet'!$E$11+1,1))-AVERAGE(OFFSET($H$3,0,0,'Données projet'!$E$11+1,1))</f>
        <v>475.47920969424894</v>
      </c>
      <c r="BJ126" s="62">
        <f t="shared" si="92"/>
        <v>271.73544012419364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>
        <f>EXP(-LN(2)/35)*BP125+(1-EXP(-LN(2)/35))/(LN(2)/35)*BL126*BM126*VLOOKUP('Données projet'!$B$11,Paramètres!$A$1:$I$89,3,0)*0.475*44/12</f>
        <v>0</v>
      </c>
      <c r="BQ126" s="23">
        <f>EXP(-LN(2)/25)*BQ125+(1-EXP(-LN(2)/25))/(LN(2)/25)*Calculateur!BL126*Calculateur!BN126*VLOOKUP('Données projet'!$B$11,Paramètres!$A$1:$I$89,3,0)*0.475*44/12</f>
        <v>0</v>
      </c>
      <c r="BR126" s="23">
        <f>EXP(-LN(2)/2)*BR125+(1-EXP(-LN(2)/2))/(LN(2)/2)*BL126*BO126*VLOOKUP('Données projet'!$B$11,Paramètres!$A$1:$I$89,3,0)*0.475*44/12</f>
        <v>0</v>
      </c>
      <c r="BS126" s="24">
        <f t="shared" si="63"/>
        <v>0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2.2737367544323206E-13</v>
      </c>
      <c r="BZ126" s="14">
        <f>BY126*VLOOKUP('Données projet'!$B$12,Paramètres!$A$1:$I$89,3,0)*VLOOKUP('Données projet'!$B$12,Paramètres!$A$1:$I$89,5,0)</f>
        <v>1.2710188457276673E-13</v>
      </c>
      <c r="CA126" s="14">
        <f t="shared" si="93"/>
        <v>1.856866851063998E-12</v>
      </c>
      <c r="CB126" s="22">
        <f t="shared" si="64"/>
        <v>3.4554122145673649E-12</v>
      </c>
      <c r="CC126" s="62">
        <f t="shared" si="65"/>
        <v>293.33333333333678</v>
      </c>
      <c r="CD126" s="62">
        <f ca="1">AVERAGE(OFFSET($CC$3,0,0,'Données projet'!$E$12+1,1))-AVERAGE(OFFSET($H$3,0,0,'Données projet'!$E$12+1,1))</f>
        <v>323.98185264074681</v>
      </c>
      <c r="CE126" s="62">
        <f t="shared" si="94"/>
        <v>301.22207291854005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>
        <f>EXP(-LN(2)/35)*CK125+(1-EXP(-LN(2)/35))/(LN(2)/35)*CG126*CH126*VLOOKUP('Données projet'!$B$12,Paramètres!$A$1:$I$89,3,0)*0.475*44/12</f>
        <v>0.7074261471150729</v>
      </c>
      <c r="CL126" s="23">
        <f>EXP(-LN(2)/25)*CL125+(1-EXP(-LN(2)/25))/(LN(2)/25)*Calculateur!CG126*Calculateur!CI126*VLOOKUP('Données projet'!$B$12,Paramètres!$A$1:$I$89,3,0)*0.475*44/12</f>
        <v>0.62586431464216052</v>
      </c>
      <c r="CM126" s="23">
        <f>EXP(-LN(2)/2)*CM125+(1-EXP(-LN(2)/2))/(LN(2)/2)*CG126*CJ126*VLOOKUP('Données projet'!$B$12,Paramètres!$A$1:$I$89,3,0)*0.475*44/12</f>
        <v>6.1173888912890855E-14</v>
      </c>
      <c r="CN126" s="24">
        <f t="shared" si="66"/>
        <v>1.3332904617572947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2.4</v>
      </c>
      <c r="CT126" s="13">
        <f>IF('Données projet'!$A$140&gt;35,CT125+CS126-DB125,IF(A126&lt;'Données projet'!$A$140,$CQ$205^A126,IF(A126='Données projet'!$A$140,'Données projet'!$B$140,CT125+CS126-DB125)))</f>
        <v>216.1999999999999</v>
      </c>
      <c r="CU126" s="18">
        <f>CT126*VLOOKUP('Données projet'!$B$13,Paramètres!$A$1:$I$89,3,0)*VLOOKUP('Données projet'!$B$13,Paramètres!$A$1:$I$89,5,0)</f>
        <v>246.20855999999992</v>
      </c>
      <c r="CV126" s="14">
        <f t="shared" si="95"/>
        <v>59.773340359471419</v>
      </c>
      <c r="CW126" s="22">
        <f t="shared" si="67"/>
        <v>532.91847645941255</v>
      </c>
      <c r="CX126" s="62">
        <f t="shared" si="68"/>
        <v>826.25180979274592</v>
      </c>
      <c r="CY126" s="62">
        <f ca="1">AVERAGE(OFFSET($CX$3,0,0,'Données projet'!$E$13+1,1))-AVERAGE(OFFSET($H$3,0,0,'Données projet'!$E$13+1,1))</f>
        <v>399.78832690250164</v>
      </c>
      <c r="CZ126" s="62">
        <f t="shared" si="96"/>
        <v>174.32967064896343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>
        <f>EXP(-LN(2)/35)*DF125+(1-EXP(-LN(2)/35))/(LN(2)/35)*DB126*DC126*VLOOKUP('Données projet'!$B$13,Paramètres!$A$1:$I$89,3,0)*0.475*44/12</f>
        <v>0</v>
      </c>
      <c r="DG126" s="23">
        <f>EXP(-LN(2)/25)*DG125+(1-EXP(-LN(2)/25))/(LN(2)/25)*Calculateur!DB126*Calculateur!DD126*VLOOKUP('Données projet'!$B$13,Paramètres!$A$1:$I$89,3,0)*0.475*44/12</f>
        <v>0</v>
      </c>
      <c r="DH126" s="23">
        <f>EXP(-LN(2)/2)*DH125+(1-EXP(-LN(2)/2))/(LN(2)/2)*DB126*DE126*VLOOKUP('Données projet'!$B$13,Paramètres!$A$1:$I$89,3,0)*0.475*44/12</f>
        <v>0</v>
      </c>
      <c r="DI126" s="24">
        <f t="shared" si="69"/>
        <v>0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3.2</v>
      </c>
      <c r="DO126" s="13">
        <f>IF('Données projet'!$A$166&gt;35,DO125+DN126-DW125,IF(A126&lt;'Données projet'!$A$166,$DL$205^A126,IF(A126='Données projet'!$A$166,'Données projet'!$B$166,DO125+DN126-DW125)))</f>
        <v>277.59999999999945</v>
      </c>
      <c r="DP126" s="18">
        <f>DO126*VLOOKUP('Données projet'!$B$14,Paramètres!$A$1:$I$89,3,0)*VLOOKUP('Données projet'!$B$14,Paramètres!$A$1:$I$89,5,0)</f>
        <v>233.85023999999956</v>
      </c>
      <c r="DQ126" s="14">
        <f t="shared" si="97"/>
        <v>57.114387348136688</v>
      </c>
      <c r="DR126" s="22">
        <f t="shared" si="70"/>
        <v>506.76339263133724</v>
      </c>
      <c r="DS126" s="62">
        <f t="shared" si="71"/>
        <v>800.09672596467055</v>
      </c>
      <c r="DT126" s="62">
        <f ca="1">AVERAGE(OFFSET($DS$3,0,0,'Données projet'!$E$14+1,1))-AVERAGE(OFFSET($H$3,0,0,'Données projet'!$E$14+1,1))</f>
        <v>402.15128814037058</v>
      </c>
      <c r="DU126" s="62">
        <f t="shared" si="98"/>
        <v>232.85411068442738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>
        <f>EXP(-LN(2)/35)*EA125+(1-EXP(-LN(2)/35))/(LN(2)/35)*DW126*DX126*VLOOKUP('Données projet'!$B$14,Paramètres!$A$1:$I$89,3,0)*0.475*44/12</f>
        <v>0</v>
      </c>
      <c r="EB126" s="23">
        <f>EXP(-LN(2)/25)*EB125+(1-EXP(-LN(2)/25))/(LN(2)/25)*Calculateur!DW126*Calculateur!DY126*VLOOKUP('Données projet'!$B$14,Paramètres!$A$1:$I$89,3,0)*0.475*44/12</f>
        <v>0</v>
      </c>
      <c r="EC126" s="23">
        <f>EXP(-LN(2)/2)*EC125+(1-EXP(-LN(2)/2))/(LN(2)/2)*DW126*DZ126*VLOOKUP('Données projet'!$B$14,Paramètres!$A$1:$I$89,3,0)*0.475*44/12</f>
        <v>0</v>
      </c>
      <c r="ED126" s="24">
        <f t="shared" si="72"/>
        <v>0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3.0769230769230718</v>
      </c>
      <c r="EJ126" s="13">
        <f>IF('Données projet'!$A$192&gt;35,EJ125+EI126-ER125,IF(A126&lt;'Données projet'!$A$192,$EG$205^A126,IF(A126='Données projet'!$A$192,'Données projet'!$B$192,EJ125+EI126-ER125)))</f>
        <v>387.43589743589791</v>
      </c>
      <c r="EK126" s="18">
        <f>EJ126*VLOOKUP('Données projet'!$B$15,Paramètres!$A$1:$I$89,3,0)*VLOOKUP('Données projet'!$B$15,Paramètres!$A$1:$I$89,5,0)</f>
        <v>404.94800000000055</v>
      </c>
      <c r="EL126" s="14">
        <f t="shared" si="99"/>
        <v>92.779077401322354</v>
      </c>
      <c r="EM126" s="22">
        <f t="shared" si="73"/>
        <v>866.87465980730406</v>
      </c>
      <c r="EN126" s="62">
        <f t="shared" si="74"/>
        <v>1160.2079931406374</v>
      </c>
      <c r="EO126" s="62">
        <f ca="1">AVERAGE(OFFSET($EN$3,0,0,'Données projet'!$E$15+1,1))-AVERAGE(OFFSET($H$3,0,0,'Données projet'!$E$15+1,1))</f>
        <v>595.89992279024398</v>
      </c>
      <c r="EP126" s="62">
        <f t="shared" si="100"/>
        <v>378.16197659288338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>
        <f>EXP(-LN(2)/35)*EV125+(1-EXP(-LN(2)/35))/(LN(2)/35)*ER126*ES126*VLOOKUP('Données projet'!$B$15,Paramètres!$A$1:$I$89,3,0)*0.475*44/12</f>
        <v>0</v>
      </c>
      <c r="EW126" s="23">
        <f>EXP(-LN(2)/25)*EW125+(1-EXP(-LN(2)/25))/(LN(2)/25)*Calculateur!ER126*Calculateur!ET126*VLOOKUP('Données projet'!$B$15,Paramètres!$A$1:$I$89,3,0)*0.475*44/12</f>
        <v>0</v>
      </c>
      <c r="EX126" s="23">
        <f>EXP(-LN(2)/2)*EX125+(1-EXP(-LN(2)/2))/(LN(2)/2)*ER126*EU126*VLOOKUP('Données projet'!$B$15,Paramètres!$A$1:$I$89,3,0)*0.475*44/12</f>
        <v>0</v>
      </c>
      <c r="EY126" s="24">
        <f t="shared" si="75"/>
        <v>0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-2.2737367544323206E-13</v>
      </c>
      <c r="FF126" s="18">
        <f>FE126*VLOOKUP('Données projet'!$B$16,Paramètres!$A$1:$I$89,3,0)*VLOOKUP('Données projet'!$B$16,Paramètres!$A$1:$I$89,5,0)</f>
        <v>-1.3596945791505279E-13</v>
      </c>
      <c r="FG126" s="14" t="e">
        <f t="shared" si="101"/>
        <v>#NUM!</v>
      </c>
      <c r="FH126" s="22" t="e">
        <f t="shared" si="76"/>
        <v>#NUM!</v>
      </c>
      <c r="FI126" s="62" t="e">
        <f t="shared" si="77"/>
        <v>#NUM!</v>
      </c>
      <c r="FJ126" s="62">
        <f ca="1">AVERAGE(OFFSET($FI$3,0,0,'Données projet'!$E$16+1,1))-AVERAGE(OFFSET($H$3,0,0,'Données projet'!$E$16+1,1))</f>
        <v>257.56116197646924</v>
      </c>
      <c r="FK126" s="62">
        <f t="shared" si="102"/>
        <v>269.95556918835888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>
        <f>EXP(-LN(2)/35)*FQ125+(1-EXP(-LN(2)/35))/(LN(2)/35)*FM126*FN126*VLOOKUP('Données projet'!$B$16,Paramètres!$A$1:$I$89,3,0)*0.475*44/12</f>
        <v>2.311643025827939</v>
      </c>
      <c r="FR126" s="23">
        <f>EXP(-LN(2)/25)*FR125+(1-EXP(-LN(2)/25))/(LN(2)/25)*Calculateur!FM126*Calculateur!FO126*VLOOKUP('Données projet'!$B$16,Paramètres!$A$1:$I$89,3,0)*0.475*44/12</f>
        <v>1.2250522944111564</v>
      </c>
      <c r="FS126" s="23">
        <f>EXP(-LN(2)/2)*FS125+(1-EXP(-LN(2)/2))/(LN(2)/2)*FM126*FP126*VLOOKUP('Données projet'!$B$16,Paramètres!$A$1:$I$89,3,0)*0.475*44/12</f>
        <v>8.595649197948686E-14</v>
      </c>
      <c r="FT126" s="24">
        <f t="shared" si="78"/>
        <v>3.5366953202391818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-2.8421709430404007E-13</v>
      </c>
      <c r="GA126" s="18">
        <f>FZ126*VLOOKUP('Données projet'!$B$17,Paramètres!$A$1:$I$89,3,0)*VLOOKUP('Données projet'!$B$17,Paramètres!$A$1:$I$89,5,0)</f>
        <v>-1.69961822393816E-13</v>
      </c>
      <c r="GB126" s="14" t="e">
        <f t="shared" si="103"/>
        <v>#NUM!</v>
      </c>
      <c r="GC126" s="22" t="e">
        <f t="shared" si="79"/>
        <v>#NUM!</v>
      </c>
      <c r="GD126" s="62" t="e">
        <f t="shared" si="80"/>
        <v>#NUM!</v>
      </c>
      <c r="GE126" s="62">
        <f ca="1">AVERAGE(OFFSET($GD$3,0,0,'Données projet'!$E$17+1,1))-AVERAGE(OFFSET($H$3,0,0,'Données projet'!$E$17+1,1))</f>
        <v>289.12367833861299</v>
      </c>
      <c r="GF126" s="62">
        <f t="shared" si="104"/>
        <v>229.06617320689003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>
        <f>EXP(-LN(2)/35)*GL125+(1-EXP(-LN(2)/35))/(LN(2)/35)*GH126*GI126*VLOOKUP('Données projet'!$B$17,Paramètres!$A$1:$I$89,3,0)*0.475*44/12</f>
        <v>0</v>
      </c>
      <c r="GM126" s="23">
        <f>EXP(-LN(2)/25)*GM125+(1-EXP(-LN(2)/25))/(LN(2)/25)*Calculateur!GH126*Calculateur!GJ126*VLOOKUP('Données projet'!$B$17,Paramètres!$A$1:$I$89,3,0)*0.475*44/12</f>
        <v>0</v>
      </c>
      <c r="GN126" s="23">
        <f>EXP(-LN(2)/2)*GN125+(1-EXP(-LN(2)/2))/(LN(2)/2)*GH126*GK126*VLOOKUP('Données projet'!$B$17,Paramètres!$A$1:$I$89,3,0)*0.475*44/12</f>
        <v>4.1669852693843854E-14</v>
      </c>
      <c r="GO126" s="23">
        <f t="shared" si="81"/>
        <v>4.1669852693843854E-14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5.1538461538461551</v>
      </c>
      <c r="GU126" s="13">
        <f>IF('Données projet'!$A$270&gt;35,GU125+GT126-HC125,IF(A126&lt;'Données projet'!$A$270,$GR$205^A126,IF(A126='Données projet'!$A$270,'Données projet'!$B$270,GU125+GT126-HC125)))</f>
        <v>220.83846153846144</v>
      </c>
      <c r="GV126" s="18">
        <f>GU126*VLOOKUP('Données projet'!$B$18,Paramètres!$A$1:$I$89,3,0)*VLOOKUP('Données projet'!$B$18,Paramètres!$A$1:$I$89,5,0)</f>
        <v>103.35239999999996</v>
      </c>
      <c r="GW126" s="14">
        <f t="shared" si="105"/>
        <v>27.759121453172455</v>
      </c>
      <c r="GX126" s="22">
        <f t="shared" si="82"/>
        <v>228.35256653094197</v>
      </c>
      <c r="GY126" s="62">
        <f t="shared" si="83"/>
        <v>521.68589986427526</v>
      </c>
      <c r="GZ126" s="62">
        <f ca="1">AVERAGE(OFFSET($GY$3,0,0,'Données projet'!$E$18+1,1))-AVERAGE(OFFSET($H$3,0,0,'Données projet'!$E$18+1,1))</f>
        <v>284.88646502866419</v>
      </c>
      <c r="HA126" s="62">
        <f t="shared" si="106"/>
        <v>190.4880882944471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>
        <f>EXP(-LN(2)/35)*HG125+(1-EXP(-LN(2)/35))/(LN(2)/35)*HC126*HD126*VLOOKUP('Données projet'!$B$18,Paramètres!$A$1:$I$89,3,0)*0.475*44/12</f>
        <v>0</v>
      </c>
      <c r="HH126" s="23">
        <f>EXP(-LN(2)/25)*HH125+(1-EXP(-LN(2)/25))/(LN(2)/25)*Calculateur!HC126*Calculateur!HE126*VLOOKUP('Données projet'!$B$18,Paramètres!$A$1:$I$89,3,0)*0.475*44/12</f>
        <v>0</v>
      </c>
      <c r="HI126" s="23">
        <f>EXP(-LN(2)/2)*HI125+(1-EXP(-LN(2)/2))/(LN(2)/2)*HC126*HF126*VLOOKUP('Données projet'!$B$18,Paramètres!$A$1:$I$89,3,0)*0.475*44/12</f>
        <v>0</v>
      </c>
      <c r="HJ126" s="24">
        <f t="shared" si="84"/>
        <v>0</v>
      </c>
    </row>
    <row r="127" spans="1:218" s="5" customFormat="1" x14ac:dyDescent="0.25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2">
        <f t="shared" si="86"/>
        <v>0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0</v>
      </c>
      <c r="H127" s="70">
        <f t="shared" si="56"/>
        <v>256.66666666666669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-1.1368683772161603E-13</v>
      </c>
      <c r="O127" s="14">
        <f>N127*VLOOKUP('Données projet'!$B$9,Paramètres!$A$1:$I$89,3,0)*VLOOKUP('Données projet'!$B$9,Paramètres!$A$1:$I$89,5,0)</f>
        <v>-1.0818439477588981E-13</v>
      </c>
      <c r="P127" s="14" t="e">
        <f t="shared" si="87"/>
        <v>#NUM!</v>
      </c>
      <c r="Q127" s="22" t="e">
        <f t="shared" si="107"/>
        <v>#NUM!</v>
      </c>
      <c r="R127" s="62" t="e">
        <f t="shared" si="55"/>
        <v>#NUM!</v>
      </c>
      <c r="S127" s="62">
        <f ca="1">AVERAGE(OFFSET($R$3,0,0,'Données projet'!$E$9+1,1))-AVERAGE(OFFSET($H$3,0,0,'Données projet'!$E$9+1,1))</f>
        <v>367.11183928586667</v>
      </c>
      <c r="T127" s="62">
        <f t="shared" si="88"/>
        <v>281.52963027844595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0</v>
      </c>
      <c r="AA127" s="23">
        <f>EXP(-LN(2)/25)*AA126+(1-EXP(-LN(2)/25))/(LN(2)/25)*Calculateur!V127*Calculateur!X127*VLOOKUP('Données projet'!$B$9,Paramètres!$A$1:$I$89,3,0)*0.475*44/12</f>
        <v>0</v>
      </c>
      <c r="AB127" s="23">
        <f>EXP(-LN(2)/2)*AB126+(1-EXP(-LN(2)/2))/(LN(2)/2)*V127*Y127*VLOOKUP('Données projet'!$B$9,Paramètres!$A$1:$I$89,3,0)*0.475*44/12</f>
        <v>0</v>
      </c>
      <c r="AC127" s="24">
        <f t="shared" si="57"/>
        <v>0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3.2</v>
      </c>
      <c r="AI127" s="14">
        <f>IF('Données projet'!$A$62&gt;35,AI126+AH127-AQ126,IF(A127&lt;'Données projet'!$A$62,$AF$205^A127,IF(A127='Données projet'!$A$62,'Données projet'!$B$62,AI126+AH127-AQ126)))</f>
        <v>280.79999999999944</v>
      </c>
      <c r="AJ127" s="14">
        <f>AI127*VLOOKUP('Données projet'!$B$10,Paramètres!$A$1:$I$89,3,0)*VLOOKUP('Données projet'!$B$10,Paramètres!$A$1:$I$89,5,0)</f>
        <v>254.06783999999948</v>
      </c>
      <c r="AK127" s="14">
        <f t="shared" si="89"/>
        <v>61.456187622750612</v>
      </c>
      <c r="AL127" s="22">
        <f t="shared" si="58"/>
        <v>549.53768144295634</v>
      </c>
      <c r="AM127" s="62">
        <f t="shared" si="59"/>
        <v>842.87101477628971</v>
      </c>
      <c r="AN127" s="62">
        <f ca="1">AVERAGE(OFFSET($AM$3,0,0,'Données projet'!$E$10+1,1))-AVERAGE(OFFSET($H$3,0,0,'Données projet'!$E$10+1,1))</f>
        <v>428.8489304403459</v>
      </c>
      <c r="AO127" s="62">
        <f t="shared" si="90"/>
        <v>247.01165577562966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0</v>
      </c>
      <c r="AV127" s="23">
        <f>EXP(-LN(2)/25)*AV126+(1-EXP(-LN(2)/25))/(LN(2)/25)*Calculateur!AQ127*Calculateur!AS127*VLOOKUP('Données projet'!$B$10,Paramètres!$A$1:$I$89,3,0)*0.475*44/12</f>
        <v>0</v>
      </c>
      <c r="AW127" s="23">
        <f>EXP(-LN(2)/2)*AW126+(1-EXP(-LN(2)/2))/(LN(2)/2)*AQ127*AT127*VLOOKUP('Données projet'!$B$10,Paramètres!$A$1:$I$89,3,0)*0.475*44/12</f>
        <v>0</v>
      </c>
      <c r="AX127" s="23">
        <f t="shared" si="60"/>
        <v>0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3.2</v>
      </c>
      <c r="BD127" s="13">
        <f>IF('Données projet'!$A$88&gt;35,BD126+BC127-BL126,IF(A127&lt;'Données projet'!$A$88,$BA$205^A127,IF(A127='Données projet'!$A$88,'Données projet'!$B$88,BD126+BC127-BL126)))</f>
        <v>280.79999999999944</v>
      </c>
      <c r="BE127" s="14">
        <f>BD127*VLOOKUP('Données projet'!$B$11,Paramètres!$A$1:$I$89,3,0)*VLOOKUP('Données projet'!$B$11,Paramètres!$A$1:$I$89,5,0)</f>
        <v>284.73119999999943</v>
      </c>
      <c r="BF127" s="14">
        <f t="shared" si="91"/>
        <v>67.965870320050826</v>
      </c>
      <c r="BG127" s="22">
        <f t="shared" si="61"/>
        <v>614.28073080742081</v>
      </c>
      <c r="BH127" s="62">
        <f t="shared" si="62"/>
        <v>907.61406414075418</v>
      </c>
      <c r="BI127" s="62">
        <f ca="1">AVERAGE(OFFSET($BH$3,0,0,'Données projet'!$E$11+1,1))-AVERAGE(OFFSET($H$3,0,0,'Données projet'!$E$11+1,1))</f>
        <v>475.47920969424894</v>
      </c>
      <c r="BJ127" s="62">
        <f t="shared" si="92"/>
        <v>271.73544012419364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>
        <f>EXP(-LN(2)/35)*BP126+(1-EXP(-LN(2)/35))/(LN(2)/35)*BL127*BM127*VLOOKUP('Données projet'!$B$11,Paramètres!$A$1:$I$89,3,0)*0.475*44/12</f>
        <v>0</v>
      </c>
      <c r="BQ127" s="23">
        <f>EXP(-LN(2)/25)*BQ126+(1-EXP(-LN(2)/25))/(LN(2)/25)*Calculateur!BL127*Calculateur!BN127*VLOOKUP('Données projet'!$B$11,Paramètres!$A$1:$I$89,3,0)*0.475*44/12</f>
        <v>0</v>
      </c>
      <c r="BR127" s="23">
        <f>EXP(-LN(2)/2)*BR126+(1-EXP(-LN(2)/2))/(LN(2)/2)*BL127*BO127*VLOOKUP('Données projet'!$B$11,Paramètres!$A$1:$I$89,3,0)*0.475*44/12</f>
        <v>0</v>
      </c>
      <c r="BS127" s="24">
        <f t="shared" si="63"/>
        <v>0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2.2737367544323206E-13</v>
      </c>
      <c r="BZ127" s="14">
        <f>BY127*VLOOKUP('Données projet'!$B$12,Paramètres!$A$1:$I$89,3,0)*VLOOKUP('Données projet'!$B$12,Paramètres!$A$1:$I$89,5,0)</f>
        <v>1.2710188457276673E-13</v>
      </c>
      <c r="CA127" s="14">
        <f t="shared" si="93"/>
        <v>1.856866851063998E-12</v>
      </c>
      <c r="CB127" s="22">
        <f t="shared" si="64"/>
        <v>3.4554122145673649E-12</v>
      </c>
      <c r="CC127" s="62">
        <f t="shared" si="65"/>
        <v>293.33333333333678</v>
      </c>
      <c r="CD127" s="62">
        <f ca="1">AVERAGE(OFFSET($CC$3,0,0,'Données projet'!$E$12+1,1))-AVERAGE(OFFSET($H$3,0,0,'Données projet'!$E$12+1,1))</f>
        <v>323.98185264074681</v>
      </c>
      <c r="CE127" s="62">
        <f t="shared" si="94"/>
        <v>301.22207291854005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>
        <f>EXP(-LN(2)/35)*CK126+(1-EXP(-LN(2)/35))/(LN(2)/35)*CG127*CH127*VLOOKUP('Données projet'!$B$12,Paramètres!$A$1:$I$89,3,0)*0.475*44/12</f>
        <v>0.69355395185749025</v>
      </c>
      <c r="CL127" s="23">
        <f>EXP(-LN(2)/25)*CL126+(1-EXP(-LN(2)/25))/(LN(2)/25)*Calculateur!CG127*Calculateur!CI127*VLOOKUP('Données projet'!$B$12,Paramètres!$A$1:$I$89,3,0)*0.475*44/12</f>
        <v>0.60875002204549677</v>
      </c>
      <c r="CM127" s="23">
        <f>EXP(-LN(2)/2)*CM126+(1-EXP(-LN(2)/2))/(LN(2)/2)*CG127*CJ127*VLOOKUP('Données projet'!$B$12,Paramètres!$A$1:$I$89,3,0)*0.475*44/12</f>
        <v>4.325647168185768E-14</v>
      </c>
      <c r="CN127" s="24">
        <f t="shared" si="66"/>
        <v>1.3023039739030302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2.4</v>
      </c>
      <c r="CT127" s="13">
        <f>IF('Données projet'!$A$140&gt;35,CT126+CS127-DB126,IF(A127&lt;'Données projet'!$A$140,$CQ$205^A127,IF(A127='Données projet'!$A$140,'Données projet'!$B$140,CT126+CS127-DB126)))</f>
        <v>218.59999999999991</v>
      </c>
      <c r="CU127" s="18">
        <f>CT127*VLOOKUP('Données projet'!$B$13,Paramètres!$A$1:$I$89,3,0)*VLOOKUP('Données projet'!$B$13,Paramètres!$A$1:$I$89,5,0)</f>
        <v>248.94167999999988</v>
      </c>
      <c r="CV127" s="14">
        <f t="shared" si="95"/>
        <v>60.359261629848589</v>
      </c>
      <c r="CW127" s="22">
        <f t="shared" si="67"/>
        <v>538.69914000531935</v>
      </c>
      <c r="CX127" s="62">
        <f t="shared" si="68"/>
        <v>832.03247333865261</v>
      </c>
      <c r="CY127" s="62">
        <f ca="1">AVERAGE(OFFSET($CX$3,0,0,'Données projet'!$E$13+1,1))-AVERAGE(OFFSET($H$3,0,0,'Données projet'!$E$13+1,1))</f>
        <v>399.78832690250164</v>
      </c>
      <c r="CZ127" s="62">
        <f t="shared" si="96"/>
        <v>174.32967064896343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>
        <f>EXP(-LN(2)/35)*DF126+(1-EXP(-LN(2)/35))/(LN(2)/35)*DB127*DC127*VLOOKUP('Données projet'!$B$13,Paramètres!$A$1:$I$89,3,0)*0.475*44/12</f>
        <v>0</v>
      </c>
      <c r="DG127" s="23">
        <f>EXP(-LN(2)/25)*DG126+(1-EXP(-LN(2)/25))/(LN(2)/25)*Calculateur!DB127*Calculateur!DD127*VLOOKUP('Données projet'!$B$13,Paramètres!$A$1:$I$89,3,0)*0.475*44/12</f>
        <v>0</v>
      </c>
      <c r="DH127" s="23">
        <f>EXP(-LN(2)/2)*DH126+(1-EXP(-LN(2)/2))/(LN(2)/2)*DB127*DE127*VLOOKUP('Données projet'!$B$13,Paramètres!$A$1:$I$89,3,0)*0.475*44/12</f>
        <v>0</v>
      </c>
      <c r="DI127" s="24">
        <f t="shared" si="69"/>
        <v>0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3.2</v>
      </c>
      <c r="DO127" s="13">
        <f>IF('Données projet'!$A$166&gt;35,DO126+DN127-DW126,IF(A127&lt;'Données projet'!$A$166,$DL$205^A127,IF(A127='Données projet'!$A$166,'Données projet'!$B$166,DO126+DN127-DW126)))</f>
        <v>280.79999999999944</v>
      </c>
      <c r="DP127" s="18">
        <f>DO127*VLOOKUP('Données projet'!$B$14,Paramètres!$A$1:$I$89,3,0)*VLOOKUP('Données projet'!$B$14,Paramètres!$A$1:$I$89,5,0)</f>
        <v>236.54591999999957</v>
      </c>
      <c r="DQ127" s="14">
        <f t="shared" si="97"/>
        <v>57.695742501250926</v>
      </c>
      <c r="DR127" s="22">
        <f t="shared" si="70"/>
        <v>512.47089552301134</v>
      </c>
      <c r="DS127" s="62">
        <f t="shared" si="71"/>
        <v>805.80422885634471</v>
      </c>
      <c r="DT127" s="62">
        <f ca="1">AVERAGE(OFFSET($DS$3,0,0,'Données projet'!$E$14+1,1))-AVERAGE(OFFSET($H$3,0,0,'Données projet'!$E$14+1,1))</f>
        <v>402.15128814037058</v>
      </c>
      <c r="DU127" s="62">
        <f t="shared" si="98"/>
        <v>232.85411068442738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>
        <f>EXP(-LN(2)/35)*EA126+(1-EXP(-LN(2)/35))/(LN(2)/35)*DW127*DX127*VLOOKUP('Données projet'!$B$14,Paramètres!$A$1:$I$89,3,0)*0.475*44/12</f>
        <v>0</v>
      </c>
      <c r="EB127" s="23">
        <f>EXP(-LN(2)/25)*EB126+(1-EXP(-LN(2)/25))/(LN(2)/25)*Calculateur!DW127*Calculateur!DY127*VLOOKUP('Données projet'!$B$14,Paramètres!$A$1:$I$89,3,0)*0.475*44/12</f>
        <v>0</v>
      </c>
      <c r="EC127" s="23">
        <f>EXP(-LN(2)/2)*EC126+(1-EXP(-LN(2)/2))/(LN(2)/2)*DW127*DZ127*VLOOKUP('Données projet'!$B$14,Paramètres!$A$1:$I$89,3,0)*0.475*44/12</f>
        <v>0</v>
      </c>
      <c r="ED127" s="24">
        <f t="shared" si="72"/>
        <v>0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3.0769230769230718</v>
      </c>
      <c r="EJ127" s="13">
        <f>IF('Données projet'!$A$192&gt;35,EJ126+EI127-ER126,IF(A127&lt;'Données projet'!$A$192,$EG$205^A127,IF(A127='Données projet'!$A$192,'Données projet'!$B$192,EJ126+EI127-ER126)))</f>
        <v>390.51282051282101</v>
      </c>
      <c r="EK127" s="18">
        <f>EJ127*VLOOKUP('Données projet'!$B$15,Paramètres!$A$1:$I$89,3,0)*VLOOKUP('Données projet'!$B$15,Paramètres!$A$1:$I$89,5,0)</f>
        <v>408.16400000000056</v>
      </c>
      <c r="EL127" s="14">
        <f t="shared" si="99"/>
        <v>93.429839644741037</v>
      </c>
      <c r="EM127" s="22">
        <f t="shared" si="73"/>
        <v>873.60927071459162</v>
      </c>
      <c r="EN127" s="62">
        <f t="shared" si="74"/>
        <v>1166.942604047925</v>
      </c>
      <c r="EO127" s="62">
        <f ca="1">AVERAGE(OFFSET($EN$3,0,0,'Données projet'!$E$15+1,1))-AVERAGE(OFFSET($H$3,0,0,'Données projet'!$E$15+1,1))</f>
        <v>595.89992279024398</v>
      </c>
      <c r="EP127" s="62">
        <f t="shared" si="100"/>
        <v>378.16197659288338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>
        <f>EXP(-LN(2)/35)*EV126+(1-EXP(-LN(2)/35))/(LN(2)/35)*ER127*ES127*VLOOKUP('Données projet'!$B$15,Paramètres!$A$1:$I$89,3,0)*0.475*44/12</f>
        <v>0</v>
      </c>
      <c r="EW127" s="23">
        <f>EXP(-LN(2)/25)*EW126+(1-EXP(-LN(2)/25))/(LN(2)/25)*Calculateur!ER127*Calculateur!ET127*VLOOKUP('Données projet'!$B$15,Paramètres!$A$1:$I$89,3,0)*0.475*44/12</f>
        <v>0</v>
      </c>
      <c r="EX127" s="23">
        <f>EXP(-LN(2)/2)*EX126+(1-EXP(-LN(2)/2))/(LN(2)/2)*ER127*EU127*VLOOKUP('Données projet'!$B$15,Paramètres!$A$1:$I$89,3,0)*0.475*44/12</f>
        <v>0</v>
      </c>
      <c r="EY127" s="24">
        <f t="shared" si="75"/>
        <v>0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-2.2737367544323206E-13</v>
      </c>
      <c r="FF127" s="18">
        <f>FE127*VLOOKUP('Données projet'!$B$16,Paramètres!$A$1:$I$89,3,0)*VLOOKUP('Données projet'!$B$16,Paramètres!$A$1:$I$89,5,0)</f>
        <v>-1.3596945791505279E-13</v>
      </c>
      <c r="FG127" s="14" t="e">
        <f t="shared" si="101"/>
        <v>#NUM!</v>
      </c>
      <c r="FH127" s="22" t="e">
        <f t="shared" si="76"/>
        <v>#NUM!</v>
      </c>
      <c r="FI127" s="62" t="e">
        <f t="shared" si="77"/>
        <v>#NUM!</v>
      </c>
      <c r="FJ127" s="62">
        <f ca="1">AVERAGE(OFFSET($FI$3,0,0,'Données projet'!$E$16+1,1))-AVERAGE(OFFSET($H$3,0,0,'Données projet'!$E$16+1,1))</f>
        <v>257.56116197646924</v>
      </c>
      <c r="FK127" s="62">
        <f t="shared" si="102"/>
        <v>269.95556918835888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>
        <f>EXP(-LN(2)/35)*FQ126+(1-EXP(-LN(2)/35))/(LN(2)/35)*FM127*FN127*VLOOKUP('Données projet'!$B$16,Paramètres!$A$1:$I$89,3,0)*0.475*44/12</f>
        <v>2.2663131160544765</v>
      </c>
      <c r="FR127" s="23">
        <f>EXP(-LN(2)/25)*FR126+(1-EXP(-LN(2)/25))/(LN(2)/25)*Calculateur!FM127*Calculateur!FO127*VLOOKUP('Données projet'!$B$16,Paramètres!$A$1:$I$89,3,0)*0.475*44/12</f>
        <v>1.191553174997783</v>
      </c>
      <c r="FS127" s="23">
        <f>EXP(-LN(2)/2)*FS126+(1-EXP(-LN(2)/2))/(LN(2)/2)*FM127*FP127*VLOOKUP('Données projet'!$B$16,Paramètres!$A$1:$I$89,3,0)*0.475*44/12</f>
        <v>6.0780418365702241E-14</v>
      </c>
      <c r="FT127" s="24">
        <f t="shared" si="78"/>
        <v>3.4578662910523206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-2.8421709430404007E-13</v>
      </c>
      <c r="GA127" s="18">
        <f>FZ127*VLOOKUP('Données projet'!$B$17,Paramètres!$A$1:$I$89,3,0)*VLOOKUP('Données projet'!$B$17,Paramètres!$A$1:$I$89,5,0)</f>
        <v>-1.69961822393816E-13</v>
      </c>
      <c r="GB127" s="14" t="e">
        <f t="shared" si="103"/>
        <v>#NUM!</v>
      </c>
      <c r="GC127" s="22" t="e">
        <f t="shared" si="79"/>
        <v>#NUM!</v>
      </c>
      <c r="GD127" s="62" t="e">
        <f t="shared" si="80"/>
        <v>#NUM!</v>
      </c>
      <c r="GE127" s="62">
        <f ca="1">AVERAGE(OFFSET($GD$3,0,0,'Données projet'!$E$17+1,1))-AVERAGE(OFFSET($H$3,0,0,'Données projet'!$E$17+1,1))</f>
        <v>289.12367833861299</v>
      </c>
      <c r="GF127" s="62">
        <f t="shared" si="104"/>
        <v>229.06617320689003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>
        <f>EXP(-LN(2)/35)*GL126+(1-EXP(-LN(2)/35))/(LN(2)/35)*GH127*GI127*VLOOKUP('Données projet'!$B$17,Paramètres!$A$1:$I$89,3,0)*0.475*44/12</f>
        <v>0</v>
      </c>
      <c r="GM127" s="23">
        <f>EXP(-LN(2)/25)*GM126+(1-EXP(-LN(2)/25))/(LN(2)/25)*Calculateur!GH127*Calculateur!GJ127*VLOOKUP('Données projet'!$B$17,Paramètres!$A$1:$I$89,3,0)*0.475*44/12</f>
        <v>0</v>
      </c>
      <c r="GN127" s="23">
        <f>EXP(-LN(2)/2)*GN126+(1-EXP(-LN(2)/2))/(LN(2)/2)*GH127*GK127*VLOOKUP('Données projet'!$B$17,Paramètres!$A$1:$I$89,3,0)*0.475*44/12</f>
        <v>2.9465035410861514E-14</v>
      </c>
      <c r="GO127" s="23">
        <f t="shared" si="81"/>
        <v>2.9465035410861514E-14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5.1538461538461551</v>
      </c>
      <c r="GU127" s="13">
        <f>IF('Données projet'!$A$270&gt;35,GU126+GT127-HC126,IF(A127&lt;'Données projet'!$A$270,$GR$205^A127,IF(A127='Données projet'!$A$270,'Données projet'!$B$270,GU126+GT127-HC126)))</f>
        <v>225.99230769230761</v>
      </c>
      <c r="GV127" s="18">
        <f>GU127*VLOOKUP('Données projet'!$B$18,Paramètres!$A$1:$I$89,3,0)*VLOOKUP('Données projet'!$B$18,Paramètres!$A$1:$I$89,5,0)</f>
        <v>105.76439999999997</v>
      </c>
      <c r="GW127" s="14">
        <f t="shared" si="105"/>
        <v>28.330775059514437</v>
      </c>
      <c r="GX127" s="22">
        <f t="shared" si="82"/>
        <v>233.54909656198762</v>
      </c>
      <c r="GY127" s="62">
        <f t="shared" si="83"/>
        <v>526.88242989532091</v>
      </c>
      <c r="GZ127" s="62">
        <f ca="1">AVERAGE(OFFSET($GY$3,0,0,'Données projet'!$E$18+1,1))-AVERAGE(OFFSET($H$3,0,0,'Données projet'!$E$18+1,1))</f>
        <v>284.88646502866419</v>
      </c>
      <c r="HA127" s="62">
        <f t="shared" si="106"/>
        <v>190.4880882944471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>
        <f>EXP(-LN(2)/35)*HG126+(1-EXP(-LN(2)/35))/(LN(2)/35)*HC127*HD127*VLOOKUP('Données projet'!$B$18,Paramètres!$A$1:$I$89,3,0)*0.475*44/12</f>
        <v>0</v>
      </c>
      <c r="HH127" s="23">
        <f>EXP(-LN(2)/25)*HH126+(1-EXP(-LN(2)/25))/(LN(2)/25)*Calculateur!HC127*Calculateur!HE127*VLOOKUP('Données projet'!$B$18,Paramètres!$A$1:$I$89,3,0)*0.475*44/12</f>
        <v>0</v>
      </c>
      <c r="HI127" s="23">
        <f>EXP(-LN(2)/2)*HI126+(1-EXP(-LN(2)/2))/(LN(2)/2)*HC127*HF127*VLOOKUP('Données projet'!$B$18,Paramètres!$A$1:$I$89,3,0)*0.475*44/12</f>
        <v>0</v>
      </c>
      <c r="HJ127" s="24">
        <f t="shared" si="84"/>
        <v>0</v>
      </c>
    </row>
    <row r="128" spans="1:218" s="5" customFormat="1" x14ac:dyDescent="0.25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2">
        <f t="shared" si="86"/>
        <v>0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0</v>
      </c>
      <c r="H128" s="70">
        <f t="shared" si="56"/>
        <v>256.66666666666669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-1.1368683772161603E-13</v>
      </c>
      <c r="O128" s="14">
        <f>N128*VLOOKUP('Données projet'!$B$9,Paramètres!$A$1:$I$89,3,0)*VLOOKUP('Données projet'!$B$9,Paramètres!$A$1:$I$89,5,0)</f>
        <v>-1.0818439477588981E-13</v>
      </c>
      <c r="P128" s="14" t="e">
        <f t="shared" si="87"/>
        <v>#NUM!</v>
      </c>
      <c r="Q128" s="22" t="e">
        <f t="shared" si="107"/>
        <v>#NUM!</v>
      </c>
      <c r="R128" s="62" t="e">
        <f t="shared" si="55"/>
        <v>#NUM!</v>
      </c>
      <c r="S128" s="62">
        <f ca="1">AVERAGE(OFFSET($R$3,0,0,'Données projet'!$E$9+1,1))-AVERAGE(OFFSET($H$3,0,0,'Données projet'!$E$9+1,1))</f>
        <v>367.11183928586667</v>
      </c>
      <c r="T128" s="62">
        <f t="shared" si="88"/>
        <v>281.52963027844595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0</v>
      </c>
      <c r="AA128" s="23">
        <f>EXP(-LN(2)/25)*AA127+(1-EXP(-LN(2)/25))/(LN(2)/25)*Calculateur!V128*Calculateur!X128*VLOOKUP('Données projet'!$B$9,Paramètres!$A$1:$I$89,3,0)*0.475*44/12</f>
        <v>0</v>
      </c>
      <c r="AB128" s="23">
        <f>EXP(-LN(2)/2)*AB127+(1-EXP(-LN(2)/2))/(LN(2)/2)*V128*Y128*VLOOKUP('Données projet'!$B$9,Paramètres!$A$1:$I$89,3,0)*0.475*44/12</f>
        <v>0</v>
      </c>
      <c r="AC128" s="24">
        <f t="shared" si="57"/>
        <v>0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3.2</v>
      </c>
      <c r="AI128" s="14">
        <f>IF('Données projet'!$A$62&gt;35,AI127+AH128-AQ127,IF(A128&lt;'Données projet'!$A$62,$AF$205^A128,IF(A128='Données projet'!$A$62,'Données projet'!$B$62,AI127+AH128-AQ127)))</f>
        <v>283.99999999999943</v>
      </c>
      <c r="AJ128" s="14">
        <f>AI128*VLOOKUP('Données projet'!$B$10,Paramètres!$A$1:$I$89,3,0)*VLOOKUP('Données projet'!$B$10,Paramètres!$A$1:$I$89,5,0)</f>
        <v>256.96319999999946</v>
      </c>
      <c r="AK128" s="14">
        <f t="shared" si="89"/>
        <v>62.07461295683791</v>
      </c>
      <c r="AL128" s="22">
        <f t="shared" si="58"/>
        <v>555.65752423315837</v>
      </c>
      <c r="AM128" s="62">
        <f t="shared" si="59"/>
        <v>848.99085756649174</v>
      </c>
      <c r="AN128" s="62">
        <f ca="1">AVERAGE(OFFSET($AM$3,0,0,'Données projet'!$E$10+1,1))-AVERAGE(OFFSET($H$3,0,0,'Données projet'!$E$10+1,1))</f>
        <v>428.8489304403459</v>
      </c>
      <c r="AO128" s="62">
        <f t="shared" si="90"/>
        <v>247.01165577562966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0</v>
      </c>
      <c r="AV128" s="23">
        <f>EXP(-LN(2)/25)*AV127+(1-EXP(-LN(2)/25))/(LN(2)/25)*Calculateur!AQ128*Calculateur!AS128*VLOOKUP('Données projet'!$B$10,Paramètres!$A$1:$I$89,3,0)*0.475*44/12</f>
        <v>0</v>
      </c>
      <c r="AW128" s="23">
        <f>EXP(-LN(2)/2)*AW127+(1-EXP(-LN(2)/2))/(LN(2)/2)*AQ128*AT128*VLOOKUP('Données projet'!$B$10,Paramètres!$A$1:$I$89,3,0)*0.475*44/12</f>
        <v>0</v>
      </c>
      <c r="AX128" s="23">
        <f t="shared" si="60"/>
        <v>0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3.2</v>
      </c>
      <c r="BD128" s="13">
        <f>IF('Données projet'!$A$88&gt;35,BD127+BC128-BL127,IF(A128&lt;'Données projet'!$A$88,$BA$205^A128,IF(A128='Données projet'!$A$88,'Données projet'!$B$88,BD127+BC128-BL127)))</f>
        <v>283.99999999999943</v>
      </c>
      <c r="BE128" s="14">
        <f>BD128*VLOOKUP('Données projet'!$B$11,Paramètres!$A$1:$I$89,3,0)*VLOOKUP('Données projet'!$B$11,Paramètres!$A$1:$I$89,5,0)</f>
        <v>287.97599999999943</v>
      </c>
      <c r="BF128" s="14">
        <f t="shared" si="91"/>
        <v>68.649801713863027</v>
      </c>
      <c r="BG128" s="22">
        <f t="shared" si="61"/>
        <v>621.12327131831046</v>
      </c>
      <c r="BH128" s="62">
        <f t="shared" si="62"/>
        <v>914.45660465164383</v>
      </c>
      <c r="BI128" s="62">
        <f ca="1">AVERAGE(OFFSET($BH$3,0,0,'Données projet'!$E$11+1,1))-AVERAGE(OFFSET($H$3,0,0,'Données projet'!$E$11+1,1))</f>
        <v>475.47920969424894</v>
      </c>
      <c r="BJ128" s="62">
        <f t="shared" si="92"/>
        <v>271.73544012419364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>
        <f>EXP(-LN(2)/35)*BP127+(1-EXP(-LN(2)/35))/(LN(2)/35)*BL128*BM128*VLOOKUP('Données projet'!$B$11,Paramètres!$A$1:$I$89,3,0)*0.475*44/12</f>
        <v>0</v>
      </c>
      <c r="BQ128" s="23">
        <f>EXP(-LN(2)/25)*BQ127+(1-EXP(-LN(2)/25))/(LN(2)/25)*Calculateur!BL128*Calculateur!BN128*VLOOKUP('Données projet'!$B$11,Paramètres!$A$1:$I$89,3,0)*0.475*44/12</f>
        <v>0</v>
      </c>
      <c r="BR128" s="23">
        <f>EXP(-LN(2)/2)*BR127+(1-EXP(-LN(2)/2))/(LN(2)/2)*BL128*BO128*VLOOKUP('Données projet'!$B$11,Paramètres!$A$1:$I$89,3,0)*0.475*44/12</f>
        <v>0</v>
      </c>
      <c r="BS128" s="24">
        <f t="shared" si="63"/>
        <v>0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2.2737367544323206E-13</v>
      </c>
      <c r="BZ128" s="14">
        <f>BY128*VLOOKUP('Données projet'!$B$12,Paramètres!$A$1:$I$89,3,0)*VLOOKUP('Données projet'!$B$12,Paramètres!$A$1:$I$89,5,0)</f>
        <v>1.2710188457276673E-13</v>
      </c>
      <c r="CA128" s="14">
        <f t="shared" si="93"/>
        <v>1.856866851063998E-12</v>
      </c>
      <c r="CB128" s="22">
        <f t="shared" si="64"/>
        <v>3.4554122145673649E-12</v>
      </c>
      <c r="CC128" s="62">
        <f t="shared" si="65"/>
        <v>293.33333333333678</v>
      </c>
      <c r="CD128" s="62">
        <f ca="1">AVERAGE(OFFSET($CC$3,0,0,'Données projet'!$E$12+1,1))-AVERAGE(OFFSET($H$3,0,0,'Données projet'!$E$12+1,1))</f>
        <v>323.98185264074681</v>
      </c>
      <c r="CE128" s="62">
        <f t="shared" si="94"/>
        <v>301.22207291854005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>
        <f>EXP(-LN(2)/35)*CK127+(1-EXP(-LN(2)/35))/(LN(2)/35)*CG128*CH128*VLOOKUP('Données projet'!$B$12,Paramètres!$A$1:$I$89,3,0)*0.475*44/12</f>
        <v>0.67995378188770517</v>
      </c>
      <c r="CL128" s="23">
        <f>EXP(-LN(2)/25)*CL127+(1-EXP(-LN(2)/25))/(LN(2)/25)*Calculateur!CG128*Calculateur!CI128*VLOOKUP('Données projet'!$B$12,Paramètres!$A$1:$I$89,3,0)*0.475*44/12</f>
        <v>0.59210372067989037</v>
      </c>
      <c r="CM128" s="23">
        <f>EXP(-LN(2)/2)*CM127+(1-EXP(-LN(2)/2))/(LN(2)/2)*CG128*CJ128*VLOOKUP('Données projet'!$B$12,Paramètres!$A$1:$I$89,3,0)*0.475*44/12</f>
        <v>3.0586944456445427E-14</v>
      </c>
      <c r="CN128" s="24">
        <f t="shared" si="66"/>
        <v>1.2720575025676262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2.4</v>
      </c>
      <c r="CT128" s="13">
        <f>IF('Données projet'!$A$140&gt;35,CT127+CS128-DB127,IF(A128&lt;'Données projet'!$A$140,$CQ$205^A128,IF(A128='Données projet'!$A$140,'Données projet'!$B$140,CT127+CS128-DB127)))</f>
        <v>220.99999999999991</v>
      </c>
      <c r="CU128" s="18">
        <f>CT128*VLOOKUP('Données projet'!$B$13,Paramètres!$A$1:$I$89,3,0)*VLOOKUP('Données projet'!$B$13,Paramètres!$A$1:$I$89,5,0)</f>
        <v>251.67479999999989</v>
      </c>
      <c r="CV128" s="14">
        <f t="shared" si="95"/>
        <v>60.944434584138449</v>
      </c>
      <c r="CW128" s="22">
        <f t="shared" si="67"/>
        <v>544.47850023404089</v>
      </c>
      <c r="CX128" s="62">
        <f t="shared" si="68"/>
        <v>837.81183356737415</v>
      </c>
      <c r="CY128" s="62">
        <f ca="1">AVERAGE(OFFSET($CX$3,0,0,'Données projet'!$E$13+1,1))-AVERAGE(OFFSET($H$3,0,0,'Données projet'!$E$13+1,1))</f>
        <v>399.78832690250164</v>
      </c>
      <c r="CZ128" s="62">
        <f t="shared" si="96"/>
        <v>174.32967064896343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>
        <f>EXP(-LN(2)/35)*DF127+(1-EXP(-LN(2)/35))/(LN(2)/35)*DB128*DC128*VLOOKUP('Données projet'!$B$13,Paramètres!$A$1:$I$89,3,0)*0.475*44/12</f>
        <v>0</v>
      </c>
      <c r="DG128" s="23">
        <f>EXP(-LN(2)/25)*DG127+(1-EXP(-LN(2)/25))/(LN(2)/25)*Calculateur!DB128*Calculateur!DD128*VLOOKUP('Données projet'!$B$13,Paramètres!$A$1:$I$89,3,0)*0.475*44/12</f>
        <v>0</v>
      </c>
      <c r="DH128" s="23">
        <f>EXP(-LN(2)/2)*DH127+(1-EXP(-LN(2)/2))/(LN(2)/2)*DB128*DE128*VLOOKUP('Données projet'!$B$13,Paramètres!$A$1:$I$89,3,0)*0.475*44/12</f>
        <v>0</v>
      </c>
      <c r="DI128" s="24">
        <f t="shared" si="69"/>
        <v>0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3.2</v>
      </c>
      <c r="DO128" s="13">
        <f>IF('Données projet'!$A$166&gt;35,DO127+DN128-DW127,IF(A128&lt;'Données projet'!$A$166,$DL$205^A128,IF(A128='Données projet'!$A$166,'Données projet'!$B$166,DO127+DN128-DW127)))</f>
        <v>283.99999999999943</v>
      </c>
      <c r="DP128" s="18">
        <f>DO128*VLOOKUP('Données projet'!$B$14,Paramètres!$A$1:$I$89,3,0)*VLOOKUP('Données projet'!$B$14,Paramètres!$A$1:$I$89,5,0)</f>
        <v>239.24159999999955</v>
      </c>
      <c r="DQ128" s="14">
        <f t="shared" si="97"/>
        <v>58.276326982845731</v>
      </c>
      <c r="DR128" s="22">
        <f t="shared" si="70"/>
        <v>518.17705616178876</v>
      </c>
      <c r="DS128" s="62">
        <f t="shared" si="71"/>
        <v>811.51038949512213</v>
      </c>
      <c r="DT128" s="62">
        <f ca="1">AVERAGE(OFFSET($DS$3,0,0,'Données projet'!$E$14+1,1))-AVERAGE(OFFSET($H$3,0,0,'Données projet'!$E$14+1,1))</f>
        <v>402.15128814037058</v>
      </c>
      <c r="DU128" s="62">
        <f t="shared" si="98"/>
        <v>232.85411068442738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>
        <f>EXP(-LN(2)/35)*EA127+(1-EXP(-LN(2)/35))/(LN(2)/35)*DW128*DX128*VLOOKUP('Données projet'!$B$14,Paramètres!$A$1:$I$89,3,0)*0.475*44/12</f>
        <v>0</v>
      </c>
      <c r="EB128" s="23">
        <f>EXP(-LN(2)/25)*EB127+(1-EXP(-LN(2)/25))/(LN(2)/25)*Calculateur!DW128*Calculateur!DY128*VLOOKUP('Données projet'!$B$14,Paramètres!$A$1:$I$89,3,0)*0.475*44/12</f>
        <v>0</v>
      </c>
      <c r="EC128" s="23">
        <f>EXP(-LN(2)/2)*EC127+(1-EXP(-LN(2)/2))/(LN(2)/2)*DW128*DZ128*VLOOKUP('Données projet'!$B$14,Paramètres!$A$1:$I$89,3,0)*0.475*44/12</f>
        <v>0</v>
      </c>
      <c r="ED128" s="24">
        <f t="shared" si="72"/>
        <v>0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3.0769230769230718</v>
      </c>
      <c r="EJ128" s="13">
        <f>IF('Données projet'!$A$192&gt;35,EJ127+EI128-ER127,IF(A128&lt;'Données projet'!$A$192,$EG$205^A128,IF(A128='Données projet'!$A$192,'Données projet'!$B$192,EJ127+EI128-ER127)))</f>
        <v>393.5897435897441</v>
      </c>
      <c r="EK128" s="18">
        <f>EJ128*VLOOKUP('Données projet'!$B$15,Paramètres!$A$1:$I$89,3,0)*VLOOKUP('Données projet'!$B$15,Paramètres!$A$1:$I$89,5,0)</f>
        <v>411.38000000000056</v>
      </c>
      <c r="EL128" s="14">
        <f t="shared" si="99"/>
        <v>94.080005316957724</v>
      </c>
      <c r="EM128" s="22">
        <f t="shared" si="73"/>
        <v>880.34284259370236</v>
      </c>
      <c r="EN128" s="62">
        <f t="shared" si="74"/>
        <v>1173.6761759270357</v>
      </c>
      <c r="EO128" s="62">
        <f ca="1">AVERAGE(OFFSET($EN$3,0,0,'Données projet'!$E$15+1,1))-AVERAGE(OFFSET($H$3,0,0,'Données projet'!$E$15+1,1))</f>
        <v>595.89992279024398</v>
      </c>
      <c r="EP128" s="62">
        <f t="shared" si="100"/>
        <v>378.16197659288338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>
        <f>EXP(-LN(2)/35)*EV127+(1-EXP(-LN(2)/35))/(LN(2)/35)*ER128*ES128*VLOOKUP('Données projet'!$B$15,Paramètres!$A$1:$I$89,3,0)*0.475*44/12</f>
        <v>0</v>
      </c>
      <c r="EW128" s="23">
        <f>EXP(-LN(2)/25)*EW127+(1-EXP(-LN(2)/25))/(LN(2)/25)*Calculateur!ER128*Calculateur!ET128*VLOOKUP('Données projet'!$B$15,Paramètres!$A$1:$I$89,3,0)*0.475*44/12</f>
        <v>0</v>
      </c>
      <c r="EX128" s="23">
        <f>EXP(-LN(2)/2)*EX127+(1-EXP(-LN(2)/2))/(LN(2)/2)*ER128*EU128*VLOOKUP('Données projet'!$B$15,Paramètres!$A$1:$I$89,3,0)*0.475*44/12</f>
        <v>0</v>
      </c>
      <c r="EY128" s="24">
        <f t="shared" si="75"/>
        <v>0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-2.2737367544323206E-13</v>
      </c>
      <c r="FF128" s="18">
        <f>FE128*VLOOKUP('Données projet'!$B$16,Paramètres!$A$1:$I$89,3,0)*VLOOKUP('Données projet'!$B$16,Paramètres!$A$1:$I$89,5,0)</f>
        <v>-1.3596945791505279E-13</v>
      </c>
      <c r="FG128" s="14" t="e">
        <f t="shared" si="101"/>
        <v>#NUM!</v>
      </c>
      <c r="FH128" s="22" t="e">
        <f t="shared" si="76"/>
        <v>#NUM!</v>
      </c>
      <c r="FI128" s="62" t="e">
        <f t="shared" si="77"/>
        <v>#NUM!</v>
      </c>
      <c r="FJ128" s="62">
        <f ca="1">AVERAGE(OFFSET($FI$3,0,0,'Données projet'!$E$16+1,1))-AVERAGE(OFFSET($H$3,0,0,'Données projet'!$E$16+1,1))</f>
        <v>257.56116197646924</v>
      </c>
      <c r="FK128" s="62">
        <f t="shared" si="102"/>
        <v>269.95556918835888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>
        <f>EXP(-LN(2)/35)*FQ127+(1-EXP(-LN(2)/35))/(LN(2)/35)*FM128*FN128*VLOOKUP('Données projet'!$B$16,Paramètres!$A$1:$I$89,3,0)*0.475*44/12</f>
        <v>2.221872098163157</v>
      </c>
      <c r="FR128" s="23">
        <f>EXP(-LN(2)/25)*FR127+(1-EXP(-LN(2)/25))/(LN(2)/25)*Calculateur!FM128*Calculateur!FO128*VLOOKUP('Données projet'!$B$16,Paramètres!$A$1:$I$89,3,0)*0.475*44/12</f>
        <v>1.1589700907664104</v>
      </c>
      <c r="FS128" s="23">
        <f>EXP(-LN(2)/2)*FS127+(1-EXP(-LN(2)/2))/(LN(2)/2)*FM128*FP128*VLOOKUP('Données projet'!$B$16,Paramètres!$A$1:$I$89,3,0)*0.475*44/12</f>
        <v>4.297824598974343E-14</v>
      </c>
      <c r="FT128" s="24">
        <f t="shared" si="78"/>
        <v>3.3808421889296105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-2.8421709430404007E-13</v>
      </c>
      <c r="GA128" s="18">
        <f>FZ128*VLOOKUP('Données projet'!$B$17,Paramètres!$A$1:$I$89,3,0)*VLOOKUP('Données projet'!$B$17,Paramètres!$A$1:$I$89,5,0)</f>
        <v>-1.69961822393816E-13</v>
      </c>
      <c r="GB128" s="14" t="e">
        <f t="shared" si="103"/>
        <v>#NUM!</v>
      </c>
      <c r="GC128" s="22" t="e">
        <f t="shared" si="79"/>
        <v>#NUM!</v>
      </c>
      <c r="GD128" s="62" t="e">
        <f t="shared" si="80"/>
        <v>#NUM!</v>
      </c>
      <c r="GE128" s="62">
        <f ca="1">AVERAGE(OFFSET($GD$3,0,0,'Données projet'!$E$17+1,1))-AVERAGE(OFFSET($H$3,0,0,'Données projet'!$E$17+1,1))</f>
        <v>289.12367833861299</v>
      </c>
      <c r="GF128" s="62">
        <f t="shared" si="104"/>
        <v>229.06617320689003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>
        <f>EXP(-LN(2)/35)*GL127+(1-EXP(-LN(2)/35))/(LN(2)/35)*GH128*GI128*VLOOKUP('Données projet'!$B$17,Paramètres!$A$1:$I$89,3,0)*0.475*44/12</f>
        <v>0</v>
      </c>
      <c r="GM128" s="23">
        <f>EXP(-LN(2)/25)*GM127+(1-EXP(-LN(2)/25))/(LN(2)/25)*Calculateur!GH128*Calculateur!GJ128*VLOOKUP('Données projet'!$B$17,Paramètres!$A$1:$I$89,3,0)*0.475*44/12</f>
        <v>0</v>
      </c>
      <c r="GN128" s="23">
        <f>EXP(-LN(2)/2)*GN127+(1-EXP(-LN(2)/2))/(LN(2)/2)*GH128*GK128*VLOOKUP('Données projet'!$B$17,Paramètres!$A$1:$I$89,3,0)*0.475*44/12</f>
        <v>2.0834926346921927E-14</v>
      </c>
      <c r="GO128" s="23">
        <f t="shared" si="81"/>
        <v>2.0834926346921927E-14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5.1538461538461551</v>
      </c>
      <c r="GU128" s="13">
        <f>IF('Données projet'!$A$270&gt;35,GU127+GT128-HC127,IF(A128&lt;'Données projet'!$A$270,$GR$205^A128,IF(A128='Données projet'!$A$270,'Données projet'!$B$270,GU127+GT128-HC127)))</f>
        <v>231.14615384615377</v>
      </c>
      <c r="GV128" s="18">
        <f>GU128*VLOOKUP('Données projet'!$B$18,Paramètres!$A$1:$I$89,3,0)*VLOOKUP('Données projet'!$B$18,Paramètres!$A$1:$I$89,5,0)</f>
        <v>108.17639999999996</v>
      </c>
      <c r="GW128" s="14">
        <f t="shared" si="105"/>
        <v>28.900913056732801</v>
      </c>
      <c r="GX128" s="22">
        <f t="shared" si="82"/>
        <v>238.74298690714286</v>
      </c>
      <c r="GY128" s="62">
        <f t="shared" si="83"/>
        <v>532.07632024047621</v>
      </c>
      <c r="GZ128" s="62">
        <f ca="1">AVERAGE(OFFSET($GY$3,0,0,'Données projet'!$E$18+1,1))-AVERAGE(OFFSET($H$3,0,0,'Données projet'!$E$18+1,1))</f>
        <v>284.88646502866419</v>
      </c>
      <c r="HA128" s="62">
        <f t="shared" si="106"/>
        <v>190.4880882944471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>
        <f>EXP(-LN(2)/35)*HG127+(1-EXP(-LN(2)/35))/(LN(2)/35)*HC128*HD128*VLOOKUP('Données projet'!$B$18,Paramètres!$A$1:$I$89,3,0)*0.475*44/12</f>
        <v>0</v>
      </c>
      <c r="HH128" s="23">
        <f>EXP(-LN(2)/25)*HH127+(1-EXP(-LN(2)/25))/(LN(2)/25)*Calculateur!HC128*Calculateur!HE128*VLOOKUP('Données projet'!$B$18,Paramètres!$A$1:$I$89,3,0)*0.475*44/12</f>
        <v>0</v>
      </c>
      <c r="HI128" s="23">
        <f>EXP(-LN(2)/2)*HI127+(1-EXP(-LN(2)/2))/(LN(2)/2)*HC128*HF128*VLOOKUP('Données projet'!$B$18,Paramètres!$A$1:$I$89,3,0)*0.475*44/12</f>
        <v>0</v>
      </c>
      <c r="HJ128" s="24">
        <f t="shared" si="84"/>
        <v>0</v>
      </c>
    </row>
    <row r="129" spans="1:218" s="5" customFormat="1" x14ac:dyDescent="0.25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2">
        <f t="shared" si="86"/>
        <v>0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0</v>
      </c>
      <c r="H129" s="70">
        <f t="shared" si="56"/>
        <v>256.66666666666669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-1.1368683772161603E-13</v>
      </c>
      <c r="O129" s="14">
        <f>N129*VLOOKUP('Données projet'!$B$9,Paramètres!$A$1:$I$89,3,0)*VLOOKUP('Données projet'!$B$9,Paramètres!$A$1:$I$89,5,0)</f>
        <v>-1.0818439477588981E-13</v>
      </c>
      <c r="P129" s="14" t="e">
        <f t="shared" si="87"/>
        <v>#NUM!</v>
      </c>
      <c r="Q129" s="22" t="e">
        <f t="shared" si="107"/>
        <v>#NUM!</v>
      </c>
      <c r="R129" s="62" t="e">
        <f t="shared" si="55"/>
        <v>#NUM!</v>
      </c>
      <c r="S129" s="62">
        <f ca="1">AVERAGE(OFFSET($R$3,0,0,'Données projet'!$E$9+1,1))-AVERAGE(OFFSET($H$3,0,0,'Données projet'!$E$9+1,1))</f>
        <v>367.11183928586667</v>
      </c>
      <c r="T129" s="62">
        <f t="shared" si="88"/>
        <v>281.52963027844595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0</v>
      </c>
      <c r="AA129" s="23">
        <f>EXP(-LN(2)/25)*AA128+(1-EXP(-LN(2)/25))/(LN(2)/25)*Calculateur!V129*Calculateur!X129*VLOOKUP('Données projet'!$B$9,Paramètres!$A$1:$I$89,3,0)*0.475*44/12</f>
        <v>0</v>
      </c>
      <c r="AB129" s="23">
        <f>EXP(-LN(2)/2)*AB128+(1-EXP(-LN(2)/2))/(LN(2)/2)*V129*Y129*VLOOKUP('Données projet'!$B$9,Paramètres!$A$1:$I$89,3,0)*0.475*44/12</f>
        <v>0</v>
      </c>
      <c r="AC129" s="24">
        <f t="shared" si="57"/>
        <v>0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3.2</v>
      </c>
      <c r="AI129" s="14">
        <f>IF('Données projet'!$A$62&gt;35,AI128+AH129-AQ128,IF(A129&lt;'Données projet'!$A$62,$AF$205^A129,IF(A129='Données projet'!$A$62,'Données projet'!$B$62,AI128+AH129-AQ128)))</f>
        <v>287.19999999999942</v>
      </c>
      <c r="AJ129" s="14">
        <f>AI129*VLOOKUP('Données projet'!$B$10,Paramètres!$A$1:$I$89,3,0)*VLOOKUP('Données projet'!$B$10,Paramètres!$A$1:$I$89,5,0)</f>
        <v>259.85855999999944</v>
      </c>
      <c r="AK129" s="14">
        <f t="shared" si="89"/>
        <v>62.692227709138365</v>
      </c>
      <c r="AL129" s="22">
        <f t="shared" si="58"/>
        <v>561.77595526008167</v>
      </c>
      <c r="AM129" s="62">
        <f t="shared" si="59"/>
        <v>855.10928859341493</v>
      </c>
      <c r="AN129" s="62">
        <f ca="1">AVERAGE(OFFSET($AM$3,0,0,'Données projet'!$E$10+1,1))-AVERAGE(OFFSET($H$3,0,0,'Données projet'!$E$10+1,1))</f>
        <v>428.8489304403459</v>
      </c>
      <c r="AO129" s="62">
        <f t="shared" si="90"/>
        <v>247.01165577562966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0</v>
      </c>
      <c r="AV129" s="23">
        <f>EXP(-LN(2)/25)*AV128+(1-EXP(-LN(2)/25))/(LN(2)/25)*Calculateur!AQ129*Calculateur!AS129*VLOOKUP('Données projet'!$B$10,Paramètres!$A$1:$I$89,3,0)*0.475*44/12</f>
        <v>0</v>
      </c>
      <c r="AW129" s="23">
        <f>EXP(-LN(2)/2)*AW128+(1-EXP(-LN(2)/2))/(LN(2)/2)*AQ129*AT129*VLOOKUP('Données projet'!$B$10,Paramètres!$A$1:$I$89,3,0)*0.475*44/12</f>
        <v>0</v>
      </c>
      <c r="AX129" s="23">
        <f t="shared" si="60"/>
        <v>0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3.2</v>
      </c>
      <c r="BD129" s="13">
        <f>IF('Données projet'!$A$88&gt;35,BD128+BC129-BL128,IF(A129&lt;'Données projet'!$A$88,$BA$205^A129,IF(A129='Données projet'!$A$88,'Données projet'!$B$88,BD128+BC129-BL128)))</f>
        <v>287.19999999999942</v>
      </c>
      <c r="BE129" s="14">
        <f>BD129*VLOOKUP('Données projet'!$B$11,Paramètres!$A$1:$I$89,3,0)*VLOOKUP('Données projet'!$B$11,Paramètres!$A$1:$I$89,5,0)</f>
        <v>291.22079999999943</v>
      </c>
      <c r="BF129" s="14">
        <f t="shared" si="91"/>
        <v>69.33283666585649</v>
      </c>
      <c r="BG129" s="22">
        <f t="shared" si="61"/>
        <v>627.96425052636573</v>
      </c>
      <c r="BH129" s="62">
        <f t="shared" si="62"/>
        <v>921.29758385969899</v>
      </c>
      <c r="BI129" s="62">
        <f ca="1">AVERAGE(OFFSET($BH$3,0,0,'Données projet'!$E$11+1,1))-AVERAGE(OFFSET($H$3,0,0,'Données projet'!$E$11+1,1))</f>
        <v>475.47920969424894</v>
      </c>
      <c r="BJ129" s="62">
        <f t="shared" si="92"/>
        <v>271.73544012419364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>
        <f>EXP(-LN(2)/35)*BP128+(1-EXP(-LN(2)/35))/(LN(2)/35)*BL129*BM129*VLOOKUP('Données projet'!$B$11,Paramètres!$A$1:$I$89,3,0)*0.475*44/12</f>
        <v>0</v>
      </c>
      <c r="BQ129" s="23">
        <f>EXP(-LN(2)/25)*BQ128+(1-EXP(-LN(2)/25))/(LN(2)/25)*Calculateur!BL129*Calculateur!BN129*VLOOKUP('Données projet'!$B$11,Paramètres!$A$1:$I$89,3,0)*0.475*44/12</f>
        <v>0</v>
      </c>
      <c r="BR129" s="23">
        <f>EXP(-LN(2)/2)*BR128+(1-EXP(-LN(2)/2))/(LN(2)/2)*BL129*BO129*VLOOKUP('Données projet'!$B$11,Paramètres!$A$1:$I$89,3,0)*0.475*44/12</f>
        <v>0</v>
      </c>
      <c r="BS129" s="24">
        <f t="shared" si="63"/>
        <v>0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2.2737367544323206E-13</v>
      </c>
      <c r="BZ129" s="14">
        <f>BY129*VLOOKUP('Données projet'!$B$12,Paramètres!$A$1:$I$89,3,0)*VLOOKUP('Données projet'!$B$12,Paramètres!$A$1:$I$89,5,0)</f>
        <v>1.2710188457276673E-13</v>
      </c>
      <c r="CA129" s="14">
        <f t="shared" si="93"/>
        <v>1.856866851063998E-12</v>
      </c>
      <c r="CB129" s="22">
        <f t="shared" si="64"/>
        <v>3.4554122145673649E-12</v>
      </c>
      <c r="CC129" s="62">
        <f t="shared" si="65"/>
        <v>293.33333333333678</v>
      </c>
      <c r="CD129" s="62">
        <f ca="1">AVERAGE(OFFSET($CC$3,0,0,'Données projet'!$E$12+1,1))-AVERAGE(OFFSET($H$3,0,0,'Données projet'!$E$12+1,1))</f>
        <v>323.98185264074681</v>
      </c>
      <c r="CE129" s="62">
        <f t="shared" si="94"/>
        <v>301.22207291854005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>
        <f>EXP(-LN(2)/35)*CK128+(1-EXP(-LN(2)/35))/(LN(2)/35)*CG129*CH129*VLOOKUP('Données projet'!$B$12,Paramètres!$A$1:$I$89,3,0)*0.475*44/12</f>
        <v>0.66662030295574293</v>
      </c>
      <c r="CL129" s="23">
        <f>EXP(-LN(2)/25)*CL128+(1-EXP(-LN(2)/25))/(LN(2)/25)*Calculateur!CG129*Calculateur!CI129*VLOOKUP('Données projet'!$B$12,Paramètres!$A$1:$I$89,3,0)*0.475*44/12</f>
        <v>0.57591261330051735</v>
      </c>
      <c r="CM129" s="23">
        <f>EXP(-LN(2)/2)*CM128+(1-EXP(-LN(2)/2))/(LN(2)/2)*CG129*CJ129*VLOOKUP('Données projet'!$B$12,Paramètres!$A$1:$I$89,3,0)*0.475*44/12</f>
        <v>2.162823584092884E-14</v>
      </c>
      <c r="CN129" s="24">
        <f t="shared" si="66"/>
        <v>1.2425329162562819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2.4</v>
      </c>
      <c r="CT129" s="13">
        <f>IF('Données projet'!$A$140&gt;35,CT128+CS129-DB128,IF(A129&lt;'Données projet'!$A$140,$CQ$205^A129,IF(A129='Données projet'!$A$140,'Données projet'!$B$140,CT128+CS129-DB128)))</f>
        <v>223.39999999999992</v>
      </c>
      <c r="CU129" s="18">
        <f>CT129*VLOOKUP('Données projet'!$B$13,Paramètres!$A$1:$I$89,3,0)*VLOOKUP('Données projet'!$B$13,Paramètres!$A$1:$I$89,5,0)</f>
        <v>254.4079199999999</v>
      </c>
      <c r="CV129" s="14">
        <f t="shared" si="95"/>
        <v>61.528868289402695</v>
      </c>
      <c r="CW129" s="22">
        <f t="shared" si="67"/>
        <v>550.25657293737629</v>
      </c>
      <c r="CX129" s="62">
        <f t="shared" si="68"/>
        <v>843.58990627070966</v>
      </c>
      <c r="CY129" s="62">
        <f ca="1">AVERAGE(OFFSET($CX$3,0,0,'Données projet'!$E$13+1,1))-AVERAGE(OFFSET($H$3,0,0,'Données projet'!$E$13+1,1))</f>
        <v>399.78832690250164</v>
      </c>
      <c r="CZ129" s="62">
        <f t="shared" si="96"/>
        <v>174.32967064896343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>
        <f>EXP(-LN(2)/35)*DF128+(1-EXP(-LN(2)/35))/(LN(2)/35)*DB129*DC129*VLOOKUP('Données projet'!$B$13,Paramètres!$A$1:$I$89,3,0)*0.475*44/12</f>
        <v>0</v>
      </c>
      <c r="DG129" s="23">
        <f>EXP(-LN(2)/25)*DG128+(1-EXP(-LN(2)/25))/(LN(2)/25)*Calculateur!DB129*Calculateur!DD129*VLOOKUP('Données projet'!$B$13,Paramètres!$A$1:$I$89,3,0)*0.475*44/12</f>
        <v>0</v>
      </c>
      <c r="DH129" s="23">
        <f>EXP(-LN(2)/2)*DH128+(1-EXP(-LN(2)/2))/(LN(2)/2)*DB129*DE129*VLOOKUP('Données projet'!$B$13,Paramètres!$A$1:$I$89,3,0)*0.475*44/12</f>
        <v>0</v>
      </c>
      <c r="DI129" s="24">
        <f t="shared" si="69"/>
        <v>0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3.2</v>
      </c>
      <c r="DO129" s="13">
        <f>IF('Données projet'!$A$166&gt;35,DO128+DN129-DW128,IF(A129&lt;'Données projet'!$A$166,$DL$205^A129,IF(A129='Données projet'!$A$166,'Données projet'!$B$166,DO128+DN129-DW128)))</f>
        <v>287.19999999999942</v>
      </c>
      <c r="DP129" s="18">
        <f>DO129*VLOOKUP('Données projet'!$B$14,Paramètres!$A$1:$I$89,3,0)*VLOOKUP('Données projet'!$B$14,Paramètres!$A$1:$I$89,5,0)</f>
        <v>241.93727999999956</v>
      </c>
      <c r="DQ129" s="14">
        <f t="shared" si="97"/>
        <v>58.85615048137516</v>
      </c>
      <c r="DR129" s="22">
        <f t="shared" si="70"/>
        <v>523.88189142172769</v>
      </c>
      <c r="DS129" s="62">
        <f t="shared" si="71"/>
        <v>817.21522475506094</v>
      </c>
      <c r="DT129" s="62">
        <f ca="1">AVERAGE(OFFSET($DS$3,0,0,'Données projet'!$E$14+1,1))-AVERAGE(OFFSET($H$3,0,0,'Données projet'!$E$14+1,1))</f>
        <v>402.15128814037058</v>
      </c>
      <c r="DU129" s="62">
        <f t="shared" si="98"/>
        <v>232.85411068442738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>
        <f>EXP(-LN(2)/35)*EA128+(1-EXP(-LN(2)/35))/(LN(2)/35)*DW129*DX129*VLOOKUP('Données projet'!$B$14,Paramètres!$A$1:$I$89,3,0)*0.475*44/12</f>
        <v>0</v>
      </c>
      <c r="EB129" s="23">
        <f>EXP(-LN(2)/25)*EB128+(1-EXP(-LN(2)/25))/(LN(2)/25)*Calculateur!DW129*Calculateur!DY129*VLOOKUP('Données projet'!$B$14,Paramètres!$A$1:$I$89,3,0)*0.475*44/12</f>
        <v>0</v>
      </c>
      <c r="EC129" s="23">
        <f>EXP(-LN(2)/2)*EC128+(1-EXP(-LN(2)/2))/(LN(2)/2)*DW129*DZ129*VLOOKUP('Données projet'!$B$14,Paramètres!$A$1:$I$89,3,0)*0.475*44/12</f>
        <v>0</v>
      </c>
      <c r="ED129" s="24">
        <f t="shared" si="72"/>
        <v>0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3.0769230769230718</v>
      </c>
      <c r="EJ129" s="13">
        <f>IF('Données projet'!$A$192&gt;35,EJ128+EI129-ER128,IF(A129&lt;'Données projet'!$A$192,$EG$205^A129,IF(A129='Données projet'!$A$192,'Données projet'!$B$192,EJ128+EI129-ER128)))</f>
        <v>396.6666666666672</v>
      </c>
      <c r="EK129" s="18">
        <f>EJ129*VLOOKUP('Données projet'!$B$15,Paramètres!$A$1:$I$89,3,0)*VLOOKUP('Données projet'!$B$15,Paramètres!$A$1:$I$89,5,0)</f>
        <v>414.59600000000063</v>
      </c>
      <c r="EL129" s="14">
        <f t="shared" si="99"/>
        <v>94.729579622319491</v>
      </c>
      <c r="EM129" s="22">
        <f t="shared" si="73"/>
        <v>887.07538450887421</v>
      </c>
      <c r="EN129" s="62">
        <f t="shared" si="74"/>
        <v>1180.4087178422076</v>
      </c>
      <c r="EO129" s="62">
        <f ca="1">AVERAGE(OFFSET($EN$3,0,0,'Données projet'!$E$15+1,1))-AVERAGE(OFFSET($H$3,0,0,'Données projet'!$E$15+1,1))</f>
        <v>595.89992279024398</v>
      </c>
      <c r="EP129" s="62">
        <f t="shared" si="100"/>
        <v>378.16197659288338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>
        <f>EXP(-LN(2)/35)*EV128+(1-EXP(-LN(2)/35))/(LN(2)/35)*ER129*ES129*VLOOKUP('Données projet'!$B$15,Paramètres!$A$1:$I$89,3,0)*0.475*44/12</f>
        <v>0</v>
      </c>
      <c r="EW129" s="23">
        <f>EXP(-LN(2)/25)*EW128+(1-EXP(-LN(2)/25))/(LN(2)/25)*Calculateur!ER129*Calculateur!ET129*VLOOKUP('Données projet'!$B$15,Paramètres!$A$1:$I$89,3,0)*0.475*44/12</f>
        <v>0</v>
      </c>
      <c r="EX129" s="23">
        <f>EXP(-LN(2)/2)*EX128+(1-EXP(-LN(2)/2))/(LN(2)/2)*ER129*EU129*VLOOKUP('Données projet'!$B$15,Paramètres!$A$1:$I$89,3,0)*0.475*44/12</f>
        <v>0</v>
      </c>
      <c r="EY129" s="24">
        <f t="shared" si="75"/>
        <v>0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-2.2737367544323206E-13</v>
      </c>
      <c r="FF129" s="18">
        <f>FE129*VLOOKUP('Données projet'!$B$16,Paramètres!$A$1:$I$89,3,0)*VLOOKUP('Données projet'!$B$16,Paramètres!$A$1:$I$89,5,0)</f>
        <v>-1.3596945791505279E-13</v>
      </c>
      <c r="FG129" s="14" t="e">
        <f t="shared" si="101"/>
        <v>#NUM!</v>
      </c>
      <c r="FH129" s="22" t="e">
        <f t="shared" si="76"/>
        <v>#NUM!</v>
      </c>
      <c r="FI129" s="62" t="e">
        <f t="shared" si="77"/>
        <v>#NUM!</v>
      </c>
      <c r="FJ129" s="62">
        <f ca="1">AVERAGE(OFFSET($FI$3,0,0,'Données projet'!$E$16+1,1))-AVERAGE(OFFSET($H$3,0,0,'Données projet'!$E$16+1,1))</f>
        <v>257.56116197646924</v>
      </c>
      <c r="FK129" s="62">
        <f t="shared" si="102"/>
        <v>269.95556918835888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>
        <f>EXP(-LN(2)/35)*FQ128+(1-EXP(-LN(2)/35))/(LN(2)/35)*FM129*FN129*VLOOKUP('Données projet'!$B$16,Paramètres!$A$1:$I$89,3,0)*0.475*44/12</f>
        <v>2.1783025415263415</v>
      </c>
      <c r="FR129" s="23">
        <f>EXP(-LN(2)/25)*FR128+(1-EXP(-LN(2)/25))/(LN(2)/25)*Calculateur!FM129*Calculateur!FO129*VLOOKUP('Données projet'!$B$16,Paramètres!$A$1:$I$89,3,0)*0.475*44/12</f>
        <v>1.1272779926868148</v>
      </c>
      <c r="FS129" s="23">
        <f>EXP(-LN(2)/2)*FS128+(1-EXP(-LN(2)/2))/(LN(2)/2)*FM129*FP129*VLOOKUP('Données projet'!$B$16,Paramètres!$A$1:$I$89,3,0)*0.475*44/12</f>
        <v>3.0390209182851121E-14</v>
      </c>
      <c r="FT129" s="24">
        <f t="shared" si="78"/>
        <v>3.3055805342131865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-2.8421709430404007E-13</v>
      </c>
      <c r="GA129" s="18">
        <f>FZ129*VLOOKUP('Données projet'!$B$17,Paramètres!$A$1:$I$89,3,0)*VLOOKUP('Données projet'!$B$17,Paramètres!$A$1:$I$89,5,0)</f>
        <v>-1.69961822393816E-13</v>
      </c>
      <c r="GB129" s="14" t="e">
        <f t="shared" si="103"/>
        <v>#NUM!</v>
      </c>
      <c r="GC129" s="22" t="e">
        <f t="shared" si="79"/>
        <v>#NUM!</v>
      </c>
      <c r="GD129" s="62" t="e">
        <f t="shared" si="80"/>
        <v>#NUM!</v>
      </c>
      <c r="GE129" s="62">
        <f ca="1">AVERAGE(OFFSET($GD$3,0,0,'Données projet'!$E$17+1,1))-AVERAGE(OFFSET($H$3,0,0,'Données projet'!$E$17+1,1))</f>
        <v>289.12367833861299</v>
      </c>
      <c r="GF129" s="62">
        <f t="shared" si="104"/>
        <v>229.06617320689003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>
        <f>EXP(-LN(2)/35)*GL128+(1-EXP(-LN(2)/35))/(LN(2)/35)*GH129*GI129*VLOOKUP('Données projet'!$B$17,Paramètres!$A$1:$I$89,3,0)*0.475*44/12</f>
        <v>0</v>
      </c>
      <c r="GM129" s="23">
        <f>EXP(-LN(2)/25)*GM128+(1-EXP(-LN(2)/25))/(LN(2)/25)*Calculateur!GH129*Calculateur!GJ129*VLOOKUP('Données projet'!$B$17,Paramètres!$A$1:$I$89,3,0)*0.475*44/12</f>
        <v>0</v>
      </c>
      <c r="GN129" s="23">
        <f>EXP(-LN(2)/2)*GN128+(1-EXP(-LN(2)/2))/(LN(2)/2)*GH129*GK129*VLOOKUP('Données projet'!$B$17,Paramètres!$A$1:$I$89,3,0)*0.475*44/12</f>
        <v>1.4732517705430757E-14</v>
      </c>
      <c r="GO129" s="23">
        <f t="shared" si="81"/>
        <v>1.4732517705430757E-14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>
        <f>VLOOKUP(A129,'Données projet'!$A$269:$I$289,2,0)</f>
        <v>236.29999999999998</v>
      </c>
      <c r="GS129" s="13">
        <f>VLOOKUP(A129,'Données projet'!$A$269:$I$289,9,0)</f>
        <v>5.1538461538461551</v>
      </c>
      <c r="GT129" s="13">
        <f t="array" ref="GT129">INDEX(GS:GS,MIN(IF(ISNUMBER(GS129:GS325),ROW(GS129:GS325),"")))</f>
        <v>5.1538461538461551</v>
      </c>
      <c r="GU129" s="13">
        <f>IF('Données projet'!$A$270&gt;35,GU128+GT129-HC128,IF(A129&lt;'Données projet'!$A$270,$GR$205^A129,IF(A129='Données projet'!$A$270,'Données projet'!$B$270,GU128+GT129-HC128)))</f>
        <v>236.29999999999993</v>
      </c>
      <c r="GV129" s="18">
        <f>GU129*VLOOKUP('Données projet'!$B$18,Paramètres!$A$1:$I$89,3,0)*VLOOKUP('Données projet'!$B$18,Paramètres!$A$1:$I$89,5,0)</f>
        <v>110.58839999999996</v>
      </c>
      <c r="GW129" s="14">
        <f t="shared" si="105"/>
        <v>29.469573129181644</v>
      </c>
      <c r="GX129" s="22">
        <f t="shared" si="82"/>
        <v>243.93430319999132</v>
      </c>
      <c r="GY129" s="62">
        <f t="shared" si="83"/>
        <v>537.26763653332466</v>
      </c>
      <c r="GZ129" s="62">
        <f ca="1">AVERAGE(OFFSET($GY$3,0,0,'Données projet'!$E$18+1,1))-AVERAGE(OFFSET($H$3,0,0,'Données projet'!$E$18+1,1))</f>
        <v>284.88646502866419</v>
      </c>
      <c r="HA129" s="62">
        <f t="shared" si="106"/>
        <v>190.4880882944471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>
        <f>EXP(-LN(2)/35)*HG128+(1-EXP(-LN(2)/35))/(LN(2)/35)*HC129*HD129*VLOOKUP('Données projet'!$B$18,Paramètres!$A$1:$I$89,3,0)*0.475*44/12</f>
        <v>0</v>
      </c>
      <c r="HH129" s="23">
        <f>EXP(-LN(2)/25)*HH128+(1-EXP(-LN(2)/25))/(LN(2)/25)*Calculateur!HC129*Calculateur!HE129*VLOOKUP('Données projet'!$B$18,Paramètres!$A$1:$I$89,3,0)*0.475*44/12</f>
        <v>0</v>
      </c>
      <c r="HI129" s="23">
        <f>EXP(-LN(2)/2)*HI128+(1-EXP(-LN(2)/2))/(LN(2)/2)*HC129*HF129*VLOOKUP('Données projet'!$B$18,Paramètres!$A$1:$I$89,3,0)*0.475*44/12</f>
        <v>0</v>
      </c>
      <c r="HJ129" s="24">
        <f t="shared" si="84"/>
        <v>0</v>
      </c>
    </row>
    <row r="130" spans="1:218" s="5" customFormat="1" x14ac:dyDescent="0.25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2">
        <f t="shared" si="86"/>
        <v>0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0</v>
      </c>
      <c r="H130" s="70">
        <f t="shared" si="56"/>
        <v>256.66666666666669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-1.1368683772161603E-13</v>
      </c>
      <c r="O130" s="14">
        <f>N130*VLOOKUP('Données projet'!$B$9,Paramètres!$A$1:$I$89,3,0)*VLOOKUP('Données projet'!$B$9,Paramètres!$A$1:$I$89,5,0)</f>
        <v>-1.0818439477588981E-13</v>
      </c>
      <c r="P130" s="14" t="e">
        <f t="shared" si="87"/>
        <v>#NUM!</v>
      </c>
      <c r="Q130" s="22" t="e">
        <f t="shared" si="107"/>
        <v>#NUM!</v>
      </c>
      <c r="R130" s="62" t="e">
        <f t="shared" si="55"/>
        <v>#NUM!</v>
      </c>
      <c r="S130" s="62">
        <f ca="1">AVERAGE(OFFSET($R$3,0,0,'Données projet'!$E$9+1,1))-AVERAGE(OFFSET($H$3,0,0,'Données projet'!$E$9+1,1))</f>
        <v>367.11183928586667</v>
      </c>
      <c r="T130" s="62">
        <f t="shared" si="88"/>
        <v>281.52963027844595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0</v>
      </c>
      <c r="AA130" s="23">
        <f>EXP(-LN(2)/25)*AA129+(1-EXP(-LN(2)/25))/(LN(2)/25)*Calculateur!V130*Calculateur!X130*VLOOKUP('Données projet'!$B$9,Paramètres!$A$1:$I$89,3,0)*0.475*44/12</f>
        <v>0</v>
      </c>
      <c r="AB130" s="23">
        <f>EXP(-LN(2)/2)*AB129+(1-EXP(-LN(2)/2))/(LN(2)/2)*V130*Y130*VLOOKUP('Données projet'!$B$9,Paramètres!$A$1:$I$89,3,0)*0.475*44/12</f>
        <v>0</v>
      </c>
      <c r="AC130" s="24">
        <f t="shared" si="57"/>
        <v>0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3.2</v>
      </c>
      <c r="AI130" s="14">
        <f>IF('Données projet'!$A$62&gt;35,AI129+AH130-AQ129,IF(A130&lt;'Données projet'!$A$62,$AF$205^A130,IF(A130='Données projet'!$A$62,'Données projet'!$B$62,AI129+AH130-AQ129)))</f>
        <v>290.39999999999941</v>
      </c>
      <c r="AJ130" s="14">
        <f>AI130*VLOOKUP('Données projet'!$B$10,Paramètres!$A$1:$I$89,3,0)*VLOOKUP('Données projet'!$B$10,Paramètres!$A$1:$I$89,5,0)</f>
        <v>262.75391999999948</v>
      </c>
      <c r="AK130" s="14">
        <f t="shared" si="89"/>
        <v>63.309041956360211</v>
      </c>
      <c r="AL130" s="22">
        <f t="shared" si="58"/>
        <v>567.89299207399313</v>
      </c>
      <c r="AM130" s="62">
        <f t="shared" si="59"/>
        <v>861.22632540732639</v>
      </c>
      <c r="AN130" s="62">
        <f ca="1">AVERAGE(OFFSET($AM$3,0,0,'Données projet'!$E$10+1,1))-AVERAGE(OFFSET($H$3,0,0,'Données projet'!$E$10+1,1))</f>
        <v>428.8489304403459</v>
      </c>
      <c r="AO130" s="62">
        <f t="shared" si="90"/>
        <v>247.01165577562966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0</v>
      </c>
      <c r="AV130" s="23">
        <f>EXP(-LN(2)/25)*AV129+(1-EXP(-LN(2)/25))/(LN(2)/25)*Calculateur!AQ130*Calculateur!AS130*VLOOKUP('Données projet'!$B$10,Paramètres!$A$1:$I$89,3,0)*0.475*44/12</f>
        <v>0</v>
      </c>
      <c r="AW130" s="23">
        <f>EXP(-LN(2)/2)*AW129+(1-EXP(-LN(2)/2))/(LN(2)/2)*AQ130*AT130*VLOOKUP('Données projet'!$B$10,Paramètres!$A$1:$I$89,3,0)*0.475*44/12</f>
        <v>0</v>
      </c>
      <c r="AX130" s="23">
        <f t="shared" si="60"/>
        <v>0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3.2</v>
      </c>
      <c r="BD130" s="13">
        <f>IF('Données projet'!$A$88&gt;35,BD129+BC130-BL129,IF(A130&lt;'Données projet'!$A$88,$BA$205^A130,IF(A130='Données projet'!$A$88,'Données projet'!$B$88,BD129+BC130-BL129)))</f>
        <v>290.39999999999941</v>
      </c>
      <c r="BE130" s="14">
        <f>BD130*VLOOKUP('Données projet'!$B$11,Paramètres!$A$1:$I$89,3,0)*VLOOKUP('Données projet'!$B$11,Paramètres!$A$1:$I$89,5,0)</f>
        <v>294.46559999999943</v>
      </c>
      <c r="BF130" s="14">
        <f t="shared" si="91"/>
        <v>70.0149863201041</v>
      </c>
      <c r="BG130" s="22">
        <f t="shared" si="61"/>
        <v>634.80368784084692</v>
      </c>
      <c r="BH130" s="62">
        <f t="shared" si="62"/>
        <v>928.13702117418029</v>
      </c>
      <c r="BI130" s="62">
        <f ca="1">AVERAGE(OFFSET($BH$3,0,0,'Données projet'!$E$11+1,1))-AVERAGE(OFFSET($H$3,0,0,'Données projet'!$E$11+1,1))</f>
        <v>475.47920969424894</v>
      </c>
      <c r="BJ130" s="62">
        <f t="shared" si="92"/>
        <v>271.73544012419364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>
        <f>EXP(-LN(2)/35)*BP129+(1-EXP(-LN(2)/35))/(LN(2)/35)*BL130*BM130*VLOOKUP('Données projet'!$B$11,Paramètres!$A$1:$I$89,3,0)*0.475*44/12</f>
        <v>0</v>
      </c>
      <c r="BQ130" s="23">
        <f>EXP(-LN(2)/25)*BQ129+(1-EXP(-LN(2)/25))/(LN(2)/25)*Calculateur!BL130*Calculateur!BN130*VLOOKUP('Données projet'!$B$11,Paramètres!$A$1:$I$89,3,0)*0.475*44/12</f>
        <v>0</v>
      </c>
      <c r="BR130" s="23">
        <f>EXP(-LN(2)/2)*BR129+(1-EXP(-LN(2)/2))/(LN(2)/2)*BL130*BO130*VLOOKUP('Données projet'!$B$11,Paramètres!$A$1:$I$89,3,0)*0.475*44/12</f>
        <v>0</v>
      </c>
      <c r="BS130" s="24">
        <f t="shared" si="63"/>
        <v>0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2.2737367544323206E-13</v>
      </c>
      <c r="BZ130" s="14">
        <f>BY130*VLOOKUP('Données projet'!$B$12,Paramètres!$A$1:$I$89,3,0)*VLOOKUP('Données projet'!$B$12,Paramètres!$A$1:$I$89,5,0)</f>
        <v>1.2710188457276673E-13</v>
      </c>
      <c r="CA130" s="14">
        <f t="shared" si="93"/>
        <v>1.856866851063998E-12</v>
      </c>
      <c r="CB130" s="22">
        <f t="shared" si="64"/>
        <v>3.4554122145673649E-12</v>
      </c>
      <c r="CC130" s="62">
        <f t="shared" si="65"/>
        <v>293.33333333333678</v>
      </c>
      <c r="CD130" s="62">
        <f ca="1">AVERAGE(OFFSET($CC$3,0,0,'Données projet'!$E$12+1,1))-AVERAGE(OFFSET($H$3,0,0,'Données projet'!$E$12+1,1))</f>
        <v>323.98185264074681</v>
      </c>
      <c r="CE130" s="62">
        <f t="shared" si="94"/>
        <v>301.22207291854005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>
        <f>EXP(-LN(2)/35)*CK129+(1-EXP(-LN(2)/35))/(LN(2)/35)*CG130*CH130*VLOOKUP('Données projet'!$B$12,Paramètres!$A$1:$I$89,3,0)*0.475*44/12</f>
        <v>0.65354828541301735</v>
      </c>
      <c r="CL130" s="23">
        <f>EXP(-LN(2)/25)*CL129+(1-EXP(-LN(2)/25))/(LN(2)/25)*Calculateur!CG130*Calculateur!CI130*VLOOKUP('Données projet'!$B$12,Paramètres!$A$1:$I$89,3,0)*0.475*44/12</f>
        <v>0.56016425260388669</v>
      </c>
      <c r="CM130" s="23">
        <f>EXP(-LN(2)/2)*CM129+(1-EXP(-LN(2)/2))/(LN(2)/2)*CG130*CJ130*VLOOKUP('Données projet'!$B$12,Paramètres!$A$1:$I$89,3,0)*0.475*44/12</f>
        <v>1.5293472228222714E-14</v>
      </c>
      <c r="CN130" s="24">
        <f t="shared" si="66"/>
        <v>1.2137125380169194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2.4</v>
      </c>
      <c r="CT130" s="13">
        <f>IF('Données projet'!$A$140&gt;35,CT129+CS130-DB129,IF(A130&lt;'Données projet'!$A$140,$CQ$205^A130,IF(A130='Données projet'!$A$140,'Données projet'!$B$140,CT129+CS130-DB129)))</f>
        <v>225.79999999999993</v>
      </c>
      <c r="CU130" s="18">
        <f>CT130*VLOOKUP('Données projet'!$B$13,Paramètres!$A$1:$I$89,3,0)*VLOOKUP('Données projet'!$B$13,Paramètres!$A$1:$I$89,5,0)</f>
        <v>257.14103999999992</v>
      </c>
      <c r="CV130" s="14">
        <f t="shared" si="95"/>
        <v>62.112571606665796</v>
      </c>
      <c r="CW130" s="22">
        <f t="shared" si="67"/>
        <v>556.03337354827602</v>
      </c>
      <c r="CX130" s="62">
        <f t="shared" si="68"/>
        <v>849.36670688160939</v>
      </c>
      <c r="CY130" s="62">
        <f ca="1">AVERAGE(OFFSET($CX$3,0,0,'Données projet'!$E$13+1,1))-AVERAGE(OFFSET($H$3,0,0,'Données projet'!$E$13+1,1))</f>
        <v>399.78832690250164</v>
      </c>
      <c r="CZ130" s="62">
        <f t="shared" si="96"/>
        <v>174.32967064896343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>
        <f>EXP(-LN(2)/35)*DF129+(1-EXP(-LN(2)/35))/(LN(2)/35)*DB130*DC130*VLOOKUP('Données projet'!$B$13,Paramètres!$A$1:$I$89,3,0)*0.475*44/12</f>
        <v>0</v>
      </c>
      <c r="DG130" s="23">
        <f>EXP(-LN(2)/25)*DG129+(1-EXP(-LN(2)/25))/(LN(2)/25)*Calculateur!DB130*Calculateur!DD130*VLOOKUP('Données projet'!$B$13,Paramètres!$A$1:$I$89,3,0)*0.475*44/12</f>
        <v>0</v>
      </c>
      <c r="DH130" s="23">
        <f>EXP(-LN(2)/2)*DH129+(1-EXP(-LN(2)/2))/(LN(2)/2)*DB130*DE130*VLOOKUP('Données projet'!$B$13,Paramètres!$A$1:$I$89,3,0)*0.475*44/12</f>
        <v>0</v>
      </c>
      <c r="DI130" s="24">
        <f t="shared" si="69"/>
        <v>0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3.2</v>
      </c>
      <c r="DO130" s="13">
        <f>IF('Données projet'!$A$166&gt;35,DO129+DN130-DW129,IF(A130&lt;'Données projet'!$A$166,$DL$205^A130,IF(A130='Données projet'!$A$166,'Données projet'!$B$166,DO129+DN130-DW129)))</f>
        <v>290.39999999999941</v>
      </c>
      <c r="DP130" s="18">
        <f>DO130*VLOOKUP('Données projet'!$B$14,Paramètres!$A$1:$I$89,3,0)*VLOOKUP('Données projet'!$B$14,Paramètres!$A$1:$I$89,5,0)</f>
        <v>244.63295999999951</v>
      </c>
      <c r="DQ130" s="14">
        <f t="shared" si="97"/>
        <v>59.435222456963182</v>
      </c>
      <c r="DR130" s="22">
        <f t="shared" si="70"/>
        <v>529.58541777920993</v>
      </c>
      <c r="DS130" s="62">
        <f t="shared" si="71"/>
        <v>822.9187511125433</v>
      </c>
      <c r="DT130" s="62">
        <f ca="1">AVERAGE(OFFSET($DS$3,0,0,'Données projet'!$E$14+1,1))-AVERAGE(OFFSET($H$3,0,0,'Données projet'!$E$14+1,1))</f>
        <v>402.15128814037058</v>
      </c>
      <c r="DU130" s="62">
        <f t="shared" si="98"/>
        <v>232.85411068442738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>
        <f>EXP(-LN(2)/35)*EA129+(1-EXP(-LN(2)/35))/(LN(2)/35)*DW130*DX130*VLOOKUP('Données projet'!$B$14,Paramètres!$A$1:$I$89,3,0)*0.475*44/12</f>
        <v>0</v>
      </c>
      <c r="EB130" s="23">
        <f>EXP(-LN(2)/25)*EB129+(1-EXP(-LN(2)/25))/(LN(2)/25)*Calculateur!DW130*Calculateur!DY130*VLOOKUP('Données projet'!$B$14,Paramètres!$A$1:$I$89,3,0)*0.475*44/12</f>
        <v>0</v>
      </c>
      <c r="EC130" s="23">
        <f>EXP(-LN(2)/2)*EC129+(1-EXP(-LN(2)/2))/(LN(2)/2)*DW130*DZ130*VLOOKUP('Données projet'!$B$14,Paramètres!$A$1:$I$89,3,0)*0.475*44/12</f>
        <v>0</v>
      </c>
      <c r="ED130" s="24">
        <f t="shared" si="72"/>
        <v>0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3.0769230769230718</v>
      </c>
      <c r="EJ130" s="13">
        <f>IF('Données projet'!$A$192&gt;35,EJ129+EI130-ER129,IF(A130&lt;'Données projet'!$A$192,$EG$205^A130,IF(A130='Données projet'!$A$192,'Données projet'!$B$192,EJ129+EI130-ER129)))</f>
        <v>399.74358974359029</v>
      </c>
      <c r="EK130" s="18">
        <f>EJ130*VLOOKUP('Données projet'!$B$15,Paramètres!$A$1:$I$89,3,0)*VLOOKUP('Données projet'!$B$15,Paramètres!$A$1:$I$89,5,0)</f>
        <v>417.81200000000064</v>
      </c>
      <c r="EL130" s="14">
        <f t="shared" si="99"/>
        <v>95.378567679771166</v>
      </c>
      <c r="EM130" s="22">
        <f t="shared" si="73"/>
        <v>893.80690537560247</v>
      </c>
      <c r="EN130" s="62">
        <f t="shared" si="74"/>
        <v>1187.1402387089358</v>
      </c>
      <c r="EO130" s="62">
        <f ca="1">AVERAGE(OFFSET($EN$3,0,0,'Données projet'!$E$15+1,1))-AVERAGE(OFFSET($H$3,0,0,'Données projet'!$E$15+1,1))</f>
        <v>595.89992279024398</v>
      </c>
      <c r="EP130" s="62">
        <f t="shared" si="100"/>
        <v>378.16197659288338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>
        <f>EXP(-LN(2)/35)*EV129+(1-EXP(-LN(2)/35))/(LN(2)/35)*ER130*ES130*VLOOKUP('Données projet'!$B$15,Paramètres!$A$1:$I$89,3,0)*0.475*44/12</f>
        <v>0</v>
      </c>
      <c r="EW130" s="23">
        <f>EXP(-LN(2)/25)*EW129+(1-EXP(-LN(2)/25))/(LN(2)/25)*Calculateur!ER130*Calculateur!ET130*VLOOKUP('Données projet'!$B$15,Paramètres!$A$1:$I$89,3,0)*0.475*44/12</f>
        <v>0</v>
      </c>
      <c r="EX130" s="23">
        <f>EXP(-LN(2)/2)*EX129+(1-EXP(-LN(2)/2))/(LN(2)/2)*ER130*EU130*VLOOKUP('Données projet'!$B$15,Paramètres!$A$1:$I$89,3,0)*0.475*44/12</f>
        <v>0</v>
      </c>
      <c r="EY130" s="24">
        <f t="shared" si="75"/>
        <v>0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-2.2737367544323206E-13</v>
      </c>
      <c r="FF130" s="18">
        <f>FE130*VLOOKUP('Données projet'!$B$16,Paramètres!$A$1:$I$89,3,0)*VLOOKUP('Données projet'!$B$16,Paramètres!$A$1:$I$89,5,0)</f>
        <v>-1.3596945791505279E-13</v>
      </c>
      <c r="FG130" s="14" t="e">
        <f t="shared" si="101"/>
        <v>#NUM!</v>
      </c>
      <c r="FH130" s="22" t="e">
        <f t="shared" si="76"/>
        <v>#NUM!</v>
      </c>
      <c r="FI130" s="62" t="e">
        <f t="shared" si="77"/>
        <v>#NUM!</v>
      </c>
      <c r="FJ130" s="62">
        <f ca="1">AVERAGE(OFFSET($FI$3,0,0,'Données projet'!$E$16+1,1))-AVERAGE(OFFSET($H$3,0,0,'Données projet'!$E$16+1,1))</f>
        <v>257.56116197646924</v>
      </c>
      <c r="FK130" s="62">
        <f t="shared" si="102"/>
        <v>269.95556918835888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>
        <f>EXP(-LN(2)/35)*FQ129+(1-EXP(-LN(2)/35))/(LN(2)/35)*FM130*FN130*VLOOKUP('Données projet'!$B$16,Paramètres!$A$1:$I$89,3,0)*0.475*44/12</f>
        <v>2.1355873573203685</v>
      </c>
      <c r="FR130" s="23">
        <f>EXP(-LN(2)/25)*FR129+(1-EXP(-LN(2)/25))/(LN(2)/25)*Calculateur!FM130*Calculateur!FO130*VLOOKUP('Données projet'!$B$16,Paramètres!$A$1:$I$89,3,0)*0.475*44/12</f>
        <v>1.0964525166958208</v>
      </c>
      <c r="FS130" s="23">
        <f>EXP(-LN(2)/2)*FS129+(1-EXP(-LN(2)/2))/(LN(2)/2)*FM130*FP130*VLOOKUP('Données projet'!$B$16,Paramètres!$A$1:$I$89,3,0)*0.475*44/12</f>
        <v>2.1489122994871715E-14</v>
      </c>
      <c r="FT130" s="24">
        <f t="shared" si="78"/>
        <v>3.2320398740162108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-2.8421709430404007E-13</v>
      </c>
      <c r="GA130" s="18">
        <f>FZ130*VLOOKUP('Données projet'!$B$17,Paramètres!$A$1:$I$89,3,0)*VLOOKUP('Données projet'!$B$17,Paramètres!$A$1:$I$89,5,0)</f>
        <v>-1.69961822393816E-13</v>
      </c>
      <c r="GB130" s="14" t="e">
        <f t="shared" si="103"/>
        <v>#NUM!</v>
      </c>
      <c r="GC130" s="22" t="e">
        <f t="shared" si="79"/>
        <v>#NUM!</v>
      </c>
      <c r="GD130" s="62" t="e">
        <f t="shared" si="80"/>
        <v>#NUM!</v>
      </c>
      <c r="GE130" s="62">
        <f ca="1">AVERAGE(OFFSET($GD$3,0,0,'Données projet'!$E$17+1,1))-AVERAGE(OFFSET($H$3,0,0,'Données projet'!$E$17+1,1))</f>
        <v>289.12367833861299</v>
      </c>
      <c r="GF130" s="62">
        <f t="shared" si="104"/>
        <v>229.06617320689003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>
        <f>EXP(-LN(2)/35)*GL129+(1-EXP(-LN(2)/35))/(LN(2)/35)*GH130*GI130*VLOOKUP('Données projet'!$B$17,Paramètres!$A$1:$I$89,3,0)*0.475*44/12</f>
        <v>0</v>
      </c>
      <c r="GM130" s="23">
        <f>EXP(-LN(2)/25)*GM129+(1-EXP(-LN(2)/25))/(LN(2)/25)*Calculateur!GH130*Calculateur!GJ130*VLOOKUP('Données projet'!$B$17,Paramètres!$A$1:$I$89,3,0)*0.475*44/12</f>
        <v>0</v>
      </c>
      <c r="GN130" s="23">
        <f>EXP(-LN(2)/2)*GN129+(1-EXP(-LN(2)/2))/(LN(2)/2)*GH130*GK130*VLOOKUP('Données projet'!$B$17,Paramètres!$A$1:$I$89,3,0)*0.475*44/12</f>
        <v>1.0417463173460964E-14</v>
      </c>
      <c r="GO130" s="23">
        <f t="shared" si="81"/>
        <v>1.0417463173460964E-14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4.66307692307692</v>
      </c>
      <c r="GU130" s="13">
        <f>IF('Données projet'!$A$270&gt;35,GU129+GT130-HC129,IF(A130&lt;'Données projet'!$A$270,$GR$205^A130,IF(A130='Données projet'!$A$270,'Données projet'!$B$270,GU129+GT130-HC129)))</f>
        <v>240.96307692307684</v>
      </c>
      <c r="GV130" s="18">
        <f>GU130*VLOOKUP('Données projet'!$B$18,Paramètres!$A$1:$I$89,3,0)*VLOOKUP('Données projet'!$B$18,Paramètres!$A$1:$I$89,5,0)</f>
        <v>112.77071999999997</v>
      </c>
      <c r="GW130" s="14">
        <f t="shared" si="105"/>
        <v>29.982839682662075</v>
      </c>
      <c r="GX130" s="22">
        <f t="shared" si="82"/>
        <v>248.62911644730306</v>
      </c>
      <c r="GY130" s="62">
        <f t="shared" si="83"/>
        <v>541.96244978063635</v>
      </c>
      <c r="GZ130" s="62">
        <f ca="1">AVERAGE(OFFSET($GY$3,0,0,'Données projet'!$E$18+1,1))-AVERAGE(OFFSET($H$3,0,0,'Données projet'!$E$18+1,1))</f>
        <v>284.88646502866419</v>
      </c>
      <c r="HA130" s="62">
        <f t="shared" si="106"/>
        <v>190.4880882944471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>
        <f>EXP(-LN(2)/35)*HG129+(1-EXP(-LN(2)/35))/(LN(2)/35)*HC130*HD130*VLOOKUP('Données projet'!$B$18,Paramètres!$A$1:$I$89,3,0)*0.475*44/12</f>
        <v>0</v>
      </c>
      <c r="HH130" s="23">
        <f>EXP(-LN(2)/25)*HH129+(1-EXP(-LN(2)/25))/(LN(2)/25)*Calculateur!HC130*Calculateur!HE130*VLOOKUP('Données projet'!$B$18,Paramètres!$A$1:$I$89,3,0)*0.475*44/12</f>
        <v>0</v>
      </c>
      <c r="HI130" s="23">
        <f>EXP(-LN(2)/2)*HI129+(1-EXP(-LN(2)/2))/(LN(2)/2)*HC130*HF130*VLOOKUP('Données projet'!$B$18,Paramètres!$A$1:$I$89,3,0)*0.475*44/12</f>
        <v>0</v>
      </c>
      <c r="HJ130" s="24">
        <f t="shared" si="84"/>
        <v>0</v>
      </c>
    </row>
    <row r="131" spans="1:218" s="5" customFormat="1" x14ac:dyDescent="0.25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2">
        <f t="shared" si="86"/>
        <v>0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0</v>
      </c>
      <c r="H131" s="70">
        <f t="shared" si="56"/>
        <v>256.66666666666669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-1.1368683772161603E-13</v>
      </c>
      <c r="O131" s="14">
        <f>N131*VLOOKUP('Données projet'!$B$9,Paramètres!$A$1:$I$89,3,0)*VLOOKUP('Données projet'!$B$9,Paramètres!$A$1:$I$89,5,0)</f>
        <v>-1.0818439477588981E-13</v>
      </c>
      <c r="P131" s="14" t="e">
        <f t="shared" si="87"/>
        <v>#NUM!</v>
      </c>
      <c r="Q131" s="22" t="e">
        <f t="shared" ref="Q131:Q153" si="108">(O131+P131)*0.475*44/12</f>
        <v>#NUM!</v>
      </c>
      <c r="R131" s="62" t="e">
        <f t="shared" ref="R131:R194" si="109">Q131+(I131+J131)*44/12</f>
        <v>#NUM!</v>
      </c>
      <c r="S131" s="62">
        <f ca="1">AVERAGE(OFFSET($R$3,0,0,'Données projet'!$E$9+1,1))-AVERAGE(OFFSET($H$3,0,0,'Données projet'!$E$9+1,1))</f>
        <v>367.11183928586667</v>
      </c>
      <c r="T131" s="62">
        <f t="shared" si="88"/>
        <v>281.52963027844595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0</v>
      </c>
      <c r="AA131" s="23">
        <f>EXP(-LN(2)/25)*AA130+(1-EXP(-LN(2)/25))/(LN(2)/25)*Calculateur!V131*Calculateur!X131*VLOOKUP('Données projet'!$B$9,Paramètres!$A$1:$I$89,3,0)*0.475*44/12</f>
        <v>0</v>
      </c>
      <c r="AB131" s="23">
        <f>EXP(-LN(2)/2)*AB130+(1-EXP(-LN(2)/2))/(LN(2)/2)*V131*Y131*VLOOKUP('Données projet'!$B$9,Paramètres!$A$1:$I$89,3,0)*0.475*44/12</f>
        <v>0</v>
      </c>
      <c r="AC131" s="24">
        <f t="shared" si="57"/>
        <v>0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3.2</v>
      </c>
      <c r="AI131" s="14">
        <f>IF('Données projet'!$A$62&gt;35,AI130+AH131-AQ130,IF(A131&lt;'Données projet'!$A$62,$AF$205^A131,IF(A131='Données projet'!$A$62,'Données projet'!$B$62,AI130+AH131-AQ130)))</f>
        <v>293.5999999999994</v>
      </c>
      <c r="AJ131" s="14">
        <f>AI131*VLOOKUP('Données projet'!$B$10,Paramètres!$A$1:$I$89,3,0)*VLOOKUP('Données projet'!$B$10,Paramètres!$A$1:$I$89,5,0)</f>
        <v>265.64927999999946</v>
      </c>
      <c r="AK131" s="14">
        <f t="shared" si="89"/>
        <v>63.925065540346907</v>
      </c>
      <c r="AL131" s="22">
        <f t="shared" si="58"/>
        <v>574.00865181610322</v>
      </c>
      <c r="AM131" s="62">
        <f t="shared" si="59"/>
        <v>867.3419851494366</v>
      </c>
      <c r="AN131" s="62">
        <f ca="1">AVERAGE(OFFSET($AM$3,0,0,'Données projet'!$E$10+1,1))-AVERAGE(OFFSET($H$3,0,0,'Données projet'!$E$10+1,1))</f>
        <v>428.8489304403459</v>
      </c>
      <c r="AO131" s="62">
        <f t="shared" si="90"/>
        <v>247.01165577562966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0</v>
      </c>
      <c r="AV131" s="23">
        <f>EXP(-LN(2)/25)*AV130+(1-EXP(-LN(2)/25))/(LN(2)/25)*Calculateur!AQ131*Calculateur!AS131*VLOOKUP('Données projet'!$B$10,Paramètres!$A$1:$I$89,3,0)*0.475*44/12</f>
        <v>0</v>
      </c>
      <c r="AW131" s="23">
        <f>EXP(-LN(2)/2)*AW130+(1-EXP(-LN(2)/2))/(LN(2)/2)*AQ131*AT131*VLOOKUP('Données projet'!$B$10,Paramètres!$A$1:$I$89,3,0)*0.475*44/12</f>
        <v>0</v>
      </c>
      <c r="AX131" s="23">
        <f t="shared" si="60"/>
        <v>0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3.2</v>
      </c>
      <c r="BD131" s="13">
        <f>IF('Données projet'!$A$88&gt;35,BD130+BC131-BL130,IF(A131&lt;'Données projet'!$A$88,$BA$205^A131,IF(A131='Données projet'!$A$88,'Données projet'!$B$88,BD130+BC131-BL130)))</f>
        <v>293.5999999999994</v>
      </c>
      <c r="BE131" s="14">
        <f>BD131*VLOOKUP('Données projet'!$B$11,Paramètres!$A$1:$I$89,3,0)*VLOOKUP('Données projet'!$B$11,Paramètres!$A$1:$I$89,5,0)</f>
        <v>297.71039999999937</v>
      </c>
      <c r="BF131" s="14">
        <f t="shared" si="91"/>
        <v>70.696261560936534</v>
      </c>
      <c r="BG131" s="22">
        <f t="shared" si="61"/>
        <v>641.64160221862994</v>
      </c>
      <c r="BH131" s="62">
        <f t="shared" si="62"/>
        <v>934.9749355519632</v>
      </c>
      <c r="BI131" s="62">
        <f ca="1">AVERAGE(OFFSET($BH$3,0,0,'Données projet'!$E$11+1,1))-AVERAGE(OFFSET($H$3,0,0,'Données projet'!$E$11+1,1))</f>
        <v>475.47920969424894</v>
      </c>
      <c r="BJ131" s="62">
        <f t="shared" si="92"/>
        <v>271.73544012419364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>
        <f>EXP(-LN(2)/35)*BP130+(1-EXP(-LN(2)/35))/(LN(2)/35)*BL131*BM131*VLOOKUP('Données projet'!$B$11,Paramètres!$A$1:$I$89,3,0)*0.475*44/12</f>
        <v>0</v>
      </c>
      <c r="BQ131" s="23">
        <f>EXP(-LN(2)/25)*BQ130+(1-EXP(-LN(2)/25))/(LN(2)/25)*Calculateur!BL131*Calculateur!BN131*VLOOKUP('Données projet'!$B$11,Paramètres!$A$1:$I$89,3,0)*0.475*44/12</f>
        <v>0</v>
      </c>
      <c r="BR131" s="23">
        <f>EXP(-LN(2)/2)*BR130+(1-EXP(-LN(2)/2))/(LN(2)/2)*BL131*BO131*VLOOKUP('Données projet'!$B$11,Paramètres!$A$1:$I$89,3,0)*0.475*44/12</f>
        <v>0</v>
      </c>
      <c r="BS131" s="24">
        <f t="shared" si="63"/>
        <v>0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2.2737367544323206E-13</v>
      </c>
      <c r="BZ131" s="14">
        <f>BY131*VLOOKUP('Données projet'!$B$12,Paramètres!$A$1:$I$89,3,0)*VLOOKUP('Données projet'!$B$12,Paramètres!$A$1:$I$89,5,0)</f>
        <v>1.2710188457276673E-13</v>
      </c>
      <c r="CA131" s="14">
        <f t="shared" si="93"/>
        <v>1.856866851063998E-12</v>
      </c>
      <c r="CB131" s="22">
        <f t="shared" si="64"/>
        <v>3.4554122145673649E-12</v>
      </c>
      <c r="CC131" s="62">
        <f t="shared" si="65"/>
        <v>293.33333333333678</v>
      </c>
      <c r="CD131" s="62">
        <f ca="1">AVERAGE(OFFSET($CC$3,0,0,'Données projet'!$E$12+1,1))-AVERAGE(OFFSET($H$3,0,0,'Données projet'!$E$12+1,1))</f>
        <v>323.98185264074681</v>
      </c>
      <c r="CE131" s="62">
        <f t="shared" si="94"/>
        <v>301.22207291854005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>
        <f>EXP(-LN(2)/35)*CK130+(1-EXP(-LN(2)/35))/(LN(2)/35)*CG131*CH131*VLOOKUP('Données projet'!$B$12,Paramètres!$A$1:$I$89,3,0)*0.475*44/12</f>
        <v>0.64073260216116124</v>
      </c>
      <c r="CL131" s="23">
        <f>EXP(-LN(2)/25)*CL130+(1-EXP(-LN(2)/25))/(LN(2)/25)*Calculateur!CG131*Calculateur!CI131*VLOOKUP('Données projet'!$B$12,Paramètres!$A$1:$I$89,3,0)*0.475*44/12</f>
        <v>0.54484653165867569</v>
      </c>
      <c r="CM131" s="23">
        <f>EXP(-LN(2)/2)*CM130+(1-EXP(-LN(2)/2))/(LN(2)/2)*CG131*CJ131*VLOOKUP('Données projet'!$B$12,Paramètres!$A$1:$I$89,3,0)*0.475*44/12</f>
        <v>1.081411792046442E-14</v>
      </c>
      <c r="CN131" s="24">
        <f t="shared" si="66"/>
        <v>1.1855791338198478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2.4</v>
      </c>
      <c r="CT131" s="13">
        <f>IF('Données projet'!$A$140&gt;35,CT130+CS131-DB130,IF(A131&lt;'Données projet'!$A$140,$CQ$205^A131,IF(A131='Données projet'!$A$140,'Données projet'!$B$140,CT130+CS131-DB130)))</f>
        <v>228.19999999999993</v>
      </c>
      <c r="CU131" s="18">
        <f>CT131*VLOOKUP('Données projet'!$B$13,Paramètres!$A$1:$I$89,3,0)*VLOOKUP('Données projet'!$B$13,Paramètres!$A$1:$I$89,5,0)</f>
        <v>259.87415999999996</v>
      </c>
      <c r="CV131" s="14">
        <f t="shared" si="95"/>
        <v>62.695553197736118</v>
      </c>
      <c r="CW131" s="22">
        <f t="shared" si="67"/>
        <v>561.80891715272367</v>
      </c>
      <c r="CX131" s="62">
        <f t="shared" si="68"/>
        <v>855.14225048605704</v>
      </c>
      <c r="CY131" s="62">
        <f ca="1">AVERAGE(OFFSET($CX$3,0,0,'Données projet'!$E$13+1,1))-AVERAGE(OFFSET($H$3,0,0,'Données projet'!$E$13+1,1))</f>
        <v>399.78832690250164</v>
      </c>
      <c r="CZ131" s="62">
        <f t="shared" si="96"/>
        <v>174.32967064896343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>
        <f>EXP(-LN(2)/35)*DF130+(1-EXP(-LN(2)/35))/(LN(2)/35)*DB131*DC131*VLOOKUP('Données projet'!$B$13,Paramètres!$A$1:$I$89,3,0)*0.475*44/12</f>
        <v>0</v>
      </c>
      <c r="DG131" s="23">
        <f>EXP(-LN(2)/25)*DG130+(1-EXP(-LN(2)/25))/(LN(2)/25)*Calculateur!DB131*Calculateur!DD131*VLOOKUP('Données projet'!$B$13,Paramètres!$A$1:$I$89,3,0)*0.475*44/12</f>
        <v>0</v>
      </c>
      <c r="DH131" s="23">
        <f>EXP(-LN(2)/2)*DH130+(1-EXP(-LN(2)/2))/(LN(2)/2)*DB131*DE131*VLOOKUP('Données projet'!$B$13,Paramètres!$A$1:$I$89,3,0)*0.475*44/12</f>
        <v>0</v>
      </c>
      <c r="DI131" s="24">
        <f t="shared" si="69"/>
        <v>0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3.2</v>
      </c>
      <c r="DO131" s="13">
        <f>IF('Données projet'!$A$166&gt;35,DO130+DN131-DW130,IF(A131&lt;'Données projet'!$A$166,$DL$205^A131,IF(A131='Données projet'!$A$166,'Données projet'!$B$166,DO130+DN131-DW130)))</f>
        <v>293.5999999999994</v>
      </c>
      <c r="DP131" s="18">
        <f>DO131*VLOOKUP('Données projet'!$B$14,Paramètres!$A$1:$I$89,3,0)*VLOOKUP('Données projet'!$B$14,Paramètres!$A$1:$I$89,5,0)</f>
        <v>247.32863999999952</v>
      </c>
      <c r="DQ131" s="14">
        <f t="shared" si="97"/>
        <v>60.013552149240361</v>
      </c>
      <c r="DR131" s="22">
        <f t="shared" si="70"/>
        <v>535.28765132659282</v>
      </c>
      <c r="DS131" s="62">
        <f t="shared" si="71"/>
        <v>828.62098465992608</v>
      </c>
      <c r="DT131" s="62">
        <f ca="1">AVERAGE(OFFSET($DS$3,0,0,'Données projet'!$E$14+1,1))-AVERAGE(OFFSET($H$3,0,0,'Données projet'!$E$14+1,1))</f>
        <v>402.15128814037058</v>
      </c>
      <c r="DU131" s="62">
        <f t="shared" si="98"/>
        <v>232.85411068442738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>
        <f>EXP(-LN(2)/35)*EA130+(1-EXP(-LN(2)/35))/(LN(2)/35)*DW131*DX131*VLOOKUP('Données projet'!$B$14,Paramètres!$A$1:$I$89,3,0)*0.475*44/12</f>
        <v>0</v>
      </c>
      <c r="EB131" s="23">
        <f>EXP(-LN(2)/25)*EB130+(1-EXP(-LN(2)/25))/(LN(2)/25)*Calculateur!DW131*Calculateur!DY131*VLOOKUP('Données projet'!$B$14,Paramètres!$A$1:$I$89,3,0)*0.475*44/12</f>
        <v>0</v>
      </c>
      <c r="EC131" s="23">
        <f>EXP(-LN(2)/2)*EC130+(1-EXP(-LN(2)/2))/(LN(2)/2)*DW131*DZ131*VLOOKUP('Données projet'!$B$14,Paramètres!$A$1:$I$89,3,0)*0.475*44/12</f>
        <v>0</v>
      </c>
      <c r="ED131" s="24">
        <f t="shared" si="72"/>
        <v>0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3.0769230769230718</v>
      </c>
      <c r="EJ131" s="13">
        <f>IF('Données projet'!$A$192&gt;35,EJ130+EI131-ER130,IF(A131&lt;'Données projet'!$A$192,$EG$205^A131,IF(A131='Données projet'!$A$192,'Données projet'!$B$192,EJ130+EI131-ER130)))</f>
        <v>402.82051282051339</v>
      </c>
      <c r="EK131" s="18">
        <f>EJ131*VLOOKUP('Données projet'!$B$15,Paramètres!$A$1:$I$89,3,0)*VLOOKUP('Données projet'!$B$15,Paramètres!$A$1:$I$89,5,0)</f>
        <v>421.02800000000065</v>
      </c>
      <c r="EL131" s="14">
        <f t="shared" si="99"/>
        <v>96.026974524902201</v>
      </c>
      <c r="EM131" s="22">
        <f t="shared" si="73"/>
        <v>900.53741396420571</v>
      </c>
      <c r="EN131" s="62">
        <f t="shared" si="74"/>
        <v>1193.8707472975391</v>
      </c>
      <c r="EO131" s="62">
        <f ca="1">AVERAGE(OFFSET($EN$3,0,0,'Données projet'!$E$15+1,1))-AVERAGE(OFFSET($H$3,0,0,'Données projet'!$E$15+1,1))</f>
        <v>595.89992279024398</v>
      </c>
      <c r="EP131" s="62">
        <f t="shared" si="100"/>
        <v>378.16197659288338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>
        <f>EXP(-LN(2)/35)*EV130+(1-EXP(-LN(2)/35))/(LN(2)/35)*ER131*ES131*VLOOKUP('Données projet'!$B$15,Paramètres!$A$1:$I$89,3,0)*0.475*44/12</f>
        <v>0</v>
      </c>
      <c r="EW131" s="23">
        <f>EXP(-LN(2)/25)*EW130+(1-EXP(-LN(2)/25))/(LN(2)/25)*Calculateur!ER131*Calculateur!ET131*VLOOKUP('Données projet'!$B$15,Paramètres!$A$1:$I$89,3,0)*0.475*44/12</f>
        <v>0</v>
      </c>
      <c r="EX131" s="23">
        <f>EXP(-LN(2)/2)*EX130+(1-EXP(-LN(2)/2))/(LN(2)/2)*ER131*EU131*VLOOKUP('Données projet'!$B$15,Paramètres!$A$1:$I$89,3,0)*0.475*44/12</f>
        <v>0</v>
      </c>
      <c r="EY131" s="24">
        <f t="shared" si="75"/>
        <v>0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-2.2737367544323206E-13</v>
      </c>
      <c r="FF131" s="18">
        <f>FE131*VLOOKUP('Données projet'!$B$16,Paramètres!$A$1:$I$89,3,0)*VLOOKUP('Données projet'!$B$16,Paramètres!$A$1:$I$89,5,0)</f>
        <v>-1.3596945791505279E-13</v>
      </c>
      <c r="FG131" s="14" t="e">
        <f t="shared" si="101"/>
        <v>#NUM!</v>
      </c>
      <c r="FH131" s="22" t="e">
        <f t="shared" si="76"/>
        <v>#NUM!</v>
      </c>
      <c r="FI131" s="62" t="e">
        <f t="shared" si="77"/>
        <v>#NUM!</v>
      </c>
      <c r="FJ131" s="62">
        <f ca="1">AVERAGE(OFFSET($FI$3,0,0,'Données projet'!$E$16+1,1))-AVERAGE(OFFSET($H$3,0,0,'Données projet'!$E$16+1,1))</f>
        <v>257.56116197646924</v>
      </c>
      <c r="FK131" s="62">
        <f t="shared" si="102"/>
        <v>269.95556918835888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>
        <f>EXP(-LN(2)/35)*FQ130+(1-EXP(-LN(2)/35))/(LN(2)/35)*FM131*FN131*VLOOKUP('Données projet'!$B$16,Paramètres!$A$1:$I$89,3,0)*0.475*44/12</f>
        <v>2.093709791822985</v>
      </c>
      <c r="FR131" s="23">
        <f>EXP(-LN(2)/25)*FR130+(1-EXP(-LN(2)/25))/(LN(2)/25)*Calculateur!FM131*Calculateur!FO131*VLOOKUP('Données projet'!$B$16,Paramètres!$A$1:$I$89,3,0)*0.475*44/12</f>
        <v>1.0664699649668417</v>
      </c>
      <c r="FS131" s="23">
        <f>EXP(-LN(2)/2)*FS130+(1-EXP(-LN(2)/2))/(LN(2)/2)*FM131*FP131*VLOOKUP('Données projet'!$B$16,Paramètres!$A$1:$I$89,3,0)*0.475*44/12</f>
        <v>1.519510459142556E-14</v>
      </c>
      <c r="FT131" s="24">
        <f t="shared" si="78"/>
        <v>3.1601797567898418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-2.8421709430404007E-13</v>
      </c>
      <c r="GA131" s="18">
        <f>FZ131*VLOOKUP('Données projet'!$B$17,Paramètres!$A$1:$I$89,3,0)*VLOOKUP('Données projet'!$B$17,Paramètres!$A$1:$I$89,5,0)</f>
        <v>-1.69961822393816E-13</v>
      </c>
      <c r="GB131" s="14" t="e">
        <f t="shared" si="103"/>
        <v>#NUM!</v>
      </c>
      <c r="GC131" s="22" t="e">
        <f t="shared" si="79"/>
        <v>#NUM!</v>
      </c>
      <c r="GD131" s="62" t="e">
        <f t="shared" si="80"/>
        <v>#NUM!</v>
      </c>
      <c r="GE131" s="62">
        <f ca="1">AVERAGE(OFFSET($GD$3,0,0,'Données projet'!$E$17+1,1))-AVERAGE(OFFSET($H$3,0,0,'Données projet'!$E$17+1,1))</f>
        <v>289.12367833861299</v>
      </c>
      <c r="GF131" s="62">
        <f t="shared" si="104"/>
        <v>229.06617320689003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>
        <f>EXP(-LN(2)/35)*GL130+(1-EXP(-LN(2)/35))/(LN(2)/35)*GH131*GI131*VLOOKUP('Données projet'!$B$17,Paramètres!$A$1:$I$89,3,0)*0.475*44/12</f>
        <v>0</v>
      </c>
      <c r="GM131" s="23">
        <f>EXP(-LN(2)/25)*GM130+(1-EXP(-LN(2)/25))/(LN(2)/25)*Calculateur!GH131*Calculateur!GJ131*VLOOKUP('Données projet'!$B$17,Paramètres!$A$1:$I$89,3,0)*0.475*44/12</f>
        <v>0</v>
      </c>
      <c r="GN131" s="23">
        <f>EXP(-LN(2)/2)*GN130+(1-EXP(-LN(2)/2))/(LN(2)/2)*GH131*GK131*VLOOKUP('Données projet'!$B$17,Paramètres!$A$1:$I$89,3,0)*0.475*44/12</f>
        <v>7.3662588527153785E-15</v>
      </c>
      <c r="GO131" s="23">
        <f t="shared" si="81"/>
        <v>7.3662588527153785E-15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4.66307692307692</v>
      </c>
      <c r="GU131" s="13">
        <f>IF('Données projet'!$A$270&gt;35,GU130+GT131-HC130,IF(A131&lt;'Données projet'!$A$270,$GR$205^A131,IF(A131='Données projet'!$A$270,'Données projet'!$B$270,GU130+GT131-HC130)))</f>
        <v>245.62615384615376</v>
      </c>
      <c r="GV131" s="18">
        <f>GU131*VLOOKUP('Données projet'!$B$18,Paramètres!$A$1:$I$89,3,0)*VLOOKUP('Données projet'!$B$18,Paramètres!$A$1:$I$89,5,0)</f>
        <v>114.95303999999996</v>
      </c>
      <c r="GW131" s="14">
        <f t="shared" si="105"/>
        <v>30.494951300893501</v>
      </c>
      <c r="GX131" s="22">
        <f t="shared" si="82"/>
        <v>253.3219181823894</v>
      </c>
      <c r="GY131" s="62">
        <f t="shared" si="83"/>
        <v>546.65525151572274</v>
      </c>
      <c r="GZ131" s="62">
        <f ca="1">AVERAGE(OFFSET($GY$3,0,0,'Données projet'!$E$18+1,1))-AVERAGE(OFFSET($H$3,0,0,'Données projet'!$E$18+1,1))</f>
        <v>284.88646502866419</v>
      </c>
      <c r="HA131" s="62">
        <f t="shared" si="106"/>
        <v>190.4880882944471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>
        <f>EXP(-LN(2)/35)*HG130+(1-EXP(-LN(2)/35))/(LN(2)/35)*HC131*HD131*VLOOKUP('Données projet'!$B$18,Paramètres!$A$1:$I$89,3,0)*0.475*44/12</f>
        <v>0</v>
      </c>
      <c r="HH131" s="23">
        <f>EXP(-LN(2)/25)*HH130+(1-EXP(-LN(2)/25))/(LN(2)/25)*Calculateur!HC131*Calculateur!HE131*VLOOKUP('Données projet'!$B$18,Paramètres!$A$1:$I$89,3,0)*0.475*44/12</f>
        <v>0</v>
      </c>
      <c r="HI131" s="23">
        <f>EXP(-LN(2)/2)*HI130+(1-EXP(-LN(2)/2))/(LN(2)/2)*HC131*HF131*VLOOKUP('Données projet'!$B$18,Paramètres!$A$1:$I$89,3,0)*0.475*44/12</f>
        <v>0</v>
      </c>
      <c r="HJ131" s="24">
        <f t="shared" si="84"/>
        <v>0</v>
      </c>
    </row>
    <row r="132" spans="1:218" s="5" customFormat="1" x14ac:dyDescent="0.25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2">
        <f t="shared" si="86"/>
        <v>0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0</v>
      </c>
      <c r="H132" s="70">
        <f t="shared" ref="H132:H195" si="110">(B132+E132+F132)*44/12+(C132+D132)*0.475*44/12</f>
        <v>256.66666666666669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-1.1368683772161603E-13</v>
      </c>
      <c r="O132" s="14">
        <f>N132*VLOOKUP('Données projet'!$B$9,Paramètres!$A$1:$I$89,3,0)*VLOOKUP('Données projet'!$B$9,Paramètres!$A$1:$I$89,5,0)</f>
        <v>-1.0818439477588981E-13</v>
      </c>
      <c r="P132" s="14" t="e">
        <f t="shared" si="87"/>
        <v>#NUM!</v>
      </c>
      <c r="Q132" s="22" t="e">
        <f t="shared" si="108"/>
        <v>#NUM!</v>
      </c>
      <c r="R132" s="62" t="e">
        <f t="shared" si="109"/>
        <v>#NUM!</v>
      </c>
      <c r="S132" s="62">
        <f ca="1">AVERAGE(OFFSET($R$3,0,0,'Données projet'!$E$9+1,1))-AVERAGE(OFFSET($H$3,0,0,'Données projet'!$E$9+1,1))</f>
        <v>367.11183928586667</v>
      </c>
      <c r="T132" s="62">
        <f t="shared" si="88"/>
        <v>281.52963027844595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0</v>
      </c>
      <c r="AA132" s="23">
        <f>EXP(-LN(2)/25)*AA131+(1-EXP(-LN(2)/25))/(LN(2)/25)*Calculateur!V132*Calculateur!X132*VLOOKUP('Données projet'!$B$9,Paramètres!$A$1:$I$89,3,0)*0.475*44/12</f>
        <v>0</v>
      </c>
      <c r="AB132" s="23">
        <f>EXP(-LN(2)/2)*AB131+(1-EXP(-LN(2)/2))/(LN(2)/2)*V132*Y132*VLOOKUP('Données projet'!$B$9,Paramètres!$A$1:$I$89,3,0)*0.475*44/12</f>
        <v>0</v>
      </c>
      <c r="AC132" s="24">
        <f t="shared" ref="AC132:AC153" si="111">SUM(Z132:AB132)</f>
        <v>0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3.2</v>
      </c>
      <c r="AI132" s="14">
        <f>IF('Données projet'!$A$62&gt;35,AI131+AH132-AQ131,IF(A132&lt;'Données projet'!$A$62,$AF$205^A132,IF(A132='Données projet'!$A$62,'Données projet'!$B$62,AI131+AH132-AQ131)))</f>
        <v>296.79999999999939</v>
      </c>
      <c r="AJ132" s="14">
        <f>AI132*VLOOKUP('Données projet'!$B$10,Paramètres!$A$1:$I$89,3,0)*VLOOKUP('Données projet'!$B$10,Paramètres!$A$1:$I$89,5,0)</f>
        <v>268.54463999999945</v>
      </c>
      <c r="AK132" s="14">
        <f t="shared" si="89"/>
        <v>64.540308076050593</v>
      </c>
      <c r="AL132" s="22">
        <f t="shared" ref="AL132:AL153" si="112">(AJ132+AK132)*0.475*44/12</f>
        <v>580.12295123245383</v>
      </c>
      <c r="AM132" s="62">
        <f t="shared" ref="AM132:AM195" si="113">AL132+(AD132+AE132)*44/12</f>
        <v>873.4562845657872</v>
      </c>
      <c r="AN132" s="62">
        <f ca="1">AVERAGE(OFFSET($AM$3,0,0,'Données projet'!$E$10+1,1))-AVERAGE(OFFSET($H$3,0,0,'Données projet'!$E$10+1,1))</f>
        <v>428.8489304403459</v>
      </c>
      <c r="AO132" s="62">
        <f t="shared" si="90"/>
        <v>247.01165577562966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0</v>
      </c>
      <c r="AV132" s="23">
        <f>EXP(-LN(2)/25)*AV131+(1-EXP(-LN(2)/25))/(LN(2)/25)*Calculateur!AQ132*Calculateur!AS132*VLOOKUP('Données projet'!$B$10,Paramètres!$A$1:$I$89,3,0)*0.475*44/12</f>
        <v>0</v>
      </c>
      <c r="AW132" s="23">
        <f>EXP(-LN(2)/2)*AW131+(1-EXP(-LN(2)/2))/(LN(2)/2)*AQ132*AT132*VLOOKUP('Données projet'!$B$10,Paramètres!$A$1:$I$89,3,0)*0.475*44/12</f>
        <v>0</v>
      </c>
      <c r="AX132" s="23">
        <f t="shared" ref="AX132:AX153" si="114">SUM(AU132:AW132)</f>
        <v>0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3.2</v>
      </c>
      <c r="BD132" s="13">
        <f>IF('Données projet'!$A$88&gt;35,BD131+BC132-BL131,IF(A132&lt;'Données projet'!$A$88,$BA$205^A132,IF(A132='Données projet'!$A$88,'Données projet'!$B$88,BD131+BC132-BL131)))</f>
        <v>296.79999999999939</v>
      </c>
      <c r="BE132" s="14">
        <f>BD132*VLOOKUP('Données projet'!$B$11,Paramètres!$A$1:$I$89,3,0)*VLOOKUP('Données projet'!$B$11,Paramètres!$A$1:$I$89,5,0)</f>
        <v>300.95519999999942</v>
      </c>
      <c r="BF132" s="14">
        <f t="shared" si="91"/>
        <v>71.376673021759657</v>
      </c>
      <c r="BG132" s="22">
        <f t="shared" ref="BG132:BG153" si="115">(BE132+BF132)*0.475*44/12</f>
        <v>648.47801217956373</v>
      </c>
      <c r="BH132" s="62">
        <f t="shared" ref="BH132:BH195" si="116">BG132+(AY132+AZ132)*44/12</f>
        <v>941.81134551289711</v>
      </c>
      <c r="BI132" s="62">
        <f ca="1">AVERAGE(OFFSET($BH$3,0,0,'Données projet'!$E$11+1,1))-AVERAGE(OFFSET($H$3,0,0,'Données projet'!$E$11+1,1))</f>
        <v>475.47920969424894</v>
      </c>
      <c r="BJ132" s="62">
        <f t="shared" si="92"/>
        <v>271.73544012419364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>
        <f>EXP(-LN(2)/35)*BP131+(1-EXP(-LN(2)/35))/(LN(2)/35)*BL132*BM132*VLOOKUP('Données projet'!$B$11,Paramètres!$A$1:$I$89,3,0)*0.475*44/12</f>
        <v>0</v>
      </c>
      <c r="BQ132" s="23">
        <f>EXP(-LN(2)/25)*BQ131+(1-EXP(-LN(2)/25))/(LN(2)/25)*Calculateur!BL132*Calculateur!BN132*VLOOKUP('Données projet'!$B$11,Paramètres!$A$1:$I$89,3,0)*0.475*44/12</f>
        <v>0</v>
      </c>
      <c r="BR132" s="23">
        <f>EXP(-LN(2)/2)*BR131+(1-EXP(-LN(2)/2))/(LN(2)/2)*BL132*BO132*VLOOKUP('Données projet'!$B$11,Paramètres!$A$1:$I$89,3,0)*0.475*44/12</f>
        <v>0</v>
      </c>
      <c r="BS132" s="24">
        <f t="shared" ref="BS132:BS153" si="117">SUM(BP132:BR132)</f>
        <v>0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2.2737367544323206E-13</v>
      </c>
      <c r="BZ132" s="14">
        <f>BY132*VLOOKUP('Données projet'!$B$12,Paramètres!$A$1:$I$89,3,0)*VLOOKUP('Données projet'!$B$12,Paramètres!$A$1:$I$89,5,0)</f>
        <v>1.2710188457276673E-13</v>
      </c>
      <c r="CA132" s="14">
        <f t="shared" si="93"/>
        <v>1.856866851063998E-12</v>
      </c>
      <c r="CB132" s="22">
        <f t="shared" ref="CB132:CB153" si="118">(BZ132+CA132)*0.475*44/12</f>
        <v>3.4554122145673649E-12</v>
      </c>
      <c r="CC132" s="62">
        <f t="shared" ref="CC132:CC195" si="119">CB132+(BT132+BU132)*44/12</f>
        <v>293.33333333333678</v>
      </c>
      <c r="CD132" s="62">
        <f ca="1">AVERAGE(OFFSET($CC$3,0,0,'Données projet'!$E$12+1,1))-AVERAGE(OFFSET($H$3,0,0,'Données projet'!$E$12+1,1))</f>
        <v>323.98185264074681</v>
      </c>
      <c r="CE132" s="62">
        <f t="shared" si="94"/>
        <v>301.22207291854005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>
        <f>EXP(-LN(2)/35)*CK131+(1-EXP(-LN(2)/35))/(LN(2)/35)*CG132*CH132*VLOOKUP('Données projet'!$B$12,Paramètres!$A$1:$I$89,3,0)*0.475*44/12</f>
        <v>0.62816822664107907</v>
      </c>
      <c r="CL132" s="23">
        <f>EXP(-LN(2)/25)*CL131+(1-EXP(-LN(2)/25))/(LN(2)/25)*Calculateur!CG132*Calculateur!CI132*VLOOKUP('Données projet'!$B$12,Paramètres!$A$1:$I$89,3,0)*0.475*44/12</f>
        <v>0.52994767459823533</v>
      </c>
      <c r="CM132" s="23">
        <f>EXP(-LN(2)/2)*CM131+(1-EXP(-LN(2)/2))/(LN(2)/2)*CG132*CJ132*VLOOKUP('Données projet'!$B$12,Paramètres!$A$1:$I$89,3,0)*0.475*44/12</f>
        <v>7.6467361141113569E-15</v>
      </c>
      <c r="CN132" s="24">
        <f t="shared" ref="CN132:CN153" si="120">SUM(CK132:CM132)</f>
        <v>1.1581159012393218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2.4</v>
      </c>
      <c r="CT132" s="13">
        <f>IF('Données projet'!$A$140&gt;35,CT131+CS132-DB131,IF(A132&lt;'Données projet'!$A$140,$CQ$205^A132,IF(A132='Données projet'!$A$140,'Données projet'!$B$140,CT131+CS132-DB131)))</f>
        <v>230.59999999999994</v>
      </c>
      <c r="CU132" s="18">
        <f>CT132*VLOOKUP('Données projet'!$B$13,Paramètres!$A$1:$I$89,3,0)*VLOOKUP('Données projet'!$B$13,Paramètres!$A$1:$I$89,5,0)</f>
        <v>262.60727999999989</v>
      </c>
      <c r="CV132" s="14">
        <f t="shared" si="95"/>
        <v>63.277821531731618</v>
      </c>
      <c r="CW132" s="22">
        <f t="shared" ref="CW132:CW153" si="121">(CU132+CV132)*0.475*44/12</f>
        <v>567.58321850109894</v>
      </c>
      <c r="CX132" s="62">
        <f t="shared" ref="CX132:CX195" si="122">CW132+(CO132+CP132)*44/12</f>
        <v>860.91655183443231</v>
      </c>
      <c r="CY132" s="62">
        <f ca="1">AVERAGE(OFFSET($CX$3,0,0,'Données projet'!$E$13+1,1))-AVERAGE(OFFSET($H$3,0,0,'Données projet'!$E$13+1,1))</f>
        <v>399.78832690250164</v>
      </c>
      <c r="CZ132" s="62">
        <f t="shared" si="96"/>
        <v>174.32967064896343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>
        <f>EXP(-LN(2)/35)*DF131+(1-EXP(-LN(2)/35))/(LN(2)/35)*DB132*DC132*VLOOKUP('Données projet'!$B$13,Paramètres!$A$1:$I$89,3,0)*0.475*44/12</f>
        <v>0</v>
      </c>
      <c r="DG132" s="23">
        <f>EXP(-LN(2)/25)*DG131+(1-EXP(-LN(2)/25))/(LN(2)/25)*Calculateur!DB132*Calculateur!DD132*VLOOKUP('Données projet'!$B$13,Paramètres!$A$1:$I$89,3,0)*0.475*44/12</f>
        <v>0</v>
      </c>
      <c r="DH132" s="23">
        <f>EXP(-LN(2)/2)*DH131+(1-EXP(-LN(2)/2))/(LN(2)/2)*DB132*DE132*VLOOKUP('Données projet'!$B$13,Paramètres!$A$1:$I$89,3,0)*0.475*44/12</f>
        <v>0</v>
      </c>
      <c r="DI132" s="24">
        <f t="shared" ref="DI132:DI153" si="123">SUM(DF132:DH132)</f>
        <v>0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3.2</v>
      </c>
      <c r="DO132" s="13">
        <f>IF('Données projet'!$A$166&gt;35,DO131+DN132-DW131,IF(A132&lt;'Données projet'!$A$166,$DL$205^A132,IF(A132='Données projet'!$A$166,'Données projet'!$B$166,DO131+DN132-DW131)))</f>
        <v>296.79999999999939</v>
      </c>
      <c r="DP132" s="18">
        <f>DO132*VLOOKUP('Données projet'!$B$14,Paramètres!$A$1:$I$89,3,0)*VLOOKUP('Données projet'!$B$14,Paramètres!$A$1:$I$89,5,0)</f>
        <v>250.02431999999951</v>
      </c>
      <c r="DQ132" s="14">
        <f t="shared" si="97"/>
        <v>60.591148584829156</v>
      </c>
      <c r="DR132" s="22">
        <f t="shared" ref="DR132:DR153" si="124">(DP132+DQ132)*0.475*44/12</f>
        <v>540.98860778524329</v>
      </c>
      <c r="DS132" s="62">
        <f t="shared" ref="DS132:DS195" si="125">DR132+(DJ132+DK132)*44/12</f>
        <v>834.32194111857666</v>
      </c>
      <c r="DT132" s="62">
        <f ca="1">AVERAGE(OFFSET($DS$3,0,0,'Données projet'!$E$14+1,1))-AVERAGE(OFFSET($H$3,0,0,'Données projet'!$E$14+1,1))</f>
        <v>402.15128814037058</v>
      </c>
      <c r="DU132" s="62">
        <f t="shared" si="98"/>
        <v>232.85411068442738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>
        <f>EXP(-LN(2)/35)*EA131+(1-EXP(-LN(2)/35))/(LN(2)/35)*DW132*DX132*VLOOKUP('Données projet'!$B$14,Paramètres!$A$1:$I$89,3,0)*0.475*44/12</f>
        <v>0</v>
      </c>
      <c r="EB132" s="23">
        <f>EXP(-LN(2)/25)*EB131+(1-EXP(-LN(2)/25))/(LN(2)/25)*Calculateur!DW132*Calculateur!DY132*VLOOKUP('Données projet'!$B$14,Paramètres!$A$1:$I$89,3,0)*0.475*44/12</f>
        <v>0</v>
      </c>
      <c r="EC132" s="23">
        <f>EXP(-LN(2)/2)*EC131+(1-EXP(-LN(2)/2))/(LN(2)/2)*DW132*DZ132*VLOOKUP('Données projet'!$B$14,Paramètres!$A$1:$I$89,3,0)*0.475*44/12</f>
        <v>0</v>
      </c>
      <c r="ED132" s="24">
        <f t="shared" ref="ED132:ED153" si="126">SUM(EA132:EC132)</f>
        <v>0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3.0769230769230718</v>
      </c>
      <c r="EJ132" s="13">
        <f>IF('Données projet'!$A$192&gt;35,EJ131+EI132-ER131,IF(A132&lt;'Données projet'!$A$192,$EG$205^A132,IF(A132='Données projet'!$A$192,'Données projet'!$B$192,EJ131+EI132-ER131)))</f>
        <v>405.89743589743648</v>
      </c>
      <c r="EK132" s="18">
        <f>EJ132*VLOOKUP('Données projet'!$B$15,Paramètres!$A$1:$I$89,3,0)*VLOOKUP('Données projet'!$B$15,Paramètres!$A$1:$I$89,5,0)</f>
        <v>424.24400000000065</v>
      </c>
      <c r="EL132" s="14">
        <f t="shared" si="99"/>
        <v>96.674805111930937</v>
      </c>
      <c r="EM132" s="22">
        <f t="shared" ref="EM132:EM153" si="127">(EK132+EL132)*0.475*44/12</f>
        <v>907.26691890328073</v>
      </c>
      <c r="EN132" s="62">
        <f t="shared" ref="EN132:EN195" si="128">EM132+(EE132+EF132)*44/12</f>
        <v>1200.6002522366141</v>
      </c>
      <c r="EO132" s="62">
        <f ca="1">AVERAGE(OFFSET($EN$3,0,0,'Données projet'!$E$15+1,1))-AVERAGE(OFFSET($H$3,0,0,'Données projet'!$E$15+1,1))</f>
        <v>595.89992279024398</v>
      </c>
      <c r="EP132" s="62">
        <f t="shared" si="100"/>
        <v>378.16197659288338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>
        <f>EXP(-LN(2)/35)*EV131+(1-EXP(-LN(2)/35))/(LN(2)/35)*ER132*ES132*VLOOKUP('Données projet'!$B$15,Paramètres!$A$1:$I$89,3,0)*0.475*44/12</f>
        <v>0</v>
      </c>
      <c r="EW132" s="23">
        <f>EXP(-LN(2)/25)*EW131+(1-EXP(-LN(2)/25))/(LN(2)/25)*Calculateur!ER132*Calculateur!ET132*VLOOKUP('Données projet'!$B$15,Paramètres!$A$1:$I$89,3,0)*0.475*44/12</f>
        <v>0</v>
      </c>
      <c r="EX132" s="23">
        <f>EXP(-LN(2)/2)*EX131+(1-EXP(-LN(2)/2))/(LN(2)/2)*ER132*EU132*VLOOKUP('Données projet'!$B$15,Paramètres!$A$1:$I$89,3,0)*0.475*44/12</f>
        <v>0</v>
      </c>
      <c r="EY132" s="24">
        <f t="shared" ref="EY132:EY153" si="129">SUM(EV132:EX132)</f>
        <v>0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-2.2737367544323206E-13</v>
      </c>
      <c r="FF132" s="18">
        <f>FE132*VLOOKUP('Données projet'!$B$16,Paramètres!$A$1:$I$89,3,0)*VLOOKUP('Données projet'!$B$16,Paramètres!$A$1:$I$89,5,0)</f>
        <v>-1.3596945791505279E-13</v>
      </c>
      <c r="FG132" s="14" t="e">
        <f t="shared" si="101"/>
        <v>#NUM!</v>
      </c>
      <c r="FH132" s="22" t="e">
        <f t="shared" ref="FH132:FH153" si="130">(FF132+FG132)*0.475*44/12</f>
        <v>#NUM!</v>
      </c>
      <c r="FI132" s="62" t="e">
        <f t="shared" ref="FI132:FI195" si="131">FH132+(EZ132+FA132)*44/12</f>
        <v>#NUM!</v>
      </c>
      <c r="FJ132" s="62">
        <f ca="1">AVERAGE(OFFSET($FI$3,0,0,'Données projet'!$E$16+1,1))-AVERAGE(OFFSET($H$3,0,0,'Données projet'!$E$16+1,1))</f>
        <v>257.56116197646924</v>
      </c>
      <c r="FK132" s="62">
        <f t="shared" si="102"/>
        <v>269.95556918835888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>
        <f>EXP(-LN(2)/35)*FQ131+(1-EXP(-LN(2)/35))/(LN(2)/35)*FM132*FN132*VLOOKUP('Données projet'!$B$16,Paramètres!$A$1:$I$89,3,0)*0.475*44/12</f>
        <v>2.0526534198422124</v>
      </c>
      <c r="FR132" s="23">
        <f>EXP(-LN(2)/25)*FR131+(1-EXP(-LN(2)/25))/(LN(2)/25)*Calculateur!FM132*Calculateur!FO132*VLOOKUP('Données projet'!$B$16,Paramètres!$A$1:$I$89,3,0)*0.475*44/12</f>
        <v>1.0373072876916054</v>
      </c>
      <c r="FS132" s="23">
        <f>EXP(-LN(2)/2)*FS131+(1-EXP(-LN(2)/2))/(LN(2)/2)*FM132*FP132*VLOOKUP('Données projet'!$B$16,Paramètres!$A$1:$I$89,3,0)*0.475*44/12</f>
        <v>1.0744561497435857E-14</v>
      </c>
      <c r="FT132" s="24">
        <f t="shared" ref="FT132:FT153" si="132">SUM(FQ132:FS132)</f>
        <v>3.0899607075338285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-2.8421709430404007E-13</v>
      </c>
      <c r="GA132" s="18">
        <f>FZ132*VLOOKUP('Données projet'!$B$17,Paramètres!$A$1:$I$89,3,0)*VLOOKUP('Données projet'!$B$17,Paramètres!$A$1:$I$89,5,0)</f>
        <v>-1.69961822393816E-13</v>
      </c>
      <c r="GB132" s="14" t="e">
        <f t="shared" si="103"/>
        <v>#NUM!</v>
      </c>
      <c r="GC132" s="22" t="e">
        <f t="shared" ref="GC132:GC153" si="133">(GA132+GB132)*0.475*44/12</f>
        <v>#NUM!</v>
      </c>
      <c r="GD132" s="62" t="e">
        <f t="shared" ref="GD132:GD195" si="134">GC132+(FU132+FV132)*44/12</f>
        <v>#NUM!</v>
      </c>
      <c r="GE132" s="62">
        <f ca="1">AVERAGE(OFFSET($GD$3,0,0,'Données projet'!$E$17+1,1))-AVERAGE(OFFSET($H$3,0,0,'Données projet'!$E$17+1,1))</f>
        <v>289.12367833861299</v>
      </c>
      <c r="GF132" s="62">
        <f t="shared" si="104"/>
        <v>229.06617320689003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>
        <f>EXP(-LN(2)/35)*GL131+(1-EXP(-LN(2)/35))/(LN(2)/35)*GH132*GI132*VLOOKUP('Données projet'!$B$17,Paramètres!$A$1:$I$89,3,0)*0.475*44/12</f>
        <v>0</v>
      </c>
      <c r="GM132" s="23">
        <f>EXP(-LN(2)/25)*GM131+(1-EXP(-LN(2)/25))/(LN(2)/25)*Calculateur!GH132*Calculateur!GJ132*VLOOKUP('Données projet'!$B$17,Paramètres!$A$1:$I$89,3,0)*0.475*44/12</f>
        <v>0</v>
      </c>
      <c r="GN132" s="23">
        <f>EXP(-LN(2)/2)*GN131+(1-EXP(-LN(2)/2))/(LN(2)/2)*GH132*GK132*VLOOKUP('Données projet'!$B$17,Paramètres!$A$1:$I$89,3,0)*0.475*44/12</f>
        <v>5.2087315867304818E-15</v>
      </c>
      <c r="GO132" s="23">
        <f t="shared" ref="GO132:GO153" si="135">SUM(GL132:GN132)</f>
        <v>5.2087315867304818E-15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4.66307692307692</v>
      </c>
      <c r="GU132" s="13">
        <f>IF('Données projet'!$A$270&gt;35,GU131+GT132-HC131,IF(A132&lt;'Données projet'!$A$270,$GR$205^A132,IF(A132='Données projet'!$A$270,'Données projet'!$B$270,GU131+GT132-HC131)))</f>
        <v>250.28923076923067</v>
      </c>
      <c r="GV132" s="18">
        <f>GU132*VLOOKUP('Données projet'!$B$18,Paramètres!$A$1:$I$89,3,0)*VLOOKUP('Données projet'!$B$18,Paramètres!$A$1:$I$89,5,0)</f>
        <v>117.13535999999995</v>
      </c>
      <c r="GW132" s="14">
        <f t="shared" si="105"/>
        <v>31.005932437785589</v>
      </c>
      <c r="GX132" s="22">
        <f t="shared" ref="GX132:GX153" si="136">(GV132+GW132)*0.475*44/12</f>
        <v>258.01275099580977</v>
      </c>
      <c r="GY132" s="62">
        <f t="shared" ref="GY132:GY195" si="137">GX132+(GP132+GQ132)*44/12</f>
        <v>551.34608432914308</v>
      </c>
      <c r="GZ132" s="62">
        <f ca="1">AVERAGE(OFFSET($GY$3,0,0,'Données projet'!$E$18+1,1))-AVERAGE(OFFSET($H$3,0,0,'Données projet'!$E$18+1,1))</f>
        <v>284.88646502866419</v>
      </c>
      <c r="HA132" s="62">
        <f t="shared" si="106"/>
        <v>190.4880882944471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>
        <f>EXP(-LN(2)/35)*HG131+(1-EXP(-LN(2)/35))/(LN(2)/35)*HC132*HD132*VLOOKUP('Données projet'!$B$18,Paramètres!$A$1:$I$89,3,0)*0.475*44/12</f>
        <v>0</v>
      </c>
      <c r="HH132" s="23">
        <f>EXP(-LN(2)/25)*HH131+(1-EXP(-LN(2)/25))/(LN(2)/25)*Calculateur!HC132*Calculateur!HE132*VLOOKUP('Données projet'!$B$18,Paramètres!$A$1:$I$89,3,0)*0.475*44/12</f>
        <v>0</v>
      </c>
      <c r="HI132" s="23">
        <f>EXP(-LN(2)/2)*HI131+(1-EXP(-LN(2)/2))/(LN(2)/2)*HC132*HF132*VLOOKUP('Données projet'!$B$18,Paramètres!$A$1:$I$89,3,0)*0.475*44/12</f>
        <v>0</v>
      </c>
      <c r="HJ132" s="24">
        <f t="shared" ref="HJ132:HJ153" si="138">SUM(HG132:HI132)</f>
        <v>0</v>
      </c>
    </row>
    <row r="133" spans="1:218" s="5" customFormat="1" x14ac:dyDescent="0.25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2">
        <f t="shared" ref="D133:D196" si="140">IFERROR(EXP(-1.0587+0.8836*LN(C133)+0.284),0)</f>
        <v>0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0</v>
      </c>
      <c r="H133" s="70">
        <f t="shared" si="110"/>
        <v>256.66666666666669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-1.1368683772161603E-13</v>
      </c>
      <c r="O133" s="14">
        <f>N133*VLOOKUP('Données projet'!$B$9,Paramètres!$A$1:$I$89,3,0)*VLOOKUP('Données projet'!$B$9,Paramètres!$A$1:$I$89,5,0)</f>
        <v>-1.0818439477588981E-13</v>
      </c>
      <c r="P133" s="14" t="e">
        <f t="shared" ref="P133:P196" si="141">EXP(-1.0587+0.8836*LN(O133)+0.284)</f>
        <v>#NUM!</v>
      </c>
      <c r="Q133" s="22" t="e">
        <f t="shared" si="108"/>
        <v>#NUM!</v>
      </c>
      <c r="R133" s="62" t="e">
        <f t="shared" si="109"/>
        <v>#NUM!</v>
      </c>
      <c r="S133" s="62">
        <f ca="1">AVERAGE(OFFSET($R$3,0,0,'Données projet'!$E$9+1,1))-AVERAGE(OFFSET($H$3,0,0,'Données projet'!$E$9+1,1))</f>
        <v>367.11183928586667</v>
      </c>
      <c r="T133" s="62">
        <f t="shared" ref="T133:T196" si="142">$T$3</f>
        <v>281.52963027844595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0</v>
      </c>
      <c r="AA133" s="23">
        <f>EXP(-LN(2)/25)*AA132+(1-EXP(-LN(2)/25))/(LN(2)/25)*Calculateur!V133*Calculateur!X133*VLOOKUP('Données projet'!$B$9,Paramètres!$A$1:$I$89,3,0)*0.475*44/12</f>
        <v>0</v>
      </c>
      <c r="AB133" s="23">
        <f>EXP(-LN(2)/2)*AB132+(1-EXP(-LN(2)/2))/(LN(2)/2)*V133*Y133*VLOOKUP('Données projet'!$B$9,Paramètres!$A$1:$I$89,3,0)*0.475*44/12</f>
        <v>0</v>
      </c>
      <c r="AC133" s="24">
        <f t="shared" si="111"/>
        <v>0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>
        <f>VLOOKUP(A133,'Données projet'!$A$61:$I$81,2,0)</f>
        <v>300</v>
      </c>
      <c r="AG133" s="13">
        <f>VLOOKUP(A133,'Données projet'!$A$61:$I$81,9,0)</f>
        <v>3.2</v>
      </c>
      <c r="AH133" s="13">
        <f t="array" ref="AH133">INDEX(AG:AG,MIN(IF(ISNUMBER(AG133:AG329),ROW(AG133:AG329),"")))</f>
        <v>3.2</v>
      </c>
      <c r="AI133" s="14">
        <f>IF('Données projet'!$A$62&gt;35,AI132+AH133-AQ132,IF(A133&lt;'Données projet'!$A$62,$AF$205^A133,IF(A133='Données projet'!$A$62,'Données projet'!$B$62,AI132+AH133-AQ132)))</f>
        <v>299.99999999999937</v>
      </c>
      <c r="AJ133" s="14">
        <f>AI133*VLOOKUP('Données projet'!$B$10,Paramètres!$A$1:$I$89,3,0)*VLOOKUP('Données projet'!$B$10,Paramètres!$A$1:$I$89,5,0)</f>
        <v>271.43999999999943</v>
      </c>
      <c r="AK133" s="14">
        <f t="shared" ref="AK133:AK153" si="143">EXP(-1.0587+0.8836*LN(AJ133)+0.284)</f>
        <v>65.154778959151116</v>
      </c>
      <c r="AL133" s="22">
        <f t="shared" si="112"/>
        <v>586.23590668718714</v>
      </c>
      <c r="AM133" s="62">
        <f t="shared" si="113"/>
        <v>879.56924002052051</v>
      </c>
      <c r="AN133" s="62">
        <f ca="1">AVERAGE(OFFSET($AM$3,0,0,'Données projet'!$E$10+1,1))-AVERAGE(OFFSET($H$3,0,0,'Données projet'!$E$10+1,1))</f>
        <v>428.8489304403459</v>
      </c>
      <c r="AO133" s="62">
        <f t="shared" ref="AO133:AO196" si="144">$AO$3</f>
        <v>247.01165577562966</v>
      </c>
      <c r="AP133" s="16">
        <f>IF(ISNA(VLOOKUP(A133,'Données projet'!$A$61:$I$81,3,0)),0,VLOOKUP(A133,'Données projet'!$A$61:$I$81,3,0))</f>
        <v>11</v>
      </c>
      <c r="AQ133" s="16">
        <f>IF(ISNA(VLOOKUP(A133,'Données projet'!$A$61:$I$81,4,0)),0,VLOOKUP(A133,'Données projet'!$A$61:$I$81,4,0))</f>
        <v>31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0</v>
      </c>
      <c r="AV133" s="23">
        <f>EXP(-LN(2)/25)*AV132+(1-EXP(-LN(2)/25))/(LN(2)/25)*Calculateur!AQ133*Calculateur!AS133*VLOOKUP('Données projet'!$B$10,Paramètres!$A$1:$I$89,3,0)*0.475*44/12</f>
        <v>0</v>
      </c>
      <c r="AW133" s="23">
        <f>EXP(-LN(2)/2)*AW132+(1-EXP(-LN(2)/2))/(LN(2)/2)*AQ133*AT133*VLOOKUP('Données projet'!$B$10,Paramètres!$A$1:$I$89,3,0)*0.475*44/12</f>
        <v>0</v>
      </c>
      <c r="AX133" s="23">
        <f t="shared" si="114"/>
        <v>0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>
        <f>VLOOKUP(A133,'Données projet'!$A$87:$I$107,2,0)</f>
        <v>300</v>
      </c>
      <c r="BB133" s="13">
        <f>VLOOKUP(A133,'Données projet'!$A$87:$I$107,9,0)</f>
        <v>3.2</v>
      </c>
      <c r="BC133" s="13">
        <f t="array" ref="BC133">INDEX(BB:BB,MIN(IF(ISNUMBER(BB133:BB329),ROW(BB133:BB329),"")))</f>
        <v>3.2</v>
      </c>
      <c r="BD133" s="13">
        <f>IF('Données projet'!$A$88&gt;35,BD132+BC133-BL132,IF(A133&lt;'Données projet'!$A$88,$BA$205^A133,IF(A133='Données projet'!$A$88,'Données projet'!$B$88,BD132+BC133-BL132)))</f>
        <v>299.99999999999937</v>
      </c>
      <c r="BE133" s="14">
        <f>BD133*VLOOKUP('Données projet'!$B$11,Paramètres!$A$1:$I$89,3,0)*VLOOKUP('Données projet'!$B$11,Paramètres!$A$1:$I$89,5,0)</f>
        <v>304.19999999999936</v>
      </c>
      <c r="BF133" s="14">
        <f t="shared" ref="BF133:BF153" si="145">EXP(-1.0587+0.8836*LN(BE133)+0.284)</f>
        <v>72.056231093480946</v>
      </c>
      <c r="BG133" s="22">
        <f t="shared" si="115"/>
        <v>655.31293582114483</v>
      </c>
      <c r="BH133" s="62">
        <f t="shared" si="116"/>
        <v>948.6462691544782</v>
      </c>
      <c r="BI133" s="62">
        <f ca="1">AVERAGE(OFFSET($BH$3,0,0,'Données projet'!$E$11+1,1))-AVERAGE(OFFSET($H$3,0,0,'Données projet'!$E$11+1,1))</f>
        <v>475.47920969424894</v>
      </c>
      <c r="BJ133" s="62">
        <f t="shared" ref="BJ133:BJ196" si="146">$BJ$3</f>
        <v>271.73544012419364</v>
      </c>
      <c r="BK133" s="16">
        <f>IF(ISNA(VLOOKUP(A133,'Données projet'!$A$87:$I$107,3,0)),0,VLOOKUP(A133,'Données projet'!$A$87:$I$107,3,0))</f>
        <v>11</v>
      </c>
      <c r="BL133" s="16">
        <f>IF(ISNA(VLOOKUP(A133,'Données projet'!$A$87:$I$107,4,0)),0,VLOOKUP(A133,'Données projet'!$A$87:$I$107,4,0))</f>
        <v>31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>
        <f>EXP(-LN(2)/35)*BP132+(1-EXP(-LN(2)/35))/(LN(2)/35)*BL133*BM133*VLOOKUP('Données projet'!$B$11,Paramètres!$A$1:$I$89,3,0)*0.475*44/12</f>
        <v>0</v>
      </c>
      <c r="BQ133" s="23">
        <f>EXP(-LN(2)/25)*BQ132+(1-EXP(-LN(2)/25))/(LN(2)/25)*Calculateur!BL133*Calculateur!BN133*VLOOKUP('Données projet'!$B$11,Paramètres!$A$1:$I$89,3,0)*0.475*44/12</f>
        <v>0</v>
      </c>
      <c r="BR133" s="23">
        <f>EXP(-LN(2)/2)*BR132+(1-EXP(-LN(2)/2))/(LN(2)/2)*BL133*BO133*VLOOKUP('Données projet'!$B$11,Paramètres!$A$1:$I$89,3,0)*0.475*44/12</f>
        <v>0</v>
      </c>
      <c r="BS133" s="24">
        <f t="shared" si="117"/>
        <v>0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2.2737367544323206E-13</v>
      </c>
      <c r="BZ133" s="14">
        <f>BY133*VLOOKUP('Données projet'!$B$12,Paramètres!$A$1:$I$89,3,0)*VLOOKUP('Données projet'!$B$12,Paramètres!$A$1:$I$89,5,0)</f>
        <v>1.2710188457276673E-13</v>
      </c>
      <c r="CA133" s="14">
        <f t="shared" ref="CA133:CA153" si="147">EXP(-1.0587+0.8836*LN(BZ133)+0.284)</f>
        <v>1.856866851063998E-12</v>
      </c>
      <c r="CB133" s="22">
        <f t="shared" si="118"/>
        <v>3.4554122145673649E-12</v>
      </c>
      <c r="CC133" s="62">
        <f t="shared" si="119"/>
        <v>293.33333333333678</v>
      </c>
      <c r="CD133" s="62">
        <f ca="1">AVERAGE(OFFSET($CC$3,0,0,'Données projet'!$E$12+1,1))-AVERAGE(OFFSET($H$3,0,0,'Données projet'!$E$12+1,1))</f>
        <v>323.98185264074681</v>
      </c>
      <c r="CE133" s="62">
        <f t="shared" ref="CE133:CE196" si="148">$CE$3</f>
        <v>301.22207291854005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>
        <f>EXP(-LN(2)/35)*CK132+(1-EXP(-LN(2)/35))/(LN(2)/35)*CG133*CH133*VLOOKUP('Données projet'!$B$12,Paramètres!$A$1:$I$89,3,0)*0.475*44/12</f>
        <v>0.61585023086143331</v>
      </c>
      <c r="CL133" s="23">
        <f>EXP(-LN(2)/25)*CL132+(1-EXP(-LN(2)/25))/(LN(2)/25)*Calculateur!CG133*Calculateur!CI133*VLOOKUP('Données projet'!$B$12,Paramètres!$A$1:$I$89,3,0)*0.475*44/12</f>
        <v>0.51545622756760956</v>
      </c>
      <c r="CM133" s="23">
        <f>EXP(-LN(2)/2)*CM132+(1-EXP(-LN(2)/2))/(LN(2)/2)*CG133*CJ133*VLOOKUP('Données projet'!$B$12,Paramètres!$A$1:$I$89,3,0)*0.475*44/12</f>
        <v>5.40705896023221E-15</v>
      </c>
      <c r="CN133" s="24">
        <f t="shared" si="120"/>
        <v>1.1313064584290482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>
        <f>VLOOKUP(A133,'Données projet'!$A$139:$I$159,2,0)</f>
        <v>233</v>
      </c>
      <c r="CR133" s="13">
        <f>VLOOKUP(A133,'Données projet'!$A$139:$I$159,9,0)</f>
        <v>2.4</v>
      </c>
      <c r="CS133" s="13">
        <f t="array" ref="CS133">INDEX(CR:CR,MIN(IF(ISNUMBER(CR133:CR329),ROW(CR133:CR329),"")))</f>
        <v>2.4</v>
      </c>
      <c r="CT133" s="13">
        <f>IF('Données projet'!$A$140&gt;35,CT132+CS133-DB132,IF(A133&lt;'Données projet'!$A$140,$CQ$205^A133,IF(A133='Données projet'!$A$140,'Données projet'!$B$140,CT132+CS133-DB132)))</f>
        <v>232.99999999999994</v>
      </c>
      <c r="CU133" s="18">
        <f>CT133*VLOOKUP('Données projet'!$B$13,Paramètres!$A$1:$I$89,3,0)*VLOOKUP('Données projet'!$B$13,Paramètres!$A$1:$I$89,5,0)</f>
        <v>265.34039999999993</v>
      </c>
      <c r="CV133" s="14">
        <f t="shared" ref="CV133:CV153" si="149">EXP(-1.0587+0.8836*LN(CU133)+0.284)</f>
        <v>63.85938489132635</v>
      </c>
      <c r="CW133" s="22">
        <f t="shared" si="121"/>
        <v>573.35629201905988</v>
      </c>
      <c r="CX133" s="62">
        <f t="shared" si="122"/>
        <v>866.68962535239325</v>
      </c>
      <c r="CY133" s="62">
        <f ca="1">AVERAGE(OFFSET($CX$3,0,0,'Données projet'!$E$13+1,1))-AVERAGE(OFFSET($H$3,0,0,'Données projet'!$E$13+1,1))</f>
        <v>399.78832690250164</v>
      </c>
      <c r="CZ133" s="62">
        <f t="shared" ref="CZ133:CZ196" si="150">$CZ$3</f>
        <v>174.32967064896343</v>
      </c>
      <c r="DA133" s="16">
        <f>IF(ISNA(VLOOKUP(A133,'Données projet'!$A$139:$I$159,3,0)),0,VLOOKUP(A133,'Données projet'!$A$139:$I$159,3,0))</f>
        <v>10</v>
      </c>
      <c r="DB133" s="16">
        <f>IF(ISNA(VLOOKUP(A133,'Données projet'!$A$139:$I$159,4,0)),0,VLOOKUP(A133,'Données projet'!$A$139:$I$159,4,0))</f>
        <v>21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>
        <f>EXP(-LN(2)/35)*DF132+(1-EXP(-LN(2)/35))/(LN(2)/35)*DB133*DC133*VLOOKUP('Données projet'!$B$13,Paramètres!$A$1:$I$89,3,0)*0.475*44/12</f>
        <v>0</v>
      </c>
      <c r="DG133" s="23">
        <f>EXP(-LN(2)/25)*DG132+(1-EXP(-LN(2)/25))/(LN(2)/25)*Calculateur!DB133*Calculateur!DD133*VLOOKUP('Données projet'!$B$13,Paramètres!$A$1:$I$89,3,0)*0.475*44/12</f>
        <v>0</v>
      </c>
      <c r="DH133" s="23">
        <f>EXP(-LN(2)/2)*DH132+(1-EXP(-LN(2)/2))/(LN(2)/2)*DB133*DE133*VLOOKUP('Données projet'!$B$13,Paramètres!$A$1:$I$89,3,0)*0.475*44/12</f>
        <v>0</v>
      </c>
      <c r="DI133" s="24">
        <f t="shared" si="123"/>
        <v>0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>
        <f>VLOOKUP(A133,'Données projet'!$A$165:$I$185,2,0)</f>
        <v>300</v>
      </c>
      <c r="DM133" s="13">
        <f>VLOOKUP(A133,'Données projet'!$A$165:$I$185,9,0)</f>
        <v>3.2</v>
      </c>
      <c r="DN133" s="13">
        <f t="array" ref="DN133">INDEX(DM:DM,MIN(IF(ISNUMBER(DM133:DM329),ROW(DM133:DM329),"")))</f>
        <v>3.2</v>
      </c>
      <c r="DO133" s="13">
        <f>IF('Données projet'!$A$166&gt;35,DO132+DN133-DW132,IF(A133&lt;'Données projet'!$A$166,$DL$205^A133,IF(A133='Données projet'!$A$166,'Données projet'!$B$166,DO132+DN133-DW132)))</f>
        <v>299.99999999999937</v>
      </c>
      <c r="DP133" s="18">
        <f>DO133*VLOOKUP('Données projet'!$B$14,Paramètres!$A$1:$I$89,3,0)*VLOOKUP('Données projet'!$B$14,Paramètres!$A$1:$I$89,5,0)</f>
        <v>252.71999999999949</v>
      </c>
      <c r="DQ133" s="14">
        <f t="shared" ref="DQ133:DQ153" si="151">EXP(-1.0587+0.8836*LN(DP133)+0.284)</f>
        <v>61.168020584496766</v>
      </c>
      <c r="DR133" s="22">
        <f t="shared" si="124"/>
        <v>546.68830251799761</v>
      </c>
      <c r="DS133" s="62">
        <f t="shared" si="125"/>
        <v>840.02163585133098</v>
      </c>
      <c r="DT133" s="62">
        <f ca="1">AVERAGE(OFFSET($DS$3,0,0,'Données projet'!$E$14+1,1))-AVERAGE(OFFSET($H$3,0,0,'Données projet'!$E$14+1,1))</f>
        <v>402.15128814037058</v>
      </c>
      <c r="DU133" s="62">
        <f t="shared" ref="DU133:DU196" si="152">$DU$3</f>
        <v>232.85411068442738</v>
      </c>
      <c r="DV133" s="16">
        <f>IF(ISNA(VLOOKUP(A133,'Données projet'!$A$165:$I$185,3,0)),0,VLOOKUP(A133,'Données projet'!$A$165:$I$185,3,0))</f>
        <v>11</v>
      </c>
      <c r="DW133" s="16">
        <f>IF(ISNA(VLOOKUP(A133,'Données projet'!$A$165:$I$185,4,0)),0,VLOOKUP(A133,'Données projet'!$A$165:$I$185,4,0))</f>
        <v>31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>
        <f>EXP(-LN(2)/35)*EA132+(1-EXP(-LN(2)/35))/(LN(2)/35)*DW133*DX133*VLOOKUP('Données projet'!$B$14,Paramètres!$A$1:$I$89,3,0)*0.475*44/12</f>
        <v>0</v>
      </c>
      <c r="EB133" s="23">
        <f>EXP(-LN(2)/25)*EB132+(1-EXP(-LN(2)/25))/(LN(2)/25)*Calculateur!DW133*Calculateur!DY133*VLOOKUP('Données projet'!$B$14,Paramètres!$A$1:$I$89,3,0)*0.475*44/12</f>
        <v>0</v>
      </c>
      <c r="EC133" s="23">
        <f>EXP(-LN(2)/2)*EC132+(1-EXP(-LN(2)/2))/(LN(2)/2)*DW133*DZ133*VLOOKUP('Données projet'!$B$14,Paramètres!$A$1:$I$89,3,0)*0.475*44/12</f>
        <v>0</v>
      </c>
      <c r="ED133" s="24">
        <f t="shared" si="126"/>
        <v>0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>
        <f>VLOOKUP(A133,'Données projet'!$A$191:$I$211,2,0)</f>
        <v>408.97435897435895</v>
      </c>
      <c r="EH133" s="13">
        <f>VLOOKUP(A133,'Données projet'!$A$191:$I$211,9,0)</f>
        <v>3.0769230769230718</v>
      </c>
      <c r="EI133" s="13">
        <f t="array" ref="EI133">INDEX(EH:EH,MIN(IF(ISNUMBER(EH133:EH329),ROW(EH133:EH329),"")))</f>
        <v>3.0769230769230718</v>
      </c>
      <c r="EJ133" s="13">
        <f>IF('Données projet'!$A$192&gt;35,EJ132+EI133-ER132,IF(A133&lt;'Données projet'!$A$192,$EG$205^A133,IF(A133='Données projet'!$A$192,'Données projet'!$B$192,EJ132+EI133-ER132)))</f>
        <v>408.97435897435957</v>
      </c>
      <c r="EK133" s="18">
        <f>EJ133*VLOOKUP('Données projet'!$B$15,Paramètres!$A$1:$I$89,3,0)*VLOOKUP('Données projet'!$B$15,Paramètres!$A$1:$I$89,5,0)</f>
        <v>427.46000000000072</v>
      </c>
      <c r="EL133" s="14">
        <f t="shared" ref="EL133:EL153" si="153">EXP(-1.0587+0.8836*LN(EK133)+0.284)</f>
        <v>97.322064315625241</v>
      </c>
      <c r="EM133" s="22">
        <f t="shared" si="127"/>
        <v>913.99542868304843</v>
      </c>
      <c r="EN133" s="62">
        <f t="shared" si="128"/>
        <v>1207.3287620163817</v>
      </c>
      <c r="EO133" s="62">
        <f ca="1">AVERAGE(OFFSET($EN$3,0,0,'Données projet'!$E$15+1,1))-AVERAGE(OFFSET($H$3,0,0,'Données projet'!$E$15+1,1))</f>
        <v>595.89992279024398</v>
      </c>
      <c r="EP133" s="62">
        <f t="shared" ref="EP133:EP196" si="154">$EP$3</f>
        <v>378.16197659288338</v>
      </c>
      <c r="EQ133" s="16">
        <f>IF(ISNA(VLOOKUP(A133,'Données projet'!$A$191:$I$211,3,0)),0,VLOOKUP(A133,'Données projet'!$A$191:$I$211,3,0))</f>
        <v>12</v>
      </c>
      <c r="ER133" s="16">
        <f>IF(ISNA(VLOOKUP(A133,'Données projet'!$A$191:$I$211,4,0)),0,VLOOKUP(A133,'Données projet'!$A$191:$I$211,4,0))</f>
        <v>408.97435897435895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>
        <f>EXP(-LN(2)/35)*EV132+(1-EXP(-LN(2)/35))/(LN(2)/35)*ER133*ES133*VLOOKUP('Données projet'!$B$15,Paramètres!$A$1:$I$89,3,0)*0.475*44/12</f>
        <v>0</v>
      </c>
      <c r="EW133" s="23">
        <f>EXP(-LN(2)/25)*EW132+(1-EXP(-LN(2)/25))/(LN(2)/25)*Calculateur!ER133*Calculateur!ET133*VLOOKUP('Données projet'!$B$15,Paramètres!$A$1:$I$89,3,0)*0.475*44/12</f>
        <v>0</v>
      </c>
      <c r="EX133" s="23">
        <f>EXP(-LN(2)/2)*EX132+(1-EXP(-LN(2)/2))/(LN(2)/2)*ER133*EU133*VLOOKUP('Données projet'!$B$15,Paramètres!$A$1:$I$89,3,0)*0.475*44/12</f>
        <v>0</v>
      </c>
      <c r="EY133" s="24">
        <f t="shared" si="129"/>
        <v>0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-2.2737367544323206E-13</v>
      </c>
      <c r="FF133" s="18">
        <f>FE133*VLOOKUP('Données projet'!$B$16,Paramètres!$A$1:$I$89,3,0)*VLOOKUP('Données projet'!$B$16,Paramètres!$A$1:$I$89,5,0)</f>
        <v>-1.3596945791505279E-13</v>
      </c>
      <c r="FG133" s="14" t="e">
        <f t="shared" ref="FG133:FG153" si="155">EXP(-1.0587+0.8836*LN(FF133)+0.284)</f>
        <v>#NUM!</v>
      </c>
      <c r="FH133" s="22" t="e">
        <f t="shared" si="130"/>
        <v>#NUM!</v>
      </c>
      <c r="FI133" s="62" t="e">
        <f t="shared" si="131"/>
        <v>#NUM!</v>
      </c>
      <c r="FJ133" s="62">
        <f ca="1">AVERAGE(OFFSET($FI$3,0,0,'Données projet'!$E$16+1,1))-AVERAGE(OFFSET($H$3,0,0,'Données projet'!$E$16+1,1))</f>
        <v>257.56116197646924</v>
      </c>
      <c r="FK133" s="62">
        <f t="shared" ref="FK133:FK196" si="156">$FK$3</f>
        <v>269.95556918835888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>
        <f>EXP(-LN(2)/35)*FQ132+(1-EXP(-LN(2)/35))/(LN(2)/35)*FM133*FN133*VLOOKUP('Données projet'!$B$16,Paramètres!$A$1:$I$89,3,0)*0.475*44/12</f>
        <v>2.0124021382740684</v>
      </c>
      <c r="FR133" s="23">
        <f>EXP(-LN(2)/25)*FR132+(1-EXP(-LN(2)/25))/(LN(2)/25)*Calculateur!FM133*Calculateur!FO133*VLOOKUP('Données projet'!$B$16,Paramètres!$A$1:$I$89,3,0)*0.475*44/12</f>
        <v>1.0089420653600589</v>
      </c>
      <c r="FS133" s="23">
        <f>EXP(-LN(2)/2)*FS132+(1-EXP(-LN(2)/2))/(LN(2)/2)*FM133*FP133*VLOOKUP('Données projet'!$B$16,Paramètres!$A$1:$I$89,3,0)*0.475*44/12</f>
        <v>7.5975522957127802E-15</v>
      </c>
      <c r="FT133" s="24">
        <f t="shared" si="132"/>
        <v>3.0213442036341349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-2.8421709430404007E-13</v>
      </c>
      <c r="GA133" s="18">
        <f>FZ133*VLOOKUP('Données projet'!$B$17,Paramètres!$A$1:$I$89,3,0)*VLOOKUP('Données projet'!$B$17,Paramètres!$A$1:$I$89,5,0)</f>
        <v>-1.69961822393816E-13</v>
      </c>
      <c r="GB133" s="14" t="e">
        <f t="shared" ref="GB133:GB153" si="157">EXP(-1.0587+0.8836*LN(GA133)+0.284)</f>
        <v>#NUM!</v>
      </c>
      <c r="GC133" s="22" t="e">
        <f t="shared" si="133"/>
        <v>#NUM!</v>
      </c>
      <c r="GD133" s="62" t="e">
        <f t="shared" si="134"/>
        <v>#NUM!</v>
      </c>
      <c r="GE133" s="62">
        <f ca="1">AVERAGE(OFFSET($GD$3,0,0,'Données projet'!$E$17+1,1))-AVERAGE(OFFSET($H$3,0,0,'Données projet'!$E$17+1,1))</f>
        <v>289.12367833861299</v>
      </c>
      <c r="GF133" s="62">
        <f t="shared" ref="GF133:GF196" si="158">$GF$3</f>
        <v>229.06617320689003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>
        <f>EXP(-LN(2)/35)*GL132+(1-EXP(-LN(2)/35))/(LN(2)/35)*GH133*GI133*VLOOKUP('Données projet'!$B$17,Paramètres!$A$1:$I$89,3,0)*0.475*44/12</f>
        <v>0</v>
      </c>
      <c r="GM133" s="23">
        <f>EXP(-LN(2)/25)*GM132+(1-EXP(-LN(2)/25))/(LN(2)/25)*Calculateur!GH133*Calculateur!GJ133*VLOOKUP('Données projet'!$B$17,Paramètres!$A$1:$I$89,3,0)*0.475*44/12</f>
        <v>0</v>
      </c>
      <c r="GN133" s="23">
        <f>EXP(-LN(2)/2)*GN132+(1-EXP(-LN(2)/2))/(LN(2)/2)*GH133*GK133*VLOOKUP('Données projet'!$B$17,Paramètres!$A$1:$I$89,3,0)*0.475*44/12</f>
        <v>3.6831294263576892E-15</v>
      </c>
      <c r="GO133" s="23">
        <f t="shared" si="135"/>
        <v>3.6831294263576892E-15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4.66307692307692</v>
      </c>
      <c r="GU133" s="13">
        <f>IF('Données projet'!$A$270&gt;35,GU132+GT133-HC132,IF(A133&lt;'Données projet'!$A$270,$GR$205^A133,IF(A133='Données projet'!$A$270,'Données projet'!$B$270,GU132+GT133-HC132)))</f>
        <v>254.95230769230758</v>
      </c>
      <c r="GV133" s="18">
        <f>GU133*VLOOKUP('Données projet'!$B$18,Paramètres!$A$1:$I$89,3,0)*VLOOKUP('Données projet'!$B$18,Paramètres!$A$1:$I$89,5,0)</f>
        <v>119.31767999999995</v>
      </c>
      <c r="GW133" s="14">
        <f t="shared" ref="GW133:GW153" si="159">EXP(-1.0587+0.8836*LN(GV133)+0.284)</f>
        <v>31.515806583905047</v>
      </c>
      <c r="GX133" s="22">
        <f t="shared" si="136"/>
        <v>262.70165580030124</v>
      </c>
      <c r="GY133" s="62">
        <f t="shared" si="137"/>
        <v>556.03498913363455</v>
      </c>
      <c r="GZ133" s="62">
        <f ca="1">AVERAGE(OFFSET($GY$3,0,0,'Données projet'!$E$18+1,1))-AVERAGE(OFFSET($H$3,0,0,'Données projet'!$E$18+1,1))</f>
        <v>284.88646502866419</v>
      </c>
      <c r="HA133" s="62">
        <f t="shared" ref="HA133:HA196" si="160">$HA$3</f>
        <v>190.4880882944471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>
        <f>EXP(-LN(2)/35)*HG132+(1-EXP(-LN(2)/35))/(LN(2)/35)*HC133*HD133*VLOOKUP('Données projet'!$B$18,Paramètres!$A$1:$I$89,3,0)*0.475*44/12</f>
        <v>0</v>
      </c>
      <c r="HH133" s="23">
        <f>EXP(-LN(2)/25)*HH132+(1-EXP(-LN(2)/25))/(LN(2)/25)*Calculateur!HC133*Calculateur!HE133*VLOOKUP('Données projet'!$B$18,Paramètres!$A$1:$I$89,3,0)*0.475*44/12</f>
        <v>0</v>
      </c>
      <c r="HI133" s="23">
        <f>EXP(-LN(2)/2)*HI132+(1-EXP(-LN(2)/2))/(LN(2)/2)*HC133*HF133*VLOOKUP('Données projet'!$B$18,Paramètres!$A$1:$I$89,3,0)*0.475*44/12</f>
        <v>0</v>
      </c>
      <c r="HJ133" s="24">
        <f t="shared" si="138"/>
        <v>0</v>
      </c>
    </row>
    <row r="134" spans="1:218" s="5" customFormat="1" x14ac:dyDescent="0.25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2">
        <f t="shared" si="140"/>
        <v>0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0</v>
      </c>
      <c r="H134" s="70">
        <f t="shared" si="110"/>
        <v>256.66666666666669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-1.1368683772161603E-13</v>
      </c>
      <c r="O134" s="14">
        <f>N134*VLOOKUP('Données projet'!$B$9,Paramètres!$A$1:$I$89,3,0)*VLOOKUP('Données projet'!$B$9,Paramètres!$A$1:$I$89,5,0)</f>
        <v>-1.0818439477588981E-13</v>
      </c>
      <c r="P134" s="14" t="e">
        <f t="shared" si="141"/>
        <v>#NUM!</v>
      </c>
      <c r="Q134" s="22" t="e">
        <f t="shared" si="108"/>
        <v>#NUM!</v>
      </c>
      <c r="R134" s="62" t="e">
        <f t="shared" si="109"/>
        <v>#NUM!</v>
      </c>
      <c r="S134" s="62">
        <f ca="1">AVERAGE(OFFSET($R$3,0,0,'Données projet'!$E$9+1,1))-AVERAGE(OFFSET($H$3,0,0,'Données projet'!$E$9+1,1))</f>
        <v>367.11183928586667</v>
      </c>
      <c r="T134" s="62">
        <f t="shared" si="142"/>
        <v>281.52963027844595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0</v>
      </c>
      <c r="AA134" s="23">
        <f>EXP(-LN(2)/25)*AA133+(1-EXP(-LN(2)/25))/(LN(2)/25)*Calculateur!V134*Calculateur!X134*VLOOKUP('Données projet'!$B$9,Paramètres!$A$1:$I$89,3,0)*0.475*44/12</f>
        <v>0</v>
      </c>
      <c r="AB134" s="23">
        <f>EXP(-LN(2)/2)*AB133+(1-EXP(-LN(2)/2))/(LN(2)/2)*V134*Y134*VLOOKUP('Données projet'!$B$9,Paramètres!$A$1:$I$89,3,0)*0.475*44/12</f>
        <v>0</v>
      </c>
      <c r="AC134" s="24">
        <f t="shared" si="111"/>
        <v>0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2.7</v>
      </c>
      <c r="AI134" s="14">
        <f>IF('Données projet'!$A$62&gt;35,AI133+AH134-AQ133,IF(A134&lt;'Données projet'!$A$62,$AF$205^A134,IF(A134='Données projet'!$A$62,'Données projet'!$B$62,AI133+AH134-AQ133)))</f>
        <v>271.69999999999936</v>
      </c>
      <c r="AJ134" s="14">
        <f>AI134*VLOOKUP('Données projet'!$B$10,Paramètres!$A$1:$I$89,3,0)*VLOOKUP('Données projet'!$B$10,Paramètres!$A$1:$I$89,5,0)</f>
        <v>245.8341599999994</v>
      </c>
      <c r="AK134" s="14">
        <f t="shared" si="143"/>
        <v>59.693018383856675</v>
      </c>
      <c r="AL134" s="22">
        <f t="shared" si="112"/>
        <v>532.12650235188266</v>
      </c>
      <c r="AM134" s="62">
        <f t="shared" si="113"/>
        <v>825.45983568521592</v>
      </c>
      <c r="AN134" s="62">
        <f ca="1">AVERAGE(OFFSET($AM$3,0,0,'Données projet'!$E$10+1,1))-AVERAGE(OFFSET($H$3,0,0,'Données projet'!$E$10+1,1))</f>
        <v>428.8489304403459</v>
      </c>
      <c r="AO134" s="62">
        <f t="shared" si="144"/>
        <v>247.01165577562966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0</v>
      </c>
      <c r="AV134" s="23">
        <f>EXP(-LN(2)/25)*AV133+(1-EXP(-LN(2)/25))/(LN(2)/25)*Calculateur!AQ134*Calculateur!AS134*VLOOKUP('Données projet'!$B$10,Paramètres!$A$1:$I$89,3,0)*0.475*44/12</f>
        <v>0</v>
      </c>
      <c r="AW134" s="23">
        <f>EXP(-LN(2)/2)*AW133+(1-EXP(-LN(2)/2))/(LN(2)/2)*AQ134*AT134*VLOOKUP('Données projet'!$B$10,Paramètres!$A$1:$I$89,3,0)*0.475*44/12</f>
        <v>0</v>
      </c>
      <c r="AX134" s="23">
        <f t="shared" si="114"/>
        <v>0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2.7</v>
      </c>
      <c r="BD134" s="13">
        <f>IF('Données projet'!$A$88&gt;35,BD133+BC134-BL133,IF(A134&lt;'Données projet'!$A$88,$BA$205^A134,IF(A134='Données projet'!$A$88,'Données projet'!$B$88,BD133+BC134-BL133)))</f>
        <v>271.69999999999936</v>
      </c>
      <c r="BE134" s="14">
        <f>BD134*VLOOKUP('Données projet'!$B$11,Paramètres!$A$1:$I$89,3,0)*VLOOKUP('Données projet'!$B$11,Paramètres!$A$1:$I$89,5,0)</f>
        <v>275.50379999999939</v>
      </c>
      <c r="BF134" s="14">
        <f t="shared" si="145"/>
        <v>66.015939215007748</v>
      </c>
      <c r="BG134" s="22">
        <f t="shared" si="115"/>
        <v>594.81354579947072</v>
      </c>
      <c r="BH134" s="62">
        <f t="shared" si="116"/>
        <v>888.14687913280409</v>
      </c>
      <c r="BI134" s="62">
        <f ca="1">AVERAGE(OFFSET($BH$3,0,0,'Données projet'!$E$11+1,1))-AVERAGE(OFFSET($H$3,0,0,'Données projet'!$E$11+1,1))</f>
        <v>475.47920969424894</v>
      </c>
      <c r="BJ134" s="62">
        <f t="shared" si="146"/>
        <v>271.73544012419364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>
        <f>EXP(-LN(2)/35)*BP133+(1-EXP(-LN(2)/35))/(LN(2)/35)*BL134*BM134*VLOOKUP('Données projet'!$B$11,Paramètres!$A$1:$I$89,3,0)*0.475*44/12</f>
        <v>0</v>
      </c>
      <c r="BQ134" s="23">
        <f>EXP(-LN(2)/25)*BQ133+(1-EXP(-LN(2)/25))/(LN(2)/25)*Calculateur!BL134*Calculateur!BN134*VLOOKUP('Données projet'!$B$11,Paramètres!$A$1:$I$89,3,0)*0.475*44/12</f>
        <v>0</v>
      </c>
      <c r="BR134" s="23">
        <f>EXP(-LN(2)/2)*BR133+(1-EXP(-LN(2)/2))/(LN(2)/2)*BL134*BO134*VLOOKUP('Données projet'!$B$11,Paramètres!$A$1:$I$89,3,0)*0.475*44/12</f>
        <v>0</v>
      </c>
      <c r="BS134" s="24">
        <f t="shared" si="117"/>
        <v>0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2.2737367544323206E-13</v>
      </c>
      <c r="BZ134" s="14">
        <f>BY134*VLOOKUP('Données projet'!$B$12,Paramètres!$A$1:$I$89,3,0)*VLOOKUP('Données projet'!$B$12,Paramètres!$A$1:$I$89,5,0)</f>
        <v>1.2710188457276673E-13</v>
      </c>
      <c r="CA134" s="14">
        <f t="shared" si="147"/>
        <v>1.856866851063998E-12</v>
      </c>
      <c r="CB134" s="22">
        <f t="shared" si="118"/>
        <v>3.4554122145673649E-12</v>
      </c>
      <c r="CC134" s="62">
        <f t="shared" si="119"/>
        <v>293.33333333333678</v>
      </c>
      <c r="CD134" s="62">
        <f ca="1">AVERAGE(OFFSET($CC$3,0,0,'Données projet'!$E$12+1,1))-AVERAGE(OFFSET($H$3,0,0,'Données projet'!$E$12+1,1))</f>
        <v>323.98185264074681</v>
      </c>
      <c r="CE134" s="62">
        <f t="shared" si="148"/>
        <v>301.22207291854005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>
        <f>EXP(-LN(2)/35)*CK133+(1-EXP(-LN(2)/35))/(LN(2)/35)*CG134*CH134*VLOOKUP('Données projet'!$B$12,Paramètres!$A$1:$I$89,3,0)*0.475*44/12</f>
        <v>0.60377378346579091</v>
      </c>
      <c r="CL134" s="23">
        <f>EXP(-LN(2)/25)*CL133+(1-EXP(-LN(2)/25))/(LN(2)/25)*Calculateur!CG134*Calculateur!CI134*VLOOKUP('Données projet'!$B$12,Paramètres!$A$1:$I$89,3,0)*0.475*44/12</f>
        <v>0.50136104991810837</v>
      </c>
      <c r="CM134" s="23">
        <f>EXP(-LN(2)/2)*CM133+(1-EXP(-LN(2)/2))/(LN(2)/2)*CG134*CJ134*VLOOKUP('Données projet'!$B$12,Paramètres!$A$1:$I$89,3,0)*0.475*44/12</f>
        <v>3.8233680570556784E-15</v>
      </c>
      <c r="CN134" s="24">
        <f t="shared" si="120"/>
        <v>1.1051348333839031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1.5</v>
      </c>
      <c r="CT134" s="13">
        <f>IF('Données projet'!$A$140&gt;35,CT133+CS134-DB133,IF(A134&lt;'Données projet'!$A$140,$CQ$205^A134,IF(A134='Données projet'!$A$140,'Données projet'!$B$140,CT133+CS134-DB133)))</f>
        <v>213.49999999999994</v>
      </c>
      <c r="CU134" s="18">
        <f>CT134*VLOOKUP('Données projet'!$B$13,Paramètres!$A$1:$I$89,3,0)*VLOOKUP('Données projet'!$B$13,Paramètres!$A$1:$I$89,5,0)</f>
        <v>243.13379999999995</v>
      </c>
      <c r="CV134" s="14">
        <f t="shared" si="149"/>
        <v>59.113272895215296</v>
      </c>
      <c r="CW134" s="22">
        <f t="shared" si="121"/>
        <v>526.41365195916649</v>
      </c>
      <c r="CX134" s="62">
        <f t="shared" si="122"/>
        <v>819.74698529249986</v>
      </c>
      <c r="CY134" s="62">
        <f ca="1">AVERAGE(OFFSET($CX$3,0,0,'Données projet'!$E$13+1,1))-AVERAGE(OFFSET($H$3,0,0,'Données projet'!$E$13+1,1))</f>
        <v>399.78832690250164</v>
      </c>
      <c r="CZ134" s="62">
        <f t="shared" si="150"/>
        <v>174.32967064896343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>
        <f>EXP(-LN(2)/35)*DF133+(1-EXP(-LN(2)/35))/(LN(2)/35)*DB134*DC134*VLOOKUP('Données projet'!$B$13,Paramètres!$A$1:$I$89,3,0)*0.475*44/12</f>
        <v>0</v>
      </c>
      <c r="DG134" s="23">
        <f>EXP(-LN(2)/25)*DG133+(1-EXP(-LN(2)/25))/(LN(2)/25)*Calculateur!DB134*Calculateur!DD134*VLOOKUP('Données projet'!$B$13,Paramètres!$A$1:$I$89,3,0)*0.475*44/12</f>
        <v>0</v>
      </c>
      <c r="DH134" s="23">
        <f>EXP(-LN(2)/2)*DH133+(1-EXP(-LN(2)/2))/(LN(2)/2)*DB134*DE134*VLOOKUP('Données projet'!$B$13,Paramètres!$A$1:$I$89,3,0)*0.475*44/12</f>
        <v>0</v>
      </c>
      <c r="DI134" s="24">
        <f t="shared" si="123"/>
        <v>0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2.7</v>
      </c>
      <c r="DO134" s="13">
        <f>IF('Données projet'!$A$166&gt;35,DO133+DN134-DW133,IF(A134&lt;'Données projet'!$A$166,$DL$205^A134,IF(A134='Données projet'!$A$166,'Données projet'!$B$166,DO133+DN134-DW133)))</f>
        <v>271.69999999999936</v>
      </c>
      <c r="DP134" s="18">
        <f>DO134*VLOOKUP('Données projet'!$B$14,Paramètres!$A$1:$I$89,3,0)*VLOOKUP('Données projet'!$B$14,Paramètres!$A$1:$I$89,5,0)</f>
        <v>228.88007999999951</v>
      </c>
      <c r="DQ134" s="14">
        <f t="shared" si="151"/>
        <v>56.040459895408119</v>
      </c>
      <c r="DR134" s="22">
        <f t="shared" si="124"/>
        <v>496.23660698450158</v>
      </c>
      <c r="DS134" s="62">
        <f t="shared" si="125"/>
        <v>789.56994031783483</v>
      </c>
      <c r="DT134" s="62">
        <f ca="1">AVERAGE(OFFSET($DS$3,0,0,'Données projet'!$E$14+1,1))-AVERAGE(OFFSET($H$3,0,0,'Données projet'!$E$14+1,1))</f>
        <v>402.15128814037058</v>
      </c>
      <c r="DU134" s="62">
        <f t="shared" si="152"/>
        <v>232.85411068442738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>
        <f>EXP(-LN(2)/35)*EA133+(1-EXP(-LN(2)/35))/(LN(2)/35)*DW134*DX134*VLOOKUP('Données projet'!$B$14,Paramètres!$A$1:$I$89,3,0)*0.475*44/12</f>
        <v>0</v>
      </c>
      <c r="EB134" s="23">
        <f>EXP(-LN(2)/25)*EB133+(1-EXP(-LN(2)/25))/(LN(2)/25)*Calculateur!DW134*Calculateur!DY134*VLOOKUP('Données projet'!$B$14,Paramètres!$A$1:$I$89,3,0)*0.475*44/12</f>
        <v>0</v>
      </c>
      <c r="EC134" s="23">
        <f>EXP(-LN(2)/2)*EC133+(1-EXP(-LN(2)/2))/(LN(2)/2)*DW134*DZ134*VLOOKUP('Données projet'!$B$14,Paramètres!$A$1:$I$89,3,0)*0.475*44/12</f>
        <v>0</v>
      </c>
      <c r="ED134" s="24">
        <f t="shared" si="126"/>
        <v>0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6.2527760746888816E-13</v>
      </c>
      <c r="EK134" s="18">
        <f>EJ134*VLOOKUP('Données projet'!$B$15,Paramètres!$A$1:$I$89,3,0)*VLOOKUP('Données projet'!$B$15,Paramètres!$A$1:$I$89,5,0)</f>
        <v>6.5354015532648198E-13</v>
      </c>
      <c r="EL134" s="14">
        <f t="shared" si="153"/>
        <v>7.8909019831354483E-12</v>
      </c>
      <c r="EM134" s="22">
        <f t="shared" si="127"/>
        <v>1.4881570057821194E-11</v>
      </c>
      <c r="EN134" s="62">
        <f t="shared" si="128"/>
        <v>293.33333333334821</v>
      </c>
      <c r="EO134" s="62">
        <f ca="1">AVERAGE(OFFSET($EN$3,0,0,'Données projet'!$E$15+1,1))-AVERAGE(OFFSET($H$3,0,0,'Données projet'!$E$15+1,1))</f>
        <v>595.89992279024398</v>
      </c>
      <c r="EP134" s="62">
        <f t="shared" si="154"/>
        <v>378.16197659288338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>
        <f>EXP(-LN(2)/35)*EV133+(1-EXP(-LN(2)/35))/(LN(2)/35)*ER134*ES134*VLOOKUP('Données projet'!$B$15,Paramètres!$A$1:$I$89,3,0)*0.475*44/12</f>
        <v>0</v>
      </c>
      <c r="EW134" s="23">
        <f>EXP(-LN(2)/25)*EW133+(1-EXP(-LN(2)/25))/(LN(2)/25)*Calculateur!ER134*Calculateur!ET134*VLOOKUP('Données projet'!$B$15,Paramètres!$A$1:$I$89,3,0)*0.475*44/12</f>
        <v>0</v>
      </c>
      <c r="EX134" s="23">
        <f>EXP(-LN(2)/2)*EX133+(1-EXP(-LN(2)/2))/(LN(2)/2)*ER134*EU134*VLOOKUP('Données projet'!$B$15,Paramètres!$A$1:$I$89,3,0)*0.475*44/12</f>
        <v>0</v>
      </c>
      <c r="EY134" s="24">
        <f t="shared" si="129"/>
        <v>0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-2.2737367544323206E-13</v>
      </c>
      <c r="FF134" s="18">
        <f>FE134*VLOOKUP('Données projet'!$B$16,Paramètres!$A$1:$I$89,3,0)*VLOOKUP('Données projet'!$B$16,Paramètres!$A$1:$I$89,5,0)</f>
        <v>-1.3596945791505279E-13</v>
      </c>
      <c r="FG134" s="14" t="e">
        <f t="shared" si="155"/>
        <v>#NUM!</v>
      </c>
      <c r="FH134" s="22" t="e">
        <f t="shared" si="130"/>
        <v>#NUM!</v>
      </c>
      <c r="FI134" s="62" t="e">
        <f t="shared" si="131"/>
        <v>#NUM!</v>
      </c>
      <c r="FJ134" s="62">
        <f ca="1">AVERAGE(OFFSET($FI$3,0,0,'Données projet'!$E$16+1,1))-AVERAGE(OFFSET($H$3,0,0,'Données projet'!$E$16+1,1))</f>
        <v>257.56116197646924</v>
      </c>
      <c r="FK134" s="62">
        <f t="shared" si="156"/>
        <v>269.95556918835888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>
        <f>EXP(-LN(2)/35)*FQ133+(1-EXP(-LN(2)/35))/(LN(2)/35)*FM134*FN134*VLOOKUP('Données projet'!$B$16,Paramètres!$A$1:$I$89,3,0)*0.475*44/12</f>
        <v>1.9729401597866183</v>
      </c>
      <c r="FR134" s="23">
        <f>EXP(-LN(2)/25)*FR133+(1-EXP(-LN(2)/25))/(LN(2)/25)*Calculateur!FM134*Calculateur!FO134*VLOOKUP('Données projet'!$B$16,Paramètres!$A$1:$I$89,3,0)*0.475*44/12</f>
        <v>0.98135249152483084</v>
      </c>
      <c r="FS134" s="23">
        <f>EXP(-LN(2)/2)*FS133+(1-EXP(-LN(2)/2))/(LN(2)/2)*FM134*FP134*VLOOKUP('Données projet'!$B$16,Paramètres!$A$1:$I$89,3,0)*0.475*44/12</f>
        <v>5.3722807487179287E-15</v>
      </c>
      <c r="FT134" s="24">
        <f t="shared" si="132"/>
        <v>2.9542926513114542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-2.8421709430404007E-13</v>
      </c>
      <c r="GA134" s="18">
        <f>FZ134*VLOOKUP('Données projet'!$B$17,Paramètres!$A$1:$I$89,3,0)*VLOOKUP('Données projet'!$B$17,Paramètres!$A$1:$I$89,5,0)</f>
        <v>-1.69961822393816E-13</v>
      </c>
      <c r="GB134" s="14" t="e">
        <f t="shared" si="157"/>
        <v>#NUM!</v>
      </c>
      <c r="GC134" s="22" t="e">
        <f t="shared" si="133"/>
        <v>#NUM!</v>
      </c>
      <c r="GD134" s="62" t="e">
        <f t="shared" si="134"/>
        <v>#NUM!</v>
      </c>
      <c r="GE134" s="62">
        <f ca="1">AVERAGE(OFFSET($GD$3,0,0,'Données projet'!$E$17+1,1))-AVERAGE(OFFSET($H$3,0,0,'Données projet'!$E$17+1,1))</f>
        <v>289.12367833861299</v>
      </c>
      <c r="GF134" s="62">
        <f t="shared" si="158"/>
        <v>229.06617320689003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>
        <f>EXP(-LN(2)/35)*GL133+(1-EXP(-LN(2)/35))/(LN(2)/35)*GH134*GI134*VLOOKUP('Données projet'!$B$17,Paramètres!$A$1:$I$89,3,0)*0.475*44/12</f>
        <v>0</v>
      </c>
      <c r="GM134" s="23">
        <f>EXP(-LN(2)/25)*GM133+(1-EXP(-LN(2)/25))/(LN(2)/25)*Calculateur!GH134*Calculateur!GJ134*VLOOKUP('Données projet'!$B$17,Paramètres!$A$1:$I$89,3,0)*0.475*44/12</f>
        <v>0</v>
      </c>
      <c r="GN134" s="23">
        <f>EXP(-LN(2)/2)*GN133+(1-EXP(-LN(2)/2))/(LN(2)/2)*GH134*GK134*VLOOKUP('Données projet'!$B$17,Paramètres!$A$1:$I$89,3,0)*0.475*44/12</f>
        <v>2.6043657933652409E-15</v>
      </c>
      <c r="GO134" s="23">
        <f t="shared" si="135"/>
        <v>2.6043657933652409E-15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>
        <f>VLOOKUP(A134,'Données projet'!$A$269:$I$289,2,0)</f>
        <v>259.61538461538458</v>
      </c>
      <c r="GS134" s="13">
        <f>VLOOKUP(A134,'Données projet'!$A$269:$I$289,9,0)</f>
        <v>4.66307692307692</v>
      </c>
      <c r="GT134" s="13">
        <f t="array" ref="GT134">INDEX(GS:GS,MIN(IF(ISNUMBER(GS134:GS330),ROW(GS134:GS330),"")))</f>
        <v>4.66307692307692</v>
      </c>
      <c r="GU134" s="13">
        <f>IF('Données projet'!$A$270&gt;35,GU133+GT134-HC133,IF(A134&lt;'Données projet'!$A$270,$GR$205^A134,IF(A134='Données projet'!$A$270,'Données projet'!$B$270,GU133+GT134-HC133)))</f>
        <v>259.61538461538453</v>
      </c>
      <c r="GV134" s="18">
        <f>GU134*VLOOKUP('Données projet'!$B$18,Paramètres!$A$1:$I$89,3,0)*VLOOKUP('Données projet'!$B$18,Paramètres!$A$1:$I$89,5,0)</f>
        <v>121.49999999999996</v>
      </c>
      <c r="GW134" s="14">
        <f t="shared" si="159"/>
        <v>32.024596321339054</v>
      </c>
      <c r="GX134" s="22">
        <f t="shared" si="136"/>
        <v>267.38867192633211</v>
      </c>
      <c r="GY134" s="62">
        <f t="shared" si="137"/>
        <v>560.72200525966537</v>
      </c>
      <c r="GZ134" s="62">
        <f ca="1">AVERAGE(OFFSET($GY$3,0,0,'Données projet'!$E$18+1,1))-AVERAGE(OFFSET($H$3,0,0,'Données projet'!$E$18+1,1))</f>
        <v>284.88646502866419</v>
      </c>
      <c r="HA134" s="62">
        <f t="shared" si="160"/>
        <v>190.4880882944471</v>
      </c>
      <c r="HB134" s="16">
        <f>IF(ISNA(VLOOKUP(A134,'Données projet'!$A$269:$I$289,3,0)),0,VLOOKUP(A134,'Données projet'!$A$269:$I$289,3,0))</f>
        <v>8</v>
      </c>
      <c r="HC134" s="16">
        <f>IF(ISNA(VLOOKUP(A134,'Données projet'!$A$269:$I$289,4,0)),0,VLOOKUP(A134,'Données projet'!$A$269:$I$289,4,0))</f>
        <v>259.61538461538458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>
        <f>EXP(-LN(2)/35)*HG133+(1-EXP(-LN(2)/35))/(LN(2)/35)*HC134*HD134*VLOOKUP('Données projet'!$B$18,Paramètres!$A$1:$I$89,3,0)*0.475*44/12</f>
        <v>0</v>
      </c>
      <c r="HH134" s="23">
        <f>EXP(-LN(2)/25)*HH133+(1-EXP(-LN(2)/25))/(LN(2)/25)*Calculateur!HC134*Calculateur!HE134*VLOOKUP('Données projet'!$B$18,Paramètres!$A$1:$I$89,3,0)*0.475*44/12</f>
        <v>0</v>
      </c>
      <c r="HI134" s="23">
        <f>EXP(-LN(2)/2)*HI133+(1-EXP(-LN(2)/2))/(LN(2)/2)*HC134*HF134*VLOOKUP('Données projet'!$B$18,Paramètres!$A$1:$I$89,3,0)*0.475*44/12</f>
        <v>0</v>
      </c>
      <c r="HJ134" s="24">
        <f t="shared" si="138"/>
        <v>0</v>
      </c>
    </row>
    <row r="135" spans="1:218" s="5" customFormat="1" x14ac:dyDescent="0.25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2">
        <f t="shared" si="140"/>
        <v>0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0</v>
      </c>
      <c r="H135" s="70">
        <f t="shared" si="110"/>
        <v>256.66666666666669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-1.1368683772161603E-13</v>
      </c>
      <c r="O135" s="14">
        <f>N135*VLOOKUP('Données projet'!$B$9,Paramètres!$A$1:$I$89,3,0)*VLOOKUP('Données projet'!$B$9,Paramètres!$A$1:$I$89,5,0)</f>
        <v>-1.0818439477588981E-13</v>
      </c>
      <c r="P135" s="14" t="e">
        <f t="shared" si="141"/>
        <v>#NUM!</v>
      </c>
      <c r="Q135" s="22" t="e">
        <f t="shared" si="108"/>
        <v>#NUM!</v>
      </c>
      <c r="R135" s="62" t="e">
        <f t="shared" si="109"/>
        <v>#NUM!</v>
      </c>
      <c r="S135" s="62">
        <f ca="1">AVERAGE(OFFSET($R$3,0,0,'Données projet'!$E$9+1,1))-AVERAGE(OFFSET($H$3,0,0,'Données projet'!$E$9+1,1))</f>
        <v>367.11183928586667</v>
      </c>
      <c r="T135" s="62">
        <f t="shared" si="142"/>
        <v>281.52963027844595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0</v>
      </c>
      <c r="AA135" s="23">
        <f>EXP(-LN(2)/25)*AA134+(1-EXP(-LN(2)/25))/(LN(2)/25)*Calculateur!V135*Calculateur!X135*VLOOKUP('Données projet'!$B$9,Paramètres!$A$1:$I$89,3,0)*0.475*44/12</f>
        <v>0</v>
      </c>
      <c r="AB135" s="23">
        <f>EXP(-LN(2)/2)*AB134+(1-EXP(-LN(2)/2))/(LN(2)/2)*V135*Y135*VLOOKUP('Données projet'!$B$9,Paramètres!$A$1:$I$89,3,0)*0.475*44/12</f>
        <v>0</v>
      </c>
      <c r="AC135" s="24">
        <f t="shared" si="111"/>
        <v>0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2.7</v>
      </c>
      <c r="AI135" s="14">
        <f>IF('Données projet'!$A$62&gt;35,AI134+AH135-AQ134,IF(A135&lt;'Données projet'!$A$62,$AF$205^A135,IF(A135='Données projet'!$A$62,'Données projet'!$B$62,AI134+AH135-AQ134)))</f>
        <v>274.39999999999935</v>
      </c>
      <c r="AJ135" s="14">
        <f>AI135*VLOOKUP('Données projet'!$B$10,Paramètres!$A$1:$I$89,3,0)*VLOOKUP('Données projet'!$B$10,Paramètres!$A$1:$I$89,5,0)</f>
        <v>248.2771199999994</v>
      </c>
      <c r="AK135" s="14">
        <f t="shared" si="143"/>
        <v>60.216863677580257</v>
      </c>
      <c r="AL135" s="22">
        <f t="shared" si="112"/>
        <v>537.29368823845118</v>
      </c>
      <c r="AM135" s="62">
        <f t="shared" si="113"/>
        <v>830.62702157178455</v>
      </c>
      <c r="AN135" s="62">
        <f ca="1">AVERAGE(OFFSET($AM$3,0,0,'Données projet'!$E$10+1,1))-AVERAGE(OFFSET($H$3,0,0,'Données projet'!$E$10+1,1))</f>
        <v>428.8489304403459</v>
      </c>
      <c r="AO135" s="62">
        <f t="shared" si="144"/>
        <v>247.01165577562966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0</v>
      </c>
      <c r="AV135" s="23">
        <f>EXP(-LN(2)/25)*AV134+(1-EXP(-LN(2)/25))/(LN(2)/25)*Calculateur!AQ135*Calculateur!AS135*VLOOKUP('Données projet'!$B$10,Paramètres!$A$1:$I$89,3,0)*0.475*44/12</f>
        <v>0</v>
      </c>
      <c r="AW135" s="23">
        <f>EXP(-LN(2)/2)*AW134+(1-EXP(-LN(2)/2))/(LN(2)/2)*AQ135*AT135*VLOOKUP('Données projet'!$B$10,Paramètres!$A$1:$I$89,3,0)*0.475*44/12</f>
        <v>0</v>
      </c>
      <c r="AX135" s="23">
        <f t="shared" si="114"/>
        <v>0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2.7</v>
      </c>
      <c r="BD135" s="13">
        <f>IF('Données projet'!$A$88&gt;35,BD134+BC135-BL134,IF(A135&lt;'Données projet'!$A$88,$BA$205^A135,IF(A135='Données projet'!$A$88,'Données projet'!$B$88,BD134+BC135-BL134)))</f>
        <v>274.39999999999935</v>
      </c>
      <c r="BE135" s="14">
        <f>BD135*VLOOKUP('Données projet'!$B$11,Paramètres!$A$1:$I$89,3,0)*VLOOKUP('Données projet'!$B$11,Paramètres!$A$1:$I$89,5,0)</f>
        <v>278.24159999999938</v>
      </c>
      <c r="BF135" s="14">
        <f t="shared" si="145"/>
        <v>66.595272276139625</v>
      </c>
      <c r="BG135" s="22">
        <f t="shared" si="115"/>
        <v>600.59088588094198</v>
      </c>
      <c r="BH135" s="62">
        <f t="shared" si="116"/>
        <v>893.92421921427535</v>
      </c>
      <c r="BI135" s="62">
        <f ca="1">AVERAGE(OFFSET($BH$3,0,0,'Données projet'!$E$11+1,1))-AVERAGE(OFFSET($H$3,0,0,'Données projet'!$E$11+1,1))</f>
        <v>475.47920969424894</v>
      </c>
      <c r="BJ135" s="62">
        <f t="shared" si="146"/>
        <v>271.73544012419364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>
        <f>EXP(-LN(2)/35)*BP134+(1-EXP(-LN(2)/35))/(LN(2)/35)*BL135*BM135*VLOOKUP('Données projet'!$B$11,Paramètres!$A$1:$I$89,3,0)*0.475*44/12</f>
        <v>0</v>
      </c>
      <c r="BQ135" s="23">
        <f>EXP(-LN(2)/25)*BQ134+(1-EXP(-LN(2)/25))/(LN(2)/25)*Calculateur!BL135*Calculateur!BN135*VLOOKUP('Données projet'!$B$11,Paramètres!$A$1:$I$89,3,0)*0.475*44/12</f>
        <v>0</v>
      </c>
      <c r="BR135" s="23">
        <f>EXP(-LN(2)/2)*BR134+(1-EXP(-LN(2)/2))/(LN(2)/2)*BL135*BO135*VLOOKUP('Données projet'!$B$11,Paramètres!$A$1:$I$89,3,0)*0.475*44/12</f>
        <v>0</v>
      </c>
      <c r="BS135" s="24">
        <f t="shared" si="117"/>
        <v>0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2.2737367544323206E-13</v>
      </c>
      <c r="BZ135" s="14">
        <f>BY135*VLOOKUP('Données projet'!$B$12,Paramètres!$A$1:$I$89,3,0)*VLOOKUP('Données projet'!$B$12,Paramètres!$A$1:$I$89,5,0)</f>
        <v>1.2710188457276673E-13</v>
      </c>
      <c r="CA135" s="14">
        <f t="shared" si="147"/>
        <v>1.856866851063998E-12</v>
      </c>
      <c r="CB135" s="22">
        <f t="shared" si="118"/>
        <v>3.4554122145673649E-12</v>
      </c>
      <c r="CC135" s="62">
        <f t="shared" si="119"/>
        <v>293.33333333333678</v>
      </c>
      <c r="CD135" s="62">
        <f ca="1">AVERAGE(OFFSET($CC$3,0,0,'Données projet'!$E$12+1,1))-AVERAGE(OFFSET($H$3,0,0,'Données projet'!$E$12+1,1))</f>
        <v>323.98185264074681</v>
      </c>
      <c r="CE135" s="62">
        <f t="shared" si="148"/>
        <v>301.22207291854005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>
        <f>EXP(-LN(2)/35)*CK134+(1-EXP(-LN(2)/35))/(LN(2)/35)*CG135*CH135*VLOOKUP('Données projet'!$B$12,Paramètres!$A$1:$I$89,3,0)*0.475*44/12</f>
        <v>0.59193414783767151</v>
      </c>
      <c r="CL135" s="23">
        <f>EXP(-LN(2)/25)*CL134+(1-EXP(-LN(2)/25))/(LN(2)/25)*Calculateur!CG135*Calculateur!CI135*VLOOKUP('Données projet'!$B$12,Paramètres!$A$1:$I$89,3,0)*0.475*44/12</f>
        <v>0.48765130564266596</v>
      </c>
      <c r="CM135" s="23">
        <f>EXP(-LN(2)/2)*CM134+(1-EXP(-LN(2)/2))/(LN(2)/2)*CG135*CJ135*VLOOKUP('Données projet'!$B$12,Paramètres!$A$1:$I$89,3,0)*0.475*44/12</f>
        <v>2.703529480116105E-15</v>
      </c>
      <c r="CN135" s="24">
        <f t="shared" si="120"/>
        <v>1.0795854534803402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1.5</v>
      </c>
      <c r="CT135" s="13">
        <f>IF('Données projet'!$A$140&gt;35,CT134+CS135-DB134,IF(A135&lt;'Données projet'!$A$140,$CQ$205^A135,IF(A135='Données projet'!$A$140,'Données projet'!$B$140,CT134+CS135-DB134)))</f>
        <v>214.99999999999994</v>
      </c>
      <c r="CU135" s="18">
        <f>CT135*VLOOKUP('Données projet'!$B$13,Paramètres!$A$1:$I$89,3,0)*VLOOKUP('Données projet'!$B$13,Paramètres!$A$1:$I$89,5,0)</f>
        <v>244.84199999999996</v>
      </c>
      <c r="CV135" s="14">
        <f t="shared" si="149"/>
        <v>59.480096214206256</v>
      </c>
      <c r="CW135" s="22">
        <f t="shared" si="121"/>
        <v>530.02765090640912</v>
      </c>
      <c r="CX135" s="62">
        <f t="shared" si="122"/>
        <v>823.36098423974249</v>
      </c>
      <c r="CY135" s="62">
        <f ca="1">AVERAGE(OFFSET($CX$3,0,0,'Données projet'!$E$13+1,1))-AVERAGE(OFFSET($H$3,0,0,'Données projet'!$E$13+1,1))</f>
        <v>399.78832690250164</v>
      </c>
      <c r="CZ135" s="62">
        <f t="shared" si="150"/>
        <v>174.32967064896343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>
        <f>EXP(-LN(2)/35)*DF134+(1-EXP(-LN(2)/35))/(LN(2)/35)*DB135*DC135*VLOOKUP('Données projet'!$B$13,Paramètres!$A$1:$I$89,3,0)*0.475*44/12</f>
        <v>0</v>
      </c>
      <c r="DG135" s="23">
        <f>EXP(-LN(2)/25)*DG134+(1-EXP(-LN(2)/25))/(LN(2)/25)*Calculateur!DB135*Calculateur!DD135*VLOOKUP('Données projet'!$B$13,Paramètres!$A$1:$I$89,3,0)*0.475*44/12</f>
        <v>0</v>
      </c>
      <c r="DH135" s="23">
        <f>EXP(-LN(2)/2)*DH134+(1-EXP(-LN(2)/2))/(LN(2)/2)*DB135*DE135*VLOOKUP('Données projet'!$B$13,Paramètres!$A$1:$I$89,3,0)*0.475*44/12</f>
        <v>0</v>
      </c>
      <c r="DI135" s="24">
        <f t="shared" si="123"/>
        <v>0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2.7</v>
      </c>
      <c r="DO135" s="13">
        <f>IF('Données projet'!$A$166&gt;35,DO134+DN135-DW134,IF(A135&lt;'Données projet'!$A$166,$DL$205^A135,IF(A135='Données projet'!$A$166,'Données projet'!$B$166,DO134+DN135-DW134)))</f>
        <v>274.39999999999935</v>
      </c>
      <c r="DP135" s="18">
        <f>DO135*VLOOKUP('Données projet'!$B$14,Paramètres!$A$1:$I$89,3,0)*VLOOKUP('Données projet'!$B$14,Paramètres!$A$1:$I$89,5,0)</f>
        <v>231.15455999999946</v>
      </c>
      <c r="DQ135" s="14">
        <f t="shared" si="151"/>
        <v>56.532251598510435</v>
      </c>
      <c r="DR135" s="22">
        <f t="shared" si="124"/>
        <v>501.0545302007381</v>
      </c>
      <c r="DS135" s="62">
        <f t="shared" si="125"/>
        <v>794.38786353407136</v>
      </c>
      <c r="DT135" s="62">
        <f ca="1">AVERAGE(OFFSET($DS$3,0,0,'Données projet'!$E$14+1,1))-AVERAGE(OFFSET($H$3,0,0,'Données projet'!$E$14+1,1))</f>
        <v>402.15128814037058</v>
      </c>
      <c r="DU135" s="62">
        <f t="shared" si="152"/>
        <v>232.85411068442738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>
        <f>EXP(-LN(2)/35)*EA134+(1-EXP(-LN(2)/35))/(LN(2)/35)*DW135*DX135*VLOOKUP('Données projet'!$B$14,Paramètres!$A$1:$I$89,3,0)*0.475*44/12</f>
        <v>0</v>
      </c>
      <c r="EB135" s="23">
        <f>EXP(-LN(2)/25)*EB134+(1-EXP(-LN(2)/25))/(LN(2)/25)*Calculateur!DW135*Calculateur!DY135*VLOOKUP('Données projet'!$B$14,Paramètres!$A$1:$I$89,3,0)*0.475*44/12</f>
        <v>0</v>
      </c>
      <c r="EC135" s="23">
        <f>EXP(-LN(2)/2)*EC134+(1-EXP(-LN(2)/2))/(LN(2)/2)*DW135*DZ135*VLOOKUP('Données projet'!$B$14,Paramètres!$A$1:$I$89,3,0)*0.475*44/12</f>
        <v>0</v>
      </c>
      <c r="ED135" s="24">
        <f t="shared" si="126"/>
        <v>0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6.2527760746888816E-13</v>
      </c>
      <c r="EK135" s="18">
        <f>EJ135*VLOOKUP('Données projet'!$B$15,Paramètres!$A$1:$I$89,3,0)*VLOOKUP('Données projet'!$B$15,Paramètres!$A$1:$I$89,5,0)</f>
        <v>6.5354015532648198E-13</v>
      </c>
      <c r="EL135" s="14">
        <f t="shared" si="153"/>
        <v>7.8909019831354483E-12</v>
      </c>
      <c r="EM135" s="22">
        <f t="shared" si="127"/>
        <v>1.4881570057821194E-11</v>
      </c>
      <c r="EN135" s="62">
        <f t="shared" si="128"/>
        <v>293.33333333334821</v>
      </c>
      <c r="EO135" s="62">
        <f ca="1">AVERAGE(OFFSET($EN$3,0,0,'Données projet'!$E$15+1,1))-AVERAGE(OFFSET($H$3,0,0,'Données projet'!$E$15+1,1))</f>
        <v>595.89992279024398</v>
      </c>
      <c r="EP135" s="62">
        <f t="shared" si="154"/>
        <v>378.16197659288338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>
        <f>EXP(-LN(2)/35)*EV134+(1-EXP(-LN(2)/35))/(LN(2)/35)*ER135*ES135*VLOOKUP('Données projet'!$B$15,Paramètres!$A$1:$I$89,3,0)*0.475*44/12</f>
        <v>0</v>
      </c>
      <c r="EW135" s="23">
        <f>EXP(-LN(2)/25)*EW134+(1-EXP(-LN(2)/25))/(LN(2)/25)*Calculateur!ER135*Calculateur!ET135*VLOOKUP('Données projet'!$B$15,Paramètres!$A$1:$I$89,3,0)*0.475*44/12</f>
        <v>0</v>
      </c>
      <c r="EX135" s="23">
        <f>EXP(-LN(2)/2)*EX134+(1-EXP(-LN(2)/2))/(LN(2)/2)*ER135*EU135*VLOOKUP('Données projet'!$B$15,Paramètres!$A$1:$I$89,3,0)*0.475*44/12</f>
        <v>0</v>
      </c>
      <c r="EY135" s="24">
        <f t="shared" si="129"/>
        <v>0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-2.2737367544323206E-13</v>
      </c>
      <c r="FF135" s="18">
        <f>FE135*VLOOKUP('Données projet'!$B$16,Paramètres!$A$1:$I$89,3,0)*VLOOKUP('Données projet'!$B$16,Paramètres!$A$1:$I$89,5,0)</f>
        <v>-1.3596945791505279E-13</v>
      </c>
      <c r="FG135" s="14" t="e">
        <f t="shared" si="155"/>
        <v>#NUM!</v>
      </c>
      <c r="FH135" s="22" t="e">
        <f t="shared" si="130"/>
        <v>#NUM!</v>
      </c>
      <c r="FI135" s="62" t="e">
        <f t="shared" si="131"/>
        <v>#NUM!</v>
      </c>
      <c r="FJ135" s="62">
        <f ca="1">AVERAGE(OFFSET($FI$3,0,0,'Données projet'!$E$16+1,1))-AVERAGE(OFFSET($H$3,0,0,'Données projet'!$E$16+1,1))</f>
        <v>257.56116197646924</v>
      </c>
      <c r="FK135" s="62">
        <f t="shared" si="156"/>
        <v>269.95556918835888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>
        <f>EXP(-LN(2)/35)*FQ134+(1-EXP(-LN(2)/35))/(LN(2)/35)*FM135*FN135*VLOOKUP('Données projet'!$B$16,Paramètres!$A$1:$I$89,3,0)*0.475*44/12</f>
        <v>1.9342520066278768</v>
      </c>
      <c r="FR135" s="23">
        <f>EXP(-LN(2)/25)*FR134+(1-EXP(-LN(2)/25))/(LN(2)/25)*Calculateur!FM135*Calculateur!FO135*VLOOKUP('Données projet'!$B$16,Paramètres!$A$1:$I$89,3,0)*0.475*44/12</f>
        <v>0.95451735603699972</v>
      </c>
      <c r="FS135" s="23">
        <f>EXP(-LN(2)/2)*FS134+(1-EXP(-LN(2)/2))/(LN(2)/2)*FM135*FP135*VLOOKUP('Données projet'!$B$16,Paramètres!$A$1:$I$89,3,0)*0.475*44/12</f>
        <v>3.7987761478563901E-15</v>
      </c>
      <c r="FT135" s="24">
        <f t="shared" si="132"/>
        <v>2.8887693626648807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-2.8421709430404007E-13</v>
      </c>
      <c r="GA135" s="18">
        <f>FZ135*VLOOKUP('Données projet'!$B$17,Paramètres!$A$1:$I$89,3,0)*VLOOKUP('Données projet'!$B$17,Paramètres!$A$1:$I$89,5,0)</f>
        <v>-1.69961822393816E-13</v>
      </c>
      <c r="GB135" s="14" t="e">
        <f t="shared" si="157"/>
        <v>#NUM!</v>
      </c>
      <c r="GC135" s="22" t="e">
        <f t="shared" si="133"/>
        <v>#NUM!</v>
      </c>
      <c r="GD135" s="62" t="e">
        <f t="shared" si="134"/>
        <v>#NUM!</v>
      </c>
      <c r="GE135" s="62">
        <f ca="1">AVERAGE(OFFSET($GD$3,0,0,'Données projet'!$E$17+1,1))-AVERAGE(OFFSET($H$3,0,0,'Données projet'!$E$17+1,1))</f>
        <v>289.12367833861299</v>
      </c>
      <c r="GF135" s="62">
        <f t="shared" si="158"/>
        <v>229.06617320689003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>
        <f>EXP(-LN(2)/35)*GL134+(1-EXP(-LN(2)/35))/(LN(2)/35)*GH135*GI135*VLOOKUP('Données projet'!$B$17,Paramètres!$A$1:$I$89,3,0)*0.475*44/12</f>
        <v>0</v>
      </c>
      <c r="GM135" s="23">
        <f>EXP(-LN(2)/25)*GM134+(1-EXP(-LN(2)/25))/(LN(2)/25)*Calculateur!GH135*Calculateur!GJ135*VLOOKUP('Données projet'!$B$17,Paramètres!$A$1:$I$89,3,0)*0.475*44/12</f>
        <v>0</v>
      </c>
      <c r="GN135" s="23">
        <f>EXP(-LN(2)/2)*GN134+(1-EXP(-LN(2)/2))/(LN(2)/2)*GH135*GK135*VLOOKUP('Données projet'!$B$17,Paramètres!$A$1:$I$89,3,0)*0.475*44/12</f>
        <v>1.8415647131788446E-15</v>
      </c>
      <c r="GO135" s="23">
        <f t="shared" si="135"/>
        <v>1.8415647131788446E-15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-5.6843418860808015E-14</v>
      </c>
      <c r="GV135" s="18">
        <f>GU135*VLOOKUP('Données projet'!$B$18,Paramètres!$A$1:$I$89,3,0)*VLOOKUP('Données projet'!$B$18,Paramètres!$A$1:$I$89,5,0)</f>
        <v>-2.6602720026858149E-14</v>
      </c>
      <c r="GW135" s="14" t="e">
        <f t="shared" si="159"/>
        <v>#NUM!</v>
      </c>
      <c r="GX135" s="22" t="e">
        <f t="shared" si="136"/>
        <v>#NUM!</v>
      </c>
      <c r="GY135" s="62" t="e">
        <f t="shared" si="137"/>
        <v>#NUM!</v>
      </c>
      <c r="GZ135" s="62">
        <f ca="1">AVERAGE(OFFSET($GY$3,0,0,'Données projet'!$E$18+1,1))-AVERAGE(OFFSET($H$3,0,0,'Données projet'!$E$18+1,1))</f>
        <v>284.88646502866419</v>
      </c>
      <c r="HA135" s="62">
        <f t="shared" si="160"/>
        <v>190.4880882944471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>
        <f>EXP(-LN(2)/35)*HG134+(1-EXP(-LN(2)/35))/(LN(2)/35)*HC135*HD135*VLOOKUP('Données projet'!$B$18,Paramètres!$A$1:$I$89,3,0)*0.475*44/12</f>
        <v>0</v>
      </c>
      <c r="HH135" s="23">
        <f>EXP(-LN(2)/25)*HH134+(1-EXP(-LN(2)/25))/(LN(2)/25)*Calculateur!HC135*Calculateur!HE135*VLOOKUP('Données projet'!$B$18,Paramètres!$A$1:$I$89,3,0)*0.475*44/12</f>
        <v>0</v>
      </c>
      <c r="HI135" s="23">
        <f>EXP(-LN(2)/2)*HI134+(1-EXP(-LN(2)/2))/(LN(2)/2)*HC135*HF135*VLOOKUP('Données projet'!$B$18,Paramètres!$A$1:$I$89,3,0)*0.475*44/12</f>
        <v>0</v>
      </c>
      <c r="HJ135" s="24">
        <f t="shared" si="138"/>
        <v>0</v>
      </c>
    </row>
    <row r="136" spans="1:218" s="5" customFormat="1" x14ac:dyDescent="0.25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2">
        <f t="shared" si="140"/>
        <v>0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0</v>
      </c>
      <c r="H136" s="70">
        <f t="shared" si="110"/>
        <v>256.66666666666669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-1.1368683772161603E-13</v>
      </c>
      <c r="O136" s="14">
        <f>N136*VLOOKUP('Données projet'!$B$9,Paramètres!$A$1:$I$89,3,0)*VLOOKUP('Données projet'!$B$9,Paramètres!$A$1:$I$89,5,0)</f>
        <v>-1.0818439477588981E-13</v>
      </c>
      <c r="P136" s="14" t="e">
        <f t="shared" si="141"/>
        <v>#NUM!</v>
      </c>
      <c r="Q136" s="22" t="e">
        <f t="shared" si="108"/>
        <v>#NUM!</v>
      </c>
      <c r="R136" s="62" t="e">
        <f t="shared" si="109"/>
        <v>#NUM!</v>
      </c>
      <c r="S136" s="62">
        <f ca="1">AVERAGE(OFFSET($R$3,0,0,'Données projet'!$E$9+1,1))-AVERAGE(OFFSET($H$3,0,0,'Données projet'!$E$9+1,1))</f>
        <v>367.11183928586667</v>
      </c>
      <c r="T136" s="62">
        <f t="shared" si="142"/>
        <v>281.52963027844595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0</v>
      </c>
      <c r="AA136" s="23">
        <f>EXP(-LN(2)/25)*AA135+(1-EXP(-LN(2)/25))/(LN(2)/25)*Calculateur!V136*Calculateur!X136*VLOOKUP('Données projet'!$B$9,Paramètres!$A$1:$I$89,3,0)*0.475*44/12</f>
        <v>0</v>
      </c>
      <c r="AB136" s="23">
        <f>EXP(-LN(2)/2)*AB135+(1-EXP(-LN(2)/2))/(LN(2)/2)*V136*Y136*VLOOKUP('Données projet'!$B$9,Paramètres!$A$1:$I$89,3,0)*0.475*44/12</f>
        <v>0</v>
      </c>
      <c r="AC136" s="24">
        <f t="shared" si="111"/>
        <v>0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2.7</v>
      </c>
      <c r="AI136" s="14">
        <f>IF('Données projet'!$A$62&gt;35,AI135+AH136-AQ135,IF(A136&lt;'Données projet'!$A$62,$AF$205^A136,IF(A136='Données projet'!$A$62,'Données projet'!$B$62,AI135+AH136-AQ135)))</f>
        <v>277.09999999999934</v>
      </c>
      <c r="AJ136" s="14">
        <f>AI136*VLOOKUP('Données projet'!$B$10,Paramètres!$A$1:$I$89,3,0)*VLOOKUP('Données projet'!$B$10,Paramètres!$A$1:$I$89,5,0)</f>
        <v>250.72007999999943</v>
      </c>
      <c r="AK136" s="14">
        <f t="shared" si="143"/>
        <v>60.740109326032709</v>
      </c>
      <c r="AL136" s="22">
        <f t="shared" si="112"/>
        <v>542.45982974283925</v>
      </c>
      <c r="AM136" s="62">
        <f t="shared" si="113"/>
        <v>835.7931630761725</v>
      </c>
      <c r="AN136" s="62">
        <f ca="1">AVERAGE(OFFSET($AM$3,0,0,'Données projet'!$E$10+1,1))-AVERAGE(OFFSET($H$3,0,0,'Données projet'!$E$10+1,1))</f>
        <v>428.8489304403459</v>
      </c>
      <c r="AO136" s="62">
        <f t="shared" si="144"/>
        <v>247.01165577562966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0</v>
      </c>
      <c r="AV136" s="23">
        <f>EXP(-LN(2)/25)*AV135+(1-EXP(-LN(2)/25))/(LN(2)/25)*Calculateur!AQ136*Calculateur!AS136*VLOOKUP('Données projet'!$B$10,Paramètres!$A$1:$I$89,3,0)*0.475*44/12</f>
        <v>0</v>
      </c>
      <c r="AW136" s="23">
        <f>EXP(-LN(2)/2)*AW135+(1-EXP(-LN(2)/2))/(LN(2)/2)*AQ136*AT136*VLOOKUP('Données projet'!$B$10,Paramètres!$A$1:$I$89,3,0)*0.475*44/12</f>
        <v>0</v>
      </c>
      <c r="AX136" s="23">
        <f t="shared" si="114"/>
        <v>0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2.7</v>
      </c>
      <c r="BD136" s="13">
        <f>IF('Données projet'!$A$88&gt;35,BD135+BC136-BL135,IF(A136&lt;'Données projet'!$A$88,$BA$205^A136,IF(A136='Données projet'!$A$88,'Données projet'!$B$88,BD135+BC136-BL135)))</f>
        <v>277.09999999999934</v>
      </c>
      <c r="BE136" s="14">
        <f>BD136*VLOOKUP('Données projet'!$B$11,Paramètres!$A$1:$I$89,3,0)*VLOOKUP('Données projet'!$B$11,Paramètres!$A$1:$I$89,5,0)</f>
        <v>280.97939999999937</v>
      </c>
      <c r="BF136" s="14">
        <f t="shared" si="145"/>
        <v>67.173942175199301</v>
      </c>
      <c r="BG136" s="22">
        <f t="shared" si="115"/>
        <v>606.36707095513759</v>
      </c>
      <c r="BH136" s="62">
        <f t="shared" si="116"/>
        <v>899.70040428847096</v>
      </c>
      <c r="BI136" s="62">
        <f ca="1">AVERAGE(OFFSET($BH$3,0,0,'Données projet'!$E$11+1,1))-AVERAGE(OFFSET($H$3,0,0,'Données projet'!$E$11+1,1))</f>
        <v>475.47920969424894</v>
      </c>
      <c r="BJ136" s="62">
        <f t="shared" si="146"/>
        <v>271.73544012419364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>
        <f>EXP(-LN(2)/35)*BP135+(1-EXP(-LN(2)/35))/(LN(2)/35)*BL136*BM136*VLOOKUP('Données projet'!$B$11,Paramètres!$A$1:$I$89,3,0)*0.475*44/12</f>
        <v>0</v>
      </c>
      <c r="BQ136" s="23">
        <f>EXP(-LN(2)/25)*BQ135+(1-EXP(-LN(2)/25))/(LN(2)/25)*Calculateur!BL136*Calculateur!BN136*VLOOKUP('Données projet'!$B$11,Paramètres!$A$1:$I$89,3,0)*0.475*44/12</f>
        <v>0</v>
      </c>
      <c r="BR136" s="23">
        <f>EXP(-LN(2)/2)*BR135+(1-EXP(-LN(2)/2))/(LN(2)/2)*BL136*BO136*VLOOKUP('Données projet'!$B$11,Paramètres!$A$1:$I$89,3,0)*0.475*44/12</f>
        <v>0</v>
      </c>
      <c r="BS136" s="24">
        <f t="shared" si="117"/>
        <v>0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2.2737367544323206E-13</v>
      </c>
      <c r="BZ136" s="14">
        <f>BY136*VLOOKUP('Données projet'!$B$12,Paramètres!$A$1:$I$89,3,0)*VLOOKUP('Données projet'!$B$12,Paramètres!$A$1:$I$89,5,0)</f>
        <v>1.2710188457276673E-13</v>
      </c>
      <c r="CA136" s="14">
        <f t="shared" si="147"/>
        <v>1.856866851063998E-12</v>
      </c>
      <c r="CB136" s="22">
        <f t="shared" si="118"/>
        <v>3.4554122145673649E-12</v>
      </c>
      <c r="CC136" s="62">
        <f t="shared" si="119"/>
        <v>293.33333333333678</v>
      </c>
      <c r="CD136" s="62">
        <f ca="1">AVERAGE(OFFSET($CC$3,0,0,'Données projet'!$E$12+1,1))-AVERAGE(OFFSET($H$3,0,0,'Données projet'!$E$12+1,1))</f>
        <v>323.98185264074681</v>
      </c>
      <c r="CE136" s="62">
        <f t="shared" si="148"/>
        <v>301.22207291854005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>
        <f>EXP(-LN(2)/35)*CK135+(1-EXP(-LN(2)/35))/(LN(2)/35)*CG136*CH136*VLOOKUP('Données projet'!$B$12,Paramètres!$A$1:$I$89,3,0)*0.475*44/12</f>
        <v>0.5803266802427548</v>
      </c>
      <c r="CL136" s="23">
        <f>EXP(-LN(2)/25)*CL135+(1-EXP(-LN(2)/25))/(LN(2)/25)*Calculateur!CG136*Calculateur!CI136*VLOOKUP('Données projet'!$B$12,Paramètres!$A$1:$I$89,3,0)*0.475*44/12</f>
        <v>0.47431645504539965</v>
      </c>
      <c r="CM136" s="23">
        <f>EXP(-LN(2)/2)*CM135+(1-EXP(-LN(2)/2))/(LN(2)/2)*CG136*CJ136*VLOOKUP('Données projet'!$B$12,Paramètres!$A$1:$I$89,3,0)*0.475*44/12</f>
        <v>1.9116840285278392E-15</v>
      </c>
      <c r="CN136" s="24">
        <f t="shared" si="120"/>
        <v>1.0546431352881565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1.5</v>
      </c>
      <c r="CT136" s="13">
        <f>IF('Données projet'!$A$140&gt;35,CT135+CS136-DB135,IF(A136&lt;'Données projet'!$A$140,$CQ$205^A136,IF(A136='Données projet'!$A$140,'Données projet'!$B$140,CT135+CS136-DB135)))</f>
        <v>216.49999999999994</v>
      </c>
      <c r="CU136" s="18">
        <f>CT136*VLOOKUP('Données projet'!$B$13,Paramètres!$A$1:$I$89,3,0)*VLOOKUP('Données projet'!$B$13,Paramètres!$A$1:$I$89,5,0)</f>
        <v>246.55019999999993</v>
      </c>
      <c r="CV136" s="14">
        <f t="shared" si="149"/>
        <v>59.846621756910231</v>
      </c>
      <c r="CW136" s="22">
        <f t="shared" si="121"/>
        <v>533.64113122661854</v>
      </c>
      <c r="CX136" s="62">
        <f t="shared" si="122"/>
        <v>826.97446455995191</v>
      </c>
      <c r="CY136" s="62">
        <f ca="1">AVERAGE(OFFSET($CX$3,0,0,'Données projet'!$E$13+1,1))-AVERAGE(OFFSET($H$3,0,0,'Données projet'!$E$13+1,1))</f>
        <v>399.78832690250164</v>
      </c>
      <c r="CZ136" s="62">
        <f t="shared" si="150"/>
        <v>174.32967064896343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>
        <f>EXP(-LN(2)/35)*DF135+(1-EXP(-LN(2)/35))/(LN(2)/35)*DB136*DC136*VLOOKUP('Données projet'!$B$13,Paramètres!$A$1:$I$89,3,0)*0.475*44/12</f>
        <v>0</v>
      </c>
      <c r="DG136" s="23">
        <f>EXP(-LN(2)/25)*DG135+(1-EXP(-LN(2)/25))/(LN(2)/25)*Calculateur!DB136*Calculateur!DD136*VLOOKUP('Données projet'!$B$13,Paramètres!$A$1:$I$89,3,0)*0.475*44/12</f>
        <v>0</v>
      </c>
      <c r="DH136" s="23">
        <f>EXP(-LN(2)/2)*DH135+(1-EXP(-LN(2)/2))/(LN(2)/2)*DB136*DE136*VLOOKUP('Données projet'!$B$13,Paramètres!$A$1:$I$89,3,0)*0.475*44/12</f>
        <v>0</v>
      </c>
      <c r="DI136" s="24">
        <f t="shared" si="123"/>
        <v>0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2.7</v>
      </c>
      <c r="DO136" s="13">
        <f>IF('Données projet'!$A$166&gt;35,DO135+DN136-DW135,IF(A136&lt;'Données projet'!$A$166,$DL$205^A136,IF(A136='Données projet'!$A$166,'Données projet'!$B$166,DO135+DN136-DW135)))</f>
        <v>277.09999999999934</v>
      </c>
      <c r="DP136" s="18">
        <f>DO136*VLOOKUP('Données projet'!$B$14,Paramètres!$A$1:$I$89,3,0)*VLOOKUP('Données projet'!$B$14,Paramètres!$A$1:$I$89,5,0)</f>
        <v>233.42903999999945</v>
      </c>
      <c r="DQ136" s="14">
        <f t="shared" si="151"/>
        <v>57.023480348060033</v>
      </c>
      <c r="DR136" s="22">
        <f t="shared" si="124"/>
        <v>505.87147293953677</v>
      </c>
      <c r="DS136" s="62">
        <f t="shared" si="125"/>
        <v>799.20480627287009</v>
      </c>
      <c r="DT136" s="62">
        <f ca="1">AVERAGE(OFFSET($DS$3,0,0,'Données projet'!$E$14+1,1))-AVERAGE(OFFSET($H$3,0,0,'Données projet'!$E$14+1,1))</f>
        <v>402.15128814037058</v>
      </c>
      <c r="DU136" s="62">
        <f t="shared" si="152"/>
        <v>232.85411068442738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>
        <f>EXP(-LN(2)/35)*EA135+(1-EXP(-LN(2)/35))/(LN(2)/35)*DW136*DX136*VLOOKUP('Données projet'!$B$14,Paramètres!$A$1:$I$89,3,0)*0.475*44/12</f>
        <v>0</v>
      </c>
      <c r="EB136" s="23">
        <f>EXP(-LN(2)/25)*EB135+(1-EXP(-LN(2)/25))/(LN(2)/25)*Calculateur!DW136*Calculateur!DY136*VLOOKUP('Données projet'!$B$14,Paramètres!$A$1:$I$89,3,0)*0.475*44/12</f>
        <v>0</v>
      </c>
      <c r="EC136" s="23">
        <f>EXP(-LN(2)/2)*EC135+(1-EXP(-LN(2)/2))/(LN(2)/2)*DW136*DZ136*VLOOKUP('Données projet'!$B$14,Paramètres!$A$1:$I$89,3,0)*0.475*44/12</f>
        <v>0</v>
      </c>
      <c r="ED136" s="24">
        <f t="shared" si="126"/>
        <v>0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6.2527760746888816E-13</v>
      </c>
      <c r="EK136" s="18">
        <f>EJ136*VLOOKUP('Données projet'!$B$15,Paramètres!$A$1:$I$89,3,0)*VLOOKUP('Données projet'!$B$15,Paramètres!$A$1:$I$89,5,0)</f>
        <v>6.5354015532648198E-13</v>
      </c>
      <c r="EL136" s="14">
        <f t="shared" si="153"/>
        <v>7.8909019831354483E-12</v>
      </c>
      <c r="EM136" s="22">
        <f t="shared" si="127"/>
        <v>1.4881570057821194E-11</v>
      </c>
      <c r="EN136" s="62">
        <f t="shared" si="128"/>
        <v>293.33333333334821</v>
      </c>
      <c r="EO136" s="62">
        <f ca="1">AVERAGE(OFFSET($EN$3,0,0,'Données projet'!$E$15+1,1))-AVERAGE(OFFSET($H$3,0,0,'Données projet'!$E$15+1,1))</f>
        <v>595.89992279024398</v>
      </c>
      <c r="EP136" s="62">
        <f t="shared" si="154"/>
        <v>378.16197659288338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>
        <f>EXP(-LN(2)/35)*EV135+(1-EXP(-LN(2)/35))/(LN(2)/35)*ER136*ES136*VLOOKUP('Données projet'!$B$15,Paramètres!$A$1:$I$89,3,0)*0.475*44/12</f>
        <v>0</v>
      </c>
      <c r="EW136" s="23">
        <f>EXP(-LN(2)/25)*EW135+(1-EXP(-LN(2)/25))/(LN(2)/25)*Calculateur!ER136*Calculateur!ET136*VLOOKUP('Données projet'!$B$15,Paramètres!$A$1:$I$89,3,0)*0.475*44/12</f>
        <v>0</v>
      </c>
      <c r="EX136" s="23">
        <f>EXP(-LN(2)/2)*EX135+(1-EXP(-LN(2)/2))/(LN(2)/2)*ER136*EU136*VLOOKUP('Données projet'!$B$15,Paramètres!$A$1:$I$89,3,0)*0.475*44/12</f>
        <v>0</v>
      </c>
      <c r="EY136" s="24">
        <f t="shared" si="129"/>
        <v>0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-2.2737367544323206E-13</v>
      </c>
      <c r="FF136" s="18">
        <f>FE136*VLOOKUP('Données projet'!$B$16,Paramètres!$A$1:$I$89,3,0)*VLOOKUP('Données projet'!$B$16,Paramètres!$A$1:$I$89,5,0)</f>
        <v>-1.3596945791505279E-13</v>
      </c>
      <c r="FG136" s="14" t="e">
        <f t="shared" si="155"/>
        <v>#NUM!</v>
      </c>
      <c r="FH136" s="22" t="e">
        <f t="shared" si="130"/>
        <v>#NUM!</v>
      </c>
      <c r="FI136" s="62" t="e">
        <f t="shared" si="131"/>
        <v>#NUM!</v>
      </c>
      <c r="FJ136" s="62">
        <f ca="1">AVERAGE(OFFSET($FI$3,0,0,'Données projet'!$E$16+1,1))-AVERAGE(OFFSET($H$3,0,0,'Données projet'!$E$16+1,1))</f>
        <v>257.56116197646924</v>
      </c>
      <c r="FK136" s="62">
        <f t="shared" si="156"/>
        <v>269.95556918835888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>
        <f>EXP(-LN(2)/35)*FQ135+(1-EXP(-LN(2)/35))/(LN(2)/35)*FM136*FN136*VLOOKUP('Données projet'!$B$16,Paramètres!$A$1:$I$89,3,0)*0.475*44/12</f>
        <v>1.8963225045551348</v>
      </c>
      <c r="FR136" s="23">
        <f>EXP(-LN(2)/25)*FR135+(1-EXP(-LN(2)/25))/(LN(2)/25)*Calculateur!FM136*Calculateur!FO136*VLOOKUP('Données projet'!$B$16,Paramètres!$A$1:$I$89,3,0)*0.475*44/12</f>
        <v>0.92841602874028184</v>
      </c>
      <c r="FS136" s="23">
        <f>EXP(-LN(2)/2)*FS135+(1-EXP(-LN(2)/2))/(LN(2)/2)*FM136*FP136*VLOOKUP('Données projet'!$B$16,Paramètres!$A$1:$I$89,3,0)*0.475*44/12</f>
        <v>2.6861403743589644E-15</v>
      </c>
      <c r="FT136" s="24">
        <f t="shared" si="132"/>
        <v>2.8247385332954194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-2.8421709430404007E-13</v>
      </c>
      <c r="GA136" s="18">
        <f>FZ136*VLOOKUP('Données projet'!$B$17,Paramètres!$A$1:$I$89,3,0)*VLOOKUP('Données projet'!$B$17,Paramètres!$A$1:$I$89,5,0)</f>
        <v>-1.69961822393816E-13</v>
      </c>
      <c r="GB136" s="14" t="e">
        <f t="shared" si="157"/>
        <v>#NUM!</v>
      </c>
      <c r="GC136" s="22" t="e">
        <f t="shared" si="133"/>
        <v>#NUM!</v>
      </c>
      <c r="GD136" s="62" t="e">
        <f t="shared" si="134"/>
        <v>#NUM!</v>
      </c>
      <c r="GE136" s="62">
        <f ca="1">AVERAGE(OFFSET($GD$3,0,0,'Données projet'!$E$17+1,1))-AVERAGE(OFFSET($H$3,0,0,'Données projet'!$E$17+1,1))</f>
        <v>289.12367833861299</v>
      </c>
      <c r="GF136" s="62">
        <f t="shared" si="158"/>
        <v>229.06617320689003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>
        <f>EXP(-LN(2)/35)*GL135+(1-EXP(-LN(2)/35))/(LN(2)/35)*GH136*GI136*VLOOKUP('Données projet'!$B$17,Paramètres!$A$1:$I$89,3,0)*0.475*44/12</f>
        <v>0</v>
      </c>
      <c r="GM136" s="23">
        <f>EXP(-LN(2)/25)*GM135+(1-EXP(-LN(2)/25))/(LN(2)/25)*Calculateur!GH136*Calculateur!GJ136*VLOOKUP('Données projet'!$B$17,Paramètres!$A$1:$I$89,3,0)*0.475*44/12</f>
        <v>0</v>
      </c>
      <c r="GN136" s="23">
        <f>EXP(-LN(2)/2)*GN135+(1-EXP(-LN(2)/2))/(LN(2)/2)*GH136*GK136*VLOOKUP('Données projet'!$B$17,Paramètres!$A$1:$I$89,3,0)*0.475*44/12</f>
        <v>1.3021828966826205E-15</v>
      </c>
      <c r="GO136" s="23">
        <f t="shared" si="135"/>
        <v>1.3021828966826205E-15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-5.6843418860808015E-14</v>
      </c>
      <c r="GV136" s="18">
        <f>GU136*VLOOKUP('Données projet'!$B$18,Paramètres!$A$1:$I$89,3,0)*VLOOKUP('Données projet'!$B$18,Paramètres!$A$1:$I$89,5,0)</f>
        <v>-2.6602720026858149E-14</v>
      </c>
      <c r="GW136" s="14" t="e">
        <f t="shared" si="159"/>
        <v>#NUM!</v>
      </c>
      <c r="GX136" s="22" t="e">
        <f t="shared" si="136"/>
        <v>#NUM!</v>
      </c>
      <c r="GY136" s="62" t="e">
        <f t="shared" si="137"/>
        <v>#NUM!</v>
      </c>
      <c r="GZ136" s="62">
        <f ca="1">AVERAGE(OFFSET($GY$3,0,0,'Données projet'!$E$18+1,1))-AVERAGE(OFFSET($H$3,0,0,'Données projet'!$E$18+1,1))</f>
        <v>284.88646502866419</v>
      </c>
      <c r="HA136" s="62">
        <f t="shared" si="160"/>
        <v>190.4880882944471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>
        <f>EXP(-LN(2)/35)*HG135+(1-EXP(-LN(2)/35))/(LN(2)/35)*HC136*HD136*VLOOKUP('Données projet'!$B$18,Paramètres!$A$1:$I$89,3,0)*0.475*44/12</f>
        <v>0</v>
      </c>
      <c r="HH136" s="23">
        <f>EXP(-LN(2)/25)*HH135+(1-EXP(-LN(2)/25))/(LN(2)/25)*Calculateur!HC136*Calculateur!HE136*VLOOKUP('Données projet'!$B$18,Paramètres!$A$1:$I$89,3,0)*0.475*44/12</f>
        <v>0</v>
      </c>
      <c r="HI136" s="23">
        <f>EXP(-LN(2)/2)*HI135+(1-EXP(-LN(2)/2))/(LN(2)/2)*HC136*HF136*VLOOKUP('Données projet'!$B$18,Paramètres!$A$1:$I$89,3,0)*0.475*44/12</f>
        <v>0</v>
      </c>
      <c r="HJ136" s="24">
        <f t="shared" si="138"/>
        <v>0</v>
      </c>
    </row>
    <row r="137" spans="1:218" s="5" customFormat="1" x14ac:dyDescent="0.25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2">
        <f t="shared" si="140"/>
        <v>0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0</v>
      </c>
      <c r="H137" s="70">
        <f t="shared" si="110"/>
        <v>256.66666666666669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-1.1368683772161603E-13</v>
      </c>
      <c r="O137" s="14">
        <f>N137*VLOOKUP('Données projet'!$B$9,Paramètres!$A$1:$I$89,3,0)*VLOOKUP('Données projet'!$B$9,Paramètres!$A$1:$I$89,5,0)</f>
        <v>-1.0818439477588981E-13</v>
      </c>
      <c r="P137" s="14" t="e">
        <f t="shared" si="141"/>
        <v>#NUM!</v>
      </c>
      <c r="Q137" s="22" t="e">
        <f t="shared" si="108"/>
        <v>#NUM!</v>
      </c>
      <c r="R137" s="62" t="e">
        <f t="shared" si="109"/>
        <v>#NUM!</v>
      </c>
      <c r="S137" s="62">
        <f ca="1">AVERAGE(OFFSET($R$3,0,0,'Données projet'!$E$9+1,1))-AVERAGE(OFFSET($H$3,0,0,'Données projet'!$E$9+1,1))</f>
        <v>367.11183928586667</v>
      </c>
      <c r="T137" s="62">
        <f t="shared" si="142"/>
        <v>281.52963027844595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0</v>
      </c>
      <c r="AA137" s="23">
        <f>EXP(-LN(2)/25)*AA136+(1-EXP(-LN(2)/25))/(LN(2)/25)*Calculateur!V137*Calculateur!X137*VLOOKUP('Données projet'!$B$9,Paramètres!$A$1:$I$89,3,0)*0.475*44/12</f>
        <v>0</v>
      </c>
      <c r="AB137" s="23">
        <f>EXP(-LN(2)/2)*AB136+(1-EXP(-LN(2)/2))/(LN(2)/2)*V137*Y137*VLOOKUP('Données projet'!$B$9,Paramètres!$A$1:$I$89,3,0)*0.475*44/12</f>
        <v>0</v>
      </c>
      <c r="AC137" s="24">
        <f t="shared" si="111"/>
        <v>0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2.7</v>
      </c>
      <c r="AI137" s="14">
        <f>IF('Données projet'!$A$62&gt;35,AI136+AH137-AQ136,IF(A137&lt;'Données projet'!$A$62,$AF$205^A137,IF(A137='Données projet'!$A$62,'Données projet'!$B$62,AI136+AH137-AQ136)))</f>
        <v>279.79999999999933</v>
      </c>
      <c r="AJ137" s="14">
        <f>AI137*VLOOKUP('Données projet'!$B$10,Paramètres!$A$1:$I$89,3,0)*VLOOKUP('Données projet'!$B$10,Paramètres!$A$1:$I$89,5,0)</f>
        <v>253.16303999999937</v>
      </c>
      <c r="AK137" s="14">
        <f t="shared" si="143"/>
        <v>61.262761848634923</v>
      </c>
      <c r="AL137" s="22">
        <f t="shared" si="112"/>
        <v>547.62493821970475</v>
      </c>
      <c r="AM137" s="62">
        <f t="shared" si="113"/>
        <v>840.958271553038</v>
      </c>
      <c r="AN137" s="62">
        <f ca="1">AVERAGE(OFFSET($AM$3,0,0,'Données projet'!$E$10+1,1))-AVERAGE(OFFSET($H$3,0,0,'Données projet'!$E$10+1,1))</f>
        <v>428.8489304403459</v>
      </c>
      <c r="AO137" s="62">
        <f t="shared" si="144"/>
        <v>247.01165577562966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0</v>
      </c>
      <c r="AV137" s="23">
        <f>EXP(-LN(2)/25)*AV136+(1-EXP(-LN(2)/25))/(LN(2)/25)*Calculateur!AQ137*Calculateur!AS137*VLOOKUP('Données projet'!$B$10,Paramètres!$A$1:$I$89,3,0)*0.475*44/12</f>
        <v>0</v>
      </c>
      <c r="AW137" s="23">
        <f>EXP(-LN(2)/2)*AW136+(1-EXP(-LN(2)/2))/(LN(2)/2)*AQ137*AT137*VLOOKUP('Données projet'!$B$10,Paramètres!$A$1:$I$89,3,0)*0.475*44/12</f>
        <v>0</v>
      </c>
      <c r="AX137" s="23">
        <f t="shared" si="114"/>
        <v>0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2.7</v>
      </c>
      <c r="BD137" s="13">
        <f>IF('Données projet'!$A$88&gt;35,BD136+BC137-BL136,IF(A137&lt;'Données projet'!$A$88,$BA$205^A137,IF(A137='Données projet'!$A$88,'Données projet'!$B$88,BD136+BC137-BL136)))</f>
        <v>279.79999999999933</v>
      </c>
      <c r="BE137" s="14">
        <f>BD137*VLOOKUP('Données projet'!$B$11,Paramètres!$A$1:$I$89,3,0)*VLOOKUP('Données projet'!$B$11,Paramètres!$A$1:$I$89,5,0)</f>
        <v>283.71719999999937</v>
      </c>
      <c r="BF137" s="14">
        <f t="shared" si="145"/>
        <v>67.751956122170526</v>
      </c>
      <c r="BG137" s="22">
        <f t="shared" si="115"/>
        <v>612.14211357944589</v>
      </c>
      <c r="BH137" s="62">
        <f t="shared" si="116"/>
        <v>905.47544691277926</v>
      </c>
      <c r="BI137" s="62">
        <f ca="1">AVERAGE(OFFSET($BH$3,0,0,'Données projet'!$E$11+1,1))-AVERAGE(OFFSET($H$3,0,0,'Données projet'!$E$11+1,1))</f>
        <v>475.47920969424894</v>
      </c>
      <c r="BJ137" s="62">
        <f t="shared" si="146"/>
        <v>271.73544012419364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>
        <f>EXP(-LN(2)/35)*BP136+(1-EXP(-LN(2)/35))/(LN(2)/35)*BL137*BM137*VLOOKUP('Données projet'!$B$11,Paramètres!$A$1:$I$89,3,0)*0.475*44/12</f>
        <v>0</v>
      </c>
      <c r="BQ137" s="23">
        <f>EXP(-LN(2)/25)*BQ136+(1-EXP(-LN(2)/25))/(LN(2)/25)*Calculateur!BL137*Calculateur!BN137*VLOOKUP('Données projet'!$B$11,Paramètres!$A$1:$I$89,3,0)*0.475*44/12</f>
        <v>0</v>
      </c>
      <c r="BR137" s="23">
        <f>EXP(-LN(2)/2)*BR136+(1-EXP(-LN(2)/2))/(LN(2)/2)*BL137*BO137*VLOOKUP('Données projet'!$B$11,Paramètres!$A$1:$I$89,3,0)*0.475*44/12</f>
        <v>0</v>
      </c>
      <c r="BS137" s="24">
        <f t="shared" si="117"/>
        <v>0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2.2737367544323206E-13</v>
      </c>
      <c r="BZ137" s="14">
        <f>BY137*VLOOKUP('Données projet'!$B$12,Paramètres!$A$1:$I$89,3,0)*VLOOKUP('Données projet'!$B$12,Paramètres!$A$1:$I$89,5,0)</f>
        <v>1.2710188457276673E-13</v>
      </c>
      <c r="CA137" s="14">
        <f t="shared" si="147"/>
        <v>1.856866851063998E-12</v>
      </c>
      <c r="CB137" s="22">
        <f t="shared" si="118"/>
        <v>3.4554122145673649E-12</v>
      </c>
      <c r="CC137" s="62">
        <f t="shared" si="119"/>
        <v>293.33333333333678</v>
      </c>
      <c r="CD137" s="62">
        <f ca="1">AVERAGE(OFFSET($CC$3,0,0,'Données projet'!$E$12+1,1))-AVERAGE(OFFSET($H$3,0,0,'Données projet'!$E$12+1,1))</f>
        <v>323.98185264074681</v>
      </c>
      <c r="CE137" s="62">
        <f t="shared" si="148"/>
        <v>301.22207291854005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>
        <f>EXP(-LN(2)/35)*CK136+(1-EXP(-LN(2)/35))/(LN(2)/35)*CG137*CH137*VLOOKUP('Données projet'!$B$12,Paramètres!$A$1:$I$89,3,0)*0.475*44/12</f>
        <v>0.56894682800751828</v>
      </c>
      <c r="CL137" s="23">
        <f>EXP(-LN(2)/25)*CL136+(1-EXP(-LN(2)/25))/(LN(2)/25)*Calculateur!CG137*Calculateur!CI137*VLOOKUP('Données projet'!$B$12,Paramètres!$A$1:$I$89,3,0)*0.475*44/12</f>
        <v>0.4613462466389649</v>
      </c>
      <c r="CM137" s="23">
        <f>EXP(-LN(2)/2)*CM136+(1-EXP(-LN(2)/2))/(LN(2)/2)*CG137*CJ137*VLOOKUP('Données projet'!$B$12,Paramètres!$A$1:$I$89,3,0)*0.475*44/12</f>
        <v>1.3517647400580525E-15</v>
      </c>
      <c r="CN137" s="24">
        <f t="shared" si="120"/>
        <v>1.0302930746464845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1.5</v>
      </c>
      <c r="CT137" s="13">
        <f>IF('Données projet'!$A$140&gt;35,CT136+CS137-DB136,IF(A137&lt;'Données projet'!$A$140,$CQ$205^A137,IF(A137='Données projet'!$A$140,'Données projet'!$B$140,CT136+CS137-DB136)))</f>
        <v>217.99999999999994</v>
      </c>
      <c r="CU137" s="18">
        <f>CT137*VLOOKUP('Données projet'!$B$13,Paramètres!$A$1:$I$89,3,0)*VLOOKUP('Données projet'!$B$13,Paramètres!$A$1:$I$89,5,0)</f>
        <v>248.25839999999994</v>
      </c>
      <c r="CV137" s="14">
        <f t="shared" si="149"/>
        <v>60.2128518256973</v>
      </c>
      <c r="CW137" s="22">
        <f t="shared" si="121"/>
        <v>537.25409692975597</v>
      </c>
      <c r="CX137" s="62">
        <f t="shared" si="122"/>
        <v>830.58743026308935</v>
      </c>
      <c r="CY137" s="62">
        <f ca="1">AVERAGE(OFFSET($CX$3,0,0,'Données projet'!$E$13+1,1))-AVERAGE(OFFSET($H$3,0,0,'Données projet'!$E$13+1,1))</f>
        <v>399.78832690250164</v>
      </c>
      <c r="CZ137" s="62">
        <f t="shared" si="150"/>
        <v>174.32967064896343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>
        <f>EXP(-LN(2)/35)*DF136+(1-EXP(-LN(2)/35))/(LN(2)/35)*DB137*DC137*VLOOKUP('Données projet'!$B$13,Paramètres!$A$1:$I$89,3,0)*0.475*44/12</f>
        <v>0</v>
      </c>
      <c r="DG137" s="23">
        <f>EXP(-LN(2)/25)*DG136+(1-EXP(-LN(2)/25))/(LN(2)/25)*Calculateur!DB137*Calculateur!DD137*VLOOKUP('Données projet'!$B$13,Paramètres!$A$1:$I$89,3,0)*0.475*44/12</f>
        <v>0</v>
      </c>
      <c r="DH137" s="23">
        <f>EXP(-LN(2)/2)*DH136+(1-EXP(-LN(2)/2))/(LN(2)/2)*DB137*DE137*VLOOKUP('Données projet'!$B$13,Paramètres!$A$1:$I$89,3,0)*0.475*44/12</f>
        <v>0</v>
      </c>
      <c r="DI137" s="24">
        <f t="shared" si="123"/>
        <v>0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2.7</v>
      </c>
      <c r="DO137" s="13">
        <f>IF('Données projet'!$A$166&gt;35,DO136+DN137-DW136,IF(A137&lt;'Données projet'!$A$166,$DL$205^A137,IF(A137='Données projet'!$A$166,'Données projet'!$B$166,DO136+DN137-DW136)))</f>
        <v>279.79999999999933</v>
      </c>
      <c r="DP137" s="18">
        <f>DO137*VLOOKUP('Données projet'!$B$14,Paramètres!$A$1:$I$89,3,0)*VLOOKUP('Données projet'!$B$14,Paramètres!$A$1:$I$89,5,0)</f>
        <v>235.70351999999946</v>
      </c>
      <c r="DQ137" s="14">
        <f t="shared" si="151"/>
        <v>57.51415226456087</v>
      </c>
      <c r="DR137" s="22">
        <f t="shared" si="124"/>
        <v>510.68744586077599</v>
      </c>
      <c r="DS137" s="62">
        <f t="shared" si="125"/>
        <v>804.02077919410931</v>
      </c>
      <c r="DT137" s="62">
        <f ca="1">AVERAGE(OFFSET($DS$3,0,0,'Données projet'!$E$14+1,1))-AVERAGE(OFFSET($H$3,0,0,'Données projet'!$E$14+1,1))</f>
        <v>402.15128814037058</v>
      </c>
      <c r="DU137" s="62">
        <f t="shared" si="152"/>
        <v>232.85411068442738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>
        <f>EXP(-LN(2)/35)*EA136+(1-EXP(-LN(2)/35))/(LN(2)/35)*DW137*DX137*VLOOKUP('Données projet'!$B$14,Paramètres!$A$1:$I$89,3,0)*0.475*44/12</f>
        <v>0</v>
      </c>
      <c r="EB137" s="23">
        <f>EXP(-LN(2)/25)*EB136+(1-EXP(-LN(2)/25))/(LN(2)/25)*Calculateur!DW137*Calculateur!DY137*VLOOKUP('Données projet'!$B$14,Paramètres!$A$1:$I$89,3,0)*0.475*44/12</f>
        <v>0</v>
      </c>
      <c r="EC137" s="23">
        <f>EXP(-LN(2)/2)*EC136+(1-EXP(-LN(2)/2))/(LN(2)/2)*DW137*DZ137*VLOOKUP('Données projet'!$B$14,Paramètres!$A$1:$I$89,3,0)*0.475*44/12</f>
        <v>0</v>
      </c>
      <c r="ED137" s="24">
        <f t="shared" si="126"/>
        <v>0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6.2527760746888816E-13</v>
      </c>
      <c r="EK137" s="18">
        <f>EJ137*VLOOKUP('Données projet'!$B$15,Paramètres!$A$1:$I$89,3,0)*VLOOKUP('Données projet'!$B$15,Paramètres!$A$1:$I$89,5,0)</f>
        <v>6.5354015532648198E-13</v>
      </c>
      <c r="EL137" s="14">
        <f t="shared" si="153"/>
        <v>7.8909019831354483E-12</v>
      </c>
      <c r="EM137" s="22">
        <f t="shared" si="127"/>
        <v>1.4881570057821194E-11</v>
      </c>
      <c r="EN137" s="62">
        <f t="shared" si="128"/>
        <v>293.33333333334821</v>
      </c>
      <c r="EO137" s="62">
        <f ca="1">AVERAGE(OFFSET($EN$3,0,0,'Données projet'!$E$15+1,1))-AVERAGE(OFFSET($H$3,0,0,'Données projet'!$E$15+1,1))</f>
        <v>595.89992279024398</v>
      </c>
      <c r="EP137" s="62">
        <f t="shared" si="154"/>
        <v>378.16197659288338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>
        <f>EXP(-LN(2)/35)*EV136+(1-EXP(-LN(2)/35))/(LN(2)/35)*ER137*ES137*VLOOKUP('Données projet'!$B$15,Paramètres!$A$1:$I$89,3,0)*0.475*44/12</f>
        <v>0</v>
      </c>
      <c r="EW137" s="23">
        <f>EXP(-LN(2)/25)*EW136+(1-EXP(-LN(2)/25))/(LN(2)/25)*Calculateur!ER137*Calculateur!ET137*VLOOKUP('Données projet'!$B$15,Paramètres!$A$1:$I$89,3,0)*0.475*44/12</f>
        <v>0</v>
      </c>
      <c r="EX137" s="23">
        <f>EXP(-LN(2)/2)*EX136+(1-EXP(-LN(2)/2))/(LN(2)/2)*ER137*EU137*VLOOKUP('Données projet'!$B$15,Paramètres!$A$1:$I$89,3,0)*0.475*44/12</f>
        <v>0</v>
      </c>
      <c r="EY137" s="24">
        <f t="shared" si="129"/>
        <v>0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-2.2737367544323206E-13</v>
      </c>
      <c r="FF137" s="18">
        <f>FE137*VLOOKUP('Données projet'!$B$16,Paramètres!$A$1:$I$89,3,0)*VLOOKUP('Données projet'!$B$16,Paramètres!$A$1:$I$89,5,0)</f>
        <v>-1.3596945791505279E-13</v>
      </c>
      <c r="FG137" s="14" t="e">
        <f t="shared" si="155"/>
        <v>#NUM!</v>
      </c>
      <c r="FH137" s="22" t="e">
        <f t="shared" si="130"/>
        <v>#NUM!</v>
      </c>
      <c r="FI137" s="62" t="e">
        <f t="shared" si="131"/>
        <v>#NUM!</v>
      </c>
      <c r="FJ137" s="62">
        <f ca="1">AVERAGE(OFFSET($FI$3,0,0,'Données projet'!$E$16+1,1))-AVERAGE(OFFSET($H$3,0,0,'Données projet'!$E$16+1,1))</f>
        <v>257.56116197646924</v>
      </c>
      <c r="FK137" s="62">
        <f t="shared" si="156"/>
        <v>269.95556918835888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>
        <f>EXP(-LN(2)/35)*FQ136+(1-EXP(-LN(2)/35))/(LN(2)/35)*FM137*FN137*VLOOKUP('Données projet'!$B$16,Paramètres!$A$1:$I$89,3,0)*0.475*44/12</f>
        <v>1.8591367768833276</v>
      </c>
      <c r="FR137" s="23">
        <f>EXP(-LN(2)/25)*FR136+(1-EXP(-LN(2)/25))/(LN(2)/25)*Calculateur!FM137*Calculateur!FO137*VLOOKUP('Données projet'!$B$16,Paramètres!$A$1:$I$89,3,0)*0.475*44/12</f>
        <v>0.90302844361110179</v>
      </c>
      <c r="FS137" s="23">
        <f>EXP(-LN(2)/2)*FS136+(1-EXP(-LN(2)/2))/(LN(2)/2)*FM137*FP137*VLOOKUP('Données projet'!$B$16,Paramètres!$A$1:$I$89,3,0)*0.475*44/12</f>
        <v>1.899388073928195E-15</v>
      </c>
      <c r="FT137" s="24">
        <f t="shared" si="132"/>
        <v>2.7621652204944311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-2.8421709430404007E-13</v>
      </c>
      <c r="GA137" s="18">
        <f>FZ137*VLOOKUP('Données projet'!$B$17,Paramètres!$A$1:$I$89,3,0)*VLOOKUP('Données projet'!$B$17,Paramètres!$A$1:$I$89,5,0)</f>
        <v>-1.69961822393816E-13</v>
      </c>
      <c r="GB137" s="14" t="e">
        <f t="shared" si="157"/>
        <v>#NUM!</v>
      </c>
      <c r="GC137" s="22" t="e">
        <f t="shared" si="133"/>
        <v>#NUM!</v>
      </c>
      <c r="GD137" s="62" t="e">
        <f t="shared" si="134"/>
        <v>#NUM!</v>
      </c>
      <c r="GE137" s="62">
        <f ca="1">AVERAGE(OFFSET($GD$3,0,0,'Données projet'!$E$17+1,1))-AVERAGE(OFFSET($H$3,0,0,'Données projet'!$E$17+1,1))</f>
        <v>289.12367833861299</v>
      </c>
      <c r="GF137" s="62">
        <f t="shared" si="158"/>
        <v>229.06617320689003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>
        <f>EXP(-LN(2)/35)*GL136+(1-EXP(-LN(2)/35))/(LN(2)/35)*GH137*GI137*VLOOKUP('Données projet'!$B$17,Paramètres!$A$1:$I$89,3,0)*0.475*44/12</f>
        <v>0</v>
      </c>
      <c r="GM137" s="23">
        <f>EXP(-LN(2)/25)*GM136+(1-EXP(-LN(2)/25))/(LN(2)/25)*Calculateur!GH137*Calculateur!GJ137*VLOOKUP('Données projet'!$B$17,Paramètres!$A$1:$I$89,3,0)*0.475*44/12</f>
        <v>0</v>
      </c>
      <c r="GN137" s="23">
        <f>EXP(-LN(2)/2)*GN136+(1-EXP(-LN(2)/2))/(LN(2)/2)*GH137*GK137*VLOOKUP('Données projet'!$B$17,Paramètres!$A$1:$I$89,3,0)*0.475*44/12</f>
        <v>9.2078235658942231E-16</v>
      </c>
      <c r="GO137" s="23">
        <f t="shared" si="135"/>
        <v>9.2078235658942231E-16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-5.6843418860808015E-14</v>
      </c>
      <c r="GV137" s="18">
        <f>GU137*VLOOKUP('Données projet'!$B$18,Paramètres!$A$1:$I$89,3,0)*VLOOKUP('Données projet'!$B$18,Paramètres!$A$1:$I$89,5,0)</f>
        <v>-2.6602720026858149E-14</v>
      </c>
      <c r="GW137" s="14" t="e">
        <f t="shared" si="159"/>
        <v>#NUM!</v>
      </c>
      <c r="GX137" s="22" t="e">
        <f t="shared" si="136"/>
        <v>#NUM!</v>
      </c>
      <c r="GY137" s="62" t="e">
        <f t="shared" si="137"/>
        <v>#NUM!</v>
      </c>
      <c r="GZ137" s="62">
        <f ca="1">AVERAGE(OFFSET($GY$3,0,0,'Données projet'!$E$18+1,1))-AVERAGE(OFFSET($H$3,0,0,'Données projet'!$E$18+1,1))</f>
        <v>284.88646502866419</v>
      </c>
      <c r="HA137" s="62">
        <f t="shared" si="160"/>
        <v>190.4880882944471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>
        <f>EXP(-LN(2)/35)*HG136+(1-EXP(-LN(2)/35))/(LN(2)/35)*HC137*HD137*VLOOKUP('Données projet'!$B$18,Paramètres!$A$1:$I$89,3,0)*0.475*44/12</f>
        <v>0</v>
      </c>
      <c r="HH137" s="23">
        <f>EXP(-LN(2)/25)*HH136+(1-EXP(-LN(2)/25))/(LN(2)/25)*Calculateur!HC137*Calculateur!HE137*VLOOKUP('Données projet'!$B$18,Paramètres!$A$1:$I$89,3,0)*0.475*44/12</f>
        <v>0</v>
      </c>
      <c r="HI137" s="23">
        <f>EXP(-LN(2)/2)*HI136+(1-EXP(-LN(2)/2))/(LN(2)/2)*HC137*HF137*VLOOKUP('Données projet'!$B$18,Paramètres!$A$1:$I$89,3,0)*0.475*44/12</f>
        <v>0</v>
      </c>
      <c r="HJ137" s="24">
        <f t="shared" si="138"/>
        <v>0</v>
      </c>
    </row>
    <row r="138" spans="1:218" s="5" customFormat="1" x14ac:dyDescent="0.25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2">
        <f t="shared" si="140"/>
        <v>0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0</v>
      </c>
      <c r="H138" s="70">
        <f t="shared" si="110"/>
        <v>256.66666666666669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-1.1368683772161603E-13</v>
      </c>
      <c r="O138" s="14">
        <f>N138*VLOOKUP('Données projet'!$B$9,Paramètres!$A$1:$I$89,3,0)*VLOOKUP('Données projet'!$B$9,Paramètres!$A$1:$I$89,5,0)</f>
        <v>-1.0818439477588981E-13</v>
      </c>
      <c r="P138" s="14" t="e">
        <f t="shared" si="141"/>
        <v>#NUM!</v>
      </c>
      <c r="Q138" s="22" t="e">
        <f t="shared" si="108"/>
        <v>#NUM!</v>
      </c>
      <c r="R138" s="62" t="e">
        <f t="shared" si="109"/>
        <v>#NUM!</v>
      </c>
      <c r="S138" s="62">
        <f ca="1">AVERAGE(OFFSET($R$3,0,0,'Données projet'!$E$9+1,1))-AVERAGE(OFFSET($H$3,0,0,'Données projet'!$E$9+1,1))</f>
        <v>367.11183928586667</v>
      </c>
      <c r="T138" s="62">
        <f t="shared" si="142"/>
        <v>281.52963027844595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0</v>
      </c>
      <c r="AA138" s="23">
        <f>EXP(-LN(2)/25)*AA137+(1-EXP(-LN(2)/25))/(LN(2)/25)*Calculateur!V138*Calculateur!X138*VLOOKUP('Données projet'!$B$9,Paramètres!$A$1:$I$89,3,0)*0.475*44/12</f>
        <v>0</v>
      </c>
      <c r="AB138" s="23">
        <f>EXP(-LN(2)/2)*AB137+(1-EXP(-LN(2)/2))/(LN(2)/2)*V138*Y138*VLOOKUP('Données projet'!$B$9,Paramètres!$A$1:$I$89,3,0)*0.475*44/12</f>
        <v>0</v>
      </c>
      <c r="AC138" s="24">
        <f t="shared" si="111"/>
        <v>0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2.7</v>
      </c>
      <c r="AI138" s="14">
        <f>IF('Données projet'!$A$62&gt;35,AI137+AH138-AQ137,IF(A138&lt;'Données projet'!$A$62,$AF$205^A138,IF(A138='Données projet'!$A$62,'Données projet'!$B$62,AI137+AH138-AQ137)))</f>
        <v>282.49999999999932</v>
      </c>
      <c r="AJ138" s="14">
        <f>AI138*VLOOKUP('Données projet'!$B$10,Paramètres!$A$1:$I$89,3,0)*VLOOKUP('Données projet'!$B$10,Paramètres!$A$1:$I$89,5,0)</f>
        <v>255.60599999999937</v>
      </c>
      <c r="AK138" s="14">
        <f t="shared" si="143"/>
        <v>61.784827631732192</v>
      </c>
      <c r="AL138" s="22">
        <f t="shared" si="112"/>
        <v>552.78902479193243</v>
      </c>
      <c r="AM138" s="62">
        <f t="shared" si="113"/>
        <v>846.12235812526569</v>
      </c>
      <c r="AN138" s="62">
        <f ca="1">AVERAGE(OFFSET($AM$3,0,0,'Données projet'!$E$10+1,1))-AVERAGE(OFFSET($H$3,0,0,'Données projet'!$E$10+1,1))</f>
        <v>428.8489304403459</v>
      </c>
      <c r="AO138" s="62">
        <f t="shared" si="144"/>
        <v>247.01165577562966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0</v>
      </c>
      <c r="AV138" s="23">
        <f>EXP(-LN(2)/25)*AV137+(1-EXP(-LN(2)/25))/(LN(2)/25)*Calculateur!AQ138*Calculateur!AS138*VLOOKUP('Données projet'!$B$10,Paramètres!$A$1:$I$89,3,0)*0.475*44/12</f>
        <v>0</v>
      </c>
      <c r="AW138" s="23">
        <f>EXP(-LN(2)/2)*AW137+(1-EXP(-LN(2)/2))/(LN(2)/2)*AQ138*AT138*VLOOKUP('Données projet'!$B$10,Paramètres!$A$1:$I$89,3,0)*0.475*44/12</f>
        <v>0</v>
      </c>
      <c r="AX138" s="23">
        <f t="shared" si="114"/>
        <v>0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2.7</v>
      </c>
      <c r="BD138" s="13">
        <f>IF('Données projet'!$A$88&gt;35,BD137+BC138-BL137,IF(A138&lt;'Données projet'!$A$88,$BA$205^A138,IF(A138='Données projet'!$A$88,'Données projet'!$B$88,BD137+BC138-BL137)))</f>
        <v>282.49999999999932</v>
      </c>
      <c r="BE138" s="14">
        <f>BD138*VLOOKUP('Données projet'!$B$11,Paramètres!$A$1:$I$89,3,0)*VLOOKUP('Données projet'!$B$11,Paramètres!$A$1:$I$89,5,0)</f>
        <v>286.45499999999936</v>
      </c>
      <c r="BF138" s="14">
        <f t="shared" si="145"/>
        <v>68.329321179865531</v>
      </c>
      <c r="BG138" s="22">
        <f t="shared" si="115"/>
        <v>617.91602605493142</v>
      </c>
      <c r="BH138" s="62">
        <f t="shared" si="116"/>
        <v>911.24935938826479</v>
      </c>
      <c r="BI138" s="62">
        <f ca="1">AVERAGE(OFFSET($BH$3,0,0,'Données projet'!$E$11+1,1))-AVERAGE(OFFSET($H$3,0,0,'Données projet'!$E$11+1,1))</f>
        <v>475.47920969424894</v>
      </c>
      <c r="BJ138" s="62">
        <f t="shared" si="146"/>
        <v>271.73544012419364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>
        <f>EXP(-LN(2)/35)*BP137+(1-EXP(-LN(2)/35))/(LN(2)/35)*BL138*BM138*VLOOKUP('Données projet'!$B$11,Paramètres!$A$1:$I$89,3,0)*0.475*44/12</f>
        <v>0</v>
      </c>
      <c r="BQ138" s="23">
        <f>EXP(-LN(2)/25)*BQ137+(1-EXP(-LN(2)/25))/(LN(2)/25)*Calculateur!BL138*Calculateur!BN138*VLOOKUP('Données projet'!$B$11,Paramètres!$A$1:$I$89,3,0)*0.475*44/12</f>
        <v>0</v>
      </c>
      <c r="BR138" s="23">
        <f>EXP(-LN(2)/2)*BR137+(1-EXP(-LN(2)/2))/(LN(2)/2)*BL138*BO138*VLOOKUP('Données projet'!$B$11,Paramètres!$A$1:$I$89,3,0)*0.475*44/12</f>
        <v>0</v>
      </c>
      <c r="BS138" s="24">
        <f t="shared" si="117"/>
        <v>0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2.2737367544323206E-13</v>
      </c>
      <c r="BZ138" s="14">
        <f>BY138*VLOOKUP('Données projet'!$B$12,Paramètres!$A$1:$I$89,3,0)*VLOOKUP('Données projet'!$B$12,Paramètres!$A$1:$I$89,5,0)</f>
        <v>1.2710188457276673E-13</v>
      </c>
      <c r="CA138" s="14">
        <f t="shared" si="147"/>
        <v>1.856866851063998E-12</v>
      </c>
      <c r="CB138" s="22">
        <f t="shared" si="118"/>
        <v>3.4554122145673649E-12</v>
      </c>
      <c r="CC138" s="62">
        <f t="shared" si="119"/>
        <v>293.33333333333678</v>
      </c>
      <c r="CD138" s="62">
        <f ca="1">AVERAGE(OFFSET($CC$3,0,0,'Données projet'!$E$12+1,1))-AVERAGE(OFFSET($H$3,0,0,'Données projet'!$E$12+1,1))</f>
        <v>323.98185264074681</v>
      </c>
      <c r="CE138" s="62">
        <f t="shared" si="148"/>
        <v>301.22207291854005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>
        <f>EXP(-LN(2)/35)*CK137+(1-EXP(-LN(2)/35))/(LN(2)/35)*CG138*CH138*VLOOKUP('Données projet'!$B$12,Paramètres!$A$1:$I$89,3,0)*0.475*44/12</f>
        <v>0.55779012773359027</v>
      </c>
      <c r="CL138" s="23">
        <f>EXP(-LN(2)/25)*CL137+(1-EXP(-LN(2)/25))/(LN(2)/25)*Calculateur!CG138*Calculateur!CI138*VLOOKUP('Données projet'!$B$12,Paramètres!$A$1:$I$89,3,0)*0.475*44/12</f>
        <v>0.44873070926347769</v>
      </c>
      <c r="CM138" s="23">
        <f>EXP(-LN(2)/2)*CM137+(1-EXP(-LN(2)/2))/(LN(2)/2)*CG138*CJ138*VLOOKUP('Données projet'!$B$12,Paramètres!$A$1:$I$89,3,0)*0.475*44/12</f>
        <v>9.5584201426391961E-16</v>
      </c>
      <c r="CN138" s="24">
        <f t="shared" si="120"/>
        <v>1.0065208369970688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1.5</v>
      </c>
      <c r="CT138" s="13">
        <f>IF('Données projet'!$A$140&gt;35,CT137+CS138-DB137,IF(A138&lt;'Données projet'!$A$140,$CQ$205^A138,IF(A138='Données projet'!$A$140,'Données projet'!$B$140,CT137+CS138-DB137)))</f>
        <v>219.49999999999994</v>
      </c>
      <c r="CU138" s="18">
        <f>CT138*VLOOKUP('Données projet'!$B$13,Paramètres!$A$1:$I$89,3,0)*VLOOKUP('Données projet'!$B$13,Paramètres!$A$1:$I$89,5,0)</f>
        <v>249.96659999999994</v>
      </c>
      <c r="CV138" s="14">
        <f t="shared" si="149"/>
        <v>60.57878868942241</v>
      </c>
      <c r="CW138" s="22">
        <f t="shared" si="121"/>
        <v>540.8665519674106</v>
      </c>
      <c r="CX138" s="62">
        <f t="shared" si="122"/>
        <v>834.19988530074397</v>
      </c>
      <c r="CY138" s="62">
        <f ca="1">AVERAGE(OFFSET($CX$3,0,0,'Données projet'!$E$13+1,1))-AVERAGE(OFFSET($H$3,0,0,'Données projet'!$E$13+1,1))</f>
        <v>399.78832690250164</v>
      </c>
      <c r="CZ138" s="62">
        <f t="shared" si="150"/>
        <v>174.32967064896343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>
        <f>EXP(-LN(2)/35)*DF137+(1-EXP(-LN(2)/35))/(LN(2)/35)*DB138*DC138*VLOOKUP('Données projet'!$B$13,Paramètres!$A$1:$I$89,3,0)*0.475*44/12</f>
        <v>0</v>
      </c>
      <c r="DG138" s="23">
        <f>EXP(-LN(2)/25)*DG137+(1-EXP(-LN(2)/25))/(LN(2)/25)*Calculateur!DB138*Calculateur!DD138*VLOOKUP('Données projet'!$B$13,Paramètres!$A$1:$I$89,3,0)*0.475*44/12</f>
        <v>0</v>
      </c>
      <c r="DH138" s="23">
        <f>EXP(-LN(2)/2)*DH137+(1-EXP(-LN(2)/2))/(LN(2)/2)*DB138*DE138*VLOOKUP('Données projet'!$B$13,Paramètres!$A$1:$I$89,3,0)*0.475*44/12</f>
        <v>0</v>
      </c>
      <c r="DI138" s="24">
        <f t="shared" si="123"/>
        <v>0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2.7</v>
      </c>
      <c r="DO138" s="13">
        <f>IF('Données projet'!$A$166&gt;35,DO137+DN138-DW137,IF(A138&lt;'Données projet'!$A$166,$DL$205^A138,IF(A138='Données projet'!$A$166,'Données projet'!$B$166,DO137+DN138-DW137)))</f>
        <v>282.49999999999932</v>
      </c>
      <c r="DP138" s="18">
        <f>DO138*VLOOKUP('Données projet'!$B$14,Paramètres!$A$1:$I$89,3,0)*VLOOKUP('Données projet'!$B$14,Paramètres!$A$1:$I$89,5,0)</f>
        <v>237.97799999999944</v>
      </c>
      <c r="DQ138" s="14">
        <f t="shared" si="151"/>
        <v>58.004273343583726</v>
      </c>
      <c r="DR138" s="22">
        <f t="shared" si="124"/>
        <v>515.50245940674063</v>
      </c>
      <c r="DS138" s="62">
        <f t="shared" si="125"/>
        <v>808.83579274007388</v>
      </c>
      <c r="DT138" s="62">
        <f ca="1">AVERAGE(OFFSET($DS$3,0,0,'Données projet'!$E$14+1,1))-AVERAGE(OFFSET($H$3,0,0,'Données projet'!$E$14+1,1))</f>
        <v>402.15128814037058</v>
      </c>
      <c r="DU138" s="62">
        <f t="shared" si="152"/>
        <v>232.85411068442738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>
        <f>EXP(-LN(2)/35)*EA137+(1-EXP(-LN(2)/35))/(LN(2)/35)*DW138*DX138*VLOOKUP('Données projet'!$B$14,Paramètres!$A$1:$I$89,3,0)*0.475*44/12</f>
        <v>0</v>
      </c>
      <c r="EB138" s="23">
        <f>EXP(-LN(2)/25)*EB137+(1-EXP(-LN(2)/25))/(LN(2)/25)*Calculateur!DW138*Calculateur!DY138*VLOOKUP('Données projet'!$B$14,Paramètres!$A$1:$I$89,3,0)*0.475*44/12</f>
        <v>0</v>
      </c>
      <c r="EC138" s="23">
        <f>EXP(-LN(2)/2)*EC137+(1-EXP(-LN(2)/2))/(LN(2)/2)*DW138*DZ138*VLOOKUP('Données projet'!$B$14,Paramètres!$A$1:$I$89,3,0)*0.475*44/12</f>
        <v>0</v>
      </c>
      <c r="ED138" s="24">
        <f t="shared" si="126"/>
        <v>0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6.2527760746888816E-13</v>
      </c>
      <c r="EK138" s="18">
        <f>EJ138*VLOOKUP('Données projet'!$B$15,Paramètres!$A$1:$I$89,3,0)*VLOOKUP('Données projet'!$B$15,Paramètres!$A$1:$I$89,5,0)</f>
        <v>6.5354015532648198E-13</v>
      </c>
      <c r="EL138" s="14">
        <f t="shared" si="153"/>
        <v>7.8909019831354483E-12</v>
      </c>
      <c r="EM138" s="22">
        <f t="shared" si="127"/>
        <v>1.4881570057821194E-11</v>
      </c>
      <c r="EN138" s="62">
        <f t="shared" si="128"/>
        <v>293.33333333334821</v>
      </c>
      <c r="EO138" s="62">
        <f ca="1">AVERAGE(OFFSET($EN$3,0,0,'Données projet'!$E$15+1,1))-AVERAGE(OFFSET($H$3,0,0,'Données projet'!$E$15+1,1))</f>
        <v>595.89992279024398</v>
      </c>
      <c r="EP138" s="62">
        <f t="shared" si="154"/>
        <v>378.16197659288338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>
        <f>EXP(-LN(2)/35)*EV137+(1-EXP(-LN(2)/35))/(LN(2)/35)*ER138*ES138*VLOOKUP('Données projet'!$B$15,Paramètres!$A$1:$I$89,3,0)*0.475*44/12</f>
        <v>0</v>
      </c>
      <c r="EW138" s="23">
        <f>EXP(-LN(2)/25)*EW137+(1-EXP(-LN(2)/25))/(LN(2)/25)*Calculateur!ER138*Calculateur!ET138*VLOOKUP('Données projet'!$B$15,Paramètres!$A$1:$I$89,3,0)*0.475*44/12</f>
        <v>0</v>
      </c>
      <c r="EX138" s="23">
        <f>EXP(-LN(2)/2)*EX137+(1-EXP(-LN(2)/2))/(LN(2)/2)*ER138*EU138*VLOOKUP('Données projet'!$B$15,Paramètres!$A$1:$I$89,3,0)*0.475*44/12</f>
        <v>0</v>
      </c>
      <c r="EY138" s="24">
        <f t="shared" si="129"/>
        <v>0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-2.2737367544323206E-13</v>
      </c>
      <c r="FF138" s="18">
        <f>FE138*VLOOKUP('Données projet'!$B$16,Paramètres!$A$1:$I$89,3,0)*VLOOKUP('Données projet'!$B$16,Paramètres!$A$1:$I$89,5,0)</f>
        <v>-1.3596945791505279E-13</v>
      </c>
      <c r="FG138" s="14" t="e">
        <f t="shared" si="155"/>
        <v>#NUM!</v>
      </c>
      <c r="FH138" s="22" t="e">
        <f t="shared" si="130"/>
        <v>#NUM!</v>
      </c>
      <c r="FI138" s="62" t="e">
        <f t="shared" si="131"/>
        <v>#NUM!</v>
      </c>
      <c r="FJ138" s="62">
        <f ca="1">AVERAGE(OFFSET($FI$3,0,0,'Données projet'!$E$16+1,1))-AVERAGE(OFFSET($H$3,0,0,'Données projet'!$E$16+1,1))</f>
        <v>257.56116197646924</v>
      </c>
      <c r="FK138" s="62">
        <f t="shared" si="156"/>
        <v>269.95556918835888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>
        <f>EXP(-LN(2)/35)*FQ137+(1-EXP(-LN(2)/35))/(LN(2)/35)*FM138*FN138*VLOOKUP('Données projet'!$B$16,Paramètres!$A$1:$I$89,3,0)*0.475*44/12</f>
        <v>1.82268023865011</v>
      </c>
      <c r="FR138" s="23">
        <f>EXP(-LN(2)/25)*FR137+(1-EXP(-LN(2)/25))/(LN(2)/25)*Calculateur!FM138*Calculateur!FO138*VLOOKUP('Données projet'!$B$16,Paramètres!$A$1:$I$89,3,0)*0.475*44/12</f>
        <v>0.87833508333235422</v>
      </c>
      <c r="FS138" s="23">
        <f>EXP(-LN(2)/2)*FS137+(1-EXP(-LN(2)/2))/(LN(2)/2)*FM138*FP138*VLOOKUP('Données projet'!$B$16,Paramètres!$A$1:$I$89,3,0)*0.475*44/12</f>
        <v>1.3430701871794822E-15</v>
      </c>
      <c r="FT138" s="24">
        <f t="shared" si="132"/>
        <v>2.7010153219824655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-2.8421709430404007E-13</v>
      </c>
      <c r="GA138" s="18">
        <f>FZ138*VLOOKUP('Données projet'!$B$17,Paramètres!$A$1:$I$89,3,0)*VLOOKUP('Données projet'!$B$17,Paramètres!$A$1:$I$89,5,0)</f>
        <v>-1.69961822393816E-13</v>
      </c>
      <c r="GB138" s="14" t="e">
        <f t="shared" si="157"/>
        <v>#NUM!</v>
      </c>
      <c r="GC138" s="22" t="e">
        <f t="shared" si="133"/>
        <v>#NUM!</v>
      </c>
      <c r="GD138" s="62" t="e">
        <f t="shared" si="134"/>
        <v>#NUM!</v>
      </c>
      <c r="GE138" s="62">
        <f ca="1">AVERAGE(OFFSET($GD$3,0,0,'Données projet'!$E$17+1,1))-AVERAGE(OFFSET($H$3,0,0,'Données projet'!$E$17+1,1))</f>
        <v>289.12367833861299</v>
      </c>
      <c r="GF138" s="62">
        <f t="shared" si="158"/>
        <v>229.06617320689003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>
        <f>EXP(-LN(2)/35)*GL137+(1-EXP(-LN(2)/35))/(LN(2)/35)*GH138*GI138*VLOOKUP('Données projet'!$B$17,Paramètres!$A$1:$I$89,3,0)*0.475*44/12</f>
        <v>0</v>
      </c>
      <c r="GM138" s="23">
        <f>EXP(-LN(2)/25)*GM137+(1-EXP(-LN(2)/25))/(LN(2)/25)*Calculateur!GH138*Calculateur!GJ138*VLOOKUP('Données projet'!$B$17,Paramètres!$A$1:$I$89,3,0)*0.475*44/12</f>
        <v>0</v>
      </c>
      <c r="GN138" s="23">
        <f>EXP(-LN(2)/2)*GN137+(1-EXP(-LN(2)/2))/(LN(2)/2)*GH138*GK138*VLOOKUP('Données projet'!$B$17,Paramètres!$A$1:$I$89,3,0)*0.475*44/12</f>
        <v>6.5109144834131023E-16</v>
      </c>
      <c r="GO138" s="23">
        <f t="shared" si="135"/>
        <v>6.5109144834131023E-16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-5.6843418860808015E-14</v>
      </c>
      <c r="GV138" s="18">
        <f>GU138*VLOOKUP('Données projet'!$B$18,Paramètres!$A$1:$I$89,3,0)*VLOOKUP('Données projet'!$B$18,Paramètres!$A$1:$I$89,5,0)</f>
        <v>-2.6602720026858149E-14</v>
      </c>
      <c r="GW138" s="14" t="e">
        <f t="shared" si="159"/>
        <v>#NUM!</v>
      </c>
      <c r="GX138" s="22" t="e">
        <f t="shared" si="136"/>
        <v>#NUM!</v>
      </c>
      <c r="GY138" s="62" t="e">
        <f t="shared" si="137"/>
        <v>#NUM!</v>
      </c>
      <c r="GZ138" s="62">
        <f ca="1">AVERAGE(OFFSET($GY$3,0,0,'Données projet'!$E$18+1,1))-AVERAGE(OFFSET($H$3,0,0,'Données projet'!$E$18+1,1))</f>
        <v>284.88646502866419</v>
      </c>
      <c r="HA138" s="62">
        <f t="shared" si="160"/>
        <v>190.4880882944471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>
        <f>EXP(-LN(2)/35)*HG137+(1-EXP(-LN(2)/35))/(LN(2)/35)*HC138*HD138*VLOOKUP('Données projet'!$B$18,Paramètres!$A$1:$I$89,3,0)*0.475*44/12</f>
        <v>0</v>
      </c>
      <c r="HH138" s="23">
        <f>EXP(-LN(2)/25)*HH137+(1-EXP(-LN(2)/25))/(LN(2)/25)*Calculateur!HC138*Calculateur!HE138*VLOOKUP('Données projet'!$B$18,Paramètres!$A$1:$I$89,3,0)*0.475*44/12</f>
        <v>0</v>
      </c>
      <c r="HI138" s="23">
        <f>EXP(-LN(2)/2)*HI137+(1-EXP(-LN(2)/2))/(LN(2)/2)*HC138*HF138*VLOOKUP('Données projet'!$B$18,Paramètres!$A$1:$I$89,3,0)*0.475*44/12</f>
        <v>0</v>
      </c>
      <c r="HJ138" s="24">
        <f t="shared" si="138"/>
        <v>0</v>
      </c>
    </row>
    <row r="139" spans="1:218" s="5" customFormat="1" x14ac:dyDescent="0.25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2">
        <f t="shared" si="140"/>
        <v>0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0</v>
      </c>
      <c r="H139" s="70">
        <f t="shared" si="110"/>
        <v>256.66666666666669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-1.1368683772161603E-13</v>
      </c>
      <c r="O139" s="14">
        <f>N139*VLOOKUP('Données projet'!$B$9,Paramètres!$A$1:$I$89,3,0)*VLOOKUP('Données projet'!$B$9,Paramètres!$A$1:$I$89,5,0)</f>
        <v>-1.0818439477588981E-13</v>
      </c>
      <c r="P139" s="14" t="e">
        <f t="shared" si="141"/>
        <v>#NUM!</v>
      </c>
      <c r="Q139" s="22" t="e">
        <f t="shared" si="108"/>
        <v>#NUM!</v>
      </c>
      <c r="R139" s="62" t="e">
        <f t="shared" si="109"/>
        <v>#NUM!</v>
      </c>
      <c r="S139" s="62">
        <f ca="1">AVERAGE(OFFSET($R$3,0,0,'Données projet'!$E$9+1,1))-AVERAGE(OFFSET($H$3,0,0,'Données projet'!$E$9+1,1))</f>
        <v>367.11183928586667</v>
      </c>
      <c r="T139" s="62">
        <f t="shared" si="142"/>
        <v>281.52963027844595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0</v>
      </c>
      <c r="AA139" s="23">
        <f>EXP(-LN(2)/25)*AA138+(1-EXP(-LN(2)/25))/(LN(2)/25)*Calculateur!V139*Calculateur!X139*VLOOKUP('Données projet'!$B$9,Paramètres!$A$1:$I$89,3,0)*0.475*44/12</f>
        <v>0</v>
      </c>
      <c r="AB139" s="23">
        <f>EXP(-LN(2)/2)*AB138+(1-EXP(-LN(2)/2))/(LN(2)/2)*V139*Y139*VLOOKUP('Données projet'!$B$9,Paramètres!$A$1:$I$89,3,0)*0.475*44/12</f>
        <v>0</v>
      </c>
      <c r="AC139" s="24">
        <f t="shared" si="111"/>
        <v>0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2.7</v>
      </c>
      <c r="AI139" s="14">
        <f>IF('Données projet'!$A$62&gt;35,AI138+AH139-AQ138,IF(A139&lt;'Données projet'!$A$62,$AF$205^A139,IF(A139='Données projet'!$A$62,'Données projet'!$B$62,AI138+AH139-AQ138)))</f>
        <v>285.19999999999931</v>
      </c>
      <c r="AJ139" s="14">
        <f>AI139*VLOOKUP('Données projet'!$B$10,Paramètres!$A$1:$I$89,3,0)*VLOOKUP('Données projet'!$B$10,Paramètres!$A$1:$I$89,5,0)</f>
        <v>258.0489599999994</v>
      </c>
      <c r="AK139" s="14">
        <f t="shared" si="143"/>
        <v>62.306312932555649</v>
      </c>
      <c r="AL139" s="22">
        <f t="shared" si="112"/>
        <v>557.95210035753337</v>
      </c>
      <c r="AM139" s="62">
        <f t="shared" si="113"/>
        <v>851.28543369086674</v>
      </c>
      <c r="AN139" s="62">
        <f ca="1">AVERAGE(OFFSET($AM$3,0,0,'Données projet'!$E$10+1,1))-AVERAGE(OFFSET($H$3,0,0,'Données projet'!$E$10+1,1))</f>
        <v>428.8489304403459</v>
      </c>
      <c r="AO139" s="62">
        <f t="shared" si="144"/>
        <v>247.01165577562966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0</v>
      </c>
      <c r="AV139" s="23">
        <f>EXP(-LN(2)/25)*AV138+(1-EXP(-LN(2)/25))/(LN(2)/25)*Calculateur!AQ139*Calculateur!AS139*VLOOKUP('Données projet'!$B$10,Paramètres!$A$1:$I$89,3,0)*0.475*44/12</f>
        <v>0</v>
      </c>
      <c r="AW139" s="23">
        <f>EXP(-LN(2)/2)*AW138+(1-EXP(-LN(2)/2))/(LN(2)/2)*AQ139*AT139*VLOOKUP('Données projet'!$B$10,Paramètres!$A$1:$I$89,3,0)*0.475*44/12</f>
        <v>0</v>
      </c>
      <c r="AX139" s="23">
        <f t="shared" si="114"/>
        <v>0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2.7</v>
      </c>
      <c r="BD139" s="13">
        <f>IF('Données projet'!$A$88&gt;35,BD138+BC139-BL138,IF(A139&lt;'Données projet'!$A$88,$BA$205^A139,IF(A139='Données projet'!$A$88,'Données projet'!$B$88,BD138+BC139-BL138)))</f>
        <v>285.19999999999931</v>
      </c>
      <c r="BE139" s="14">
        <f>BD139*VLOOKUP('Données projet'!$B$11,Paramètres!$A$1:$I$89,3,0)*VLOOKUP('Données projet'!$B$11,Paramètres!$A$1:$I$89,5,0)</f>
        <v>289.19279999999935</v>
      </c>
      <c r="BF139" s="14">
        <f t="shared" si="145"/>
        <v>68.906044268306161</v>
      </c>
      <c r="BG139" s="22">
        <f t="shared" si="115"/>
        <v>623.68882043396547</v>
      </c>
      <c r="BH139" s="62">
        <f t="shared" si="116"/>
        <v>917.02215376729873</v>
      </c>
      <c r="BI139" s="62">
        <f ca="1">AVERAGE(OFFSET($BH$3,0,0,'Données projet'!$E$11+1,1))-AVERAGE(OFFSET($H$3,0,0,'Données projet'!$E$11+1,1))</f>
        <v>475.47920969424894</v>
      </c>
      <c r="BJ139" s="62">
        <f t="shared" si="146"/>
        <v>271.73544012419364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>
        <f>EXP(-LN(2)/35)*BP138+(1-EXP(-LN(2)/35))/(LN(2)/35)*BL139*BM139*VLOOKUP('Données projet'!$B$11,Paramètres!$A$1:$I$89,3,0)*0.475*44/12</f>
        <v>0</v>
      </c>
      <c r="BQ139" s="23">
        <f>EXP(-LN(2)/25)*BQ138+(1-EXP(-LN(2)/25))/(LN(2)/25)*Calculateur!BL139*Calculateur!BN139*VLOOKUP('Données projet'!$B$11,Paramètres!$A$1:$I$89,3,0)*0.475*44/12</f>
        <v>0</v>
      </c>
      <c r="BR139" s="23">
        <f>EXP(-LN(2)/2)*BR138+(1-EXP(-LN(2)/2))/(LN(2)/2)*BL139*BO139*VLOOKUP('Données projet'!$B$11,Paramètres!$A$1:$I$89,3,0)*0.475*44/12</f>
        <v>0</v>
      </c>
      <c r="BS139" s="24">
        <f t="shared" si="117"/>
        <v>0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2.2737367544323206E-13</v>
      </c>
      <c r="BZ139" s="14">
        <f>BY139*VLOOKUP('Données projet'!$B$12,Paramètres!$A$1:$I$89,3,0)*VLOOKUP('Données projet'!$B$12,Paramètres!$A$1:$I$89,5,0)</f>
        <v>1.2710188457276673E-13</v>
      </c>
      <c r="CA139" s="14">
        <f t="shared" si="147"/>
        <v>1.856866851063998E-12</v>
      </c>
      <c r="CB139" s="22">
        <f t="shared" si="118"/>
        <v>3.4554122145673649E-12</v>
      </c>
      <c r="CC139" s="62">
        <f t="shared" si="119"/>
        <v>293.33333333333678</v>
      </c>
      <c r="CD139" s="62">
        <f ca="1">AVERAGE(OFFSET($CC$3,0,0,'Données projet'!$E$12+1,1))-AVERAGE(OFFSET($H$3,0,0,'Données projet'!$E$12+1,1))</f>
        <v>323.98185264074681</v>
      </c>
      <c r="CE139" s="62">
        <f t="shared" si="148"/>
        <v>301.22207291854005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>
        <f>EXP(-LN(2)/35)*CK138+(1-EXP(-LN(2)/35))/(LN(2)/35)*CG139*CH139*VLOOKUP('Données projet'!$B$12,Paramètres!$A$1:$I$89,3,0)*0.475*44/12</f>
        <v>0.54685220354711872</v>
      </c>
      <c r="CL139" s="23">
        <f>EXP(-LN(2)/25)*CL138+(1-EXP(-LN(2)/25))/(LN(2)/25)*Calculateur!CG139*Calculateur!CI139*VLOOKUP('Données projet'!$B$12,Paramètres!$A$1:$I$89,3,0)*0.475*44/12</f>
        <v>0.4364601444209455</v>
      </c>
      <c r="CM139" s="23">
        <f>EXP(-LN(2)/2)*CM138+(1-EXP(-LN(2)/2))/(LN(2)/2)*CG139*CJ139*VLOOKUP('Données projet'!$B$12,Paramètres!$A$1:$I$89,3,0)*0.475*44/12</f>
        <v>6.7588237002902625E-16</v>
      </c>
      <c r="CN139" s="24">
        <f t="shared" si="120"/>
        <v>0.98331234796806488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1.5</v>
      </c>
      <c r="CT139" s="13">
        <f>IF('Données projet'!$A$140&gt;35,CT138+CS139-DB138,IF(A139&lt;'Données projet'!$A$140,$CQ$205^A139,IF(A139='Données projet'!$A$140,'Données projet'!$B$140,CT138+CS139-DB138)))</f>
        <v>220.99999999999994</v>
      </c>
      <c r="CU139" s="18">
        <f>CT139*VLOOKUP('Données projet'!$B$13,Paramètres!$A$1:$I$89,3,0)*VLOOKUP('Données projet'!$B$13,Paramètres!$A$1:$I$89,5,0)</f>
        <v>251.67479999999995</v>
      </c>
      <c r="CV139" s="14">
        <f t="shared" si="149"/>
        <v>60.944434584138449</v>
      </c>
      <c r="CW139" s="22">
        <f t="shared" si="121"/>
        <v>544.47850023404101</v>
      </c>
      <c r="CX139" s="62">
        <f t="shared" si="122"/>
        <v>837.81183356737438</v>
      </c>
      <c r="CY139" s="62">
        <f ca="1">AVERAGE(OFFSET($CX$3,0,0,'Données projet'!$E$13+1,1))-AVERAGE(OFFSET($H$3,0,0,'Données projet'!$E$13+1,1))</f>
        <v>399.78832690250164</v>
      </c>
      <c r="CZ139" s="62">
        <f t="shared" si="150"/>
        <v>174.32967064896343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>
        <f>EXP(-LN(2)/35)*DF138+(1-EXP(-LN(2)/35))/(LN(2)/35)*DB139*DC139*VLOOKUP('Données projet'!$B$13,Paramètres!$A$1:$I$89,3,0)*0.475*44/12</f>
        <v>0</v>
      </c>
      <c r="DG139" s="23">
        <f>EXP(-LN(2)/25)*DG138+(1-EXP(-LN(2)/25))/(LN(2)/25)*Calculateur!DB139*Calculateur!DD139*VLOOKUP('Données projet'!$B$13,Paramètres!$A$1:$I$89,3,0)*0.475*44/12</f>
        <v>0</v>
      </c>
      <c r="DH139" s="23">
        <f>EXP(-LN(2)/2)*DH138+(1-EXP(-LN(2)/2))/(LN(2)/2)*DB139*DE139*VLOOKUP('Données projet'!$B$13,Paramètres!$A$1:$I$89,3,0)*0.475*44/12</f>
        <v>0</v>
      </c>
      <c r="DI139" s="24">
        <f t="shared" si="123"/>
        <v>0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2.7</v>
      </c>
      <c r="DO139" s="13">
        <f>IF('Données projet'!$A$166&gt;35,DO138+DN139-DW138,IF(A139&lt;'Données projet'!$A$166,$DL$205^A139,IF(A139='Données projet'!$A$166,'Données projet'!$B$166,DO138+DN139-DW138)))</f>
        <v>285.19999999999931</v>
      </c>
      <c r="DP139" s="18">
        <f>DO139*VLOOKUP('Données projet'!$B$14,Paramètres!$A$1:$I$89,3,0)*VLOOKUP('Données projet'!$B$14,Paramètres!$A$1:$I$89,5,0)</f>
        <v>240.25247999999945</v>
      </c>
      <c r="DQ139" s="14">
        <f t="shared" si="151"/>
        <v>58.493849459485787</v>
      </c>
      <c r="DR139" s="22">
        <f t="shared" si="124"/>
        <v>520.31652380860351</v>
      </c>
      <c r="DS139" s="62">
        <f t="shared" si="125"/>
        <v>813.64985714193676</v>
      </c>
      <c r="DT139" s="62">
        <f ca="1">AVERAGE(OFFSET($DS$3,0,0,'Données projet'!$E$14+1,1))-AVERAGE(OFFSET($H$3,0,0,'Données projet'!$E$14+1,1))</f>
        <v>402.15128814037058</v>
      </c>
      <c r="DU139" s="62">
        <f t="shared" si="152"/>
        <v>232.85411068442738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>
        <f>EXP(-LN(2)/35)*EA138+(1-EXP(-LN(2)/35))/(LN(2)/35)*DW139*DX139*VLOOKUP('Données projet'!$B$14,Paramètres!$A$1:$I$89,3,0)*0.475*44/12</f>
        <v>0</v>
      </c>
      <c r="EB139" s="23">
        <f>EXP(-LN(2)/25)*EB138+(1-EXP(-LN(2)/25))/(LN(2)/25)*Calculateur!DW139*Calculateur!DY139*VLOOKUP('Données projet'!$B$14,Paramètres!$A$1:$I$89,3,0)*0.475*44/12</f>
        <v>0</v>
      </c>
      <c r="EC139" s="23">
        <f>EXP(-LN(2)/2)*EC138+(1-EXP(-LN(2)/2))/(LN(2)/2)*DW139*DZ139*VLOOKUP('Données projet'!$B$14,Paramètres!$A$1:$I$89,3,0)*0.475*44/12</f>
        <v>0</v>
      </c>
      <c r="ED139" s="24">
        <f t="shared" si="126"/>
        <v>0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6.2527760746888816E-13</v>
      </c>
      <c r="EK139" s="18">
        <f>EJ139*VLOOKUP('Données projet'!$B$15,Paramètres!$A$1:$I$89,3,0)*VLOOKUP('Données projet'!$B$15,Paramètres!$A$1:$I$89,5,0)</f>
        <v>6.5354015532648198E-13</v>
      </c>
      <c r="EL139" s="14">
        <f t="shared" si="153"/>
        <v>7.8909019831354483E-12</v>
      </c>
      <c r="EM139" s="22">
        <f t="shared" si="127"/>
        <v>1.4881570057821194E-11</v>
      </c>
      <c r="EN139" s="62">
        <f t="shared" si="128"/>
        <v>293.33333333334821</v>
      </c>
      <c r="EO139" s="62">
        <f ca="1">AVERAGE(OFFSET($EN$3,0,0,'Données projet'!$E$15+1,1))-AVERAGE(OFFSET($H$3,0,0,'Données projet'!$E$15+1,1))</f>
        <v>595.89992279024398</v>
      </c>
      <c r="EP139" s="62">
        <f t="shared" si="154"/>
        <v>378.16197659288338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>
        <f>EXP(-LN(2)/35)*EV138+(1-EXP(-LN(2)/35))/(LN(2)/35)*ER139*ES139*VLOOKUP('Données projet'!$B$15,Paramètres!$A$1:$I$89,3,0)*0.475*44/12</f>
        <v>0</v>
      </c>
      <c r="EW139" s="23">
        <f>EXP(-LN(2)/25)*EW138+(1-EXP(-LN(2)/25))/(LN(2)/25)*Calculateur!ER139*Calculateur!ET139*VLOOKUP('Données projet'!$B$15,Paramètres!$A$1:$I$89,3,0)*0.475*44/12</f>
        <v>0</v>
      </c>
      <c r="EX139" s="23">
        <f>EXP(-LN(2)/2)*EX138+(1-EXP(-LN(2)/2))/(LN(2)/2)*ER139*EU139*VLOOKUP('Données projet'!$B$15,Paramètres!$A$1:$I$89,3,0)*0.475*44/12</f>
        <v>0</v>
      </c>
      <c r="EY139" s="24">
        <f t="shared" si="129"/>
        <v>0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-2.2737367544323206E-13</v>
      </c>
      <c r="FF139" s="18">
        <f>FE139*VLOOKUP('Données projet'!$B$16,Paramètres!$A$1:$I$89,3,0)*VLOOKUP('Données projet'!$B$16,Paramètres!$A$1:$I$89,5,0)</f>
        <v>-1.3596945791505279E-13</v>
      </c>
      <c r="FG139" s="14" t="e">
        <f t="shared" si="155"/>
        <v>#NUM!</v>
      </c>
      <c r="FH139" s="22" t="e">
        <f t="shared" si="130"/>
        <v>#NUM!</v>
      </c>
      <c r="FI139" s="62" t="e">
        <f t="shared" si="131"/>
        <v>#NUM!</v>
      </c>
      <c r="FJ139" s="62">
        <f ca="1">AVERAGE(OFFSET($FI$3,0,0,'Données projet'!$E$16+1,1))-AVERAGE(OFFSET($H$3,0,0,'Données projet'!$E$16+1,1))</f>
        <v>257.56116197646924</v>
      </c>
      <c r="FK139" s="62">
        <f t="shared" si="156"/>
        <v>269.95556918835888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>
        <f>EXP(-LN(2)/35)*FQ138+(1-EXP(-LN(2)/35))/(LN(2)/35)*FM139*FN139*VLOOKUP('Données projet'!$B$16,Paramètres!$A$1:$I$89,3,0)*0.475*44/12</f>
        <v>1.7869385908953532</v>
      </c>
      <c r="FR139" s="23">
        <f>EXP(-LN(2)/25)*FR138+(1-EXP(-LN(2)/25))/(LN(2)/25)*Calculateur!FM139*Calculateur!FO139*VLOOKUP('Données projet'!$B$16,Paramètres!$A$1:$I$89,3,0)*0.475*44/12</f>
        <v>0.85431696428899639</v>
      </c>
      <c r="FS139" s="23">
        <f>EXP(-LN(2)/2)*FS138+(1-EXP(-LN(2)/2))/(LN(2)/2)*FM139*FP139*VLOOKUP('Données projet'!$B$16,Paramètres!$A$1:$I$89,3,0)*0.475*44/12</f>
        <v>9.4969403696409752E-16</v>
      </c>
      <c r="FT139" s="24">
        <f t="shared" si="132"/>
        <v>2.6412555551843506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-2.8421709430404007E-13</v>
      </c>
      <c r="GA139" s="18">
        <f>FZ139*VLOOKUP('Données projet'!$B$17,Paramètres!$A$1:$I$89,3,0)*VLOOKUP('Données projet'!$B$17,Paramètres!$A$1:$I$89,5,0)</f>
        <v>-1.69961822393816E-13</v>
      </c>
      <c r="GB139" s="14" t="e">
        <f t="shared" si="157"/>
        <v>#NUM!</v>
      </c>
      <c r="GC139" s="22" t="e">
        <f t="shared" si="133"/>
        <v>#NUM!</v>
      </c>
      <c r="GD139" s="62" t="e">
        <f t="shared" si="134"/>
        <v>#NUM!</v>
      </c>
      <c r="GE139" s="62">
        <f ca="1">AVERAGE(OFFSET($GD$3,0,0,'Données projet'!$E$17+1,1))-AVERAGE(OFFSET($H$3,0,0,'Données projet'!$E$17+1,1))</f>
        <v>289.12367833861299</v>
      </c>
      <c r="GF139" s="62">
        <f t="shared" si="158"/>
        <v>229.06617320689003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>
        <f>EXP(-LN(2)/35)*GL138+(1-EXP(-LN(2)/35))/(LN(2)/35)*GH139*GI139*VLOOKUP('Données projet'!$B$17,Paramètres!$A$1:$I$89,3,0)*0.475*44/12</f>
        <v>0</v>
      </c>
      <c r="GM139" s="23">
        <f>EXP(-LN(2)/25)*GM138+(1-EXP(-LN(2)/25))/(LN(2)/25)*Calculateur!GH139*Calculateur!GJ139*VLOOKUP('Données projet'!$B$17,Paramètres!$A$1:$I$89,3,0)*0.475*44/12</f>
        <v>0</v>
      </c>
      <c r="GN139" s="23">
        <f>EXP(-LN(2)/2)*GN138+(1-EXP(-LN(2)/2))/(LN(2)/2)*GH139*GK139*VLOOKUP('Données projet'!$B$17,Paramètres!$A$1:$I$89,3,0)*0.475*44/12</f>
        <v>4.6039117829471115E-16</v>
      </c>
      <c r="GO139" s="23">
        <f t="shared" si="135"/>
        <v>4.6039117829471115E-16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-5.6843418860808015E-14</v>
      </c>
      <c r="GV139" s="18">
        <f>GU139*VLOOKUP('Données projet'!$B$18,Paramètres!$A$1:$I$89,3,0)*VLOOKUP('Données projet'!$B$18,Paramètres!$A$1:$I$89,5,0)</f>
        <v>-2.6602720026858149E-14</v>
      </c>
      <c r="GW139" s="14" t="e">
        <f t="shared" si="159"/>
        <v>#NUM!</v>
      </c>
      <c r="GX139" s="22" t="e">
        <f t="shared" si="136"/>
        <v>#NUM!</v>
      </c>
      <c r="GY139" s="62" t="e">
        <f t="shared" si="137"/>
        <v>#NUM!</v>
      </c>
      <c r="GZ139" s="62">
        <f ca="1">AVERAGE(OFFSET($GY$3,0,0,'Données projet'!$E$18+1,1))-AVERAGE(OFFSET($H$3,0,0,'Données projet'!$E$18+1,1))</f>
        <v>284.88646502866419</v>
      </c>
      <c r="HA139" s="62">
        <f t="shared" si="160"/>
        <v>190.4880882944471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>
        <f>EXP(-LN(2)/35)*HG138+(1-EXP(-LN(2)/35))/(LN(2)/35)*HC139*HD139*VLOOKUP('Données projet'!$B$18,Paramètres!$A$1:$I$89,3,0)*0.475*44/12</f>
        <v>0</v>
      </c>
      <c r="HH139" s="23">
        <f>EXP(-LN(2)/25)*HH138+(1-EXP(-LN(2)/25))/(LN(2)/25)*Calculateur!HC139*Calculateur!HE139*VLOOKUP('Données projet'!$B$18,Paramètres!$A$1:$I$89,3,0)*0.475*44/12</f>
        <v>0</v>
      </c>
      <c r="HI139" s="23">
        <f>EXP(-LN(2)/2)*HI138+(1-EXP(-LN(2)/2))/(LN(2)/2)*HC139*HF139*VLOOKUP('Données projet'!$B$18,Paramètres!$A$1:$I$89,3,0)*0.475*44/12</f>
        <v>0</v>
      </c>
      <c r="HJ139" s="24">
        <f t="shared" si="138"/>
        <v>0</v>
      </c>
    </row>
    <row r="140" spans="1:218" s="5" customFormat="1" x14ac:dyDescent="0.25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2">
        <f t="shared" si="140"/>
        <v>0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0</v>
      </c>
      <c r="H140" s="70">
        <f t="shared" si="110"/>
        <v>256.66666666666669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-1.1368683772161603E-13</v>
      </c>
      <c r="O140" s="14">
        <f>N140*VLOOKUP('Données projet'!$B$9,Paramètres!$A$1:$I$89,3,0)*VLOOKUP('Données projet'!$B$9,Paramètres!$A$1:$I$89,5,0)</f>
        <v>-1.0818439477588981E-13</v>
      </c>
      <c r="P140" s="14" t="e">
        <f t="shared" si="141"/>
        <v>#NUM!</v>
      </c>
      <c r="Q140" s="22" t="e">
        <f t="shared" si="108"/>
        <v>#NUM!</v>
      </c>
      <c r="R140" s="62" t="e">
        <f t="shared" si="109"/>
        <v>#NUM!</v>
      </c>
      <c r="S140" s="62">
        <f ca="1">AVERAGE(OFFSET($R$3,0,0,'Données projet'!$E$9+1,1))-AVERAGE(OFFSET($H$3,0,0,'Données projet'!$E$9+1,1))</f>
        <v>367.11183928586667</v>
      </c>
      <c r="T140" s="62">
        <f t="shared" si="142"/>
        <v>281.52963027844595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0</v>
      </c>
      <c r="AA140" s="23">
        <f>EXP(-LN(2)/25)*AA139+(1-EXP(-LN(2)/25))/(LN(2)/25)*Calculateur!V140*Calculateur!X140*VLOOKUP('Données projet'!$B$9,Paramètres!$A$1:$I$89,3,0)*0.475*44/12</f>
        <v>0</v>
      </c>
      <c r="AB140" s="23">
        <f>EXP(-LN(2)/2)*AB139+(1-EXP(-LN(2)/2))/(LN(2)/2)*V140*Y140*VLOOKUP('Données projet'!$B$9,Paramètres!$A$1:$I$89,3,0)*0.475*44/12</f>
        <v>0</v>
      </c>
      <c r="AC140" s="24">
        <f t="shared" si="111"/>
        <v>0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2.7</v>
      </c>
      <c r="AI140" s="14">
        <f>IF('Données projet'!$A$62&gt;35,AI139+AH140-AQ139,IF(A140&lt;'Données projet'!$A$62,$AF$205^A140,IF(A140='Données projet'!$A$62,'Données projet'!$B$62,AI139+AH140-AQ139)))</f>
        <v>287.8999999999993</v>
      </c>
      <c r="AJ140" s="14">
        <f>AI140*VLOOKUP('Données projet'!$B$10,Paramètres!$A$1:$I$89,3,0)*VLOOKUP('Données projet'!$B$10,Paramètres!$A$1:$I$89,5,0)</f>
        <v>260.49191999999937</v>
      </c>
      <c r="AK140" s="14">
        <f t="shared" si="143"/>
        <v>62.827223883029681</v>
      </c>
      <c r="AL140" s="22">
        <f t="shared" si="112"/>
        <v>563.11417559627546</v>
      </c>
      <c r="AM140" s="62">
        <f t="shared" si="113"/>
        <v>856.44750892960883</v>
      </c>
      <c r="AN140" s="62">
        <f ca="1">AVERAGE(OFFSET($AM$3,0,0,'Données projet'!$E$10+1,1))-AVERAGE(OFFSET($H$3,0,0,'Données projet'!$E$10+1,1))</f>
        <v>428.8489304403459</v>
      </c>
      <c r="AO140" s="62">
        <f t="shared" si="144"/>
        <v>247.01165577562966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0</v>
      </c>
      <c r="AV140" s="23">
        <f>EXP(-LN(2)/25)*AV139+(1-EXP(-LN(2)/25))/(LN(2)/25)*Calculateur!AQ140*Calculateur!AS140*VLOOKUP('Données projet'!$B$10,Paramètres!$A$1:$I$89,3,0)*0.475*44/12</f>
        <v>0</v>
      </c>
      <c r="AW140" s="23">
        <f>EXP(-LN(2)/2)*AW139+(1-EXP(-LN(2)/2))/(LN(2)/2)*AQ140*AT140*VLOOKUP('Données projet'!$B$10,Paramètres!$A$1:$I$89,3,0)*0.475*44/12</f>
        <v>0</v>
      </c>
      <c r="AX140" s="23">
        <f t="shared" si="114"/>
        <v>0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2.7</v>
      </c>
      <c r="BD140" s="13">
        <f>IF('Données projet'!$A$88&gt;35,BD139+BC140-BL139,IF(A140&lt;'Données projet'!$A$88,$BA$205^A140,IF(A140='Données projet'!$A$88,'Données projet'!$B$88,BD139+BC140-BL139)))</f>
        <v>287.8999999999993</v>
      </c>
      <c r="BE140" s="14">
        <f>BD140*VLOOKUP('Données projet'!$B$11,Paramètres!$A$1:$I$89,3,0)*VLOOKUP('Données projet'!$B$11,Paramètres!$A$1:$I$89,5,0)</f>
        <v>291.93059999999929</v>
      </c>
      <c r="BF140" s="14">
        <f t="shared" si="145"/>
        <v>69.482132168934584</v>
      </c>
      <c r="BG140" s="22">
        <f t="shared" si="115"/>
        <v>629.4605085275598</v>
      </c>
      <c r="BH140" s="62">
        <f t="shared" si="116"/>
        <v>922.79384186089305</v>
      </c>
      <c r="BI140" s="62">
        <f ca="1">AVERAGE(OFFSET($BH$3,0,0,'Données projet'!$E$11+1,1))-AVERAGE(OFFSET($H$3,0,0,'Données projet'!$E$11+1,1))</f>
        <v>475.47920969424894</v>
      </c>
      <c r="BJ140" s="62">
        <f t="shared" si="146"/>
        <v>271.73544012419364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>
        <f>EXP(-LN(2)/35)*BP139+(1-EXP(-LN(2)/35))/(LN(2)/35)*BL140*BM140*VLOOKUP('Données projet'!$B$11,Paramètres!$A$1:$I$89,3,0)*0.475*44/12</f>
        <v>0</v>
      </c>
      <c r="BQ140" s="23">
        <f>EXP(-LN(2)/25)*BQ139+(1-EXP(-LN(2)/25))/(LN(2)/25)*Calculateur!BL140*Calculateur!BN140*VLOOKUP('Données projet'!$B$11,Paramètres!$A$1:$I$89,3,0)*0.475*44/12</f>
        <v>0</v>
      </c>
      <c r="BR140" s="23">
        <f>EXP(-LN(2)/2)*BR139+(1-EXP(-LN(2)/2))/(LN(2)/2)*BL140*BO140*VLOOKUP('Données projet'!$B$11,Paramètres!$A$1:$I$89,3,0)*0.475*44/12</f>
        <v>0</v>
      </c>
      <c r="BS140" s="24">
        <f t="shared" si="117"/>
        <v>0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2.2737367544323206E-13</v>
      </c>
      <c r="BZ140" s="14">
        <f>BY140*VLOOKUP('Données projet'!$B$12,Paramètres!$A$1:$I$89,3,0)*VLOOKUP('Données projet'!$B$12,Paramètres!$A$1:$I$89,5,0)</f>
        <v>1.2710188457276673E-13</v>
      </c>
      <c r="CA140" s="14">
        <f t="shared" si="147"/>
        <v>1.856866851063998E-12</v>
      </c>
      <c r="CB140" s="22">
        <f t="shared" si="118"/>
        <v>3.4554122145673649E-12</v>
      </c>
      <c r="CC140" s="62">
        <f t="shared" si="119"/>
        <v>293.33333333333678</v>
      </c>
      <c r="CD140" s="62">
        <f ca="1">AVERAGE(OFFSET($CC$3,0,0,'Données projet'!$E$12+1,1))-AVERAGE(OFFSET($H$3,0,0,'Données projet'!$E$12+1,1))</f>
        <v>323.98185264074681</v>
      </c>
      <c r="CE140" s="62">
        <f t="shared" si="148"/>
        <v>301.22207291854005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>
        <f>EXP(-LN(2)/35)*CK139+(1-EXP(-LN(2)/35))/(LN(2)/35)*CG140*CH140*VLOOKUP('Données projet'!$B$12,Paramètres!$A$1:$I$89,3,0)*0.475*44/12</f>
        <v>0.5361287653824689</v>
      </c>
      <c r="CL140" s="23">
        <f>EXP(-LN(2)/25)*CL139+(1-EXP(-LN(2)/25))/(LN(2)/25)*Calculateur!CG140*Calculateur!CI140*VLOOKUP('Données projet'!$B$12,Paramètres!$A$1:$I$89,3,0)*0.475*44/12</f>
        <v>0.42452511881931326</v>
      </c>
      <c r="CM140" s="23">
        <f>EXP(-LN(2)/2)*CM139+(1-EXP(-LN(2)/2))/(LN(2)/2)*CG140*CJ140*VLOOKUP('Données projet'!$B$12,Paramètres!$A$1:$I$89,3,0)*0.475*44/12</f>
        <v>4.779210071319598E-16</v>
      </c>
      <c r="CN140" s="24">
        <f t="shared" si="120"/>
        <v>0.96065388420178266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1.5</v>
      </c>
      <c r="CT140" s="13">
        <f>IF('Données projet'!$A$140&gt;35,CT139+CS140-DB139,IF(A140&lt;'Données projet'!$A$140,$CQ$205^A140,IF(A140='Données projet'!$A$140,'Données projet'!$B$140,CT139+CS140-DB139)))</f>
        <v>222.49999999999994</v>
      </c>
      <c r="CU140" s="18">
        <f>CT140*VLOOKUP('Données projet'!$B$13,Paramètres!$A$1:$I$89,3,0)*VLOOKUP('Données projet'!$B$13,Paramètres!$A$1:$I$89,5,0)</f>
        <v>253.38299999999992</v>
      </c>
      <c r="CV140" s="14">
        <f t="shared" si="149"/>
        <v>61.309791713790183</v>
      </c>
      <c r="CW140" s="22">
        <f t="shared" si="121"/>
        <v>548.08994556818436</v>
      </c>
      <c r="CX140" s="62">
        <f t="shared" si="122"/>
        <v>841.42327890151773</v>
      </c>
      <c r="CY140" s="62">
        <f ca="1">AVERAGE(OFFSET($CX$3,0,0,'Données projet'!$E$13+1,1))-AVERAGE(OFFSET($H$3,0,0,'Données projet'!$E$13+1,1))</f>
        <v>399.78832690250164</v>
      </c>
      <c r="CZ140" s="62">
        <f t="shared" si="150"/>
        <v>174.32967064896343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>
        <f>EXP(-LN(2)/35)*DF139+(1-EXP(-LN(2)/35))/(LN(2)/35)*DB140*DC140*VLOOKUP('Données projet'!$B$13,Paramètres!$A$1:$I$89,3,0)*0.475*44/12</f>
        <v>0</v>
      </c>
      <c r="DG140" s="23">
        <f>EXP(-LN(2)/25)*DG139+(1-EXP(-LN(2)/25))/(LN(2)/25)*Calculateur!DB140*Calculateur!DD140*VLOOKUP('Données projet'!$B$13,Paramètres!$A$1:$I$89,3,0)*0.475*44/12</f>
        <v>0</v>
      </c>
      <c r="DH140" s="23">
        <f>EXP(-LN(2)/2)*DH139+(1-EXP(-LN(2)/2))/(LN(2)/2)*DB140*DE140*VLOOKUP('Données projet'!$B$13,Paramètres!$A$1:$I$89,3,0)*0.475*44/12</f>
        <v>0</v>
      </c>
      <c r="DI140" s="24">
        <f t="shared" si="123"/>
        <v>0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2.7</v>
      </c>
      <c r="DO140" s="13">
        <f>IF('Données projet'!$A$166&gt;35,DO139+DN140-DW139,IF(A140&lt;'Données projet'!$A$166,$DL$205^A140,IF(A140='Données projet'!$A$166,'Données projet'!$B$166,DO139+DN140-DW139)))</f>
        <v>287.8999999999993</v>
      </c>
      <c r="DP140" s="18">
        <f>DO140*VLOOKUP('Données projet'!$B$14,Paramètres!$A$1:$I$89,3,0)*VLOOKUP('Données projet'!$B$14,Paramètres!$A$1:$I$89,5,0)</f>
        <v>242.52695999999943</v>
      </c>
      <c r="DQ140" s="14">
        <f t="shared" si="151"/>
        <v>58.982886368985021</v>
      </c>
      <c r="DR140" s="22">
        <f t="shared" si="124"/>
        <v>525.12964909264781</v>
      </c>
      <c r="DS140" s="62">
        <f t="shared" si="125"/>
        <v>818.46298242598118</v>
      </c>
      <c r="DT140" s="62">
        <f ca="1">AVERAGE(OFFSET($DS$3,0,0,'Données projet'!$E$14+1,1))-AVERAGE(OFFSET($H$3,0,0,'Données projet'!$E$14+1,1))</f>
        <v>402.15128814037058</v>
      </c>
      <c r="DU140" s="62">
        <f t="shared" si="152"/>
        <v>232.85411068442738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>
        <f>EXP(-LN(2)/35)*EA139+(1-EXP(-LN(2)/35))/(LN(2)/35)*DW140*DX140*VLOOKUP('Données projet'!$B$14,Paramètres!$A$1:$I$89,3,0)*0.475*44/12</f>
        <v>0</v>
      </c>
      <c r="EB140" s="23">
        <f>EXP(-LN(2)/25)*EB139+(1-EXP(-LN(2)/25))/(LN(2)/25)*Calculateur!DW140*Calculateur!DY140*VLOOKUP('Données projet'!$B$14,Paramètres!$A$1:$I$89,3,0)*0.475*44/12</f>
        <v>0</v>
      </c>
      <c r="EC140" s="23">
        <f>EXP(-LN(2)/2)*EC139+(1-EXP(-LN(2)/2))/(LN(2)/2)*DW140*DZ140*VLOOKUP('Données projet'!$B$14,Paramètres!$A$1:$I$89,3,0)*0.475*44/12</f>
        <v>0</v>
      </c>
      <c r="ED140" s="24">
        <f t="shared" si="126"/>
        <v>0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6.2527760746888816E-13</v>
      </c>
      <c r="EK140" s="18">
        <f>EJ140*VLOOKUP('Données projet'!$B$15,Paramètres!$A$1:$I$89,3,0)*VLOOKUP('Données projet'!$B$15,Paramètres!$A$1:$I$89,5,0)</f>
        <v>6.5354015532648198E-13</v>
      </c>
      <c r="EL140" s="14">
        <f t="shared" si="153"/>
        <v>7.8909019831354483E-12</v>
      </c>
      <c r="EM140" s="22">
        <f t="shared" si="127"/>
        <v>1.4881570057821194E-11</v>
      </c>
      <c r="EN140" s="62">
        <f t="shared" si="128"/>
        <v>293.33333333334821</v>
      </c>
      <c r="EO140" s="62">
        <f ca="1">AVERAGE(OFFSET($EN$3,0,0,'Données projet'!$E$15+1,1))-AVERAGE(OFFSET($H$3,0,0,'Données projet'!$E$15+1,1))</f>
        <v>595.89992279024398</v>
      </c>
      <c r="EP140" s="62">
        <f t="shared" si="154"/>
        <v>378.16197659288338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>
        <f>EXP(-LN(2)/35)*EV139+(1-EXP(-LN(2)/35))/(LN(2)/35)*ER140*ES140*VLOOKUP('Données projet'!$B$15,Paramètres!$A$1:$I$89,3,0)*0.475*44/12</f>
        <v>0</v>
      </c>
      <c r="EW140" s="23">
        <f>EXP(-LN(2)/25)*EW139+(1-EXP(-LN(2)/25))/(LN(2)/25)*Calculateur!ER140*Calculateur!ET140*VLOOKUP('Données projet'!$B$15,Paramètres!$A$1:$I$89,3,0)*0.475*44/12</f>
        <v>0</v>
      </c>
      <c r="EX140" s="23">
        <f>EXP(-LN(2)/2)*EX139+(1-EXP(-LN(2)/2))/(LN(2)/2)*ER140*EU140*VLOOKUP('Données projet'!$B$15,Paramètres!$A$1:$I$89,3,0)*0.475*44/12</f>
        <v>0</v>
      </c>
      <c r="EY140" s="24">
        <f t="shared" si="129"/>
        <v>0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-2.2737367544323206E-13</v>
      </c>
      <c r="FF140" s="18">
        <f>FE140*VLOOKUP('Données projet'!$B$16,Paramètres!$A$1:$I$89,3,0)*VLOOKUP('Données projet'!$B$16,Paramètres!$A$1:$I$89,5,0)</f>
        <v>-1.3596945791505279E-13</v>
      </c>
      <c r="FG140" s="14" t="e">
        <f t="shared" si="155"/>
        <v>#NUM!</v>
      </c>
      <c r="FH140" s="22" t="e">
        <f t="shared" si="130"/>
        <v>#NUM!</v>
      </c>
      <c r="FI140" s="62" t="e">
        <f t="shared" si="131"/>
        <v>#NUM!</v>
      </c>
      <c r="FJ140" s="62">
        <f ca="1">AVERAGE(OFFSET($FI$3,0,0,'Données projet'!$E$16+1,1))-AVERAGE(OFFSET($H$3,0,0,'Données projet'!$E$16+1,1))</f>
        <v>257.56116197646924</v>
      </c>
      <c r="FK140" s="62">
        <f t="shared" si="156"/>
        <v>269.95556918835888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>
        <f>EXP(-LN(2)/35)*FQ139+(1-EXP(-LN(2)/35))/(LN(2)/35)*FM140*FN140*VLOOKUP('Données projet'!$B$16,Paramètres!$A$1:$I$89,3,0)*0.475*44/12</f>
        <v>1.7518978150528146</v>
      </c>
      <c r="FR140" s="23">
        <f>EXP(-LN(2)/25)*FR139+(1-EXP(-LN(2)/25))/(LN(2)/25)*Calculateur!FM140*Calculateur!FO140*VLOOKUP('Données projet'!$B$16,Paramètres!$A$1:$I$89,3,0)*0.475*44/12</f>
        <v>0.83095562197393724</v>
      </c>
      <c r="FS140" s="23">
        <f>EXP(-LN(2)/2)*FS139+(1-EXP(-LN(2)/2))/(LN(2)/2)*FM140*FP140*VLOOKUP('Données projet'!$B$16,Paramètres!$A$1:$I$89,3,0)*0.475*44/12</f>
        <v>6.7153509358974109E-16</v>
      </c>
      <c r="FT140" s="24">
        <f t="shared" si="132"/>
        <v>2.5828534370267526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-2.8421709430404007E-13</v>
      </c>
      <c r="GA140" s="18">
        <f>FZ140*VLOOKUP('Données projet'!$B$17,Paramètres!$A$1:$I$89,3,0)*VLOOKUP('Données projet'!$B$17,Paramètres!$A$1:$I$89,5,0)</f>
        <v>-1.69961822393816E-13</v>
      </c>
      <c r="GB140" s="14" t="e">
        <f t="shared" si="157"/>
        <v>#NUM!</v>
      </c>
      <c r="GC140" s="22" t="e">
        <f t="shared" si="133"/>
        <v>#NUM!</v>
      </c>
      <c r="GD140" s="62" t="e">
        <f t="shared" si="134"/>
        <v>#NUM!</v>
      </c>
      <c r="GE140" s="62">
        <f ca="1">AVERAGE(OFFSET($GD$3,0,0,'Données projet'!$E$17+1,1))-AVERAGE(OFFSET($H$3,0,0,'Données projet'!$E$17+1,1))</f>
        <v>289.12367833861299</v>
      </c>
      <c r="GF140" s="62">
        <f t="shared" si="158"/>
        <v>229.06617320689003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>
        <f>EXP(-LN(2)/35)*GL139+(1-EXP(-LN(2)/35))/(LN(2)/35)*GH140*GI140*VLOOKUP('Données projet'!$B$17,Paramètres!$A$1:$I$89,3,0)*0.475*44/12</f>
        <v>0</v>
      </c>
      <c r="GM140" s="23">
        <f>EXP(-LN(2)/25)*GM139+(1-EXP(-LN(2)/25))/(LN(2)/25)*Calculateur!GH140*Calculateur!GJ140*VLOOKUP('Données projet'!$B$17,Paramètres!$A$1:$I$89,3,0)*0.475*44/12</f>
        <v>0</v>
      </c>
      <c r="GN140" s="23">
        <f>EXP(-LN(2)/2)*GN139+(1-EXP(-LN(2)/2))/(LN(2)/2)*GH140*GK140*VLOOKUP('Données projet'!$B$17,Paramètres!$A$1:$I$89,3,0)*0.475*44/12</f>
        <v>3.2554572417065511E-16</v>
      </c>
      <c r="GO140" s="23">
        <f t="shared" si="135"/>
        <v>3.2554572417065511E-16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-5.6843418860808015E-14</v>
      </c>
      <c r="GV140" s="18">
        <f>GU140*VLOOKUP('Données projet'!$B$18,Paramètres!$A$1:$I$89,3,0)*VLOOKUP('Données projet'!$B$18,Paramètres!$A$1:$I$89,5,0)</f>
        <v>-2.6602720026858149E-14</v>
      </c>
      <c r="GW140" s="14" t="e">
        <f t="shared" si="159"/>
        <v>#NUM!</v>
      </c>
      <c r="GX140" s="22" t="e">
        <f t="shared" si="136"/>
        <v>#NUM!</v>
      </c>
      <c r="GY140" s="62" t="e">
        <f t="shared" si="137"/>
        <v>#NUM!</v>
      </c>
      <c r="GZ140" s="62">
        <f ca="1">AVERAGE(OFFSET($GY$3,0,0,'Données projet'!$E$18+1,1))-AVERAGE(OFFSET($H$3,0,0,'Données projet'!$E$18+1,1))</f>
        <v>284.88646502866419</v>
      </c>
      <c r="HA140" s="62">
        <f t="shared" si="160"/>
        <v>190.4880882944471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>
        <f>EXP(-LN(2)/35)*HG139+(1-EXP(-LN(2)/35))/(LN(2)/35)*HC140*HD140*VLOOKUP('Données projet'!$B$18,Paramètres!$A$1:$I$89,3,0)*0.475*44/12</f>
        <v>0</v>
      </c>
      <c r="HH140" s="23">
        <f>EXP(-LN(2)/25)*HH139+(1-EXP(-LN(2)/25))/(LN(2)/25)*Calculateur!HC140*Calculateur!HE140*VLOOKUP('Données projet'!$B$18,Paramètres!$A$1:$I$89,3,0)*0.475*44/12</f>
        <v>0</v>
      </c>
      <c r="HI140" s="23">
        <f>EXP(-LN(2)/2)*HI139+(1-EXP(-LN(2)/2))/(LN(2)/2)*HC140*HF140*VLOOKUP('Données projet'!$B$18,Paramètres!$A$1:$I$89,3,0)*0.475*44/12</f>
        <v>0</v>
      </c>
      <c r="HJ140" s="24">
        <f t="shared" si="138"/>
        <v>0</v>
      </c>
    </row>
    <row r="141" spans="1:218" s="5" customFormat="1" x14ac:dyDescent="0.25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2">
        <f t="shared" si="140"/>
        <v>0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0</v>
      </c>
      <c r="H141" s="70">
        <f t="shared" si="110"/>
        <v>256.66666666666669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-1.1368683772161603E-13</v>
      </c>
      <c r="O141" s="14">
        <f>N141*VLOOKUP('Données projet'!$B$9,Paramètres!$A$1:$I$89,3,0)*VLOOKUP('Données projet'!$B$9,Paramètres!$A$1:$I$89,5,0)</f>
        <v>-1.0818439477588981E-13</v>
      </c>
      <c r="P141" s="14" t="e">
        <f t="shared" si="141"/>
        <v>#NUM!</v>
      </c>
      <c r="Q141" s="22" t="e">
        <f t="shared" si="108"/>
        <v>#NUM!</v>
      </c>
      <c r="R141" s="62" t="e">
        <f t="shared" si="109"/>
        <v>#NUM!</v>
      </c>
      <c r="S141" s="62">
        <f ca="1">AVERAGE(OFFSET($R$3,0,0,'Données projet'!$E$9+1,1))-AVERAGE(OFFSET($H$3,0,0,'Données projet'!$E$9+1,1))</f>
        <v>367.11183928586667</v>
      </c>
      <c r="T141" s="62">
        <f t="shared" si="142"/>
        <v>281.52963027844595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0</v>
      </c>
      <c r="AA141" s="23">
        <f>EXP(-LN(2)/25)*AA140+(1-EXP(-LN(2)/25))/(LN(2)/25)*Calculateur!V141*Calculateur!X141*VLOOKUP('Données projet'!$B$9,Paramètres!$A$1:$I$89,3,0)*0.475*44/12</f>
        <v>0</v>
      </c>
      <c r="AB141" s="23">
        <f>EXP(-LN(2)/2)*AB140+(1-EXP(-LN(2)/2))/(LN(2)/2)*V141*Y141*VLOOKUP('Données projet'!$B$9,Paramètres!$A$1:$I$89,3,0)*0.475*44/12</f>
        <v>0</v>
      </c>
      <c r="AC141" s="24">
        <f t="shared" si="111"/>
        <v>0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2.7</v>
      </c>
      <c r="AI141" s="14">
        <f>IF('Données projet'!$A$62&gt;35,AI140+AH141-AQ140,IF(A141&lt;'Données projet'!$A$62,$AF$205^A141,IF(A141='Données projet'!$A$62,'Données projet'!$B$62,AI140+AH141-AQ140)))</f>
        <v>290.59999999999928</v>
      </c>
      <c r="AJ141" s="14">
        <f>AI141*VLOOKUP('Données projet'!$B$10,Paramètres!$A$1:$I$89,3,0)*VLOOKUP('Données projet'!$B$10,Paramètres!$A$1:$I$89,5,0)</f>
        <v>262.93487999999934</v>
      </c>
      <c r="AK141" s="14">
        <f t="shared" si="143"/>
        <v>63.347566493432652</v>
      </c>
      <c r="AL141" s="22">
        <f t="shared" si="112"/>
        <v>568.27526097606062</v>
      </c>
      <c r="AM141" s="62">
        <f t="shared" si="113"/>
        <v>861.60859430939399</v>
      </c>
      <c r="AN141" s="62">
        <f ca="1">AVERAGE(OFFSET($AM$3,0,0,'Données projet'!$E$10+1,1))-AVERAGE(OFFSET($H$3,0,0,'Données projet'!$E$10+1,1))</f>
        <v>428.8489304403459</v>
      </c>
      <c r="AO141" s="62">
        <f t="shared" si="144"/>
        <v>247.01165577562966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0</v>
      </c>
      <c r="AV141" s="23">
        <f>EXP(-LN(2)/25)*AV140+(1-EXP(-LN(2)/25))/(LN(2)/25)*Calculateur!AQ141*Calculateur!AS141*VLOOKUP('Données projet'!$B$10,Paramètres!$A$1:$I$89,3,0)*0.475*44/12</f>
        <v>0</v>
      </c>
      <c r="AW141" s="23">
        <f>EXP(-LN(2)/2)*AW140+(1-EXP(-LN(2)/2))/(LN(2)/2)*AQ141*AT141*VLOOKUP('Données projet'!$B$10,Paramètres!$A$1:$I$89,3,0)*0.475*44/12</f>
        <v>0</v>
      </c>
      <c r="AX141" s="23">
        <f t="shared" si="114"/>
        <v>0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2.7</v>
      </c>
      <c r="BD141" s="13">
        <f>IF('Données projet'!$A$88&gt;35,BD140+BC141-BL140,IF(A141&lt;'Données projet'!$A$88,$BA$205^A141,IF(A141='Données projet'!$A$88,'Données projet'!$B$88,BD140+BC141-BL140)))</f>
        <v>290.59999999999928</v>
      </c>
      <c r="BE141" s="14">
        <f>BD141*VLOOKUP('Données projet'!$B$11,Paramètres!$A$1:$I$89,3,0)*VLOOKUP('Données projet'!$B$11,Paramètres!$A$1:$I$89,5,0)</f>
        <v>294.66839999999928</v>
      </c>
      <c r="BF141" s="14">
        <f t="shared" si="145"/>
        <v>70.057591528661433</v>
      </c>
      <c r="BG141" s="22">
        <f t="shared" si="115"/>
        <v>635.23110191241733</v>
      </c>
      <c r="BH141" s="62">
        <f t="shared" si="116"/>
        <v>928.5644352457507</v>
      </c>
      <c r="BI141" s="62">
        <f ca="1">AVERAGE(OFFSET($BH$3,0,0,'Données projet'!$E$11+1,1))-AVERAGE(OFFSET($H$3,0,0,'Données projet'!$E$11+1,1))</f>
        <v>475.47920969424894</v>
      </c>
      <c r="BJ141" s="62">
        <f t="shared" si="146"/>
        <v>271.73544012419364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>
        <f>EXP(-LN(2)/35)*BP140+(1-EXP(-LN(2)/35))/(LN(2)/35)*BL141*BM141*VLOOKUP('Données projet'!$B$11,Paramètres!$A$1:$I$89,3,0)*0.475*44/12</f>
        <v>0</v>
      </c>
      <c r="BQ141" s="23">
        <f>EXP(-LN(2)/25)*BQ140+(1-EXP(-LN(2)/25))/(LN(2)/25)*Calculateur!BL141*Calculateur!BN141*VLOOKUP('Données projet'!$B$11,Paramètres!$A$1:$I$89,3,0)*0.475*44/12</f>
        <v>0</v>
      </c>
      <c r="BR141" s="23">
        <f>EXP(-LN(2)/2)*BR140+(1-EXP(-LN(2)/2))/(LN(2)/2)*BL141*BO141*VLOOKUP('Données projet'!$B$11,Paramètres!$A$1:$I$89,3,0)*0.475*44/12</f>
        <v>0</v>
      </c>
      <c r="BS141" s="24">
        <f t="shared" si="117"/>
        <v>0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2.2737367544323206E-13</v>
      </c>
      <c r="BZ141" s="14">
        <f>BY141*VLOOKUP('Données projet'!$B$12,Paramètres!$A$1:$I$89,3,0)*VLOOKUP('Données projet'!$B$12,Paramètres!$A$1:$I$89,5,0)</f>
        <v>1.2710188457276673E-13</v>
      </c>
      <c r="CA141" s="14">
        <f t="shared" si="147"/>
        <v>1.856866851063998E-12</v>
      </c>
      <c r="CB141" s="22">
        <f t="shared" si="118"/>
        <v>3.4554122145673649E-12</v>
      </c>
      <c r="CC141" s="62">
        <f t="shared" si="119"/>
        <v>293.33333333333678</v>
      </c>
      <c r="CD141" s="62">
        <f ca="1">AVERAGE(OFFSET($CC$3,0,0,'Données projet'!$E$12+1,1))-AVERAGE(OFFSET($H$3,0,0,'Données projet'!$E$12+1,1))</f>
        <v>323.98185264074681</v>
      </c>
      <c r="CE141" s="62">
        <f t="shared" si="148"/>
        <v>301.22207291854005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>
        <f>EXP(-LN(2)/35)*CK140+(1-EXP(-LN(2)/35))/(LN(2)/35)*CG141*CH141*VLOOKUP('Données projet'!$B$12,Paramètres!$A$1:$I$89,3,0)*0.475*44/12</f>
        <v>0.52561560729957635</v>
      </c>
      <c r="CL141" s="23">
        <f>EXP(-LN(2)/25)*CL140+(1-EXP(-LN(2)/25))/(LN(2)/25)*Calculateur!CG141*Calculateur!CI141*VLOOKUP('Données projet'!$B$12,Paramètres!$A$1:$I$89,3,0)*0.475*44/12</f>
        <v>0.41291645712039343</v>
      </c>
      <c r="CM141" s="23">
        <f>EXP(-LN(2)/2)*CM140+(1-EXP(-LN(2)/2))/(LN(2)/2)*CG141*CJ141*VLOOKUP('Données projet'!$B$12,Paramètres!$A$1:$I$89,3,0)*0.475*44/12</f>
        <v>3.3794118501451313E-16</v>
      </c>
      <c r="CN141" s="24">
        <f t="shared" si="120"/>
        <v>0.93853206441997006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1.5</v>
      </c>
      <c r="CT141" s="13">
        <f>IF('Données projet'!$A$140&gt;35,CT140+CS141-DB140,IF(A141&lt;'Données projet'!$A$140,$CQ$205^A141,IF(A141='Données projet'!$A$140,'Données projet'!$B$140,CT140+CS141-DB140)))</f>
        <v>223.99999999999994</v>
      </c>
      <c r="CU141" s="18">
        <f>CT141*VLOOKUP('Données projet'!$B$13,Paramètres!$A$1:$I$89,3,0)*VLOOKUP('Données projet'!$B$13,Paramètres!$A$1:$I$89,5,0)</f>
        <v>255.09119999999993</v>
      </c>
      <c r="CV141" s="14">
        <f t="shared" si="149"/>
        <v>61.674862250888317</v>
      </c>
      <c r="CW141" s="22">
        <f t="shared" si="121"/>
        <v>551.70089175363034</v>
      </c>
      <c r="CX141" s="62">
        <f t="shared" si="122"/>
        <v>845.03422508696372</v>
      </c>
      <c r="CY141" s="62">
        <f ca="1">AVERAGE(OFFSET($CX$3,0,0,'Données projet'!$E$13+1,1))-AVERAGE(OFFSET($H$3,0,0,'Données projet'!$E$13+1,1))</f>
        <v>399.78832690250164</v>
      </c>
      <c r="CZ141" s="62">
        <f t="shared" si="150"/>
        <v>174.32967064896343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>
        <f>EXP(-LN(2)/35)*DF140+(1-EXP(-LN(2)/35))/(LN(2)/35)*DB141*DC141*VLOOKUP('Données projet'!$B$13,Paramètres!$A$1:$I$89,3,0)*0.475*44/12</f>
        <v>0</v>
      </c>
      <c r="DG141" s="23">
        <f>EXP(-LN(2)/25)*DG140+(1-EXP(-LN(2)/25))/(LN(2)/25)*Calculateur!DB141*Calculateur!DD141*VLOOKUP('Données projet'!$B$13,Paramètres!$A$1:$I$89,3,0)*0.475*44/12</f>
        <v>0</v>
      </c>
      <c r="DH141" s="23">
        <f>EXP(-LN(2)/2)*DH140+(1-EXP(-LN(2)/2))/(LN(2)/2)*DB141*DE141*VLOOKUP('Données projet'!$B$13,Paramètres!$A$1:$I$89,3,0)*0.475*44/12</f>
        <v>0</v>
      </c>
      <c r="DI141" s="24">
        <f t="shared" si="123"/>
        <v>0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2.7</v>
      </c>
      <c r="DO141" s="13">
        <f>IF('Données projet'!$A$166&gt;35,DO140+DN141-DW140,IF(A141&lt;'Données projet'!$A$166,$DL$205^A141,IF(A141='Données projet'!$A$166,'Données projet'!$B$166,DO140+DN141-DW140)))</f>
        <v>290.59999999999928</v>
      </c>
      <c r="DP141" s="18">
        <f>DO141*VLOOKUP('Données projet'!$B$14,Paramètres!$A$1:$I$89,3,0)*VLOOKUP('Données projet'!$B$14,Paramètres!$A$1:$I$89,5,0)</f>
        <v>244.80143999999945</v>
      </c>
      <c r="DQ141" s="14">
        <f t="shared" si="151"/>
        <v>59.471389714596469</v>
      </c>
      <c r="DR141" s="22">
        <f t="shared" si="124"/>
        <v>529.94184508625449</v>
      </c>
      <c r="DS141" s="62">
        <f t="shared" si="125"/>
        <v>823.27517841958775</v>
      </c>
      <c r="DT141" s="62">
        <f ca="1">AVERAGE(OFFSET($DS$3,0,0,'Données projet'!$E$14+1,1))-AVERAGE(OFFSET($H$3,0,0,'Données projet'!$E$14+1,1))</f>
        <v>402.15128814037058</v>
      </c>
      <c r="DU141" s="62">
        <f t="shared" si="152"/>
        <v>232.85411068442738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>
        <f>EXP(-LN(2)/35)*EA140+(1-EXP(-LN(2)/35))/(LN(2)/35)*DW141*DX141*VLOOKUP('Données projet'!$B$14,Paramètres!$A$1:$I$89,3,0)*0.475*44/12</f>
        <v>0</v>
      </c>
      <c r="EB141" s="23">
        <f>EXP(-LN(2)/25)*EB140+(1-EXP(-LN(2)/25))/(LN(2)/25)*Calculateur!DW141*Calculateur!DY141*VLOOKUP('Données projet'!$B$14,Paramètres!$A$1:$I$89,3,0)*0.475*44/12</f>
        <v>0</v>
      </c>
      <c r="EC141" s="23">
        <f>EXP(-LN(2)/2)*EC140+(1-EXP(-LN(2)/2))/(LN(2)/2)*DW141*DZ141*VLOOKUP('Données projet'!$B$14,Paramètres!$A$1:$I$89,3,0)*0.475*44/12</f>
        <v>0</v>
      </c>
      <c r="ED141" s="24">
        <f t="shared" si="126"/>
        <v>0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6.2527760746888816E-13</v>
      </c>
      <c r="EK141" s="18">
        <f>EJ141*VLOOKUP('Données projet'!$B$15,Paramètres!$A$1:$I$89,3,0)*VLOOKUP('Données projet'!$B$15,Paramètres!$A$1:$I$89,5,0)</f>
        <v>6.5354015532648198E-13</v>
      </c>
      <c r="EL141" s="14">
        <f t="shared" si="153"/>
        <v>7.8909019831354483E-12</v>
      </c>
      <c r="EM141" s="22">
        <f t="shared" si="127"/>
        <v>1.4881570057821194E-11</v>
      </c>
      <c r="EN141" s="62">
        <f t="shared" si="128"/>
        <v>293.33333333334821</v>
      </c>
      <c r="EO141" s="62">
        <f ca="1">AVERAGE(OFFSET($EN$3,0,0,'Données projet'!$E$15+1,1))-AVERAGE(OFFSET($H$3,0,0,'Données projet'!$E$15+1,1))</f>
        <v>595.89992279024398</v>
      </c>
      <c r="EP141" s="62">
        <f t="shared" si="154"/>
        <v>378.16197659288338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>
        <f>EXP(-LN(2)/35)*EV140+(1-EXP(-LN(2)/35))/(LN(2)/35)*ER141*ES141*VLOOKUP('Données projet'!$B$15,Paramètres!$A$1:$I$89,3,0)*0.475*44/12</f>
        <v>0</v>
      </c>
      <c r="EW141" s="23">
        <f>EXP(-LN(2)/25)*EW140+(1-EXP(-LN(2)/25))/(LN(2)/25)*Calculateur!ER141*Calculateur!ET141*VLOOKUP('Données projet'!$B$15,Paramètres!$A$1:$I$89,3,0)*0.475*44/12</f>
        <v>0</v>
      </c>
      <c r="EX141" s="23">
        <f>EXP(-LN(2)/2)*EX140+(1-EXP(-LN(2)/2))/(LN(2)/2)*ER141*EU141*VLOOKUP('Données projet'!$B$15,Paramètres!$A$1:$I$89,3,0)*0.475*44/12</f>
        <v>0</v>
      </c>
      <c r="EY141" s="24">
        <f t="shared" si="129"/>
        <v>0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-2.2737367544323206E-13</v>
      </c>
      <c r="FF141" s="18">
        <f>FE141*VLOOKUP('Données projet'!$B$16,Paramètres!$A$1:$I$89,3,0)*VLOOKUP('Données projet'!$B$16,Paramètres!$A$1:$I$89,5,0)</f>
        <v>-1.3596945791505279E-13</v>
      </c>
      <c r="FG141" s="14" t="e">
        <f t="shared" si="155"/>
        <v>#NUM!</v>
      </c>
      <c r="FH141" s="22" t="e">
        <f t="shared" si="130"/>
        <v>#NUM!</v>
      </c>
      <c r="FI141" s="62" t="e">
        <f t="shared" si="131"/>
        <v>#NUM!</v>
      </c>
      <c r="FJ141" s="62">
        <f ca="1">AVERAGE(OFFSET($FI$3,0,0,'Données projet'!$E$16+1,1))-AVERAGE(OFFSET($H$3,0,0,'Données projet'!$E$16+1,1))</f>
        <v>257.56116197646924</v>
      </c>
      <c r="FK141" s="62">
        <f t="shared" si="156"/>
        <v>269.95556918835888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>
        <f>EXP(-LN(2)/35)*FQ140+(1-EXP(-LN(2)/35))/(LN(2)/35)*FM141*FN141*VLOOKUP('Données projet'!$B$16,Paramètres!$A$1:$I$89,3,0)*0.475*44/12</f>
        <v>1.7175441674517853</v>
      </c>
      <c r="FR141" s="23">
        <f>EXP(-LN(2)/25)*FR140+(1-EXP(-LN(2)/25))/(LN(2)/25)*Calculateur!FM141*Calculateur!FO141*VLOOKUP('Données projet'!$B$16,Paramètres!$A$1:$I$89,3,0)*0.475*44/12</f>
        <v>0.80823309679300293</v>
      </c>
      <c r="FS141" s="23">
        <f>EXP(-LN(2)/2)*FS140+(1-EXP(-LN(2)/2))/(LN(2)/2)*FM141*FP141*VLOOKUP('Données projet'!$B$16,Paramètres!$A$1:$I$89,3,0)*0.475*44/12</f>
        <v>4.7484701848204876E-16</v>
      </c>
      <c r="FT141" s="24">
        <f t="shared" si="132"/>
        <v>2.5257772642447889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-2.8421709430404007E-13</v>
      </c>
      <c r="GA141" s="18">
        <f>FZ141*VLOOKUP('Données projet'!$B$17,Paramètres!$A$1:$I$89,3,0)*VLOOKUP('Données projet'!$B$17,Paramètres!$A$1:$I$89,5,0)</f>
        <v>-1.69961822393816E-13</v>
      </c>
      <c r="GB141" s="14" t="e">
        <f t="shared" si="157"/>
        <v>#NUM!</v>
      </c>
      <c r="GC141" s="22" t="e">
        <f t="shared" si="133"/>
        <v>#NUM!</v>
      </c>
      <c r="GD141" s="62" t="e">
        <f t="shared" si="134"/>
        <v>#NUM!</v>
      </c>
      <c r="GE141" s="62">
        <f ca="1">AVERAGE(OFFSET($GD$3,0,0,'Données projet'!$E$17+1,1))-AVERAGE(OFFSET($H$3,0,0,'Données projet'!$E$17+1,1))</f>
        <v>289.12367833861299</v>
      </c>
      <c r="GF141" s="62">
        <f t="shared" si="158"/>
        <v>229.06617320689003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>
        <f>EXP(-LN(2)/35)*GL140+(1-EXP(-LN(2)/35))/(LN(2)/35)*GH141*GI141*VLOOKUP('Données projet'!$B$17,Paramètres!$A$1:$I$89,3,0)*0.475*44/12</f>
        <v>0</v>
      </c>
      <c r="GM141" s="23">
        <f>EXP(-LN(2)/25)*GM140+(1-EXP(-LN(2)/25))/(LN(2)/25)*Calculateur!GH141*Calculateur!GJ141*VLOOKUP('Données projet'!$B$17,Paramètres!$A$1:$I$89,3,0)*0.475*44/12</f>
        <v>0</v>
      </c>
      <c r="GN141" s="23">
        <f>EXP(-LN(2)/2)*GN140+(1-EXP(-LN(2)/2))/(LN(2)/2)*GH141*GK141*VLOOKUP('Données projet'!$B$17,Paramètres!$A$1:$I$89,3,0)*0.475*44/12</f>
        <v>2.3019558914735558E-16</v>
      </c>
      <c r="GO141" s="23">
        <f t="shared" si="135"/>
        <v>2.3019558914735558E-16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-5.6843418860808015E-14</v>
      </c>
      <c r="GV141" s="18">
        <f>GU141*VLOOKUP('Données projet'!$B$18,Paramètres!$A$1:$I$89,3,0)*VLOOKUP('Données projet'!$B$18,Paramètres!$A$1:$I$89,5,0)</f>
        <v>-2.6602720026858149E-14</v>
      </c>
      <c r="GW141" s="14" t="e">
        <f t="shared" si="159"/>
        <v>#NUM!</v>
      </c>
      <c r="GX141" s="22" t="e">
        <f t="shared" si="136"/>
        <v>#NUM!</v>
      </c>
      <c r="GY141" s="62" t="e">
        <f t="shared" si="137"/>
        <v>#NUM!</v>
      </c>
      <c r="GZ141" s="62">
        <f ca="1">AVERAGE(OFFSET($GY$3,0,0,'Données projet'!$E$18+1,1))-AVERAGE(OFFSET($H$3,0,0,'Données projet'!$E$18+1,1))</f>
        <v>284.88646502866419</v>
      </c>
      <c r="HA141" s="62">
        <f t="shared" si="160"/>
        <v>190.4880882944471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>
        <f>EXP(-LN(2)/35)*HG140+(1-EXP(-LN(2)/35))/(LN(2)/35)*HC141*HD141*VLOOKUP('Données projet'!$B$18,Paramètres!$A$1:$I$89,3,0)*0.475*44/12</f>
        <v>0</v>
      </c>
      <c r="HH141" s="23">
        <f>EXP(-LN(2)/25)*HH140+(1-EXP(-LN(2)/25))/(LN(2)/25)*Calculateur!HC141*Calculateur!HE141*VLOOKUP('Données projet'!$B$18,Paramètres!$A$1:$I$89,3,0)*0.475*44/12</f>
        <v>0</v>
      </c>
      <c r="HI141" s="23">
        <f>EXP(-LN(2)/2)*HI140+(1-EXP(-LN(2)/2))/(LN(2)/2)*HC141*HF141*VLOOKUP('Données projet'!$B$18,Paramètres!$A$1:$I$89,3,0)*0.475*44/12</f>
        <v>0</v>
      </c>
      <c r="HJ141" s="24">
        <f t="shared" si="138"/>
        <v>0</v>
      </c>
    </row>
    <row r="142" spans="1:218" s="5" customFormat="1" x14ac:dyDescent="0.25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2">
        <f t="shared" si="140"/>
        <v>0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0</v>
      </c>
      <c r="H142" s="70">
        <f t="shared" si="110"/>
        <v>256.66666666666669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-1.1368683772161603E-13</v>
      </c>
      <c r="O142" s="14">
        <f>N142*VLOOKUP('Données projet'!$B$9,Paramètres!$A$1:$I$89,3,0)*VLOOKUP('Données projet'!$B$9,Paramètres!$A$1:$I$89,5,0)</f>
        <v>-1.0818439477588981E-13</v>
      </c>
      <c r="P142" s="14" t="e">
        <f t="shared" si="141"/>
        <v>#NUM!</v>
      </c>
      <c r="Q142" s="22" t="e">
        <f t="shared" si="108"/>
        <v>#NUM!</v>
      </c>
      <c r="R142" s="62" t="e">
        <f t="shared" si="109"/>
        <v>#NUM!</v>
      </c>
      <c r="S142" s="62">
        <f ca="1">AVERAGE(OFFSET($R$3,0,0,'Données projet'!$E$9+1,1))-AVERAGE(OFFSET($H$3,0,0,'Données projet'!$E$9+1,1))</f>
        <v>367.11183928586667</v>
      </c>
      <c r="T142" s="62">
        <f t="shared" si="142"/>
        <v>281.52963027844595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0</v>
      </c>
      <c r="AA142" s="23">
        <f>EXP(-LN(2)/25)*AA141+(1-EXP(-LN(2)/25))/(LN(2)/25)*Calculateur!V142*Calculateur!X142*VLOOKUP('Données projet'!$B$9,Paramètres!$A$1:$I$89,3,0)*0.475*44/12</f>
        <v>0</v>
      </c>
      <c r="AB142" s="23">
        <f>EXP(-LN(2)/2)*AB141+(1-EXP(-LN(2)/2))/(LN(2)/2)*V142*Y142*VLOOKUP('Données projet'!$B$9,Paramètres!$A$1:$I$89,3,0)*0.475*44/12</f>
        <v>0</v>
      </c>
      <c r="AC142" s="24">
        <f t="shared" si="111"/>
        <v>0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2.7</v>
      </c>
      <c r="AI142" s="14">
        <f>IF('Données projet'!$A$62&gt;35,AI141+AH142-AQ141,IF(A142&lt;'Données projet'!$A$62,$AF$205^A142,IF(A142='Données projet'!$A$62,'Données projet'!$B$62,AI141+AH142-AQ141)))</f>
        <v>293.29999999999927</v>
      </c>
      <c r="AJ142" s="14">
        <f>AI142*VLOOKUP('Données projet'!$B$10,Paramètres!$A$1:$I$89,3,0)*VLOOKUP('Données projet'!$B$10,Paramètres!$A$1:$I$89,5,0)</f>
        <v>265.37783999999937</v>
      </c>
      <c r="AK142" s="14">
        <f t="shared" si="143"/>
        <v>63.867346655917089</v>
      </c>
      <c r="AL142" s="22">
        <f t="shared" si="112"/>
        <v>573.43536675905443</v>
      </c>
      <c r="AM142" s="62">
        <f t="shared" si="113"/>
        <v>866.76870009238769</v>
      </c>
      <c r="AN142" s="62">
        <f ca="1">AVERAGE(OFFSET($AM$3,0,0,'Données projet'!$E$10+1,1))-AVERAGE(OFFSET($H$3,0,0,'Données projet'!$E$10+1,1))</f>
        <v>428.8489304403459</v>
      </c>
      <c r="AO142" s="62">
        <f t="shared" si="144"/>
        <v>247.01165577562966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0</v>
      </c>
      <c r="AV142" s="23">
        <f>EXP(-LN(2)/25)*AV141+(1-EXP(-LN(2)/25))/(LN(2)/25)*Calculateur!AQ142*Calculateur!AS142*VLOOKUP('Données projet'!$B$10,Paramètres!$A$1:$I$89,3,0)*0.475*44/12</f>
        <v>0</v>
      </c>
      <c r="AW142" s="23">
        <f>EXP(-LN(2)/2)*AW141+(1-EXP(-LN(2)/2))/(LN(2)/2)*AQ142*AT142*VLOOKUP('Données projet'!$B$10,Paramètres!$A$1:$I$89,3,0)*0.475*44/12</f>
        <v>0</v>
      </c>
      <c r="AX142" s="23">
        <f t="shared" si="114"/>
        <v>0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2.7</v>
      </c>
      <c r="BD142" s="13">
        <f>IF('Données projet'!$A$88&gt;35,BD141+BC142-BL141,IF(A142&lt;'Données projet'!$A$88,$BA$205^A142,IF(A142='Données projet'!$A$88,'Données projet'!$B$88,BD141+BC142-BL141)))</f>
        <v>293.29999999999927</v>
      </c>
      <c r="BE142" s="14">
        <f>BD142*VLOOKUP('Données projet'!$B$11,Paramètres!$A$1:$I$89,3,0)*VLOOKUP('Données projet'!$B$11,Paramètres!$A$1:$I$89,5,0)</f>
        <v>297.40619999999927</v>
      </c>
      <c r="BF142" s="14">
        <f t="shared" si="145"/>
        <v>70.632428863759543</v>
      </c>
      <c r="BG142" s="22">
        <f t="shared" si="115"/>
        <v>641.0006119377133</v>
      </c>
      <c r="BH142" s="62">
        <f t="shared" si="116"/>
        <v>934.33394527104656</v>
      </c>
      <c r="BI142" s="62">
        <f ca="1">AVERAGE(OFFSET($BH$3,0,0,'Données projet'!$E$11+1,1))-AVERAGE(OFFSET($H$3,0,0,'Données projet'!$E$11+1,1))</f>
        <v>475.47920969424894</v>
      </c>
      <c r="BJ142" s="62">
        <f t="shared" si="146"/>
        <v>271.73544012419364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>
        <f>EXP(-LN(2)/35)*BP141+(1-EXP(-LN(2)/35))/(LN(2)/35)*BL142*BM142*VLOOKUP('Données projet'!$B$11,Paramètres!$A$1:$I$89,3,0)*0.475*44/12</f>
        <v>0</v>
      </c>
      <c r="BQ142" s="23">
        <f>EXP(-LN(2)/25)*BQ141+(1-EXP(-LN(2)/25))/(LN(2)/25)*Calculateur!BL142*Calculateur!BN142*VLOOKUP('Données projet'!$B$11,Paramètres!$A$1:$I$89,3,0)*0.475*44/12</f>
        <v>0</v>
      </c>
      <c r="BR142" s="23">
        <f>EXP(-LN(2)/2)*BR141+(1-EXP(-LN(2)/2))/(LN(2)/2)*BL142*BO142*VLOOKUP('Données projet'!$B$11,Paramètres!$A$1:$I$89,3,0)*0.475*44/12</f>
        <v>0</v>
      </c>
      <c r="BS142" s="24">
        <f t="shared" si="117"/>
        <v>0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2.2737367544323206E-13</v>
      </c>
      <c r="BZ142" s="14">
        <f>BY142*VLOOKUP('Données projet'!$B$12,Paramètres!$A$1:$I$89,3,0)*VLOOKUP('Données projet'!$B$12,Paramètres!$A$1:$I$89,5,0)</f>
        <v>1.2710188457276673E-13</v>
      </c>
      <c r="CA142" s="14">
        <f t="shared" si="147"/>
        <v>1.856866851063998E-12</v>
      </c>
      <c r="CB142" s="22">
        <f t="shared" si="118"/>
        <v>3.4554122145673649E-12</v>
      </c>
      <c r="CC142" s="62">
        <f t="shared" si="119"/>
        <v>293.33333333333678</v>
      </c>
      <c r="CD142" s="62">
        <f ca="1">AVERAGE(OFFSET($CC$3,0,0,'Données projet'!$E$12+1,1))-AVERAGE(OFFSET($H$3,0,0,'Données projet'!$E$12+1,1))</f>
        <v>323.98185264074681</v>
      </c>
      <c r="CE142" s="62">
        <f t="shared" si="148"/>
        <v>301.22207291854005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>
        <f>EXP(-LN(2)/35)*CK141+(1-EXP(-LN(2)/35))/(LN(2)/35)*CG142*CH142*VLOOKUP('Données projet'!$B$12,Paramètres!$A$1:$I$89,3,0)*0.475*44/12</f>
        <v>0.51530860583429605</v>
      </c>
      <c r="CL142" s="23">
        <f>EXP(-LN(2)/25)*CL141+(1-EXP(-LN(2)/25))/(LN(2)/25)*Calculateur!CG142*Calculateur!CI142*VLOOKUP('Données projet'!$B$12,Paramètres!$A$1:$I$89,3,0)*0.475*44/12</f>
        <v>0.40162523488610352</v>
      </c>
      <c r="CM142" s="23">
        <f>EXP(-LN(2)/2)*CM141+(1-EXP(-LN(2)/2))/(LN(2)/2)*CG142*CJ142*VLOOKUP('Données projet'!$B$12,Paramètres!$A$1:$I$89,3,0)*0.475*44/12</f>
        <v>2.389605035659799E-16</v>
      </c>
      <c r="CN142" s="24">
        <f t="shared" si="120"/>
        <v>0.91693384072039974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1.5</v>
      </c>
      <c r="CT142" s="13">
        <f>IF('Données projet'!$A$140&gt;35,CT141+CS142-DB141,IF(A142&lt;'Données projet'!$A$140,$CQ$205^A142,IF(A142='Données projet'!$A$140,'Données projet'!$B$140,CT141+CS142-DB141)))</f>
        <v>225.49999999999994</v>
      </c>
      <c r="CU142" s="18">
        <f>CT142*VLOOKUP('Données projet'!$B$13,Paramètres!$A$1:$I$89,3,0)*VLOOKUP('Données projet'!$B$13,Paramètres!$A$1:$I$89,5,0)</f>
        <v>256.79939999999993</v>
      </c>
      <c r="CV142" s="14">
        <f t="shared" si="149"/>
        <v>62.039648337165382</v>
      </c>
      <c r="CW142" s="22">
        <f t="shared" si="121"/>
        <v>555.3113425205629</v>
      </c>
      <c r="CX142" s="62">
        <f t="shared" si="122"/>
        <v>848.64467585389616</v>
      </c>
      <c r="CY142" s="62">
        <f ca="1">AVERAGE(OFFSET($CX$3,0,0,'Données projet'!$E$13+1,1))-AVERAGE(OFFSET($H$3,0,0,'Données projet'!$E$13+1,1))</f>
        <v>399.78832690250164</v>
      </c>
      <c r="CZ142" s="62">
        <f t="shared" si="150"/>
        <v>174.32967064896343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>
        <f>EXP(-LN(2)/35)*DF141+(1-EXP(-LN(2)/35))/(LN(2)/35)*DB142*DC142*VLOOKUP('Données projet'!$B$13,Paramètres!$A$1:$I$89,3,0)*0.475*44/12</f>
        <v>0</v>
      </c>
      <c r="DG142" s="23">
        <f>EXP(-LN(2)/25)*DG141+(1-EXP(-LN(2)/25))/(LN(2)/25)*Calculateur!DB142*Calculateur!DD142*VLOOKUP('Données projet'!$B$13,Paramètres!$A$1:$I$89,3,0)*0.475*44/12</f>
        <v>0</v>
      </c>
      <c r="DH142" s="23">
        <f>EXP(-LN(2)/2)*DH141+(1-EXP(-LN(2)/2))/(LN(2)/2)*DB142*DE142*VLOOKUP('Données projet'!$B$13,Paramètres!$A$1:$I$89,3,0)*0.475*44/12</f>
        <v>0</v>
      </c>
      <c r="DI142" s="24">
        <f t="shared" si="123"/>
        <v>0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2.7</v>
      </c>
      <c r="DO142" s="13">
        <f>IF('Données projet'!$A$166&gt;35,DO141+DN142-DW141,IF(A142&lt;'Données projet'!$A$166,$DL$205^A142,IF(A142='Données projet'!$A$166,'Données projet'!$B$166,DO141+DN142-DW141)))</f>
        <v>293.29999999999927</v>
      </c>
      <c r="DP142" s="18">
        <f>DO142*VLOOKUP('Données projet'!$B$14,Paramètres!$A$1:$I$89,3,0)*VLOOKUP('Données projet'!$B$14,Paramètres!$A$1:$I$89,5,0)</f>
        <v>247.0759199999994</v>
      </c>
      <c r="DQ142" s="14">
        <f t="shared" si="151"/>
        <v>59.959365027937501</v>
      </c>
      <c r="DR142" s="22">
        <f t="shared" si="124"/>
        <v>534.75312142365681</v>
      </c>
      <c r="DS142" s="62">
        <f t="shared" si="125"/>
        <v>828.08645475699018</v>
      </c>
      <c r="DT142" s="62">
        <f ca="1">AVERAGE(OFFSET($DS$3,0,0,'Données projet'!$E$14+1,1))-AVERAGE(OFFSET($H$3,0,0,'Données projet'!$E$14+1,1))</f>
        <v>402.15128814037058</v>
      </c>
      <c r="DU142" s="62">
        <f t="shared" si="152"/>
        <v>232.85411068442738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>
        <f>EXP(-LN(2)/35)*EA141+(1-EXP(-LN(2)/35))/(LN(2)/35)*DW142*DX142*VLOOKUP('Données projet'!$B$14,Paramètres!$A$1:$I$89,3,0)*0.475*44/12</f>
        <v>0</v>
      </c>
      <c r="EB142" s="23">
        <f>EXP(-LN(2)/25)*EB141+(1-EXP(-LN(2)/25))/(LN(2)/25)*Calculateur!DW142*Calculateur!DY142*VLOOKUP('Données projet'!$B$14,Paramètres!$A$1:$I$89,3,0)*0.475*44/12</f>
        <v>0</v>
      </c>
      <c r="EC142" s="23">
        <f>EXP(-LN(2)/2)*EC141+(1-EXP(-LN(2)/2))/(LN(2)/2)*DW142*DZ142*VLOOKUP('Données projet'!$B$14,Paramètres!$A$1:$I$89,3,0)*0.475*44/12</f>
        <v>0</v>
      </c>
      <c r="ED142" s="24">
        <f t="shared" si="126"/>
        <v>0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6.2527760746888816E-13</v>
      </c>
      <c r="EK142" s="18">
        <f>EJ142*VLOOKUP('Données projet'!$B$15,Paramètres!$A$1:$I$89,3,0)*VLOOKUP('Données projet'!$B$15,Paramètres!$A$1:$I$89,5,0)</f>
        <v>6.5354015532648198E-13</v>
      </c>
      <c r="EL142" s="14">
        <f t="shared" si="153"/>
        <v>7.8909019831354483E-12</v>
      </c>
      <c r="EM142" s="22">
        <f t="shared" si="127"/>
        <v>1.4881570057821194E-11</v>
      </c>
      <c r="EN142" s="62">
        <f t="shared" si="128"/>
        <v>293.33333333334821</v>
      </c>
      <c r="EO142" s="62">
        <f ca="1">AVERAGE(OFFSET($EN$3,0,0,'Données projet'!$E$15+1,1))-AVERAGE(OFFSET($H$3,0,0,'Données projet'!$E$15+1,1))</f>
        <v>595.89992279024398</v>
      </c>
      <c r="EP142" s="62">
        <f t="shared" si="154"/>
        <v>378.16197659288338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>
        <f>EXP(-LN(2)/35)*EV141+(1-EXP(-LN(2)/35))/(LN(2)/35)*ER142*ES142*VLOOKUP('Données projet'!$B$15,Paramètres!$A$1:$I$89,3,0)*0.475*44/12</f>
        <v>0</v>
      </c>
      <c r="EW142" s="23">
        <f>EXP(-LN(2)/25)*EW141+(1-EXP(-LN(2)/25))/(LN(2)/25)*Calculateur!ER142*Calculateur!ET142*VLOOKUP('Données projet'!$B$15,Paramètres!$A$1:$I$89,3,0)*0.475*44/12</f>
        <v>0</v>
      </c>
      <c r="EX142" s="23">
        <f>EXP(-LN(2)/2)*EX141+(1-EXP(-LN(2)/2))/(LN(2)/2)*ER142*EU142*VLOOKUP('Données projet'!$B$15,Paramètres!$A$1:$I$89,3,0)*0.475*44/12</f>
        <v>0</v>
      </c>
      <c r="EY142" s="24">
        <f t="shared" si="129"/>
        <v>0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-2.2737367544323206E-13</v>
      </c>
      <c r="FF142" s="18">
        <f>FE142*VLOOKUP('Données projet'!$B$16,Paramètres!$A$1:$I$89,3,0)*VLOOKUP('Données projet'!$B$16,Paramètres!$A$1:$I$89,5,0)</f>
        <v>-1.3596945791505279E-13</v>
      </c>
      <c r="FG142" s="14" t="e">
        <f t="shared" si="155"/>
        <v>#NUM!</v>
      </c>
      <c r="FH142" s="22" t="e">
        <f t="shared" si="130"/>
        <v>#NUM!</v>
      </c>
      <c r="FI142" s="62" t="e">
        <f t="shared" si="131"/>
        <v>#NUM!</v>
      </c>
      <c r="FJ142" s="62">
        <f ca="1">AVERAGE(OFFSET($FI$3,0,0,'Données projet'!$E$16+1,1))-AVERAGE(OFFSET($H$3,0,0,'Données projet'!$E$16+1,1))</f>
        <v>257.56116197646924</v>
      </c>
      <c r="FK142" s="62">
        <f t="shared" si="156"/>
        <v>269.95556918835888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>
        <f>EXP(-LN(2)/35)*FQ141+(1-EXP(-LN(2)/35))/(LN(2)/35)*FM142*FN142*VLOOKUP('Données projet'!$B$16,Paramètres!$A$1:$I$89,3,0)*0.475*44/12</f>
        <v>1.6838641739265561</v>
      </c>
      <c r="FR142" s="23">
        <f>EXP(-LN(2)/25)*FR141+(1-EXP(-LN(2)/25))/(LN(2)/25)*Calculateur!FM142*Calculateur!FO142*VLOOKUP('Données projet'!$B$16,Paramètres!$A$1:$I$89,3,0)*0.475*44/12</f>
        <v>0.786131920258067</v>
      </c>
      <c r="FS142" s="23">
        <f>EXP(-LN(2)/2)*FS141+(1-EXP(-LN(2)/2))/(LN(2)/2)*FM142*FP142*VLOOKUP('Données projet'!$B$16,Paramètres!$A$1:$I$89,3,0)*0.475*44/12</f>
        <v>3.3576754679487055E-16</v>
      </c>
      <c r="FT142" s="24">
        <f t="shared" si="132"/>
        <v>2.4699960941846233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-2.8421709430404007E-13</v>
      </c>
      <c r="GA142" s="18">
        <f>FZ142*VLOOKUP('Données projet'!$B$17,Paramètres!$A$1:$I$89,3,0)*VLOOKUP('Données projet'!$B$17,Paramètres!$A$1:$I$89,5,0)</f>
        <v>-1.69961822393816E-13</v>
      </c>
      <c r="GB142" s="14" t="e">
        <f t="shared" si="157"/>
        <v>#NUM!</v>
      </c>
      <c r="GC142" s="22" t="e">
        <f t="shared" si="133"/>
        <v>#NUM!</v>
      </c>
      <c r="GD142" s="62" t="e">
        <f t="shared" si="134"/>
        <v>#NUM!</v>
      </c>
      <c r="GE142" s="62">
        <f ca="1">AVERAGE(OFFSET($GD$3,0,0,'Données projet'!$E$17+1,1))-AVERAGE(OFFSET($H$3,0,0,'Données projet'!$E$17+1,1))</f>
        <v>289.12367833861299</v>
      </c>
      <c r="GF142" s="62">
        <f t="shared" si="158"/>
        <v>229.06617320689003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>
        <f>EXP(-LN(2)/35)*GL141+(1-EXP(-LN(2)/35))/(LN(2)/35)*GH142*GI142*VLOOKUP('Données projet'!$B$17,Paramètres!$A$1:$I$89,3,0)*0.475*44/12</f>
        <v>0</v>
      </c>
      <c r="GM142" s="23">
        <f>EXP(-LN(2)/25)*GM141+(1-EXP(-LN(2)/25))/(LN(2)/25)*Calculateur!GH142*Calculateur!GJ142*VLOOKUP('Données projet'!$B$17,Paramètres!$A$1:$I$89,3,0)*0.475*44/12</f>
        <v>0</v>
      </c>
      <c r="GN142" s="23">
        <f>EXP(-LN(2)/2)*GN141+(1-EXP(-LN(2)/2))/(LN(2)/2)*GH142*GK142*VLOOKUP('Données projet'!$B$17,Paramètres!$A$1:$I$89,3,0)*0.475*44/12</f>
        <v>1.6277286208532756E-16</v>
      </c>
      <c r="GO142" s="23">
        <f t="shared" si="135"/>
        <v>1.6277286208532756E-16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-5.6843418860808015E-14</v>
      </c>
      <c r="GV142" s="18">
        <f>GU142*VLOOKUP('Données projet'!$B$18,Paramètres!$A$1:$I$89,3,0)*VLOOKUP('Données projet'!$B$18,Paramètres!$A$1:$I$89,5,0)</f>
        <v>-2.6602720026858149E-14</v>
      </c>
      <c r="GW142" s="14" t="e">
        <f t="shared" si="159"/>
        <v>#NUM!</v>
      </c>
      <c r="GX142" s="22" t="e">
        <f t="shared" si="136"/>
        <v>#NUM!</v>
      </c>
      <c r="GY142" s="62" t="e">
        <f t="shared" si="137"/>
        <v>#NUM!</v>
      </c>
      <c r="GZ142" s="62">
        <f ca="1">AVERAGE(OFFSET($GY$3,0,0,'Données projet'!$E$18+1,1))-AVERAGE(OFFSET($H$3,0,0,'Données projet'!$E$18+1,1))</f>
        <v>284.88646502866419</v>
      </c>
      <c r="HA142" s="62">
        <f t="shared" si="160"/>
        <v>190.4880882944471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>
        <f>EXP(-LN(2)/35)*HG141+(1-EXP(-LN(2)/35))/(LN(2)/35)*HC142*HD142*VLOOKUP('Données projet'!$B$18,Paramètres!$A$1:$I$89,3,0)*0.475*44/12</f>
        <v>0</v>
      </c>
      <c r="HH142" s="23">
        <f>EXP(-LN(2)/25)*HH141+(1-EXP(-LN(2)/25))/(LN(2)/25)*Calculateur!HC142*Calculateur!HE142*VLOOKUP('Données projet'!$B$18,Paramètres!$A$1:$I$89,3,0)*0.475*44/12</f>
        <v>0</v>
      </c>
      <c r="HI142" s="23">
        <f>EXP(-LN(2)/2)*HI141+(1-EXP(-LN(2)/2))/(LN(2)/2)*HC142*HF142*VLOOKUP('Données projet'!$B$18,Paramètres!$A$1:$I$89,3,0)*0.475*44/12</f>
        <v>0</v>
      </c>
      <c r="HJ142" s="24">
        <f t="shared" si="138"/>
        <v>0</v>
      </c>
    </row>
    <row r="143" spans="1:218" s="5" customFormat="1" x14ac:dyDescent="0.25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2">
        <f t="shared" si="140"/>
        <v>0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0</v>
      </c>
      <c r="H143" s="70">
        <f t="shared" si="110"/>
        <v>256.66666666666669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-1.1368683772161603E-13</v>
      </c>
      <c r="O143" s="14">
        <f>N143*VLOOKUP('Données projet'!$B$9,Paramètres!$A$1:$I$89,3,0)*VLOOKUP('Données projet'!$B$9,Paramètres!$A$1:$I$89,5,0)</f>
        <v>-1.0818439477588981E-13</v>
      </c>
      <c r="P143" s="14" t="e">
        <f t="shared" si="141"/>
        <v>#NUM!</v>
      </c>
      <c r="Q143" s="22" t="e">
        <f t="shared" si="108"/>
        <v>#NUM!</v>
      </c>
      <c r="R143" s="62" t="e">
        <f t="shared" si="109"/>
        <v>#NUM!</v>
      </c>
      <c r="S143" s="62">
        <f ca="1">AVERAGE(OFFSET($R$3,0,0,'Données projet'!$E$9+1,1))-AVERAGE(OFFSET($H$3,0,0,'Données projet'!$E$9+1,1))</f>
        <v>367.11183928586667</v>
      </c>
      <c r="T143" s="62">
        <f t="shared" si="142"/>
        <v>281.52963027844595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0</v>
      </c>
      <c r="AA143" s="23">
        <f>EXP(-LN(2)/25)*AA142+(1-EXP(-LN(2)/25))/(LN(2)/25)*Calculateur!V143*Calculateur!X143*VLOOKUP('Données projet'!$B$9,Paramètres!$A$1:$I$89,3,0)*0.475*44/12</f>
        <v>0</v>
      </c>
      <c r="AB143" s="23">
        <f>EXP(-LN(2)/2)*AB142+(1-EXP(-LN(2)/2))/(LN(2)/2)*V143*Y143*VLOOKUP('Données projet'!$B$9,Paramètres!$A$1:$I$89,3,0)*0.475*44/12</f>
        <v>0</v>
      </c>
      <c r="AC143" s="24">
        <f t="shared" si="111"/>
        <v>0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>
        <f>VLOOKUP(A143,'Données projet'!$A$61:$I$81,2,0)</f>
        <v>296</v>
      </c>
      <c r="AG143" s="13">
        <f>VLOOKUP(A143,'Données projet'!$A$61:$I$81,9,0)</f>
        <v>2.7</v>
      </c>
      <c r="AH143" s="13">
        <f t="array" ref="AH143">INDEX(AG:AG,MIN(IF(ISNUMBER(AG143:AG339),ROW(AG143:AG339),"")))</f>
        <v>2.7</v>
      </c>
      <c r="AI143" s="14">
        <f>IF('Données projet'!$A$62&gt;35,AI142+AH143-AQ142,IF(A143&lt;'Données projet'!$A$62,$AF$205^A143,IF(A143='Données projet'!$A$62,'Données projet'!$B$62,AI142+AH143-AQ142)))</f>
        <v>295.99999999999926</v>
      </c>
      <c r="AJ143" s="14">
        <f>AI143*VLOOKUP('Données projet'!$B$10,Paramètres!$A$1:$I$89,3,0)*VLOOKUP('Données projet'!$B$10,Paramètres!$A$1:$I$89,5,0)</f>
        <v>267.82079999999934</v>
      </c>
      <c r="AK143" s="14">
        <f t="shared" si="143"/>
        <v>64.386570147897245</v>
      </c>
      <c r="AL143" s="22">
        <f t="shared" si="112"/>
        <v>578.59450300758647</v>
      </c>
      <c r="AM143" s="62">
        <f t="shared" si="113"/>
        <v>871.92783634091984</v>
      </c>
      <c r="AN143" s="62">
        <f ca="1">AVERAGE(OFFSET($AM$3,0,0,'Données projet'!$E$10+1,1))-AVERAGE(OFFSET($H$3,0,0,'Données projet'!$E$10+1,1))</f>
        <v>428.8489304403459</v>
      </c>
      <c r="AO143" s="62">
        <f t="shared" si="144"/>
        <v>247.01165577562966</v>
      </c>
      <c r="AP143" s="16">
        <f>IF(ISNA(VLOOKUP(A143,'Données projet'!$A$61:$I$81,3,0)),0,VLOOKUP(A143,'Données projet'!$A$61:$I$81,3,0))</f>
        <v>12</v>
      </c>
      <c r="AQ143" s="16">
        <f>IF(ISNA(VLOOKUP(A143,'Données projet'!$A$61:$I$81,4,0)),0,VLOOKUP(A143,'Données projet'!$A$61:$I$81,4,0))</f>
        <v>27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0</v>
      </c>
      <c r="AV143" s="23">
        <f>EXP(-LN(2)/25)*AV142+(1-EXP(-LN(2)/25))/(LN(2)/25)*Calculateur!AQ143*Calculateur!AS143*VLOOKUP('Données projet'!$B$10,Paramètres!$A$1:$I$89,3,0)*0.475*44/12</f>
        <v>0</v>
      </c>
      <c r="AW143" s="23">
        <f>EXP(-LN(2)/2)*AW142+(1-EXP(-LN(2)/2))/(LN(2)/2)*AQ143*AT143*VLOOKUP('Données projet'!$B$10,Paramètres!$A$1:$I$89,3,0)*0.475*44/12</f>
        <v>0</v>
      </c>
      <c r="AX143" s="23">
        <f t="shared" si="114"/>
        <v>0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>
        <f>VLOOKUP(A143,'Données projet'!$A$87:$I$107,2,0)</f>
        <v>296</v>
      </c>
      <c r="BB143" s="13">
        <f>VLOOKUP(A143,'Données projet'!$A$87:$I$107,9,0)</f>
        <v>2.7</v>
      </c>
      <c r="BC143" s="13">
        <f t="array" ref="BC143">INDEX(BB:BB,MIN(IF(ISNUMBER(BB143:BB339),ROW(BB143:BB339),"")))</f>
        <v>2.7</v>
      </c>
      <c r="BD143" s="13">
        <f>IF('Données projet'!$A$88&gt;35,BD142+BC143-BL142,IF(A143&lt;'Données projet'!$A$88,$BA$205^A143,IF(A143='Données projet'!$A$88,'Données projet'!$B$88,BD142+BC143-BL142)))</f>
        <v>295.99999999999926</v>
      </c>
      <c r="BE143" s="14">
        <f>BD143*VLOOKUP('Données projet'!$B$11,Paramètres!$A$1:$I$89,3,0)*VLOOKUP('Données projet'!$B$11,Paramètres!$A$1:$I$89,5,0)</f>
        <v>300.14399999999927</v>
      </c>
      <c r="BF143" s="14">
        <f t="shared" si="145"/>
        <v>71.206650563609728</v>
      </c>
      <c r="BG143" s="22">
        <f t="shared" si="115"/>
        <v>646.76904973161891</v>
      </c>
      <c r="BH143" s="62">
        <f t="shared" si="116"/>
        <v>940.10238306495216</v>
      </c>
      <c r="BI143" s="62">
        <f ca="1">AVERAGE(OFFSET($BH$3,0,0,'Données projet'!$E$11+1,1))-AVERAGE(OFFSET($H$3,0,0,'Données projet'!$E$11+1,1))</f>
        <v>475.47920969424894</v>
      </c>
      <c r="BJ143" s="62">
        <f t="shared" si="146"/>
        <v>271.73544012419364</v>
      </c>
      <c r="BK143" s="16">
        <f>IF(ISNA(VLOOKUP(A143,'Données projet'!$A$87:$I$107,3,0)),0,VLOOKUP(A143,'Données projet'!$A$87:$I$107,3,0))</f>
        <v>12</v>
      </c>
      <c r="BL143" s="16">
        <f>IF(ISNA(VLOOKUP(A143,'Données projet'!$A$87:$I$107,4,0)),0,VLOOKUP(A143,'Données projet'!$A$87:$I$107,4,0))</f>
        <v>27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>
        <f>EXP(-LN(2)/35)*BP142+(1-EXP(-LN(2)/35))/(LN(2)/35)*BL143*BM143*VLOOKUP('Données projet'!$B$11,Paramètres!$A$1:$I$89,3,0)*0.475*44/12</f>
        <v>0</v>
      </c>
      <c r="BQ143" s="23">
        <f>EXP(-LN(2)/25)*BQ142+(1-EXP(-LN(2)/25))/(LN(2)/25)*Calculateur!BL143*Calculateur!BN143*VLOOKUP('Données projet'!$B$11,Paramètres!$A$1:$I$89,3,0)*0.475*44/12</f>
        <v>0</v>
      </c>
      <c r="BR143" s="23">
        <f>EXP(-LN(2)/2)*BR142+(1-EXP(-LN(2)/2))/(LN(2)/2)*BL143*BO143*VLOOKUP('Données projet'!$B$11,Paramètres!$A$1:$I$89,3,0)*0.475*44/12</f>
        <v>0</v>
      </c>
      <c r="BS143" s="24">
        <f t="shared" si="117"/>
        <v>0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2.2737367544323206E-13</v>
      </c>
      <c r="BZ143" s="14">
        <f>BY143*VLOOKUP('Données projet'!$B$12,Paramètres!$A$1:$I$89,3,0)*VLOOKUP('Données projet'!$B$12,Paramètres!$A$1:$I$89,5,0)</f>
        <v>1.2710188457276673E-13</v>
      </c>
      <c r="CA143" s="14">
        <f t="shared" si="147"/>
        <v>1.856866851063998E-12</v>
      </c>
      <c r="CB143" s="22">
        <f t="shared" si="118"/>
        <v>3.4554122145673649E-12</v>
      </c>
      <c r="CC143" s="62">
        <f t="shared" si="119"/>
        <v>293.33333333333678</v>
      </c>
      <c r="CD143" s="62">
        <f ca="1">AVERAGE(OFFSET($CC$3,0,0,'Données projet'!$E$12+1,1))-AVERAGE(OFFSET($H$3,0,0,'Données projet'!$E$12+1,1))</f>
        <v>323.98185264074681</v>
      </c>
      <c r="CE143" s="62">
        <f t="shared" si="148"/>
        <v>301.22207291854005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>
        <f>EXP(-LN(2)/35)*CK142+(1-EXP(-LN(2)/35))/(LN(2)/35)*CG143*CH143*VLOOKUP('Données projet'!$B$12,Paramètres!$A$1:$I$89,3,0)*0.475*44/12</f>
        <v>0.50520371838109979</v>
      </c>
      <c r="CL143" s="23">
        <f>EXP(-LN(2)/25)*CL142+(1-EXP(-LN(2)/25))/(LN(2)/25)*Calculateur!CG143*Calculateur!CI143*VLOOKUP('Données projet'!$B$12,Paramètres!$A$1:$I$89,3,0)*0.475*44/12</f>
        <v>0.39064277171758982</v>
      </c>
      <c r="CM143" s="23">
        <f>EXP(-LN(2)/2)*CM142+(1-EXP(-LN(2)/2))/(LN(2)/2)*CG143*CJ143*VLOOKUP('Données projet'!$B$12,Paramètres!$A$1:$I$89,3,0)*0.475*44/12</f>
        <v>1.6897059250725656E-16</v>
      </c>
      <c r="CN143" s="24">
        <f t="shared" si="120"/>
        <v>0.89584649009868977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>
        <f>VLOOKUP(A143,'Données projet'!$A$139:$I$159,2,0)</f>
        <v>227</v>
      </c>
      <c r="CR143" s="13">
        <f>VLOOKUP(A143,'Données projet'!$A$139:$I$159,9,0)</f>
        <v>1.5</v>
      </c>
      <c r="CS143" s="13">
        <f t="array" ref="CS143">INDEX(CR:CR,MIN(IF(ISNUMBER(CR143:CR339),ROW(CR143:CR339),"")))</f>
        <v>1.5</v>
      </c>
      <c r="CT143" s="13">
        <f>IF('Données projet'!$A$140&gt;35,CT142+CS143-DB142,IF(A143&lt;'Données projet'!$A$140,$CQ$205^A143,IF(A143='Données projet'!$A$140,'Données projet'!$B$140,CT142+CS143-DB142)))</f>
        <v>226.99999999999994</v>
      </c>
      <c r="CU143" s="18">
        <f>CT143*VLOOKUP('Données projet'!$B$13,Paramètres!$A$1:$I$89,3,0)*VLOOKUP('Données projet'!$B$13,Paramètres!$A$1:$I$89,5,0)</f>
        <v>258.50759999999991</v>
      </c>
      <c r="CV143" s="14">
        <f t="shared" si="149"/>
        <v>62.404152084213507</v>
      </c>
      <c r="CW143" s="22">
        <f t="shared" si="121"/>
        <v>558.92130154667154</v>
      </c>
      <c r="CX143" s="62">
        <f t="shared" si="122"/>
        <v>852.25463488000491</v>
      </c>
      <c r="CY143" s="62">
        <f ca="1">AVERAGE(OFFSET($CX$3,0,0,'Données projet'!$E$13+1,1))-AVERAGE(OFFSET($H$3,0,0,'Données projet'!$E$13+1,1))</f>
        <v>399.78832690250164</v>
      </c>
      <c r="CZ143" s="62">
        <f t="shared" si="150"/>
        <v>174.32967064896343</v>
      </c>
      <c r="DA143" s="16">
        <f>IF(ISNA(VLOOKUP(A143,'Données projet'!$A$139:$I$159,3,0)),0,VLOOKUP(A143,'Données projet'!$A$139:$I$159,3,0))</f>
        <v>11</v>
      </c>
      <c r="DB143" s="16">
        <f>IF(ISNA(VLOOKUP(A143,'Données projet'!$A$139:$I$159,4,0)),0,VLOOKUP(A143,'Données projet'!$A$139:$I$159,4,0))</f>
        <v>17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>
        <f>EXP(-LN(2)/35)*DF142+(1-EXP(-LN(2)/35))/(LN(2)/35)*DB143*DC143*VLOOKUP('Données projet'!$B$13,Paramètres!$A$1:$I$89,3,0)*0.475*44/12</f>
        <v>0</v>
      </c>
      <c r="DG143" s="23">
        <f>EXP(-LN(2)/25)*DG142+(1-EXP(-LN(2)/25))/(LN(2)/25)*Calculateur!DB143*Calculateur!DD143*VLOOKUP('Données projet'!$B$13,Paramètres!$A$1:$I$89,3,0)*0.475*44/12</f>
        <v>0</v>
      </c>
      <c r="DH143" s="23">
        <f>EXP(-LN(2)/2)*DH142+(1-EXP(-LN(2)/2))/(LN(2)/2)*DB143*DE143*VLOOKUP('Données projet'!$B$13,Paramètres!$A$1:$I$89,3,0)*0.475*44/12</f>
        <v>0</v>
      </c>
      <c r="DI143" s="24">
        <f t="shared" si="123"/>
        <v>0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>
        <f>VLOOKUP(A143,'Données projet'!$A$165:$I$185,2,0)</f>
        <v>296</v>
      </c>
      <c r="DM143" s="13">
        <f>VLOOKUP(A143,'Données projet'!$A$165:$I$185,9,0)</f>
        <v>2.7</v>
      </c>
      <c r="DN143" s="13">
        <f t="array" ref="DN143">INDEX(DM:DM,MIN(IF(ISNUMBER(DM143:DM339),ROW(DM143:DM339),"")))</f>
        <v>2.7</v>
      </c>
      <c r="DO143" s="13">
        <f>IF('Données projet'!$A$166&gt;35,DO142+DN143-DW142,IF(A143&lt;'Données projet'!$A$166,$DL$205^A143,IF(A143='Données projet'!$A$166,'Données projet'!$B$166,DO142+DN143-DW142)))</f>
        <v>295.99999999999926</v>
      </c>
      <c r="DP143" s="18">
        <f>DO143*VLOOKUP('Données projet'!$B$14,Paramètres!$A$1:$I$89,3,0)*VLOOKUP('Données projet'!$B$14,Paramètres!$A$1:$I$89,5,0)</f>
        <v>249.35039999999938</v>
      </c>
      <c r="DQ143" s="14">
        <f t="shared" si="151"/>
        <v>60.446817732908059</v>
      </c>
      <c r="DR143" s="22">
        <f t="shared" si="124"/>
        <v>539.56348755148042</v>
      </c>
      <c r="DS143" s="62">
        <f t="shared" si="125"/>
        <v>832.89682088481368</v>
      </c>
      <c r="DT143" s="62">
        <f ca="1">AVERAGE(OFFSET($DS$3,0,0,'Données projet'!$E$14+1,1))-AVERAGE(OFFSET($H$3,0,0,'Données projet'!$E$14+1,1))</f>
        <v>402.15128814037058</v>
      </c>
      <c r="DU143" s="62">
        <f t="shared" si="152"/>
        <v>232.85411068442738</v>
      </c>
      <c r="DV143" s="16">
        <f>IF(ISNA(VLOOKUP(A143,'Données projet'!$A$165:$I$185,3,0)),0,VLOOKUP(A143,'Données projet'!$A$165:$I$185,3,0))</f>
        <v>12</v>
      </c>
      <c r="DW143" s="16">
        <f>IF(ISNA(VLOOKUP(A143,'Données projet'!$A$165:$I$185,4,0)),0,VLOOKUP(A143,'Données projet'!$A$165:$I$185,4,0))</f>
        <v>27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>
        <f>EXP(-LN(2)/35)*EA142+(1-EXP(-LN(2)/35))/(LN(2)/35)*DW143*DX143*VLOOKUP('Données projet'!$B$14,Paramètres!$A$1:$I$89,3,0)*0.475*44/12</f>
        <v>0</v>
      </c>
      <c r="EB143" s="23">
        <f>EXP(-LN(2)/25)*EB142+(1-EXP(-LN(2)/25))/(LN(2)/25)*Calculateur!DW143*Calculateur!DY143*VLOOKUP('Données projet'!$B$14,Paramètres!$A$1:$I$89,3,0)*0.475*44/12</f>
        <v>0</v>
      </c>
      <c r="EC143" s="23">
        <f>EXP(-LN(2)/2)*EC142+(1-EXP(-LN(2)/2))/(LN(2)/2)*DW143*DZ143*VLOOKUP('Données projet'!$B$14,Paramètres!$A$1:$I$89,3,0)*0.475*44/12</f>
        <v>0</v>
      </c>
      <c r="ED143" s="24">
        <f t="shared" si="126"/>
        <v>0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6.2527760746888816E-13</v>
      </c>
      <c r="EK143" s="18">
        <f>EJ143*VLOOKUP('Données projet'!$B$15,Paramètres!$A$1:$I$89,3,0)*VLOOKUP('Données projet'!$B$15,Paramètres!$A$1:$I$89,5,0)</f>
        <v>6.5354015532648198E-13</v>
      </c>
      <c r="EL143" s="14">
        <f t="shared" si="153"/>
        <v>7.8909019831354483E-12</v>
      </c>
      <c r="EM143" s="22">
        <f t="shared" si="127"/>
        <v>1.4881570057821194E-11</v>
      </c>
      <c r="EN143" s="62">
        <f t="shared" si="128"/>
        <v>293.33333333334821</v>
      </c>
      <c r="EO143" s="62">
        <f ca="1">AVERAGE(OFFSET($EN$3,0,0,'Données projet'!$E$15+1,1))-AVERAGE(OFFSET($H$3,0,0,'Données projet'!$E$15+1,1))</f>
        <v>595.89992279024398</v>
      </c>
      <c r="EP143" s="62">
        <f t="shared" si="154"/>
        <v>378.16197659288338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>
        <f>EXP(-LN(2)/35)*EV142+(1-EXP(-LN(2)/35))/(LN(2)/35)*ER143*ES143*VLOOKUP('Données projet'!$B$15,Paramètres!$A$1:$I$89,3,0)*0.475*44/12</f>
        <v>0</v>
      </c>
      <c r="EW143" s="23">
        <f>EXP(-LN(2)/25)*EW142+(1-EXP(-LN(2)/25))/(LN(2)/25)*Calculateur!ER143*Calculateur!ET143*VLOOKUP('Données projet'!$B$15,Paramètres!$A$1:$I$89,3,0)*0.475*44/12</f>
        <v>0</v>
      </c>
      <c r="EX143" s="23">
        <f>EXP(-LN(2)/2)*EX142+(1-EXP(-LN(2)/2))/(LN(2)/2)*ER143*EU143*VLOOKUP('Données projet'!$B$15,Paramètres!$A$1:$I$89,3,0)*0.475*44/12</f>
        <v>0</v>
      </c>
      <c r="EY143" s="24">
        <f t="shared" si="129"/>
        <v>0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-2.2737367544323206E-13</v>
      </c>
      <c r="FF143" s="18">
        <f>FE143*VLOOKUP('Données projet'!$B$16,Paramètres!$A$1:$I$89,3,0)*VLOOKUP('Données projet'!$B$16,Paramètres!$A$1:$I$89,5,0)</f>
        <v>-1.3596945791505279E-13</v>
      </c>
      <c r="FG143" s="14" t="e">
        <f t="shared" si="155"/>
        <v>#NUM!</v>
      </c>
      <c r="FH143" s="22" t="e">
        <f t="shared" si="130"/>
        <v>#NUM!</v>
      </c>
      <c r="FI143" s="62" t="e">
        <f t="shared" si="131"/>
        <v>#NUM!</v>
      </c>
      <c r="FJ143" s="62">
        <f ca="1">AVERAGE(OFFSET($FI$3,0,0,'Données projet'!$E$16+1,1))-AVERAGE(OFFSET($H$3,0,0,'Données projet'!$E$16+1,1))</f>
        <v>257.56116197646924</v>
      </c>
      <c r="FK143" s="62">
        <f t="shared" si="156"/>
        <v>269.95556918835888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>
        <f>EXP(-LN(2)/35)*FQ142+(1-EXP(-LN(2)/35))/(LN(2)/35)*FM143*FN143*VLOOKUP('Données projet'!$B$16,Paramètres!$A$1:$I$89,3,0)*0.475*44/12</f>
        <v>1.6508446245315891</v>
      </c>
      <c r="FR143" s="23">
        <f>EXP(-LN(2)/25)*FR142+(1-EXP(-LN(2)/25))/(LN(2)/25)*Calculateur!FM143*Calculateur!FO143*VLOOKUP('Données projet'!$B$16,Paramètres!$A$1:$I$89,3,0)*0.475*44/12</f>
        <v>0.76463510155772918</v>
      </c>
      <c r="FS143" s="23">
        <f>EXP(-LN(2)/2)*FS142+(1-EXP(-LN(2)/2))/(LN(2)/2)*FM143*FP143*VLOOKUP('Données projet'!$B$16,Paramètres!$A$1:$I$89,3,0)*0.475*44/12</f>
        <v>2.3742350924102438E-16</v>
      </c>
      <c r="FT143" s="24">
        <f t="shared" si="132"/>
        <v>2.4154797260893188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-2.8421709430404007E-13</v>
      </c>
      <c r="GA143" s="18">
        <f>FZ143*VLOOKUP('Données projet'!$B$17,Paramètres!$A$1:$I$89,3,0)*VLOOKUP('Données projet'!$B$17,Paramètres!$A$1:$I$89,5,0)</f>
        <v>-1.69961822393816E-13</v>
      </c>
      <c r="GB143" s="14" t="e">
        <f t="shared" si="157"/>
        <v>#NUM!</v>
      </c>
      <c r="GC143" s="22" t="e">
        <f t="shared" si="133"/>
        <v>#NUM!</v>
      </c>
      <c r="GD143" s="62" t="e">
        <f t="shared" si="134"/>
        <v>#NUM!</v>
      </c>
      <c r="GE143" s="62">
        <f ca="1">AVERAGE(OFFSET($GD$3,0,0,'Données projet'!$E$17+1,1))-AVERAGE(OFFSET($H$3,0,0,'Données projet'!$E$17+1,1))</f>
        <v>289.12367833861299</v>
      </c>
      <c r="GF143" s="62">
        <f t="shared" si="158"/>
        <v>229.06617320689003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>
        <f>EXP(-LN(2)/35)*GL142+(1-EXP(-LN(2)/35))/(LN(2)/35)*GH143*GI143*VLOOKUP('Données projet'!$B$17,Paramètres!$A$1:$I$89,3,0)*0.475*44/12</f>
        <v>0</v>
      </c>
      <c r="GM143" s="23">
        <f>EXP(-LN(2)/25)*GM142+(1-EXP(-LN(2)/25))/(LN(2)/25)*Calculateur!GH143*Calculateur!GJ143*VLOOKUP('Données projet'!$B$17,Paramètres!$A$1:$I$89,3,0)*0.475*44/12</f>
        <v>0</v>
      </c>
      <c r="GN143" s="23">
        <f>EXP(-LN(2)/2)*GN142+(1-EXP(-LN(2)/2))/(LN(2)/2)*GH143*GK143*VLOOKUP('Données projet'!$B$17,Paramètres!$A$1:$I$89,3,0)*0.475*44/12</f>
        <v>1.1509779457367779E-16</v>
      </c>
      <c r="GO143" s="23">
        <f t="shared" si="135"/>
        <v>1.1509779457367779E-16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-5.6843418860808015E-14</v>
      </c>
      <c r="GV143" s="18">
        <f>GU143*VLOOKUP('Données projet'!$B$18,Paramètres!$A$1:$I$89,3,0)*VLOOKUP('Données projet'!$B$18,Paramètres!$A$1:$I$89,5,0)</f>
        <v>-2.6602720026858149E-14</v>
      </c>
      <c r="GW143" s="14" t="e">
        <f t="shared" si="159"/>
        <v>#NUM!</v>
      </c>
      <c r="GX143" s="22" t="e">
        <f t="shared" si="136"/>
        <v>#NUM!</v>
      </c>
      <c r="GY143" s="62" t="e">
        <f t="shared" si="137"/>
        <v>#NUM!</v>
      </c>
      <c r="GZ143" s="62">
        <f ca="1">AVERAGE(OFFSET($GY$3,0,0,'Données projet'!$E$18+1,1))-AVERAGE(OFFSET($H$3,0,0,'Données projet'!$E$18+1,1))</f>
        <v>284.88646502866419</v>
      </c>
      <c r="HA143" s="62">
        <f t="shared" si="160"/>
        <v>190.4880882944471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>
        <f>EXP(-LN(2)/35)*HG142+(1-EXP(-LN(2)/35))/(LN(2)/35)*HC143*HD143*VLOOKUP('Données projet'!$B$18,Paramètres!$A$1:$I$89,3,0)*0.475*44/12</f>
        <v>0</v>
      </c>
      <c r="HH143" s="23">
        <f>EXP(-LN(2)/25)*HH142+(1-EXP(-LN(2)/25))/(LN(2)/25)*Calculateur!HC143*Calculateur!HE143*VLOOKUP('Données projet'!$B$18,Paramètres!$A$1:$I$89,3,0)*0.475*44/12</f>
        <v>0</v>
      </c>
      <c r="HI143" s="23">
        <f>EXP(-LN(2)/2)*HI142+(1-EXP(-LN(2)/2))/(LN(2)/2)*HC143*HF143*VLOOKUP('Données projet'!$B$18,Paramètres!$A$1:$I$89,3,0)*0.475*44/12</f>
        <v>0</v>
      </c>
      <c r="HJ143" s="24">
        <f t="shared" si="138"/>
        <v>0</v>
      </c>
    </row>
    <row r="144" spans="1:218" s="5" customFormat="1" x14ac:dyDescent="0.25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2">
        <f t="shared" si="140"/>
        <v>0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0</v>
      </c>
      <c r="H144" s="70">
        <f t="shared" si="110"/>
        <v>256.66666666666669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-1.1368683772161603E-13</v>
      </c>
      <c r="O144" s="14">
        <f>N144*VLOOKUP('Données projet'!$B$9,Paramètres!$A$1:$I$89,3,0)*VLOOKUP('Données projet'!$B$9,Paramètres!$A$1:$I$89,5,0)</f>
        <v>-1.0818439477588981E-13</v>
      </c>
      <c r="P144" s="14" t="e">
        <f t="shared" si="141"/>
        <v>#NUM!</v>
      </c>
      <c r="Q144" s="22" t="e">
        <f t="shared" si="108"/>
        <v>#NUM!</v>
      </c>
      <c r="R144" s="62" t="e">
        <f t="shared" si="109"/>
        <v>#NUM!</v>
      </c>
      <c r="S144" s="62">
        <f ca="1">AVERAGE(OFFSET($R$3,0,0,'Données projet'!$E$9+1,1))-AVERAGE(OFFSET($H$3,0,0,'Données projet'!$E$9+1,1))</f>
        <v>367.11183928586667</v>
      </c>
      <c r="T144" s="62">
        <f t="shared" si="142"/>
        <v>281.52963027844595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0</v>
      </c>
      <c r="AA144" s="23">
        <f>EXP(-LN(2)/25)*AA143+(1-EXP(-LN(2)/25))/(LN(2)/25)*Calculateur!V144*Calculateur!X144*VLOOKUP('Données projet'!$B$9,Paramètres!$A$1:$I$89,3,0)*0.475*44/12</f>
        <v>0</v>
      </c>
      <c r="AB144" s="23">
        <f>EXP(-LN(2)/2)*AB143+(1-EXP(-LN(2)/2))/(LN(2)/2)*V144*Y144*VLOOKUP('Données projet'!$B$9,Paramètres!$A$1:$I$89,3,0)*0.475*44/12</f>
        <v>0</v>
      </c>
      <c r="AC144" s="24">
        <f t="shared" si="111"/>
        <v>0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2.4</v>
      </c>
      <c r="AI144" s="14">
        <f>IF('Données projet'!$A$62&gt;35,AI143+AH144-AQ143,IF(A144&lt;'Données projet'!$A$62,$AF$205^A144,IF(A144='Données projet'!$A$62,'Données projet'!$B$62,AI143+AH144-AQ143)))</f>
        <v>271.39999999999924</v>
      </c>
      <c r="AJ144" s="14">
        <f>AI144*VLOOKUP('Données projet'!$B$10,Paramètres!$A$1:$I$89,3,0)*VLOOKUP('Données projet'!$B$10,Paramètres!$A$1:$I$89,5,0)</f>
        <v>245.5627199999993</v>
      </c>
      <c r="AK144" s="14">
        <f t="shared" si="143"/>
        <v>59.634776048276741</v>
      </c>
      <c r="AL144" s="22">
        <f t="shared" si="112"/>
        <v>531.55230561741405</v>
      </c>
      <c r="AM144" s="62">
        <f t="shared" si="113"/>
        <v>824.88563895074731</v>
      </c>
      <c r="AN144" s="62">
        <f ca="1">AVERAGE(OFFSET($AM$3,0,0,'Données projet'!$E$10+1,1))-AVERAGE(OFFSET($H$3,0,0,'Données projet'!$E$10+1,1))</f>
        <v>428.8489304403459</v>
      </c>
      <c r="AO144" s="62">
        <f t="shared" si="144"/>
        <v>247.01165577562966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0</v>
      </c>
      <c r="AV144" s="23">
        <f>EXP(-LN(2)/25)*AV143+(1-EXP(-LN(2)/25))/(LN(2)/25)*Calculateur!AQ144*Calculateur!AS144*VLOOKUP('Données projet'!$B$10,Paramètres!$A$1:$I$89,3,0)*0.475*44/12</f>
        <v>0</v>
      </c>
      <c r="AW144" s="23">
        <f>EXP(-LN(2)/2)*AW143+(1-EXP(-LN(2)/2))/(LN(2)/2)*AQ144*AT144*VLOOKUP('Données projet'!$B$10,Paramètres!$A$1:$I$89,3,0)*0.475*44/12</f>
        <v>0</v>
      </c>
      <c r="AX144" s="23">
        <f t="shared" si="114"/>
        <v>0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2.4</v>
      </c>
      <c r="BD144" s="13">
        <f>IF('Données projet'!$A$88&gt;35,BD143+BC144-BL143,IF(A144&lt;'Données projet'!$A$88,$BA$205^A144,IF(A144='Données projet'!$A$88,'Données projet'!$B$88,BD143+BC144-BL143)))</f>
        <v>271.39999999999924</v>
      </c>
      <c r="BE144" s="14">
        <f>BD144*VLOOKUP('Données projet'!$B$11,Paramètres!$A$1:$I$89,3,0)*VLOOKUP('Données projet'!$B$11,Paramètres!$A$1:$I$89,5,0)</f>
        <v>275.19959999999924</v>
      </c>
      <c r="BF144" s="14">
        <f t="shared" si="145"/>
        <v>65.951527620662489</v>
      </c>
      <c r="BG144" s="22">
        <f t="shared" si="115"/>
        <v>594.17154727265245</v>
      </c>
      <c r="BH144" s="62">
        <f t="shared" si="116"/>
        <v>887.50488060598582</v>
      </c>
      <c r="BI144" s="62">
        <f ca="1">AVERAGE(OFFSET($BH$3,0,0,'Données projet'!$E$11+1,1))-AVERAGE(OFFSET($H$3,0,0,'Données projet'!$E$11+1,1))</f>
        <v>475.47920969424894</v>
      </c>
      <c r="BJ144" s="62">
        <f t="shared" si="146"/>
        <v>271.73544012419364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>
        <f>EXP(-LN(2)/35)*BP143+(1-EXP(-LN(2)/35))/(LN(2)/35)*BL144*BM144*VLOOKUP('Données projet'!$B$11,Paramètres!$A$1:$I$89,3,0)*0.475*44/12</f>
        <v>0</v>
      </c>
      <c r="BQ144" s="23">
        <f>EXP(-LN(2)/25)*BQ143+(1-EXP(-LN(2)/25))/(LN(2)/25)*Calculateur!BL144*Calculateur!BN144*VLOOKUP('Données projet'!$B$11,Paramètres!$A$1:$I$89,3,0)*0.475*44/12</f>
        <v>0</v>
      </c>
      <c r="BR144" s="23">
        <f>EXP(-LN(2)/2)*BR143+(1-EXP(-LN(2)/2))/(LN(2)/2)*BL144*BO144*VLOOKUP('Données projet'!$B$11,Paramètres!$A$1:$I$89,3,0)*0.475*44/12</f>
        <v>0</v>
      </c>
      <c r="BS144" s="24">
        <f t="shared" si="117"/>
        <v>0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2.2737367544323206E-13</v>
      </c>
      <c r="BZ144" s="14">
        <f>BY144*VLOOKUP('Données projet'!$B$12,Paramètres!$A$1:$I$89,3,0)*VLOOKUP('Données projet'!$B$12,Paramètres!$A$1:$I$89,5,0)</f>
        <v>1.2710188457276673E-13</v>
      </c>
      <c r="CA144" s="14">
        <f t="shared" si="147"/>
        <v>1.856866851063998E-12</v>
      </c>
      <c r="CB144" s="22">
        <f t="shared" si="118"/>
        <v>3.4554122145673649E-12</v>
      </c>
      <c r="CC144" s="62">
        <f t="shared" si="119"/>
        <v>293.33333333333678</v>
      </c>
      <c r="CD144" s="62">
        <f ca="1">AVERAGE(OFFSET($CC$3,0,0,'Données projet'!$E$12+1,1))-AVERAGE(OFFSET($H$3,0,0,'Données projet'!$E$12+1,1))</f>
        <v>323.98185264074681</v>
      </c>
      <c r="CE144" s="62">
        <f t="shared" si="148"/>
        <v>301.22207291854005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>
        <f>EXP(-LN(2)/35)*CK143+(1-EXP(-LN(2)/35))/(LN(2)/35)*CG144*CH144*VLOOKUP('Données projet'!$B$12,Paramètres!$A$1:$I$89,3,0)*0.475*44/12</f>
        <v>0.49529698160748797</v>
      </c>
      <c r="CL144" s="23">
        <f>EXP(-LN(2)/25)*CL143+(1-EXP(-LN(2)/25))/(LN(2)/25)*Calculateur!CG144*Calculateur!CI144*VLOOKUP('Données projet'!$B$12,Paramètres!$A$1:$I$89,3,0)*0.475*44/12</f>
        <v>0.37996062458196178</v>
      </c>
      <c r="CM144" s="23">
        <f>EXP(-LN(2)/2)*CM143+(1-EXP(-LN(2)/2))/(LN(2)/2)*CG144*CJ144*VLOOKUP('Données projet'!$B$12,Paramètres!$A$1:$I$89,3,0)*0.475*44/12</f>
        <v>1.1948025178298995E-16</v>
      </c>
      <c r="CN144" s="24">
        <f t="shared" si="120"/>
        <v>0.87525760618944981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1.4</v>
      </c>
      <c r="CT144" s="13">
        <f>IF('Données projet'!$A$140&gt;35,CT143+CS144-DB143,IF(A144&lt;'Données projet'!$A$140,$CQ$205^A144,IF(A144='Données projet'!$A$140,'Données projet'!$B$140,CT143+CS144-DB143)))</f>
        <v>211.39999999999995</v>
      </c>
      <c r="CU144" s="18">
        <f>CT144*VLOOKUP('Données projet'!$B$13,Paramètres!$A$1:$I$89,3,0)*VLOOKUP('Données projet'!$B$13,Paramètres!$A$1:$I$89,5,0)</f>
        <v>240.74231999999992</v>
      </c>
      <c r="CV144" s="14">
        <f t="shared" si="149"/>
        <v>58.599215528894327</v>
      </c>
      <c r="CW144" s="22">
        <f t="shared" si="121"/>
        <v>521.35317437949072</v>
      </c>
      <c r="CX144" s="62">
        <f t="shared" si="122"/>
        <v>814.6865077128241</v>
      </c>
      <c r="CY144" s="62">
        <f ca="1">AVERAGE(OFFSET($CX$3,0,0,'Données projet'!$E$13+1,1))-AVERAGE(OFFSET($H$3,0,0,'Données projet'!$E$13+1,1))</f>
        <v>399.78832690250164</v>
      </c>
      <c r="CZ144" s="62">
        <f t="shared" si="150"/>
        <v>174.32967064896343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>
        <f>EXP(-LN(2)/35)*DF143+(1-EXP(-LN(2)/35))/(LN(2)/35)*DB144*DC144*VLOOKUP('Données projet'!$B$13,Paramètres!$A$1:$I$89,3,0)*0.475*44/12</f>
        <v>0</v>
      </c>
      <c r="DG144" s="23">
        <f>EXP(-LN(2)/25)*DG143+(1-EXP(-LN(2)/25))/(LN(2)/25)*Calculateur!DB144*Calculateur!DD144*VLOOKUP('Données projet'!$B$13,Paramètres!$A$1:$I$89,3,0)*0.475*44/12</f>
        <v>0</v>
      </c>
      <c r="DH144" s="23">
        <f>EXP(-LN(2)/2)*DH143+(1-EXP(-LN(2)/2))/(LN(2)/2)*DB144*DE144*VLOOKUP('Données projet'!$B$13,Paramètres!$A$1:$I$89,3,0)*0.475*44/12</f>
        <v>0</v>
      </c>
      <c r="DI144" s="24">
        <f t="shared" si="123"/>
        <v>0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2.4</v>
      </c>
      <c r="DO144" s="13">
        <f>IF('Données projet'!$A$166&gt;35,DO143+DN144-DW143,IF(A144&lt;'Données projet'!$A$166,$DL$205^A144,IF(A144='Données projet'!$A$166,'Données projet'!$B$166,DO143+DN144-DW143)))</f>
        <v>271.39999999999924</v>
      </c>
      <c r="DP144" s="18">
        <f>DO144*VLOOKUP('Données projet'!$B$14,Paramètres!$A$1:$I$89,3,0)*VLOOKUP('Données projet'!$B$14,Paramètres!$A$1:$I$89,5,0)</f>
        <v>228.62735999999936</v>
      </c>
      <c r="DQ144" s="14">
        <f t="shared" si="151"/>
        <v>55.985781352428546</v>
      </c>
      <c r="DR144" s="22">
        <f t="shared" si="124"/>
        <v>495.70122118881187</v>
      </c>
      <c r="DS144" s="62">
        <f t="shared" si="125"/>
        <v>789.03455452214519</v>
      </c>
      <c r="DT144" s="62">
        <f ca="1">AVERAGE(OFFSET($DS$3,0,0,'Données projet'!$E$14+1,1))-AVERAGE(OFFSET($H$3,0,0,'Données projet'!$E$14+1,1))</f>
        <v>402.15128814037058</v>
      </c>
      <c r="DU144" s="62">
        <f t="shared" si="152"/>
        <v>232.85411068442738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>
        <f>EXP(-LN(2)/35)*EA143+(1-EXP(-LN(2)/35))/(LN(2)/35)*DW144*DX144*VLOOKUP('Données projet'!$B$14,Paramètres!$A$1:$I$89,3,0)*0.475*44/12</f>
        <v>0</v>
      </c>
      <c r="EB144" s="23">
        <f>EXP(-LN(2)/25)*EB143+(1-EXP(-LN(2)/25))/(LN(2)/25)*Calculateur!DW144*Calculateur!DY144*VLOOKUP('Données projet'!$B$14,Paramètres!$A$1:$I$89,3,0)*0.475*44/12</f>
        <v>0</v>
      </c>
      <c r="EC144" s="23">
        <f>EXP(-LN(2)/2)*EC143+(1-EXP(-LN(2)/2))/(LN(2)/2)*DW144*DZ144*VLOOKUP('Données projet'!$B$14,Paramètres!$A$1:$I$89,3,0)*0.475*44/12</f>
        <v>0</v>
      </c>
      <c r="ED144" s="24">
        <f t="shared" si="126"/>
        <v>0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6.2527760746888816E-13</v>
      </c>
      <c r="EK144" s="18">
        <f>EJ144*VLOOKUP('Données projet'!$B$15,Paramètres!$A$1:$I$89,3,0)*VLOOKUP('Données projet'!$B$15,Paramètres!$A$1:$I$89,5,0)</f>
        <v>6.5354015532648198E-13</v>
      </c>
      <c r="EL144" s="14">
        <f t="shared" si="153"/>
        <v>7.8909019831354483E-12</v>
      </c>
      <c r="EM144" s="22">
        <f t="shared" si="127"/>
        <v>1.4881570057821194E-11</v>
      </c>
      <c r="EN144" s="62">
        <f t="shared" si="128"/>
        <v>293.33333333334821</v>
      </c>
      <c r="EO144" s="62">
        <f ca="1">AVERAGE(OFFSET($EN$3,0,0,'Données projet'!$E$15+1,1))-AVERAGE(OFFSET($H$3,0,0,'Données projet'!$E$15+1,1))</f>
        <v>595.89992279024398</v>
      </c>
      <c r="EP144" s="62">
        <f t="shared" si="154"/>
        <v>378.16197659288338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>
        <f>EXP(-LN(2)/35)*EV143+(1-EXP(-LN(2)/35))/(LN(2)/35)*ER144*ES144*VLOOKUP('Données projet'!$B$15,Paramètres!$A$1:$I$89,3,0)*0.475*44/12</f>
        <v>0</v>
      </c>
      <c r="EW144" s="23">
        <f>EXP(-LN(2)/25)*EW143+(1-EXP(-LN(2)/25))/(LN(2)/25)*Calculateur!ER144*Calculateur!ET144*VLOOKUP('Données projet'!$B$15,Paramètres!$A$1:$I$89,3,0)*0.475*44/12</f>
        <v>0</v>
      </c>
      <c r="EX144" s="23">
        <f>EXP(-LN(2)/2)*EX143+(1-EXP(-LN(2)/2))/(LN(2)/2)*ER144*EU144*VLOOKUP('Données projet'!$B$15,Paramètres!$A$1:$I$89,3,0)*0.475*44/12</f>
        <v>0</v>
      </c>
      <c r="EY144" s="24">
        <f t="shared" si="129"/>
        <v>0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-2.2737367544323206E-13</v>
      </c>
      <c r="FF144" s="18">
        <f>FE144*VLOOKUP('Données projet'!$B$16,Paramètres!$A$1:$I$89,3,0)*VLOOKUP('Données projet'!$B$16,Paramètres!$A$1:$I$89,5,0)</f>
        <v>-1.3596945791505279E-13</v>
      </c>
      <c r="FG144" s="14" t="e">
        <f t="shared" si="155"/>
        <v>#NUM!</v>
      </c>
      <c r="FH144" s="22" t="e">
        <f t="shared" si="130"/>
        <v>#NUM!</v>
      </c>
      <c r="FI144" s="62" t="e">
        <f t="shared" si="131"/>
        <v>#NUM!</v>
      </c>
      <c r="FJ144" s="62">
        <f ca="1">AVERAGE(OFFSET($FI$3,0,0,'Données projet'!$E$16+1,1))-AVERAGE(OFFSET($H$3,0,0,'Données projet'!$E$16+1,1))</f>
        <v>257.56116197646924</v>
      </c>
      <c r="FK144" s="62">
        <f t="shared" si="156"/>
        <v>269.95556918835888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>
        <f>EXP(-LN(2)/35)*FQ143+(1-EXP(-LN(2)/35))/(LN(2)/35)*FM144*FN144*VLOOKUP('Données projet'!$B$16,Paramètres!$A$1:$I$89,3,0)*0.475*44/12</f>
        <v>1.6184725683603209</v>
      </c>
      <c r="FR144" s="23">
        <f>EXP(-LN(2)/25)*FR143+(1-EXP(-LN(2)/25))/(LN(2)/25)*Calculateur!FM144*Calculateur!FO144*VLOOKUP('Données projet'!$B$16,Paramètres!$A$1:$I$89,3,0)*0.475*44/12</f>
        <v>0.74372611449522064</v>
      </c>
      <c r="FS144" s="23">
        <f>EXP(-LN(2)/2)*FS143+(1-EXP(-LN(2)/2))/(LN(2)/2)*FM144*FP144*VLOOKUP('Données projet'!$B$16,Paramètres!$A$1:$I$89,3,0)*0.475*44/12</f>
        <v>1.6788377339743527E-16</v>
      </c>
      <c r="FT144" s="24">
        <f t="shared" si="132"/>
        <v>2.3621986828555417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-2.8421709430404007E-13</v>
      </c>
      <c r="GA144" s="18">
        <f>FZ144*VLOOKUP('Données projet'!$B$17,Paramètres!$A$1:$I$89,3,0)*VLOOKUP('Données projet'!$B$17,Paramètres!$A$1:$I$89,5,0)</f>
        <v>-1.69961822393816E-13</v>
      </c>
      <c r="GB144" s="14" t="e">
        <f t="shared" si="157"/>
        <v>#NUM!</v>
      </c>
      <c r="GC144" s="22" t="e">
        <f t="shared" si="133"/>
        <v>#NUM!</v>
      </c>
      <c r="GD144" s="62" t="e">
        <f t="shared" si="134"/>
        <v>#NUM!</v>
      </c>
      <c r="GE144" s="62">
        <f ca="1">AVERAGE(OFFSET($GD$3,0,0,'Données projet'!$E$17+1,1))-AVERAGE(OFFSET($H$3,0,0,'Données projet'!$E$17+1,1))</f>
        <v>289.12367833861299</v>
      </c>
      <c r="GF144" s="62">
        <f t="shared" si="158"/>
        <v>229.06617320689003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>
        <f>EXP(-LN(2)/35)*GL143+(1-EXP(-LN(2)/35))/(LN(2)/35)*GH144*GI144*VLOOKUP('Données projet'!$B$17,Paramètres!$A$1:$I$89,3,0)*0.475*44/12</f>
        <v>0</v>
      </c>
      <c r="GM144" s="23">
        <f>EXP(-LN(2)/25)*GM143+(1-EXP(-LN(2)/25))/(LN(2)/25)*Calculateur!GH144*Calculateur!GJ144*VLOOKUP('Données projet'!$B$17,Paramètres!$A$1:$I$89,3,0)*0.475*44/12</f>
        <v>0</v>
      </c>
      <c r="GN144" s="23">
        <f>EXP(-LN(2)/2)*GN143+(1-EXP(-LN(2)/2))/(LN(2)/2)*GH144*GK144*VLOOKUP('Données projet'!$B$17,Paramètres!$A$1:$I$89,3,0)*0.475*44/12</f>
        <v>8.1386431042663778E-17</v>
      </c>
      <c r="GO144" s="23">
        <f t="shared" si="135"/>
        <v>8.1386431042663778E-17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-5.6843418860808015E-14</v>
      </c>
      <c r="GV144" s="18">
        <f>GU144*VLOOKUP('Données projet'!$B$18,Paramètres!$A$1:$I$89,3,0)*VLOOKUP('Données projet'!$B$18,Paramètres!$A$1:$I$89,5,0)</f>
        <v>-2.6602720026858149E-14</v>
      </c>
      <c r="GW144" s="14" t="e">
        <f t="shared" si="159"/>
        <v>#NUM!</v>
      </c>
      <c r="GX144" s="22" t="e">
        <f t="shared" si="136"/>
        <v>#NUM!</v>
      </c>
      <c r="GY144" s="62" t="e">
        <f t="shared" si="137"/>
        <v>#NUM!</v>
      </c>
      <c r="GZ144" s="62">
        <f ca="1">AVERAGE(OFFSET($GY$3,0,0,'Données projet'!$E$18+1,1))-AVERAGE(OFFSET($H$3,0,0,'Données projet'!$E$18+1,1))</f>
        <v>284.88646502866419</v>
      </c>
      <c r="HA144" s="62">
        <f t="shared" si="160"/>
        <v>190.4880882944471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>
        <f>EXP(-LN(2)/35)*HG143+(1-EXP(-LN(2)/35))/(LN(2)/35)*HC144*HD144*VLOOKUP('Données projet'!$B$18,Paramètres!$A$1:$I$89,3,0)*0.475*44/12</f>
        <v>0</v>
      </c>
      <c r="HH144" s="23">
        <f>EXP(-LN(2)/25)*HH143+(1-EXP(-LN(2)/25))/(LN(2)/25)*Calculateur!HC144*Calculateur!HE144*VLOOKUP('Données projet'!$B$18,Paramètres!$A$1:$I$89,3,0)*0.475*44/12</f>
        <v>0</v>
      </c>
      <c r="HI144" s="23">
        <f>EXP(-LN(2)/2)*HI143+(1-EXP(-LN(2)/2))/(LN(2)/2)*HC144*HF144*VLOOKUP('Données projet'!$B$18,Paramètres!$A$1:$I$89,3,0)*0.475*44/12</f>
        <v>0</v>
      </c>
      <c r="HJ144" s="24">
        <f t="shared" si="138"/>
        <v>0</v>
      </c>
    </row>
    <row r="145" spans="1:218" s="5" customFormat="1" x14ac:dyDescent="0.25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2">
        <f t="shared" si="140"/>
        <v>0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0</v>
      </c>
      <c r="H145" s="70">
        <f t="shared" si="110"/>
        <v>256.66666666666669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-1.1368683772161603E-13</v>
      </c>
      <c r="O145" s="14">
        <f>N145*VLOOKUP('Données projet'!$B$9,Paramètres!$A$1:$I$89,3,0)*VLOOKUP('Données projet'!$B$9,Paramètres!$A$1:$I$89,5,0)</f>
        <v>-1.0818439477588981E-13</v>
      </c>
      <c r="P145" s="14" t="e">
        <f t="shared" si="141"/>
        <v>#NUM!</v>
      </c>
      <c r="Q145" s="22" t="e">
        <f t="shared" si="108"/>
        <v>#NUM!</v>
      </c>
      <c r="R145" s="62" t="e">
        <f t="shared" si="109"/>
        <v>#NUM!</v>
      </c>
      <c r="S145" s="62">
        <f ca="1">AVERAGE(OFFSET($R$3,0,0,'Données projet'!$E$9+1,1))-AVERAGE(OFFSET($H$3,0,0,'Données projet'!$E$9+1,1))</f>
        <v>367.11183928586667</v>
      </c>
      <c r="T145" s="62">
        <f t="shared" si="142"/>
        <v>281.52963027844595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0</v>
      </c>
      <c r="AA145" s="23">
        <f>EXP(-LN(2)/25)*AA144+(1-EXP(-LN(2)/25))/(LN(2)/25)*Calculateur!V145*Calculateur!X145*VLOOKUP('Données projet'!$B$9,Paramètres!$A$1:$I$89,3,0)*0.475*44/12</f>
        <v>0</v>
      </c>
      <c r="AB145" s="23">
        <f>EXP(-LN(2)/2)*AB144+(1-EXP(-LN(2)/2))/(LN(2)/2)*V145*Y145*VLOOKUP('Données projet'!$B$9,Paramètres!$A$1:$I$89,3,0)*0.475*44/12</f>
        <v>0</v>
      </c>
      <c r="AC145" s="24">
        <f t="shared" si="111"/>
        <v>0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2.4</v>
      </c>
      <c r="AI145" s="14">
        <f>IF('Données projet'!$A$62&gt;35,AI144+AH145-AQ144,IF(A145&lt;'Données projet'!$A$62,$AF$205^A145,IF(A145='Données projet'!$A$62,'Données projet'!$B$62,AI144+AH145-AQ144)))</f>
        <v>273.79999999999922</v>
      </c>
      <c r="AJ145" s="14">
        <f>AI145*VLOOKUP('Données projet'!$B$10,Paramètres!$A$1:$I$89,3,0)*VLOOKUP('Données projet'!$B$10,Paramètres!$A$1:$I$89,5,0)</f>
        <v>247.73423999999929</v>
      </c>
      <c r="AK145" s="14">
        <f t="shared" si="143"/>
        <v>60.100505665694953</v>
      </c>
      <c r="AL145" s="22">
        <f t="shared" si="112"/>
        <v>536.14551536775082</v>
      </c>
      <c r="AM145" s="62">
        <f t="shared" si="113"/>
        <v>829.47884870108419</v>
      </c>
      <c r="AN145" s="62">
        <f ca="1">AVERAGE(OFFSET($AM$3,0,0,'Données projet'!$E$10+1,1))-AVERAGE(OFFSET($H$3,0,0,'Données projet'!$E$10+1,1))</f>
        <v>428.8489304403459</v>
      </c>
      <c r="AO145" s="62">
        <f t="shared" si="144"/>
        <v>247.01165577562966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0</v>
      </c>
      <c r="AV145" s="23">
        <f>EXP(-LN(2)/25)*AV144+(1-EXP(-LN(2)/25))/(LN(2)/25)*Calculateur!AQ145*Calculateur!AS145*VLOOKUP('Données projet'!$B$10,Paramètres!$A$1:$I$89,3,0)*0.475*44/12</f>
        <v>0</v>
      </c>
      <c r="AW145" s="23">
        <f>EXP(-LN(2)/2)*AW144+(1-EXP(-LN(2)/2))/(LN(2)/2)*AQ145*AT145*VLOOKUP('Données projet'!$B$10,Paramètres!$A$1:$I$89,3,0)*0.475*44/12</f>
        <v>0</v>
      </c>
      <c r="AX145" s="23">
        <f t="shared" si="114"/>
        <v>0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2.4</v>
      </c>
      <c r="BD145" s="13">
        <f>IF('Données projet'!$A$88&gt;35,BD144+BC145-BL144,IF(A145&lt;'Données projet'!$A$88,$BA$205^A145,IF(A145='Données projet'!$A$88,'Données projet'!$B$88,BD144+BC145-BL144)))</f>
        <v>273.79999999999922</v>
      </c>
      <c r="BE145" s="14">
        <f>BD145*VLOOKUP('Données projet'!$B$11,Paramètres!$A$1:$I$89,3,0)*VLOOKUP('Données projet'!$B$11,Paramètres!$A$1:$I$89,5,0)</f>
        <v>277.63319999999919</v>
      </c>
      <c r="BF145" s="14">
        <f t="shared" si="145"/>
        <v>66.466589162975524</v>
      </c>
      <c r="BG145" s="22">
        <f t="shared" si="115"/>
        <v>599.30713279218094</v>
      </c>
      <c r="BH145" s="62">
        <f t="shared" si="116"/>
        <v>892.64046612551419</v>
      </c>
      <c r="BI145" s="62">
        <f ca="1">AVERAGE(OFFSET($BH$3,0,0,'Données projet'!$E$11+1,1))-AVERAGE(OFFSET($H$3,0,0,'Données projet'!$E$11+1,1))</f>
        <v>475.47920969424894</v>
      </c>
      <c r="BJ145" s="62">
        <f t="shared" si="146"/>
        <v>271.73544012419364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>
        <f>EXP(-LN(2)/35)*BP144+(1-EXP(-LN(2)/35))/(LN(2)/35)*BL145*BM145*VLOOKUP('Données projet'!$B$11,Paramètres!$A$1:$I$89,3,0)*0.475*44/12</f>
        <v>0</v>
      </c>
      <c r="BQ145" s="23">
        <f>EXP(-LN(2)/25)*BQ144+(1-EXP(-LN(2)/25))/(LN(2)/25)*Calculateur!BL145*Calculateur!BN145*VLOOKUP('Données projet'!$B$11,Paramètres!$A$1:$I$89,3,0)*0.475*44/12</f>
        <v>0</v>
      </c>
      <c r="BR145" s="23">
        <f>EXP(-LN(2)/2)*BR144+(1-EXP(-LN(2)/2))/(LN(2)/2)*BL145*BO145*VLOOKUP('Données projet'!$B$11,Paramètres!$A$1:$I$89,3,0)*0.475*44/12</f>
        <v>0</v>
      </c>
      <c r="BS145" s="24">
        <f t="shared" si="117"/>
        <v>0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2.2737367544323206E-13</v>
      </c>
      <c r="BZ145" s="14">
        <f>BY145*VLOOKUP('Données projet'!$B$12,Paramètres!$A$1:$I$89,3,0)*VLOOKUP('Données projet'!$B$12,Paramètres!$A$1:$I$89,5,0)</f>
        <v>1.2710188457276673E-13</v>
      </c>
      <c r="CA145" s="14">
        <f t="shared" si="147"/>
        <v>1.856866851063998E-12</v>
      </c>
      <c r="CB145" s="22">
        <f t="shared" si="118"/>
        <v>3.4554122145673649E-12</v>
      </c>
      <c r="CC145" s="62">
        <f t="shared" si="119"/>
        <v>293.33333333333678</v>
      </c>
      <c r="CD145" s="62">
        <f ca="1">AVERAGE(OFFSET($CC$3,0,0,'Données projet'!$E$12+1,1))-AVERAGE(OFFSET($H$3,0,0,'Données projet'!$E$12+1,1))</f>
        <v>323.98185264074681</v>
      </c>
      <c r="CE145" s="62">
        <f t="shared" si="148"/>
        <v>301.22207291854005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>
        <f>EXP(-LN(2)/35)*CK144+(1-EXP(-LN(2)/35))/(LN(2)/35)*CG145*CH145*VLOOKUP('Données projet'!$B$12,Paramètres!$A$1:$I$89,3,0)*0.475*44/12</f>
        <v>0.48558450989949387</v>
      </c>
      <c r="CL145" s="23">
        <f>EXP(-LN(2)/25)*CL144+(1-EXP(-LN(2)/25))/(LN(2)/25)*Calculateur!CG145*Calculateur!CI145*VLOOKUP('Données projet'!$B$12,Paramètres!$A$1:$I$89,3,0)*0.475*44/12</f>
        <v>0.36957058132150722</v>
      </c>
      <c r="CM145" s="23">
        <f>EXP(-LN(2)/2)*CM144+(1-EXP(-LN(2)/2))/(LN(2)/2)*CG145*CJ145*VLOOKUP('Données projet'!$B$12,Paramètres!$A$1:$I$89,3,0)*0.475*44/12</f>
        <v>8.4485296253628282E-17</v>
      </c>
      <c r="CN145" s="24">
        <f t="shared" si="120"/>
        <v>0.8551550912210012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1.4</v>
      </c>
      <c r="CT145" s="13">
        <f>IF('Données projet'!$A$140&gt;35,CT144+CS145-DB144,IF(A145&lt;'Données projet'!$A$140,$CQ$205^A145,IF(A145='Données projet'!$A$140,'Données projet'!$B$140,CT144+CS145-DB144)))</f>
        <v>212.79999999999995</v>
      </c>
      <c r="CU145" s="18">
        <f>CT145*VLOOKUP('Données projet'!$B$13,Paramètres!$A$1:$I$89,3,0)*VLOOKUP('Données projet'!$B$13,Paramètres!$A$1:$I$89,5,0)</f>
        <v>242.33663999999996</v>
      </c>
      <c r="CV145" s="14">
        <f t="shared" si="149"/>
        <v>58.941986117843534</v>
      </c>
      <c r="CW145" s="22">
        <f t="shared" si="121"/>
        <v>524.72694048857738</v>
      </c>
      <c r="CX145" s="62">
        <f t="shared" si="122"/>
        <v>818.06027382191064</v>
      </c>
      <c r="CY145" s="62">
        <f ca="1">AVERAGE(OFFSET($CX$3,0,0,'Données projet'!$E$13+1,1))-AVERAGE(OFFSET($H$3,0,0,'Données projet'!$E$13+1,1))</f>
        <v>399.78832690250164</v>
      </c>
      <c r="CZ145" s="62">
        <f t="shared" si="150"/>
        <v>174.32967064896343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>
        <f>EXP(-LN(2)/35)*DF144+(1-EXP(-LN(2)/35))/(LN(2)/35)*DB145*DC145*VLOOKUP('Données projet'!$B$13,Paramètres!$A$1:$I$89,3,0)*0.475*44/12</f>
        <v>0</v>
      </c>
      <c r="DG145" s="23">
        <f>EXP(-LN(2)/25)*DG144+(1-EXP(-LN(2)/25))/(LN(2)/25)*Calculateur!DB145*Calculateur!DD145*VLOOKUP('Données projet'!$B$13,Paramètres!$A$1:$I$89,3,0)*0.475*44/12</f>
        <v>0</v>
      </c>
      <c r="DH145" s="23">
        <f>EXP(-LN(2)/2)*DH144+(1-EXP(-LN(2)/2))/(LN(2)/2)*DB145*DE145*VLOOKUP('Données projet'!$B$13,Paramètres!$A$1:$I$89,3,0)*0.475*44/12</f>
        <v>0</v>
      </c>
      <c r="DI145" s="24">
        <f t="shared" si="123"/>
        <v>0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2.4</v>
      </c>
      <c r="DO145" s="13">
        <f>IF('Données projet'!$A$166&gt;35,DO144+DN145-DW144,IF(A145&lt;'Données projet'!$A$166,$DL$205^A145,IF(A145='Données projet'!$A$166,'Données projet'!$B$166,DO144+DN145-DW144)))</f>
        <v>273.79999999999922</v>
      </c>
      <c r="DP145" s="18">
        <f>DO145*VLOOKUP('Données projet'!$B$14,Paramètres!$A$1:$I$89,3,0)*VLOOKUP('Données projet'!$B$14,Paramètres!$A$1:$I$89,5,0)</f>
        <v>230.64911999999936</v>
      </c>
      <c r="DQ145" s="14">
        <f t="shared" si="151"/>
        <v>56.423013421666433</v>
      </c>
      <c r="DR145" s="22">
        <f t="shared" si="124"/>
        <v>499.98396570940122</v>
      </c>
      <c r="DS145" s="62">
        <f t="shared" si="125"/>
        <v>793.31729904273448</v>
      </c>
      <c r="DT145" s="62">
        <f ca="1">AVERAGE(OFFSET($DS$3,0,0,'Données projet'!$E$14+1,1))-AVERAGE(OFFSET($H$3,0,0,'Données projet'!$E$14+1,1))</f>
        <v>402.15128814037058</v>
      </c>
      <c r="DU145" s="62">
        <f t="shared" si="152"/>
        <v>232.85411068442738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>
        <f>EXP(-LN(2)/35)*EA144+(1-EXP(-LN(2)/35))/(LN(2)/35)*DW145*DX145*VLOOKUP('Données projet'!$B$14,Paramètres!$A$1:$I$89,3,0)*0.475*44/12</f>
        <v>0</v>
      </c>
      <c r="EB145" s="23">
        <f>EXP(-LN(2)/25)*EB144+(1-EXP(-LN(2)/25))/(LN(2)/25)*Calculateur!DW145*Calculateur!DY145*VLOOKUP('Données projet'!$B$14,Paramètres!$A$1:$I$89,3,0)*0.475*44/12</f>
        <v>0</v>
      </c>
      <c r="EC145" s="23">
        <f>EXP(-LN(2)/2)*EC144+(1-EXP(-LN(2)/2))/(LN(2)/2)*DW145*DZ145*VLOOKUP('Données projet'!$B$14,Paramètres!$A$1:$I$89,3,0)*0.475*44/12</f>
        <v>0</v>
      </c>
      <c r="ED145" s="24">
        <f t="shared" si="126"/>
        <v>0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6.2527760746888816E-13</v>
      </c>
      <c r="EK145" s="18">
        <f>EJ145*VLOOKUP('Données projet'!$B$15,Paramètres!$A$1:$I$89,3,0)*VLOOKUP('Données projet'!$B$15,Paramètres!$A$1:$I$89,5,0)</f>
        <v>6.5354015532648198E-13</v>
      </c>
      <c r="EL145" s="14">
        <f t="shared" si="153"/>
        <v>7.8909019831354483E-12</v>
      </c>
      <c r="EM145" s="22">
        <f t="shared" si="127"/>
        <v>1.4881570057821194E-11</v>
      </c>
      <c r="EN145" s="62">
        <f t="shared" si="128"/>
        <v>293.33333333334821</v>
      </c>
      <c r="EO145" s="62">
        <f ca="1">AVERAGE(OFFSET($EN$3,0,0,'Données projet'!$E$15+1,1))-AVERAGE(OFFSET($H$3,0,0,'Données projet'!$E$15+1,1))</f>
        <v>595.89992279024398</v>
      </c>
      <c r="EP145" s="62">
        <f t="shared" si="154"/>
        <v>378.16197659288338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>
        <f>EXP(-LN(2)/35)*EV144+(1-EXP(-LN(2)/35))/(LN(2)/35)*ER145*ES145*VLOOKUP('Données projet'!$B$15,Paramètres!$A$1:$I$89,3,0)*0.475*44/12</f>
        <v>0</v>
      </c>
      <c r="EW145" s="23">
        <f>EXP(-LN(2)/25)*EW144+(1-EXP(-LN(2)/25))/(LN(2)/25)*Calculateur!ER145*Calculateur!ET145*VLOOKUP('Données projet'!$B$15,Paramètres!$A$1:$I$89,3,0)*0.475*44/12</f>
        <v>0</v>
      </c>
      <c r="EX145" s="23">
        <f>EXP(-LN(2)/2)*EX144+(1-EXP(-LN(2)/2))/(LN(2)/2)*ER145*EU145*VLOOKUP('Données projet'!$B$15,Paramètres!$A$1:$I$89,3,0)*0.475*44/12</f>
        <v>0</v>
      </c>
      <c r="EY145" s="24">
        <f t="shared" si="129"/>
        <v>0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-2.2737367544323206E-13</v>
      </c>
      <c r="FF145" s="18">
        <f>FE145*VLOOKUP('Données projet'!$B$16,Paramètres!$A$1:$I$89,3,0)*VLOOKUP('Données projet'!$B$16,Paramètres!$A$1:$I$89,5,0)</f>
        <v>-1.3596945791505279E-13</v>
      </c>
      <c r="FG145" s="14" t="e">
        <f t="shared" si="155"/>
        <v>#NUM!</v>
      </c>
      <c r="FH145" s="22" t="e">
        <f t="shared" si="130"/>
        <v>#NUM!</v>
      </c>
      <c r="FI145" s="62" t="e">
        <f t="shared" si="131"/>
        <v>#NUM!</v>
      </c>
      <c r="FJ145" s="62">
        <f ca="1">AVERAGE(OFFSET($FI$3,0,0,'Données projet'!$E$16+1,1))-AVERAGE(OFFSET($H$3,0,0,'Données projet'!$E$16+1,1))</f>
        <v>257.56116197646924</v>
      </c>
      <c r="FK145" s="62">
        <f t="shared" si="156"/>
        <v>269.95556918835888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>
        <f>EXP(-LN(2)/35)*FQ144+(1-EXP(-LN(2)/35))/(LN(2)/35)*FM145*FN145*VLOOKUP('Données projet'!$B$16,Paramètres!$A$1:$I$89,3,0)*0.475*44/12</f>
        <v>1.5867353084655667</v>
      </c>
      <c r="FR145" s="23">
        <f>EXP(-LN(2)/25)*FR144+(1-EXP(-LN(2)/25))/(LN(2)/25)*Calculateur!FM145*Calculateur!FO145*VLOOKUP('Données projet'!$B$16,Paramètres!$A$1:$I$89,3,0)*0.475*44/12</f>
        <v>0.72338888478349228</v>
      </c>
      <c r="FS145" s="23">
        <f>EXP(-LN(2)/2)*FS144+(1-EXP(-LN(2)/2))/(LN(2)/2)*FM145*FP145*VLOOKUP('Données projet'!$B$16,Paramètres!$A$1:$I$89,3,0)*0.475*44/12</f>
        <v>1.1871175462051219E-16</v>
      </c>
      <c r="FT145" s="24">
        <f t="shared" si="132"/>
        <v>2.310124193249059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-2.8421709430404007E-13</v>
      </c>
      <c r="GA145" s="18">
        <f>FZ145*VLOOKUP('Données projet'!$B$17,Paramètres!$A$1:$I$89,3,0)*VLOOKUP('Données projet'!$B$17,Paramètres!$A$1:$I$89,5,0)</f>
        <v>-1.69961822393816E-13</v>
      </c>
      <c r="GB145" s="14" t="e">
        <f t="shared" si="157"/>
        <v>#NUM!</v>
      </c>
      <c r="GC145" s="22" t="e">
        <f t="shared" si="133"/>
        <v>#NUM!</v>
      </c>
      <c r="GD145" s="62" t="e">
        <f t="shared" si="134"/>
        <v>#NUM!</v>
      </c>
      <c r="GE145" s="62">
        <f ca="1">AVERAGE(OFFSET($GD$3,0,0,'Données projet'!$E$17+1,1))-AVERAGE(OFFSET($H$3,0,0,'Données projet'!$E$17+1,1))</f>
        <v>289.12367833861299</v>
      </c>
      <c r="GF145" s="62">
        <f t="shared" si="158"/>
        <v>229.06617320689003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>
        <f>EXP(-LN(2)/35)*GL144+(1-EXP(-LN(2)/35))/(LN(2)/35)*GH145*GI145*VLOOKUP('Données projet'!$B$17,Paramètres!$A$1:$I$89,3,0)*0.475*44/12</f>
        <v>0</v>
      </c>
      <c r="GM145" s="23">
        <f>EXP(-LN(2)/25)*GM144+(1-EXP(-LN(2)/25))/(LN(2)/25)*Calculateur!GH145*Calculateur!GJ145*VLOOKUP('Données projet'!$B$17,Paramètres!$A$1:$I$89,3,0)*0.475*44/12</f>
        <v>0</v>
      </c>
      <c r="GN145" s="23">
        <f>EXP(-LN(2)/2)*GN144+(1-EXP(-LN(2)/2))/(LN(2)/2)*GH145*GK145*VLOOKUP('Données projet'!$B$17,Paramètres!$A$1:$I$89,3,0)*0.475*44/12</f>
        <v>5.7548897286838894E-17</v>
      </c>
      <c r="GO145" s="23">
        <f t="shared" si="135"/>
        <v>5.7548897286838894E-17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-5.6843418860808015E-14</v>
      </c>
      <c r="GV145" s="18">
        <f>GU145*VLOOKUP('Données projet'!$B$18,Paramètres!$A$1:$I$89,3,0)*VLOOKUP('Données projet'!$B$18,Paramètres!$A$1:$I$89,5,0)</f>
        <v>-2.6602720026858149E-14</v>
      </c>
      <c r="GW145" s="14" t="e">
        <f t="shared" si="159"/>
        <v>#NUM!</v>
      </c>
      <c r="GX145" s="22" t="e">
        <f t="shared" si="136"/>
        <v>#NUM!</v>
      </c>
      <c r="GY145" s="62" t="e">
        <f t="shared" si="137"/>
        <v>#NUM!</v>
      </c>
      <c r="GZ145" s="62">
        <f ca="1">AVERAGE(OFFSET($GY$3,0,0,'Données projet'!$E$18+1,1))-AVERAGE(OFFSET($H$3,0,0,'Données projet'!$E$18+1,1))</f>
        <v>284.88646502866419</v>
      </c>
      <c r="HA145" s="62">
        <f t="shared" si="160"/>
        <v>190.4880882944471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>
        <f>EXP(-LN(2)/35)*HG144+(1-EXP(-LN(2)/35))/(LN(2)/35)*HC145*HD145*VLOOKUP('Données projet'!$B$18,Paramètres!$A$1:$I$89,3,0)*0.475*44/12</f>
        <v>0</v>
      </c>
      <c r="HH145" s="23">
        <f>EXP(-LN(2)/25)*HH144+(1-EXP(-LN(2)/25))/(LN(2)/25)*Calculateur!HC145*Calculateur!HE145*VLOOKUP('Données projet'!$B$18,Paramètres!$A$1:$I$89,3,0)*0.475*44/12</f>
        <v>0</v>
      </c>
      <c r="HI145" s="23">
        <f>EXP(-LN(2)/2)*HI144+(1-EXP(-LN(2)/2))/(LN(2)/2)*HC145*HF145*VLOOKUP('Données projet'!$B$18,Paramètres!$A$1:$I$89,3,0)*0.475*44/12</f>
        <v>0</v>
      </c>
      <c r="HJ145" s="24">
        <f t="shared" si="138"/>
        <v>0</v>
      </c>
    </row>
    <row r="146" spans="1:218" s="5" customFormat="1" x14ac:dyDescent="0.25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2">
        <f t="shared" si="140"/>
        <v>0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0</v>
      </c>
      <c r="H146" s="70">
        <f t="shared" si="110"/>
        <v>256.66666666666669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-1.1368683772161603E-13</v>
      </c>
      <c r="O146" s="14">
        <f>N146*VLOOKUP('Données projet'!$B$9,Paramètres!$A$1:$I$89,3,0)*VLOOKUP('Données projet'!$B$9,Paramètres!$A$1:$I$89,5,0)</f>
        <v>-1.0818439477588981E-13</v>
      </c>
      <c r="P146" s="14" t="e">
        <f t="shared" si="141"/>
        <v>#NUM!</v>
      </c>
      <c r="Q146" s="22" t="e">
        <f t="shared" si="108"/>
        <v>#NUM!</v>
      </c>
      <c r="R146" s="62" t="e">
        <f t="shared" si="109"/>
        <v>#NUM!</v>
      </c>
      <c r="S146" s="62">
        <f ca="1">AVERAGE(OFFSET($R$3,0,0,'Données projet'!$E$9+1,1))-AVERAGE(OFFSET($H$3,0,0,'Données projet'!$E$9+1,1))</f>
        <v>367.11183928586667</v>
      </c>
      <c r="T146" s="62">
        <f t="shared" si="142"/>
        <v>281.52963027844595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0</v>
      </c>
      <c r="AA146" s="23">
        <f>EXP(-LN(2)/25)*AA145+(1-EXP(-LN(2)/25))/(LN(2)/25)*Calculateur!V146*Calculateur!X146*VLOOKUP('Données projet'!$B$9,Paramètres!$A$1:$I$89,3,0)*0.475*44/12</f>
        <v>0</v>
      </c>
      <c r="AB146" s="23">
        <f>EXP(-LN(2)/2)*AB145+(1-EXP(-LN(2)/2))/(LN(2)/2)*V146*Y146*VLOOKUP('Données projet'!$B$9,Paramètres!$A$1:$I$89,3,0)*0.475*44/12</f>
        <v>0</v>
      </c>
      <c r="AC146" s="24">
        <f t="shared" si="111"/>
        <v>0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2.4</v>
      </c>
      <c r="AI146" s="14">
        <f>IF('Données projet'!$A$62&gt;35,AI145+AH146-AQ145,IF(A146&lt;'Données projet'!$A$62,$AF$205^A146,IF(A146='Données projet'!$A$62,'Données projet'!$B$62,AI145+AH146-AQ145)))</f>
        <v>276.19999999999919</v>
      </c>
      <c r="AJ146" s="14">
        <f>AI146*VLOOKUP('Données projet'!$B$10,Paramètres!$A$1:$I$89,3,0)*VLOOKUP('Données projet'!$B$10,Paramètres!$A$1:$I$89,5,0)</f>
        <v>249.90575999999925</v>
      </c>
      <c r="AK146" s="14">
        <f t="shared" si="143"/>
        <v>60.565760331923727</v>
      </c>
      <c r="AL146" s="22">
        <f t="shared" si="112"/>
        <v>540.73789791143247</v>
      </c>
      <c r="AM146" s="62">
        <f t="shared" si="113"/>
        <v>834.07123124476584</v>
      </c>
      <c r="AN146" s="62">
        <f ca="1">AVERAGE(OFFSET($AM$3,0,0,'Données projet'!$E$10+1,1))-AVERAGE(OFFSET($H$3,0,0,'Données projet'!$E$10+1,1))</f>
        <v>428.8489304403459</v>
      </c>
      <c r="AO146" s="62">
        <f t="shared" si="144"/>
        <v>247.01165577562966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0</v>
      </c>
      <c r="AV146" s="23">
        <f>EXP(-LN(2)/25)*AV145+(1-EXP(-LN(2)/25))/(LN(2)/25)*Calculateur!AQ146*Calculateur!AS146*VLOOKUP('Données projet'!$B$10,Paramètres!$A$1:$I$89,3,0)*0.475*44/12</f>
        <v>0</v>
      </c>
      <c r="AW146" s="23">
        <f>EXP(-LN(2)/2)*AW145+(1-EXP(-LN(2)/2))/(LN(2)/2)*AQ146*AT146*VLOOKUP('Données projet'!$B$10,Paramètres!$A$1:$I$89,3,0)*0.475*44/12</f>
        <v>0</v>
      </c>
      <c r="AX146" s="23">
        <f t="shared" si="114"/>
        <v>0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2.4</v>
      </c>
      <c r="BD146" s="13">
        <f>IF('Données projet'!$A$88&gt;35,BD145+BC146-BL145,IF(A146&lt;'Données projet'!$A$88,$BA$205^A146,IF(A146='Données projet'!$A$88,'Données projet'!$B$88,BD145+BC146-BL145)))</f>
        <v>276.19999999999919</v>
      </c>
      <c r="BE146" s="14">
        <f>BD146*VLOOKUP('Données projet'!$B$11,Paramètres!$A$1:$I$89,3,0)*VLOOKUP('Données projet'!$B$11,Paramètres!$A$1:$I$89,5,0)</f>
        <v>280.0667999999992</v>
      </c>
      <c r="BF146" s="14">
        <f t="shared" si="145"/>
        <v>66.981125445388756</v>
      </c>
      <c r="BG146" s="22">
        <f t="shared" si="115"/>
        <v>604.44180348405064</v>
      </c>
      <c r="BH146" s="62">
        <f t="shared" si="116"/>
        <v>897.77513681738401</v>
      </c>
      <c r="BI146" s="62">
        <f ca="1">AVERAGE(OFFSET($BH$3,0,0,'Données projet'!$E$11+1,1))-AVERAGE(OFFSET($H$3,0,0,'Données projet'!$E$11+1,1))</f>
        <v>475.47920969424894</v>
      </c>
      <c r="BJ146" s="62">
        <f t="shared" si="146"/>
        <v>271.73544012419364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>
        <f>EXP(-LN(2)/35)*BP145+(1-EXP(-LN(2)/35))/(LN(2)/35)*BL146*BM146*VLOOKUP('Données projet'!$B$11,Paramètres!$A$1:$I$89,3,0)*0.475*44/12</f>
        <v>0</v>
      </c>
      <c r="BQ146" s="23">
        <f>EXP(-LN(2)/25)*BQ145+(1-EXP(-LN(2)/25))/(LN(2)/25)*Calculateur!BL146*Calculateur!BN146*VLOOKUP('Données projet'!$B$11,Paramètres!$A$1:$I$89,3,0)*0.475*44/12</f>
        <v>0</v>
      </c>
      <c r="BR146" s="23">
        <f>EXP(-LN(2)/2)*BR145+(1-EXP(-LN(2)/2))/(LN(2)/2)*BL146*BO146*VLOOKUP('Données projet'!$B$11,Paramètres!$A$1:$I$89,3,0)*0.475*44/12</f>
        <v>0</v>
      </c>
      <c r="BS146" s="24">
        <f t="shared" si="117"/>
        <v>0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2.2737367544323206E-13</v>
      </c>
      <c r="BZ146" s="14">
        <f>BY146*VLOOKUP('Données projet'!$B$12,Paramètres!$A$1:$I$89,3,0)*VLOOKUP('Données projet'!$B$12,Paramètres!$A$1:$I$89,5,0)</f>
        <v>1.2710188457276673E-13</v>
      </c>
      <c r="CA146" s="14">
        <f t="shared" si="147"/>
        <v>1.856866851063998E-12</v>
      </c>
      <c r="CB146" s="22">
        <f t="shared" si="118"/>
        <v>3.4554122145673649E-12</v>
      </c>
      <c r="CC146" s="62">
        <f t="shared" si="119"/>
        <v>293.33333333333678</v>
      </c>
      <c r="CD146" s="62">
        <f ca="1">AVERAGE(OFFSET($CC$3,0,0,'Données projet'!$E$12+1,1))-AVERAGE(OFFSET($H$3,0,0,'Données projet'!$E$12+1,1))</f>
        <v>323.98185264074681</v>
      </c>
      <c r="CE146" s="62">
        <f t="shared" si="148"/>
        <v>301.22207291854005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>
        <f>EXP(-LN(2)/35)*CK145+(1-EXP(-LN(2)/35))/(LN(2)/35)*CG146*CH146*VLOOKUP('Données projet'!$B$12,Paramètres!$A$1:$I$89,3,0)*0.475*44/12</f>
        <v>0.47606249383767074</v>
      </c>
      <c r="CL146" s="23">
        <f>EXP(-LN(2)/25)*CL145+(1-EXP(-LN(2)/25))/(LN(2)/25)*Calculateur!CG146*Calculateur!CI146*VLOOKUP('Données projet'!$B$12,Paramètres!$A$1:$I$89,3,0)*0.475*44/12</f>
        <v>0.35946465434039837</v>
      </c>
      <c r="CM146" s="23">
        <f>EXP(-LN(2)/2)*CM145+(1-EXP(-LN(2)/2))/(LN(2)/2)*CG146*CJ146*VLOOKUP('Données projet'!$B$12,Paramètres!$A$1:$I$89,3,0)*0.475*44/12</f>
        <v>5.9740125891494975E-17</v>
      </c>
      <c r="CN146" s="24">
        <f t="shared" si="120"/>
        <v>0.83552714817806917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1.4</v>
      </c>
      <c r="CT146" s="13">
        <f>IF('Données projet'!$A$140&gt;35,CT145+CS146-DB145,IF(A146&lt;'Données projet'!$A$140,$CQ$205^A146,IF(A146='Données projet'!$A$140,'Données projet'!$B$140,CT145+CS146-DB145)))</f>
        <v>214.19999999999996</v>
      </c>
      <c r="CU146" s="18">
        <f>CT146*VLOOKUP('Données projet'!$B$13,Paramètres!$A$1:$I$89,3,0)*VLOOKUP('Données projet'!$B$13,Paramètres!$A$1:$I$89,5,0)</f>
        <v>243.93095999999994</v>
      </c>
      <c r="CV146" s="14">
        <f t="shared" si="149"/>
        <v>59.284494315161972</v>
      </c>
      <c r="CW146" s="22">
        <f t="shared" si="121"/>
        <v>528.100249598907</v>
      </c>
      <c r="CX146" s="62">
        <f t="shared" si="122"/>
        <v>821.43358293224037</v>
      </c>
      <c r="CY146" s="62">
        <f ca="1">AVERAGE(OFFSET($CX$3,0,0,'Données projet'!$E$13+1,1))-AVERAGE(OFFSET($H$3,0,0,'Données projet'!$E$13+1,1))</f>
        <v>399.78832690250164</v>
      </c>
      <c r="CZ146" s="62">
        <f t="shared" si="150"/>
        <v>174.32967064896343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>
        <f>EXP(-LN(2)/35)*DF145+(1-EXP(-LN(2)/35))/(LN(2)/35)*DB146*DC146*VLOOKUP('Données projet'!$B$13,Paramètres!$A$1:$I$89,3,0)*0.475*44/12</f>
        <v>0</v>
      </c>
      <c r="DG146" s="23">
        <f>EXP(-LN(2)/25)*DG145+(1-EXP(-LN(2)/25))/(LN(2)/25)*Calculateur!DB146*Calculateur!DD146*VLOOKUP('Données projet'!$B$13,Paramètres!$A$1:$I$89,3,0)*0.475*44/12</f>
        <v>0</v>
      </c>
      <c r="DH146" s="23">
        <f>EXP(-LN(2)/2)*DH145+(1-EXP(-LN(2)/2))/(LN(2)/2)*DB146*DE146*VLOOKUP('Données projet'!$B$13,Paramètres!$A$1:$I$89,3,0)*0.475*44/12</f>
        <v>0</v>
      </c>
      <c r="DI146" s="24">
        <f t="shared" si="123"/>
        <v>0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2.4</v>
      </c>
      <c r="DO146" s="13">
        <f>IF('Données projet'!$A$166&gt;35,DO145+DN146-DW145,IF(A146&lt;'Données projet'!$A$166,$DL$205^A146,IF(A146='Données projet'!$A$166,'Données projet'!$B$166,DO145+DN146-DW145)))</f>
        <v>276.19999999999919</v>
      </c>
      <c r="DP146" s="18">
        <f>DO146*VLOOKUP('Données projet'!$B$14,Paramètres!$A$1:$I$89,3,0)*VLOOKUP('Données projet'!$B$14,Paramètres!$A$1:$I$89,5,0)</f>
        <v>232.67087999999933</v>
      </c>
      <c r="DQ146" s="14">
        <f t="shared" si="151"/>
        <v>56.859799601522155</v>
      </c>
      <c r="DR146" s="22">
        <f t="shared" si="124"/>
        <v>504.26593363931647</v>
      </c>
      <c r="DS146" s="62">
        <f t="shared" si="125"/>
        <v>797.59926697264973</v>
      </c>
      <c r="DT146" s="62">
        <f ca="1">AVERAGE(OFFSET($DS$3,0,0,'Données projet'!$E$14+1,1))-AVERAGE(OFFSET($H$3,0,0,'Données projet'!$E$14+1,1))</f>
        <v>402.15128814037058</v>
      </c>
      <c r="DU146" s="62">
        <f t="shared" si="152"/>
        <v>232.85411068442738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>
        <f>EXP(-LN(2)/35)*EA145+(1-EXP(-LN(2)/35))/(LN(2)/35)*DW146*DX146*VLOOKUP('Données projet'!$B$14,Paramètres!$A$1:$I$89,3,0)*0.475*44/12</f>
        <v>0</v>
      </c>
      <c r="EB146" s="23">
        <f>EXP(-LN(2)/25)*EB145+(1-EXP(-LN(2)/25))/(LN(2)/25)*Calculateur!DW146*Calculateur!DY146*VLOOKUP('Données projet'!$B$14,Paramètres!$A$1:$I$89,3,0)*0.475*44/12</f>
        <v>0</v>
      </c>
      <c r="EC146" s="23">
        <f>EXP(-LN(2)/2)*EC145+(1-EXP(-LN(2)/2))/(LN(2)/2)*DW146*DZ146*VLOOKUP('Données projet'!$B$14,Paramètres!$A$1:$I$89,3,0)*0.475*44/12</f>
        <v>0</v>
      </c>
      <c r="ED146" s="24">
        <f t="shared" si="126"/>
        <v>0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6.2527760746888816E-13</v>
      </c>
      <c r="EK146" s="18">
        <f>EJ146*VLOOKUP('Données projet'!$B$15,Paramètres!$A$1:$I$89,3,0)*VLOOKUP('Données projet'!$B$15,Paramètres!$A$1:$I$89,5,0)</f>
        <v>6.5354015532648198E-13</v>
      </c>
      <c r="EL146" s="14">
        <f t="shared" si="153"/>
        <v>7.8909019831354483E-12</v>
      </c>
      <c r="EM146" s="22">
        <f t="shared" si="127"/>
        <v>1.4881570057821194E-11</v>
      </c>
      <c r="EN146" s="62">
        <f t="shared" si="128"/>
        <v>293.33333333334821</v>
      </c>
      <c r="EO146" s="62">
        <f ca="1">AVERAGE(OFFSET($EN$3,0,0,'Données projet'!$E$15+1,1))-AVERAGE(OFFSET($H$3,0,0,'Données projet'!$E$15+1,1))</f>
        <v>595.89992279024398</v>
      </c>
      <c r="EP146" s="62">
        <f t="shared" si="154"/>
        <v>378.16197659288338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>
        <f>EXP(-LN(2)/35)*EV145+(1-EXP(-LN(2)/35))/(LN(2)/35)*ER146*ES146*VLOOKUP('Données projet'!$B$15,Paramètres!$A$1:$I$89,3,0)*0.475*44/12</f>
        <v>0</v>
      </c>
      <c r="EW146" s="23">
        <f>EXP(-LN(2)/25)*EW145+(1-EXP(-LN(2)/25))/(LN(2)/25)*Calculateur!ER146*Calculateur!ET146*VLOOKUP('Données projet'!$B$15,Paramètres!$A$1:$I$89,3,0)*0.475*44/12</f>
        <v>0</v>
      </c>
      <c r="EX146" s="23">
        <f>EXP(-LN(2)/2)*EX145+(1-EXP(-LN(2)/2))/(LN(2)/2)*ER146*EU146*VLOOKUP('Données projet'!$B$15,Paramètres!$A$1:$I$89,3,0)*0.475*44/12</f>
        <v>0</v>
      </c>
      <c r="EY146" s="24">
        <f t="shared" si="129"/>
        <v>0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-2.2737367544323206E-13</v>
      </c>
      <c r="FF146" s="18">
        <f>FE146*VLOOKUP('Données projet'!$B$16,Paramètres!$A$1:$I$89,3,0)*VLOOKUP('Données projet'!$B$16,Paramètres!$A$1:$I$89,5,0)</f>
        <v>-1.3596945791505279E-13</v>
      </c>
      <c r="FG146" s="14" t="e">
        <f t="shared" si="155"/>
        <v>#NUM!</v>
      </c>
      <c r="FH146" s="22" t="e">
        <f t="shared" si="130"/>
        <v>#NUM!</v>
      </c>
      <c r="FI146" s="62" t="e">
        <f t="shared" si="131"/>
        <v>#NUM!</v>
      </c>
      <c r="FJ146" s="62">
        <f ca="1">AVERAGE(OFFSET($FI$3,0,0,'Données projet'!$E$16+1,1))-AVERAGE(OFFSET($H$3,0,0,'Données projet'!$E$16+1,1))</f>
        <v>257.56116197646924</v>
      </c>
      <c r="FK146" s="62">
        <f t="shared" si="156"/>
        <v>269.95556918835888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>
        <f>EXP(-LN(2)/35)*FQ145+(1-EXP(-LN(2)/35))/(LN(2)/35)*FM146*FN146*VLOOKUP('Données projet'!$B$16,Paramètres!$A$1:$I$89,3,0)*0.475*44/12</f>
        <v>1.5556203968795315</v>
      </c>
      <c r="FR146" s="23">
        <f>EXP(-LN(2)/25)*FR145+(1-EXP(-LN(2)/25))/(LN(2)/25)*Calculateur!FM146*Calculateur!FO146*VLOOKUP('Données projet'!$B$16,Paramètres!$A$1:$I$89,3,0)*0.475*44/12</f>
        <v>0.70360777768771954</v>
      </c>
      <c r="FS146" s="23">
        <f>EXP(-LN(2)/2)*FS145+(1-EXP(-LN(2)/2))/(LN(2)/2)*FM146*FP146*VLOOKUP('Données projet'!$B$16,Paramètres!$A$1:$I$89,3,0)*0.475*44/12</f>
        <v>8.3941886698717636E-17</v>
      </c>
      <c r="FT146" s="24">
        <f t="shared" si="132"/>
        <v>2.2592281745672511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-2.8421709430404007E-13</v>
      </c>
      <c r="GA146" s="18">
        <f>FZ146*VLOOKUP('Données projet'!$B$17,Paramètres!$A$1:$I$89,3,0)*VLOOKUP('Données projet'!$B$17,Paramètres!$A$1:$I$89,5,0)</f>
        <v>-1.69961822393816E-13</v>
      </c>
      <c r="GB146" s="14" t="e">
        <f t="shared" si="157"/>
        <v>#NUM!</v>
      </c>
      <c r="GC146" s="22" t="e">
        <f t="shared" si="133"/>
        <v>#NUM!</v>
      </c>
      <c r="GD146" s="62" t="e">
        <f t="shared" si="134"/>
        <v>#NUM!</v>
      </c>
      <c r="GE146" s="62">
        <f ca="1">AVERAGE(OFFSET($GD$3,0,0,'Données projet'!$E$17+1,1))-AVERAGE(OFFSET($H$3,0,0,'Données projet'!$E$17+1,1))</f>
        <v>289.12367833861299</v>
      </c>
      <c r="GF146" s="62">
        <f t="shared" si="158"/>
        <v>229.06617320689003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>
        <f>EXP(-LN(2)/35)*GL145+(1-EXP(-LN(2)/35))/(LN(2)/35)*GH146*GI146*VLOOKUP('Données projet'!$B$17,Paramètres!$A$1:$I$89,3,0)*0.475*44/12</f>
        <v>0</v>
      </c>
      <c r="GM146" s="23">
        <f>EXP(-LN(2)/25)*GM145+(1-EXP(-LN(2)/25))/(LN(2)/25)*Calculateur!GH146*Calculateur!GJ146*VLOOKUP('Données projet'!$B$17,Paramètres!$A$1:$I$89,3,0)*0.475*44/12</f>
        <v>0</v>
      </c>
      <c r="GN146" s="23">
        <f>EXP(-LN(2)/2)*GN145+(1-EXP(-LN(2)/2))/(LN(2)/2)*GH146*GK146*VLOOKUP('Données projet'!$B$17,Paramètres!$A$1:$I$89,3,0)*0.475*44/12</f>
        <v>4.0693215521331889E-17</v>
      </c>
      <c r="GO146" s="23">
        <f t="shared" si="135"/>
        <v>4.0693215521331889E-17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-5.6843418860808015E-14</v>
      </c>
      <c r="GV146" s="18">
        <f>GU146*VLOOKUP('Données projet'!$B$18,Paramètres!$A$1:$I$89,3,0)*VLOOKUP('Données projet'!$B$18,Paramètres!$A$1:$I$89,5,0)</f>
        <v>-2.6602720026858149E-14</v>
      </c>
      <c r="GW146" s="14" t="e">
        <f t="shared" si="159"/>
        <v>#NUM!</v>
      </c>
      <c r="GX146" s="22" t="e">
        <f t="shared" si="136"/>
        <v>#NUM!</v>
      </c>
      <c r="GY146" s="62" t="e">
        <f t="shared" si="137"/>
        <v>#NUM!</v>
      </c>
      <c r="GZ146" s="62">
        <f ca="1">AVERAGE(OFFSET($GY$3,0,0,'Données projet'!$E$18+1,1))-AVERAGE(OFFSET($H$3,0,0,'Données projet'!$E$18+1,1))</f>
        <v>284.88646502866419</v>
      </c>
      <c r="HA146" s="62">
        <f t="shared" si="160"/>
        <v>190.4880882944471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>
        <f>EXP(-LN(2)/35)*HG145+(1-EXP(-LN(2)/35))/(LN(2)/35)*HC146*HD146*VLOOKUP('Données projet'!$B$18,Paramètres!$A$1:$I$89,3,0)*0.475*44/12</f>
        <v>0</v>
      </c>
      <c r="HH146" s="23">
        <f>EXP(-LN(2)/25)*HH145+(1-EXP(-LN(2)/25))/(LN(2)/25)*Calculateur!HC146*Calculateur!HE146*VLOOKUP('Données projet'!$B$18,Paramètres!$A$1:$I$89,3,0)*0.475*44/12</f>
        <v>0</v>
      </c>
      <c r="HI146" s="23">
        <f>EXP(-LN(2)/2)*HI145+(1-EXP(-LN(2)/2))/(LN(2)/2)*HC146*HF146*VLOOKUP('Données projet'!$B$18,Paramètres!$A$1:$I$89,3,0)*0.475*44/12</f>
        <v>0</v>
      </c>
      <c r="HJ146" s="24">
        <f t="shared" si="138"/>
        <v>0</v>
      </c>
    </row>
    <row r="147" spans="1:218" s="5" customFormat="1" x14ac:dyDescent="0.25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2">
        <f t="shared" si="140"/>
        <v>0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0</v>
      </c>
      <c r="H147" s="70">
        <f t="shared" si="110"/>
        <v>256.66666666666669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-1.1368683772161603E-13</v>
      </c>
      <c r="O147" s="14">
        <f>N147*VLOOKUP('Données projet'!$B$9,Paramètres!$A$1:$I$89,3,0)*VLOOKUP('Données projet'!$B$9,Paramètres!$A$1:$I$89,5,0)</f>
        <v>-1.0818439477588981E-13</v>
      </c>
      <c r="P147" s="14" t="e">
        <f t="shared" si="141"/>
        <v>#NUM!</v>
      </c>
      <c r="Q147" s="22" t="e">
        <f t="shared" si="108"/>
        <v>#NUM!</v>
      </c>
      <c r="R147" s="62" t="e">
        <f t="shared" si="109"/>
        <v>#NUM!</v>
      </c>
      <c r="S147" s="62">
        <f ca="1">AVERAGE(OFFSET($R$3,0,0,'Données projet'!$E$9+1,1))-AVERAGE(OFFSET($H$3,0,0,'Données projet'!$E$9+1,1))</f>
        <v>367.11183928586667</v>
      </c>
      <c r="T147" s="62">
        <f t="shared" si="142"/>
        <v>281.52963027844595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0</v>
      </c>
      <c r="AA147" s="23">
        <f>EXP(-LN(2)/25)*AA146+(1-EXP(-LN(2)/25))/(LN(2)/25)*Calculateur!V147*Calculateur!X147*VLOOKUP('Données projet'!$B$9,Paramètres!$A$1:$I$89,3,0)*0.475*44/12</f>
        <v>0</v>
      </c>
      <c r="AB147" s="23">
        <f>EXP(-LN(2)/2)*AB146+(1-EXP(-LN(2)/2))/(LN(2)/2)*V147*Y147*VLOOKUP('Données projet'!$B$9,Paramètres!$A$1:$I$89,3,0)*0.475*44/12</f>
        <v>0</v>
      </c>
      <c r="AC147" s="24">
        <f t="shared" si="111"/>
        <v>0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2.4</v>
      </c>
      <c r="AI147" s="14">
        <f>IF('Données projet'!$A$62&gt;35,AI146+AH147-AQ146,IF(A147&lt;'Données projet'!$A$62,$AF$205^A147,IF(A147='Données projet'!$A$62,'Données projet'!$B$62,AI146+AH147-AQ146)))</f>
        <v>278.59999999999917</v>
      </c>
      <c r="AJ147" s="14">
        <f>AI147*VLOOKUP('Données projet'!$B$10,Paramètres!$A$1:$I$89,3,0)*VLOOKUP('Données projet'!$B$10,Paramètres!$A$1:$I$89,5,0)</f>
        <v>252.07727999999923</v>
      </c>
      <c r="AK147" s="14">
        <f t="shared" si="143"/>
        <v>61.030544652154823</v>
      </c>
      <c r="AL147" s="22">
        <f t="shared" si="112"/>
        <v>545.32946126916829</v>
      </c>
      <c r="AM147" s="62">
        <f t="shared" si="113"/>
        <v>838.66279460250166</v>
      </c>
      <c r="AN147" s="62">
        <f ca="1">AVERAGE(OFFSET($AM$3,0,0,'Données projet'!$E$10+1,1))-AVERAGE(OFFSET($H$3,0,0,'Données projet'!$E$10+1,1))</f>
        <v>428.8489304403459</v>
      </c>
      <c r="AO147" s="62">
        <f t="shared" si="144"/>
        <v>247.01165577562966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0</v>
      </c>
      <c r="AV147" s="23">
        <f>EXP(-LN(2)/25)*AV146+(1-EXP(-LN(2)/25))/(LN(2)/25)*Calculateur!AQ147*Calculateur!AS147*VLOOKUP('Données projet'!$B$10,Paramètres!$A$1:$I$89,3,0)*0.475*44/12</f>
        <v>0</v>
      </c>
      <c r="AW147" s="23">
        <f>EXP(-LN(2)/2)*AW146+(1-EXP(-LN(2)/2))/(LN(2)/2)*AQ147*AT147*VLOOKUP('Données projet'!$B$10,Paramètres!$A$1:$I$89,3,0)*0.475*44/12</f>
        <v>0</v>
      </c>
      <c r="AX147" s="23">
        <f t="shared" si="114"/>
        <v>0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2.4</v>
      </c>
      <c r="BD147" s="13">
        <f>IF('Données projet'!$A$88&gt;35,BD146+BC147-BL146,IF(A147&lt;'Données projet'!$A$88,$BA$205^A147,IF(A147='Données projet'!$A$88,'Données projet'!$B$88,BD146+BC147-BL146)))</f>
        <v>278.59999999999917</v>
      </c>
      <c r="BE147" s="14">
        <f>BD147*VLOOKUP('Données projet'!$B$11,Paramètres!$A$1:$I$89,3,0)*VLOOKUP('Données projet'!$B$11,Paramètres!$A$1:$I$89,5,0)</f>
        <v>282.50039999999916</v>
      </c>
      <c r="BF147" s="14">
        <f t="shared" si="145"/>
        <v>67.495141560894254</v>
      </c>
      <c r="BG147" s="22">
        <f t="shared" si="115"/>
        <v>609.57556821855599</v>
      </c>
      <c r="BH147" s="62">
        <f t="shared" si="116"/>
        <v>902.90890155188936</v>
      </c>
      <c r="BI147" s="62">
        <f ca="1">AVERAGE(OFFSET($BH$3,0,0,'Données projet'!$E$11+1,1))-AVERAGE(OFFSET($H$3,0,0,'Données projet'!$E$11+1,1))</f>
        <v>475.47920969424894</v>
      </c>
      <c r="BJ147" s="62">
        <f t="shared" si="146"/>
        <v>271.73544012419364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>
        <f>EXP(-LN(2)/35)*BP146+(1-EXP(-LN(2)/35))/(LN(2)/35)*BL147*BM147*VLOOKUP('Données projet'!$B$11,Paramètres!$A$1:$I$89,3,0)*0.475*44/12</f>
        <v>0</v>
      </c>
      <c r="BQ147" s="23">
        <f>EXP(-LN(2)/25)*BQ146+(1-EXP(-LN(2)/25))/(LN(2)/25)*Calculateur!BL147*Calculateur!BN147*VLOOKUP('Données projet'!$B$11,Paramètres!$A$1:$I$89,3,0)*0.475*44/12</f>
        <v>0</v>
      </c>
      <c r="BR147" s="23">
        <f>EXP(-LN(2)/2)*BR146+(1-EXP(-LN(2)/2))/(LN(2)/2)*BL147*BO147*VLOOKUP('Données projet'!$B$11,Paramètres!$A$1:$I$89,3,0)*0.475*44/12</f>
        <v>0</v>
      </c>
      <c r="BS147" s="24">
        <f t="shared" si="117"/>
        <v>0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2.2737367544323206E-13</v>
      </c>
      <c r="BZ147" s="14">
        <f>BY147*VLOOKUP('Données projet'!$B$12,Paramètres!$A$1:$I$89,3,0)*VLOOKUP('Données projet'!$B$12,Paramètres!$A$1:$I$89,5,0)</f>
        <v>1.2710188457276673E-13</v>
      </c>
      <c r="CA147" s="14">
        <f t="shared" si="147"/>
        <v>1.856866851063998E-12</v>
      </c>
      <c r="CB147" s="22">
        <f t="shared" si="118"/>
        <v>3.4554122145673649E-12</v>
      </c>
      <c r="CC147" s="62">
        <f t="shared" si="119"/>
        <v>293.33333333333678</v>
      </c>
      <c r="CD147" s="62">
        <f ca="1">AVERAGE(OFFSET($CC$3,0,0,'Données projet'!$E$12+1,1))-AVERAGE(OFFSET($H$3,0,0,'Données projet'!$E$12+1,1))</f>
        <v>323.98185264074681</v>
      </c>
      <c r="CE147" s="62">
        <f t="shared" si="148"/>
        <v>301.22207291854005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>
        <f>EXP(-LN(2)/35)*CK146+(1-EXP(-LN(2)/35))/(LN(2)/35)*CG147*CH147*VLOOKUP('Données projet'!$B$12,Paramètres!$A$1:$I$89,3,0)*0.475*44/12</f>
        <v>0.46672719870296364</v>
      </c>
      <c r="CL147" s="23">
        <f>EXP(-LN(2)/25)*CL146+(1-EXP(-LN(2)/25))/(LN(2)/25)*Calculateur!CG147*Calculateur!CI147*VLOOKUP('Données projet'!$B$12,Paramètres!$A$1:$I$89,3,0)*0.475*44/12</f>
        <v>0.34963507446403558</v>
      </c>
      <c r="CM147" s="23">
        <f>EXP(-LN(2)/2)*CM146+(1-EXP(-LN(2)/2))/(LN(2)/2)*CG147*CJ147*VLOOKUP('Données projet'!$B$12,Paramètres!$A$1:$I$89,3,0)*0.475*44/12</f>
        <v>4.2242648126814141E-17</v>
      </c>
      <c r="CN147" s="24">
        <f t="shared" si="120"/>
        <v>0.81636227316699927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1.4</v>
      </c>
      <c r="CT147" s="13">
        <f>IF('Données projet'!$A$140&gt;35,CT146+CS147-DB146,IF(A147&lt;'Données projet'!$A$140,$CQ$205^A147,IF(A147='Données projet'!$A$140,'Données projet'!$B$140,CT146+CS147-DB146)))</f>
        <v>215.59999999999997</v>
      </c>
      <c r="CU147" s="18">
        <f>CT147*VLOOKUP('Données projet'!$B$13,Paramètres!$A$1:$I$89,3,0)*VLOOKUP('Données projet'!$B$13,Paramètres!$A$1:$I$89,5,0)</f>
        <v>245.52527999999998</v>
      </c>
      <c r="CV147" s="14">
        <f t="shared" si="149"/>
        <v>59.626742034750393</v>
      </c>
      <c r="CW147" s="22">
        <f t="shared" si="121"/>
        <v>531.47310504385689</v>
      </c>
      <c r="CX147" s="62">
        <f t="shared" si="122"/>
        <v>824.80643837719026</v>
      </c>
      <c r="CY147" s="62">
        <f ca="1">AVERAGE(OFFSET($CX$3,0,0,'Données projet'!$E$13+1,1))-AVERAGE(OFFSET($H$3,0,0,'Données projet'!$E$13+1,1))</f>
        <v>399.78832690250164</v>
      </c>
      <c r="CZ147" s="62">
        <f t="shared" si="150"/>
        <v>174.32967064896343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>
        <f>EXP(-LN(2)/35)*DF146+(1-EXP(-LN(2)/35))/(LN(2)/35)*DB147*DC147*VLOOKUP('Données projet'!$B$13,Paramètres!$A$1:$I$89,3,0)*0.475*44/12</f>
        <v>0</v>
      </c>
      <c r="DG147" s="23">
        <f>EXP(-LN(2)/25)*DG146+(1-EXP(-LN(2)/25))/(LN(2)/25)*Calculateur!DB147*Calculateur!DD147*VLOOKUP('Données projet'!$B$13,Paramètres!$A$1:$I$89,3,0)*0.475*44/12</f>
        <v>0</v>
      </c>
      <c r="DH147" s="23">
        <f>EXP(-LN(2)/2)*DH146+(1-EXP(-LN(2)/2))/(LN(2)/2)*DB147*DE147*VLOOKUP('Données projet'!$B$13,Paramètres!$A$1:$I$89,3,0)*0.475*44/12</f>
        <v>0</v>
      </c>
      <c r="DI147" s="24">
        <f t="shared" si="123"/>
        <v>0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2.4</v>
      </c>
      <c r="DO147" s="13">
        <f>IF('Données projet'!$A$166&gt;35,DO146+DN147-DW146,IF(A147&lt;'Données projet'!$A$166,$DL$205^A147,IF(A147='Données projet'!$A$166,'Données projet'!$B$166,DO146+DN147-DW146)))</f>
        <v>278.59999999999917</v>
      </c>
      <c r="DP147" s="18">
        <f>DO147*VLOOKUP('Données projet'!$B$14,Paramètres!$A$1:$I$89,3,0)*VLOOKUP('Données projet'!$B$14,Paramètres!$A$1:$I$89,5,0)</f>
        <v>234.69263999999933</v>
      </c>
      <c r="DQ147" s="14">
        <f t="shared" si="151"/>
        <v>57.296144215400361</v>
      </c>
      <c r="DR147" s="22">
        <f t="shared" si="124"/>
        <v>508.54713250848772</v>
      </c>
      <c r="DS147" s="62">
        <f t="shared" si="125"/>
        <v>801.88046584182098</v>
      </c>
      <c r="DT147" s="62">
        <f ca="1">AVERAGE(OFFSET($DS$3,0,0,'Données projet'!$E$14+1,1))-AVERAGE(OFFSET($H$3,0,0,'Données projet'!$E$14+1,1))</f>
        <v>402.15128814037058</v>
      </c>
      <c r="DU147" s="62">
        <f t="shared" si="152"/>
        <v>232.85411068442738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>
        <f>EXP(-LN(2)/35)*EA146+(1-EXP(-LN(2)/35))/(LN(2)/35)*DW147*DX147*VLOOKUP('Données projet'!$B$14,Paramètres!$A$1:$I$89,3,0)*0.475*44/12</f>
        <v>0</v>
      </c>
      <c r="EB147" s="23">
        <f>EXP(-LN(2)/25)*EB146+(1-EXP(-LN(2)/25))/(LN(2)/25)*Calculateur!DW147*Calculateur!DY147*VLOOKUP('Données projet'!$B$14,Paramètres!$A$1:$I$89,3,0)*0.475*44/12</f>
        <v>0</v>
      </c>
      <c r="EC147" s="23">
        <f>EXP(-LN(2)/2)*EC146+(1-EXP(-LN(2)/2))/(LN(2)/2)*DW147*DZ147*VLOOKUP('Données projet'!$B$14,Paramètres!$A$1:$I$89,3,0)*0.475*44/12</f>
        <v>0</v>
      </c>
      <c r="ED147" s="24">
        <f t="shared" si="126"/>
        <v>0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6.2527760746888816E-13</v>
      </c>
      <c r="EK147" s="18">
        <f>EJ147*VLOOKUP('Données projet'!$B$15,Paramètres!$A$1:$I$89,3,0)*VLOOKUP('Données projet'!$B$15,Paramètres!$A$1:$I$89,5,0)</f>
        <v>6.5354015532648198E-13</v>
      </c>
      <c r="EL147" s="14">
        <f t="shared" si="153"/>
        <v>7.8909019831354483E-12</v>
      </c>
      <c r="EM147" s="22">
        <f t="shared" si="127"/>
        <v>1.4881570057821194E-11</v>
      </c>
      <c r="EN147" s="62">
        <f t="shared" si="128"/>
        <v>293.33333333334821</v>
      </c>
      <c r="EO147" s="62">
        <f ca="1">AVERAGE(OFFSET($EN$3,0,0,'Données projet'!$E$15+1,1))-AVERAGE(OFFSET($H$3,0,0,'Données projet'!$E$15+1,1))</f>
        <v>595.89992279024398</v>
      </c>
      <c r="EP147" s="62">
        <f t="shared" si="154"/>
        <v>378.16197659288338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>
        <f>EXP(-LN(2)/35)*EV146+(1-EXP(-LN(2)/35))/(LN(2)/35)*ER147*ES147*VLOOKUP('Données projet'!$B$15,Paramètres!$A$1:$I$89,3,0)*0.475*44/12</f>
        <v>0</v>
      </c>
      <c r="EW147" s="23">
        <f>EXP(-LN(2)/25)*EW146+(1-EXP(-LN(2)/25))/(LN(2)/25)*Calculateur!ER147*Calculateur!ET147*VLOOKUP('Données projet'!$B$15,Paramètres!$A$1:$I$89,3,0)*0.475*44/12</f>
        <v>0</v>
      </c>
      <c r="EX147" s="23">
        <f>EXP(-LN(2)/2)*EX146+(1-EXP(-LN(2)/2))/(LN(2)/2)*ER147*EU147*VLOOKUP('Données projet'!$B$15,Paramètres!$A$1:$I$89,3,0)*0.475*44/12</f>
        <v>0</v>
      </c>
      <c r="EY147" s="24">
        <f t="shared" si="129"/>
        <v>0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-2.2737367544323206E-13</v>
      </c>
      <c r="FF147" s="18">
        <f>FE147*VLOOKUP('Données projet'!$B$16,Paramètres!$A$1:$I$89,3,0)*VLOOKUP('Données projet'!$B$16,Paramètres!$A$1:$I$89,5,0)</f>
        <v>-1.3596945791505279E-13</v>
      </c>
      <c r="FG147" s="14" t="e">
        <f t="shared" si="155"/>
        <v>#NUM!</v>
      </c>
      <c r="FH147" s="22" t="e">
        <f t="shared" si="130"/>
        <v>#NUM!</v>
      </c>
      <c r="FI147" s="62" t="e">
        <f t="shared" si="131"/>
        <v>#NUM!</v>
      </c>
      <c r="FJ147" s="62">
        <f ca="1">AVERAGE(OFFSET($FI$3,0,0,'Données projet'!$E$16+1,1))-AVERAGE(OFFSET($H$3,0,0,'Données projet'!$E$16+1,1))</f>
        <v>257.56116197646924</v>
      </c>
      <c r="FK147" s="62">
        <f t="shared" si="156"/>
        <v>269.95556918835888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>
        <f>EXP(-LN(2)/35)*FQ146+(1-EXP(-LN(2)/35))/(LN(2)/35)*FM147*FN147*VLOOKUP('Données projet'!$B$16,Paramètres!$A$1:$I$89,3,0)*0.475*44/12</f>
        <v>1.5251156297314763</v>
      </c>
      <c r="FR147" s="23">
        <f>EXP(-LN(2)/25)*FR146+(1-EXP(-LN(2)/25))/(LN(2)/25)*Calculateur!FM147*Calculateur!FO147*VLOOKUP('Données projet'!$B$16,Paramètres!$A$1:$I$89,3,0)*0.475*44/12</f>
        <v>0.68436758600572389</v>
      </c>
      <c r="FS147" s="23">
        <f>EXP(-LN(2)/2)*FS146+(1-EXP(-LN(2)/2))/(LN(2)/2)*FM147*FP147*VLOOKUP('Données projet'!$B$16,Paramètres!$A$1:$I$89,3,0)*0.475*44/12</f>
        <v>5.9355877310256095E-17</v>
      </c>
      <c r="FT147" s="24">
        <f t="shared" si="132"/>
        <v>2.2094832157372002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-2.8421709430404007E-13</v>
      </c>
      <c r="GA147" s="18">
        <f>FZ147*VLOOKUP('Données projet'!$B$17,Paramètres!$A$1:$I$89,3,0)*VLOOKUP('Données projet'!$B$17,Paramètres!$A$1:$I$89,5,0)</f>
        <v>-1.69961822393816E-13</v>
      </c>
      <c r="GB147" s="14" t="e">
        <f t="shared" si="157"/>
        <v>#NUM!</v>
      </c>
      <c r="GC147" s="22" t="e">
        <f t="shared" si="133"/>
        <v>#NUM!</v>
      </c>
      <c r="GD147" s="62" t="e">
        <f t="shared" si="134"/>
        <v>#NUM!</v>
      </c>
      <c r="GE147" s="62">
        <f ca="1">AVERAGE(OFFSET($GD$3,0,0,'Données projet'!$E$17+1,1))-AVERAGE(OFFSET($H$3,0,0,'Données projet'!$E$17+1,1))</f>
        <v>289.12367833861299</v>
      </c>
      <c r="GF147" s="62">
        <f t="shared" si="158"/>
        <v>229.06617320689003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>
        <f>EXP(-LN(2)/35)*GL146+(1-EXP(-LN(2)/35))/(LN(2)/35)*GH147*GI147*VLOOKUP('Données projet'!$B$17,Paramètres!$A$1:$I$89,3,0)*0.475*44/12</f>
        <v>0</v>
      </c>
      <c r="GM147" s="23">
        <f>EXP(-LN(2)/25)*GM146+(1-EXP(-LN(2)/25))/(LN(2)/25)*Calculateur!GH147*Calculateur!GJ147*VLOOKUP('Données projet'!$B$17,Paramètres!$A$1:$I$89,3,0)*0.475*44/12</f>
        <v>0</v>
      </c>
      <c r="GN147" s="23">
        <f>EXP(-LN(2)/2)*GN146+(1-EXP(-LN(2)/2))/(LN(2)/2)*GH147*GK147*VLOOKUP('Données projet'!$B$17,Paramètres!$A$1:$I$89,3,0)*0.475*44/12</f>
        <v>2.8774448643419447E-17</v>
      </c>
      <c r="GO147" s="23">
        <f t="shared" si="135"/>
        <v>2.8774448643419447E-17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-5.6843418860808015E-14</v>
      </c>
      <c r="GV147" s="18">
        <f>GU147*VLOOKUP('Données projet'!$B$18,Paramètres!$A$1:$I$89,3,0)*VLOOKUP('Données projet'!$B$18,Paramètres!$A$1:$I$89,5,0)</f>
        <v>-2.6602720026858149E-14</v>
      </c>
      <c r="GW147" s="14" t="e">
        <f t="shared" si="159"/>
        <v>#NUM!</v>
      </c>
      <c r="GX147" s="22" t="e">
        <f t="shared" si="136"/>
        <v>#NUM!</v>
      </c>
      <c r="GY147" s="62" t="e">
        <f t="shared" si="137"/>
        <v>#NUM!</v>
      </c>
      <c r="GZ147" s="62">
        <f ca="1">AVERAGE(OFFSET($GY$3,0,0,'Données projet'!$E$18+1,1))-AVERAGE(OFFSET($H$3,0,0,'Données projet'!$E$18+1,1))</f>
        <v>284.88646502866419</v>
      </c>
      <c r="HA147" s="62">
        <f t="shared" si="160"/>
        <v>190.4880882944471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>
        <f>EXP(-LN(2)/35)*HG146+(1-EXP(-LN(2)/35))/(LN(2)/35)*HC147*HD147*VLOOKUP('Données projet'!$B$18,Paramètres!$A$1:$I$89,3,0)*0.475*44/12</f>
        <v>0</v>
      </c>
      <c r="HH147" s="23">
        <f>EXP(-LN(2)/25)*HH146+(1-EXP(-LN(2)/25))/(LN(2)/25)*Calculateur!HC147*Calculateur!HE147*VLOOKUP('Données projet'!$B$18,Paramètres!$A$1:$I$89,3,0)*0.475*44/12</f>
        <v>0</v>
      </c>
      <c r="HI147" s="23">
        <f>EXP(-LN(2)/2)*HI146+(1-EXP(-LN(2)/2))/(LN(2)/2)*HC147*HF147*VLOOKUP('Données projet'!$B$18,Paramètres!$A$1:$I$89,3,0)*0.475*44/12</f>
        <v>0</v>
      </c>
      <c r="HJ147" s="24">
        <f t="shared" si="138"/>
        <v>0</v>
      </c>
    </row>
    <row r="148" spans="1:218" s="5" customFormat="1" x14ac:dyDescent="0.25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2">
        <f t="shared" si="140"/>
        <v>0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0</v>
      </c>
      <c r="H148" s="70">
        <f t="shared" si="110"/>
        <v>256.66666666666669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-1.1368683772161603E-13</v>
      </c>
      <c r="O148" s="14">
        <f>N148*VLOOKUP('Données projet'!$B$9,Paramètres!$A$1:$I$89,3,0)*VLOOKUP('Données projet'!$B$9,Paramètres!$A$1:$I$89,5,0)</f>
        <v>-1.0818439477588981E-13</v>
      </c>
      <c r="P148" s="14" t="e">
        <f t="shared" si="141"/>
        <v>#NUM!</v>
      </c>
      <c r="Q148" s="22" t="e">
        <f t="shared" si="108"/>
        <v>#NUM!</v>
      </c>
      <c r="R148" s="62" t="e">
        <f t="shared" si="109"/>
        <v>#NUM!</v>
      </c>
      <c r="S148" s="62">
        <f ca="1">AVERAGE(OFFSET($R$3,0,0,'Données projet'!$E$9+1,1))-AVERAGE(OFFSET($H$3,0,0,'Données projet'!$E$9+1,1))</f>
        <v>367.11183928586667</v>
      </c>
      <c r="T148" s="62">
        <f t="shared" si="142"/>
        <v>281.52963027844595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0</v>
      </c>
      <c r="AA148" s="23">
        <f>EXP(-LN(2)/25)*AA147+(1-EXP(-LN(2)/25))/(LN(2)/25)*Calculateur!V148*Calculateur!X148*VLOOKUP('Données projet'!$B$9,Paramètres!$A$1:$I$89,3,0)*0.475*44/12</f>
        <v>0</v>
      </c>
      <c r="AB148" s="23">
        <f>EXP(-LN(2)/2)*AB147+(1-EXP(-LN(2)/2))/(LN(2)/2)*V148*Y148*VLOOKUP('Données projet'!$B$9,Paramètres!$A$1:$I$89,3,0)*0.475*44/12</f>
        <v>0</v>
      </c>
      <c r="AC148" s="24">
        <f t="shared" si="111"/>
        <v>0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2.4</v>
      </c>
      <c r="AI148" s="14">
        <f>IF('Données projet'!$A$62&gt;35,AI147+AH148-AQ147,IF(A148&lt;'Données projet'!$A$62,$AF$205^A148,IF(A148='Données projet'!$A$62,'Données projet'!$B$62,AI147+AH148-AQ147)))</f>
        <v>280.99999999999915</v>
      </c>
      <c r="AJ148" s="14">
        <f>AI148*VLOOKUP('Données projet'!$B$10,Paramètres!$A$1:$I$89,3,0)*VLOOKUP('Données projet'!$B$10,Paramètres!$A$1:$I$89,5,0)</f>
        <v>254.24879999999925</v>
      </c>
      <c r="AK148" s="14">
        <f t="shared" si="143"/>
        <v>61.494863147658698</v>
      </c>
      <c r="AL148" s="22">
        <f t="shared" si="112"/>
        <v>549.92021331550427</v>
      </c>
      <c r="AM148" s="62">
        <f t="shared" si="113"/>
        <v>843.25354664883753</v>
      </c>
      <c r="AN148" s="62">
        <f ca="1">AVERAGE(OFFSET($AM$3,0,0,'Données projet'!$E$10+1,1))-AVERAGE(OFFSET($H$3,0,0,'Données projet'!$E$10+1,1))</f>
        <v>428.8489304403459</v>
      </c>
      <c r="AO148" s="62">
        <f t="shared" si="144"/>
        <v>247.01165577562966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0</v>
      </c>
      <c r="AV148" s="23">
        <f>EXP(-LN(2)/25)*AV147+(1-EXP(-LN(2)/25))/(LN(2)/25)*Calculateur!AQ148*Calculateur!AS148*VLOOKUP('Données projet'!$B$10,Paramètres!$A$1:$I$89,3,0)*0.475*44/12</f>
        <v>0</v>
      </c>
      <c r="AW148" s="23">
        <f>EXP(-LN(2)/2)*AW147+(1-EXP(-LN(2)/2))/(LN(2)/2)*AQ148*AT148*VLOOKUP('Données projet'!$B$10,Paramètres!$A$1:$I$89,3,0)*0.475*44/12</f>
        <v>0</v>
      </c>
      <c r="AX148" s="23">
        <f t="shared" si="114"/>
        <v>0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2.4</v>
      </c>
      <c r="BD148" s="13">
        <f>IF('Données projet'!$A$88&gt;35,BD147+BC148-BL147,IF(A148&lt;'Données projet'!$A$88,$BA$205^A148,IF(A148='Données projet'!$A$88,'Données projet'!$B$88,BD147+BC148-BL147)))</f>
        <v>280.99999999999915</v>
      </c>
      <c r="BE148" s="14">
        <f>BD148*VLOOKUP('Données projet'!$B$11,Paramètres!$A$1:$I$89,3,0)*VLOOKUP('Données projet'!$B$11,Paramètres!$A$1:$I$89,5,0)</f>
        <v>284.93399999999917</v>
      </c>
      <c r="BF148" s="14">
        <f t="shared" si="145"/>
        <v>68.008642509673109</v>
      </c>
      <c r="BG148" s="22">
        <f t="shared" si="115"/>
        <v>614.7084357043459</v>
      </c>
      <c r="BH148" s="62">
        <f t="shared" si="116"/>
        <v>908.04176903767916</v>
      </c>
      <c r="BI148" s="62">
        <f ca="1">AVERAGE(OFFSET($BH$3,0,0,'Données projet'!$E$11+1,1))-AVERAGE(OFFSET($H$3,0,0,'Données projet'!$E$11+1,1))</f>
        <v>475.47920969424894</v>
      </c>
      <c r="BJ148" s="62">
        <f t="shared" si="146"/>
        <v>271.73544012419364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>
        <f>EXP(-LN(2)/35)*BP147+(1-EXP(-LN(2)/35))/(LN(2)/35)*BL148*BM148*VLOOKUP('Données projet'!$B$11,Paramètres!$A$1:$I$89,3,0)*0.475*44/12</f>
        <v>0</v>
      </c>
      <c r="BQ148" s="23">
        <f>EXP(-LN(2)/25)*BQ147+(1-EXP(-LN(2)/25))/(LN(2)/25)*Calculateur!BL148*Calculateur!BN148*VLOOKUP('Données projet'!$B$11,Paramètres!$A$1:$I$89,3,0)*0.475*44/12</f>
        <v>0</v>
      </c>
      <c r="BR148" s="23">
        <f>EXP(-LN(2)/2)*BR147+(1-EXP(-LN(2)/2))/(LN(2)/2)*BL148*BO148*VLOOKUP('Données projet'!$B$11,Paramètres!$A$1:$I$89,3,0)*0.475*44/12</f>
        <v>0</v>
      </c>
      <c r="BS148" s="24">
        <f t="shared" si="117"/>
        <v>0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2.2737367544323206E-13</v>
      </c>
      <c r="BZ148" s="14">
        <f>BY148*VLOOKUP('Données projet'!$B$12,Paramètres!$A$1:$I$89,3,0)*VLOOKUP('Données projet'!$B$12,Paramètres!$A$1:$I$89,5,0)</f>
        <v>1.2710188457276673E-13</v>
      </c>
      <c r="CA148" s="14">
        <f t="shared" si="147"/>
        <v>1.856866851063998E-12</v>
      </c>
      <c r="CB148" s="22">
        <f t="shared" si="118"/>
        <v>3.4554122145673649E-12</v>
      </c>
      <c r="CC148" s="62">
        <f t="shared" si="119"/>
        <v>293.33333333333678</v>
      </c>
      <c r="CD148" s="62">
        <f ca="1">AVERAGE(OFFSET($CC$3,0,0,'Données projet'!$E$12+1,1))-AVERAGE(OFFSET($H$3,0,0,'Données projet'!$E$12+1,1))</f>
        <v>323.98185264074681</v>
      </c>
      <c r="CE148" s="62">
        <f t="shared" si="148"/>
        <v>301.22207291854005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>
        <f>EXP(-LN(2)/35)*CK147+(1-EXP(-LN(2)/35))/(LN(2)/35)*CG148*CH148*VLOOKUP('Données projet'!$B$12,Paramètres!$A$1:$I$89,3,0)*0.475*44/12</f>
        <v>0.45757496301188039</v>
      </c>
      <c r="CL148" s="23">
        <f>EXP(-LN(2)/25)*CL147+(1-EXP(-LN(2)/25))/(LN(2)/25)*Calculateur!CG148*Calculateur!CI148*VLOOKUP('Données projet'!$B$12,Paramètres!$A$1:$I$89,3,0)*0.475*44/12</f>
        <v>0.34007428496630704</v>
      </c>
      <c r="CM148" s="23">
        <f>EXP(-LN(2)/2)*CM147+(1-EXP(-LN(2)/2))/(LN(2)/2)*CG148*CJ148*VLOOKUP('Données projet'!$B$12,Paramètres!$A$1:$I$89,3,0)*0.475*44/12</f>
        <v>2.9870062945747488E-17</v>
      </c>
      <c r="CN148" s="24">
        <f t="shared" si="120"/>
        <v>0.79764924797818737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1.4</v>
      </c>
      <c r="CT148" s="13">
        <f>IF('Données projet'!$A$140&gt;35,CT147+CS148-DB147,IF(A148&lt;'Données projet'!$A$140,$CQ$205^A148,IF(A148='Données projet'!$A$140,'Données projet'!$B$140,CT147+CS148-DB147)))</f>
        <v>216.99999999999997</v>
      </c>
      <c r="CU148" s="18">
        <f>CT148*VLOOKUP('Données projet'!$B$13,Paramètres!$A$1:$I$89,3,0)*VLOOKUP('Données projet'!$B$13,Paramètres!$A$1:$I$89,5,0)</f>
        <v>247.11959999999996</v>
      </c>
      <c r="CV148" s="14">
        <f t="shared" si="149"/>
        <v>59.968731164216258</v>
      </c>
      <c r="CW148" s="22">
        <f t="shared" si="121"/>
        <v>534.84551011100996</v>
      </c>
      <c r="CX148" s="62">
        <f t="shared" si="122"/>
        <v>828.17884344434333</v>
      </c>
      <c r="CY148" s="62">
        <f ca="1">AVERAGE(OFFSET($CX$3,0,0,'Données projet'!$E$13+1,1))-AVERAGE(OFFSET($H$3,0,0,'Données projet'!$E$13+1,1))</f>
        <v>399.78832690250164</v>
      </c>
      <c r="CZ148" s="62">
        <f t="shared" si="150"/>
        <v>174.32967064896343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>
        <f>EXP(-LN(2)/35)*DF147+(1-EXP(-LN(2)/35))/(LN(2)/35)*DB148*DC148*VLOOKUP('Données projet'!$B$13,Paramètres!$A$1:$I$89,3,0)*0.475*44/12</f>
        <v>0</v>
      </c>
      <c r="DG148" s="23">
        <f>EXP(-LN(2)/25)*DG147+(1-EXP(-LN(2)/25))/(LN(2)/25)*Calculateur!DB148*Calculateur!DD148*VLOOKUP('Données projet'!$B$13,Paramètres!$A$1:$I$89,3,0)*0.475*44/12</f>
        <v>0</v>
      </c>
      <c r="DH148" s="23">
        <f>EXP(-LN(2)/2)*DH147+(1-EXP(-LN(2)/2))/(LN(2)/2)*DB148*DE148*VLOOKUP('Données projet'!$B$13,Paramètres!$A$1:$I$89,3,0)*0.475*44/12</f>
        <v>0</v>
      </c>
      <c r="DI148" s="24">
        <f t="shared" si="123"/>
        <v>0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2.4</v>
      </c>
      <c r="DO148" s="13">
        <f>IF('Données projet'!$A$166&gt;35,DO147+DN148-DW147,IF(A148&lt;'Données projet'!$A$166,$DL$205^A148,IF(A148='Données projet'!$A$166,'Données projet'!$B$166,DO147+DN148-DW147)))</f>
        <v>280.99999999999915</v>
      </c>
      <c r="DP148" s="18">
        <f>DO148*VLOOKUP('Données projet'!$B$14,Paramètres!$A$1:$I$89,3,0)*VLOOKUP('Données projet'!$B$14,Paramètres!$A$1:$I$89,5,0)</f>
        <v>236.7143999999993</v>
      </c>
      <c r="DQ148" s="14">
        <f t="shared" si="151"/>
        <v>57.732051507919145</v>
      </c>
      <c r="DR148" s="22">
        <f t="shared" si="124"/>
        <v>512.82756970962453</v>
      </c>
      <c r="DS148" s="62">
        <f t="shared" si="125"/>
        <v>806.1609030429579</v>
      </c>
      <c r="DT148" s="62">
        <f ca="1">AVERAGE(OFFSET($DS$3,0,0,'Données projet'!$E$14+1,1))-AVERAGE(OFFSET($H$3,0,0,'Données projet'!$E$14+1,1))</f>
        <v>402.15128814037058</v>
      </c>
      <c r="DU148" s="62">
        <f t="shared" si="152"/>
        <v>232.85411068442738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>
        <f>EXP(-LN(2)/35)*EA147+(1-EXP(-LN(2)/35))/(LN(2)/35)*DW148*DX148*VLOOKUP('Données projet'!$B$14,Paramètres!$A$1:$I$89,3,0)*0.475*44/12</f>
        <v>0</v>
      </c>
      <c r="EB148" s="23">
        <f>EXP(-LN(2)/25)*EB147+(1-EXP(-LN(2)/25))/(LN(2)/25)*Calculateur!DW148*Calculateur!DY148*VLOOKUP('Données projet'!$B$14,Paramètres!$A$1:$I$89,3,0)*0.475*44/12</f>
        <v>0</v>
      </c>
      <c r="EC148" s="23">
        <f>EXP(-LN(2)/2)*EC147+(1-EXP(-LN(2)/2))/(LN(2)/2)*DW148*DZ148*VLOOKUP('Données projet'!$B$14,Paramètres!$A$1:$I$89,3,0)*0.475*44/12</f>
        <v>0</v>
      </c>
      <c r="ED148" s="24">
        <f t="shared" si="126"/>
        <v>0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6.2527760746888816E-13</v>
      </c>
      <c r="EK148" s="18">
        <f>EJ148*VLOOKUP('Données projet'!$B$15,Paramètres!$A$1:$I$89,3,0)*VLOOKUP('Données projet'!$B$15,Paramètres!$A$1:$I$89,5,0)</f>
        <v>6.5354015532648198E-13</v>
      </c>
      <c r="EL148" s="14">
        <f t="shared" si="153"/>
        <v>7.8909019831354483E-12</v>
      </c>
      <c r="EM148" s="22">
        <f t="shared" si="127"/>
        <v>1.4881570057821194E-11</v>
      </c>
      <c r="EN148" s="62">
        <f t="shared" si="128"/>
        <v>293.33333333334821</v>
      </c>
      <c r="EO148" s="62">
        <f ca="1">AVERAGE(OFFSET($EN$3,0,0,'Données projet'!$E$15+1,1))-AVERAGE(OFFSET($H$3,0,0,'Données projet'!$E$15+1,1))</f>
        <v>595.89992279024398</v>
      </c>
      <c r="EP148" s="62">
        <f t="shared" si="154"/>
        <v>378.16197659288338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>
        <f>EXP(-LN(2)/35)*EV147+(1-EXP(-LN(2)/35))/(LN(2)/35)*ER148*ES148*VLOOKUP('Données projet'!$B$15,Paramètres!$A$1:$I$89,3,0)*0.475*44/12</f>
        <v>0</v>
      </c>
      <c r="EW148" s="23">
        <f>EXP(-LN(2)/25)*EW147+(1-EXP(-LN(2)/25))/(LN(2)/25)*Calculateur!ER148*Calculateur!ET148*VLOOKUP('Données projet'!$B$15,Paramètres!$A$1:$I$89,3,0)*0.475*44/12</f>
        <v>0</v>
      </c>
      <c r="EX148" s="23">
        <f>EXP(-LN(2)/2)*EX147+(1-EXP(-LN(2)/2))/(LN(2)/2)*ER148*EU148*VLOOKUP('Données projet'!$B$15,Paramètres!$A$1:$I$89,3,0)*0.475*44/12</f>
        <v>0</v>
      </c>
      <c r="EY148" s="24">
        <f t="shared" si="129"/>
        <v>0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-2.2737367544323206E-13</v>
      </c>
      <c r="FF148" s="18">
        <f>FE148*VLOOKUP('Données projet'!$B$16,Paramètres!$A$1:$I$89,3,0)*VLOOKUP('Données projet'!$B$16,Paramètres!$A$1:$I$89,5,0)</f>
        <v>-1.3596945791505279E-13</v>
      </c>
      <c r="FG148" s="14" t="e">
        <f t="shared" si="155"/>
        <v>#NUM!</v>
      </c>
      <c r="FH148" s="22" t="e">
        <f t="shared" si="130"/>
        <v>#NUM!</v>
      </c>
      <c r="FI148" s="62" t="e">
        <f t="shared" si="131"/>
        <v>#NUM!</v>
      </c>
      <c r="FJ148" s="62">
        <f ca="1">AVERAGE(OFFSET($FI$3,0,0,'Données projet'!$E$16+1,1))-AVERAGE(OFFSET($H$3,0,0,'Données projet'!$E$16+1,1))</f>
        <v>257.56116197646924</v>
      </c>
      <c r="FK148" s="62">
        <f t="shared" si="156"/>
        <v>269.95556918835888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>
        <f>EXP(-LN(2)/35)*FQ147+(1-EXP(-LN(2)/35))/(LN(2)/35)*FM148*FN148*VLOOKUP('Données projet'!$B$16,Paramètres!$A$1:$I$89,3,0)*0.475*44/12</f>
        <v>1.4952090424611237</v>
      </c>
      <c r="FR148" s="23">
        <f>EXP(-LN(2)/25)*FR147+(1-EXP(-LN(2)/25))/(LN(2)/25)*Calculateur!FM148*Calculateur!FO148*VLOOKUP('Données projet'!$B$16,Paramètres!$A$1:$I$89,3,0)*0.475*44/12</f>
        <v>0.66565351837707021</v>
      </c>
      <c r="FS148" s="23">
        <f>EXP(-LN(2)/2)*FS147+(1-EXP(-LN(2)/2))/(LN(2)/2)*FM148*FP148*VLOOKUP('Données projet'!$B$16,Paramètres!$A$1:$I$89,3,0)*0.475*44/12</f>
        <v>4.1970943349358818E-17</v>
      </c>
      <c r="FT148" s="24">
        <f t="shared" si="132"/>
        <v>2.1608625608381939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-2.8421709430404007E-13</v>
      </c>
      <c r="GA148" s="18">
        <f>FZ148*VLOOKUP('Données projet'!$B$17,Paramètres!$A$1:$I$89,3,0)*VLOOKUP('Données projet'!$B$17,Paramètres!$A$1:$I$89,5,0)</f>
        <v>-1.69961822393816E-13</v>
      </c>
      <c r="GB148" s="14" t="e">
        <f t="shared" si="157"/>
        <v>#NUM!</v>
      </c>
      <c r="GC148" s="22" t="e">
        <f t="shared" si="133"/>
        <v>#NUM!</v>
      </c>
      <c r="GD148" s="62" t="e">
        <f t="shared" si="134"/>
        <v>#NUM!</v>
      </c>
      <c r="GE148" s="62">
        <f ca="1">AVERAGE(OFFSET($GD$3,0,0,'Données projet'!$E$17+1,1))-AVERAGE(OFFSET($H$3,0,0,'Données projet'!$E$17+1,1))</f>
        <v>289.12367833861299</v>
      </c>
      <c r="GF148" s="62">
        <f t="shared" si="158"/>
        <v>229.06617320689003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>
        <f>EXP(-LN(2)/35)*GL147+(1-EXP(-LN(2)/35))/(LN(2)/35)*GH148*GI148*VLOOKUP('Données projet'!$B$17,Paramètres!$A$1:$I$89,3,0)*0.475*44/12</f>
        <v>0</v>
      </c>
      <c r="GM148" s="23">
        <f>EXP(-LN(2)/25)*GM147+(1-EXP(-LN(2)/25))/(LN(2)/25)*Calculateur!GH148*Calculateur!GJ148*VLOOKUP('Données projet'!$B$17,Paramètres!$A$1:$I$89,3,0)*0.475*44/12</f>
        <v>0</v>
      </c>
      <c r="GN148" s="23">
        <f>EXP(-LN(2)/2)*GN147+(1-EXP(-LN(2)/2))/(LN(2)/2)*GH148*GK148*VLOOKUP('Données projet'!$B$17,Paramètres!$A$1:$I$89,3,0)*0.475*44/12</f>
        <v>2.0346607760665945E-17</v>
      </c>
      <c r="GO148" s="23">
        <f t="shared" si="135"/>
        <v>2.0346607760665945E-17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-5.6843418860808015E-14</v>
      </c>
      <c r="GV148" s="18">
        <f>GU148*VLOOKUP('Données projet'!$B$18,Paramètres!$A$1:$I$89,3,0)*VLOOKUP('Données projet'!$B$18,Paramètres!$A$1:$I$89,5,0)</f>
        <v>-2.6602720026858149E-14</v>
      </c>
      <c r="GW148" s="14" t="e">
        <f t="shared" si="159"/>
        <v>#NUM!</v>
      </c>
      <c r="GX148" s="22" t="e">
        <f t="shared" si="136"/>
        <v>#NUM!</v>
      </c>
      <c r="GY148" s="62" t="e">
        <f t="shared" si="137"/>
        <v>#NUM!</v>
      </c>
      <c r="GZ148" s="62">
        <f ca="1">AVERAGE(OFFSET($GY$3,0,0,'Données projet'!$E$18+1,1))-AVERAGE(OFFSET($H$3,0,0,'Données projet'!$E$18+1,1))</f>
        <v>284.88646502866419</v>
      </c>
      <c r="HA148" s="62">
        <f t="shared" si="160"/>
        <v>190.4880882944471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>
        <f>EXP(-LN(2)/35)*HG147+(1-EXP(-LN(2)/35))/(LN(2)/35)*HC148*HD148*VLOOKUP('Données projet'!$B$18,Paramètres!$A$1:$I$89,3,0)*0.475*44/12</f>
        <v>0</v>
      </c>
      <c r="HH148" s="23">
        <f>EXP(-LN(2)/25)*HH147+(1-EXP(-LN(2)/25))/(LN(2)/25)*Calculateur!HC148*Calculateur!HE148*VLOOKUP('Données projet'!$B$18,Paramètres!$A$1:$I$89,3,0)*0.475*44/12</f>
        <v>0</v>
      </c>
      <c r="HI148" s="23">
        <f>EXP(-LN(2)/2)*HI147+(1-EXP(-LN(2)/2))/(LN(2)/2)*HC148*HF148*VLOOKUP('Données projet'!$B$18,Paramètres!$A$1:$I$89,3,0)*0.475*44/12</f>
        <v>0</v>
      </c>
      <c r="HJ148" s="24">
        <f t="shared" si="138"/>
        <v>0</v>
      </c>
    </row>
    <row r="149" spans="1:218" s="5" customFormat="1" x14ac:dyDescent="0.25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2">
        <f t="shared" si="140"/>
        <v>0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0</v>
      </c>
      <c r="H149" s="70">
        <f t="shared" si="110"/>
        <v>256.66666666666669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-1.1368683772161603E-13</v>
      </c>
      <c r="O149" s="14">
        <f>N149*VLOOKUP('Données projet'!$B$9,Paramètres!$A$1:$I$89,3,0)*VLOOKUP('Données projet'!$B$9,Paramètres!$A$1:$I$89,5,0)</f>
        <v>-1.0818439477588981E-13</v>
      </c>
      <c r="P149" s="14" t="e">
        <f t="shared" si="141"/>
        <v>#NUM!</v>
      </c>
      <c r="Q149" s="22" t="e">
        <f t="shared" si="108"/>
        <v>#NUM!</v>
      </c>
      <c r="R149" s="62" t="e">
        <f t="shared" si="109"/>
        <v>#NUM!</v>
      </c>
      <c r="S149" s="62">
        <f ca="1">AVERAGE(OFFSET($R$3,0,0,'Données projet'!$E$9+1,1))-AVERAGE(OFFSET($H$3,0,0,'Données projet'!$E$9+1,1))</f>
        <v>367.11183928586667</v>
      </c>
      <c r="T149" s="62">
        <f t="shared" si="142"/>
        <v>281.52963027844595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0</v>
      </c>
      <c r="AA149" s="23">
        <f>EXP(-LN(2)/25)*AA148+(1-EXP(-LN(2)/25))/(LN(2)/25)*Calculateur!V149*Calculateur!X149*VLOOKUP('Données projet'!$B$9,Paramètres!$A$1:$I$89,3,0)*0.475*44/12</f>
        <v>0</v>
      </c>
      <c r="AB149" s="23">
        <f>EXP(-LN(2)/2)*AB148+(1-EXP(-LN(2)/2))/(LN(2)/2)*V149*Y149*VLOOKUP('Données projet'!$B$9,Paramètres!$A$1:$I$89,3,0)*0.475*44/12</f>
        <v>0</v>
      </c>
      <c r="AC149" s="24">
        <f t="shared" si="111"/>
        <v>0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2.4</v>
      </c>
      <c r="AI149" s="14">
        <f>IF('Données projet'!$A$62&gt;35,AI148+AH149-AQ148,IF(A149&lt;'Données projet'!$A$62,$AF$205^A149,IF(A149='Données projet'!$A$62,'Données projet'!$B$62,AI148+AH149-AQ148)))</f>
        <v>283.39999999999912</v>
      </c>
      <c r="AJ149" s="14">
        <f>AI149*VLOOKUP('Données projet'!$B$10,Paramètres!$A$1:$I$89,3,0)*VLOOKUP('Données projet'!$B$10,Paramètres!$A$1:$I$89,5,0)</f>
        <v>256.42031999999921</v>
      </c>
      <c r="AK149" s="14">
        <f t="shared" si="143"/>
        <v>61.958720258016747</v>
      </c>
      <c r="AL149" s="22">
        <f t="shared" si="112"/>
        <v>554.51016178271107</v>
      </c>
      <c r="AM149" s="62">
        <f t="shared" si="113"/>
        <v>847.84349511604432</v>
      </c>
      <c r="AN149" s="62">
        <f ca="1">AVERAGE(OFFSET($AM$3,0,0,'Données projet'!$E$10+1,1))-AVERAGE(OFFSET($H$3,0,0,'Données projet'!$E$10+1,1))</f>
        <v>428.8489304403459</v>
      </c>
      <c r="AO149" s="62">
        <f t="shared" si="144"/>
        <v>247.01165577562966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0</v>
      </c>
      <c r="AV149" s="23">
        <f>EXP(-LN(2)/25)*AV148+(1-EXP(-LN(2)/25))/(LN(2)/25)*Calculateur!AQ149*Calculateur!AS149*VLOOKUP('Données projet'!$B$10,Paramètres!$A$1:$I$89,3,0)*0.475*44/12</f>
        <v>0</v>
      </c>
      <c r="AW149" s="23">
        <f>EXP(-LN(2)/2)*AW148+(1-EXP(-LN(2)/2))/(LN(2)/2)*AQ149*AT149*VLOOKUP('Données projet'!$B$10,Paramètres!$A$1:$I$89,3,0)*0.475*44/12</f>
        <v>0</v>
      </c>
      <c r="AX149" s="23">
        <f t="shared" si="114"/>
        <v>0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2.4</v>
      </c>
      <c r="BD149" s="13">
        <f>IF('Données projet'!$A$88&gt;35,BD148+BC149-BL148,IF(A149&lt;'Données projet'!$A$88,$BA$205^A149,IF(A149='Données projet'!$A$88,'Données projet'!$B$88,BD148+BC149-BL148)))</f>
        <v>283.39999999999912</v>
      </c>
      <c r="BE149" s="14">
        <f>BD149*VLOOKUP('Données projet'!$B$11,Paramètres!$A$1:$I$89,3,0)*VLOOKUP('Données projet'!$B$11,Paramètres!$A$1:$I$89,5,0)</f>
        <v>287.36759999999913</v>
      </c>
      <c r="BF149" s="14">
        <f t="shared" si="145"/>
        <v>68.521633201564995</v>
      </c>
      <c r="BG149" s="22">
        <f t="shared" si="115"/>
        <v>619.84041449272411</v>
      </c>
      <c r="BH149" s="62">
        <f t="shared" si="116"/>
        <v>913.17374782605748</v>
      </c>
      <c r="BI149" s="62">
        <f ca="1">AVERAGE(OFFSET($BH$3,0,0,'Données projet'!$E$11+1,1))-AVERAGE(OFFSET($H$3,0,0,'Données projet'!$E$11+1,1))</f>
        <v>475.47920969424894</v>
      </c>
      <c r="BJ149" s="62">
        <f t="shared" si="146"/>
        <v>271.73544012419364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>
        <f>EXP(-LN(2)/35)*BP148+(1-EXP(-LN(2)/35))/(LN(2)/35)*BL149*BM149*VLOOKUP('Données projet'!$B$11,Paramètres!$A$1:$I$89,3,0)*0.475*44/12</f>
        <v>0</v>
      </c>
      <c r="BQ149" s="23">
        <f>EXP(-LN(2)/25)*BQ148+(1-EXP(-LN(2)/25))/(LN(2)/25)*Calculateur!BL149*Calculateur!BN149*VLOOKUP('Données projet'!$B$11,Paramètres!$A$1:$I$89,3,0)*0.475*44/12</f>
        <v>0</v>
      </c>
      <c r="BR149" s="23">
        <f>EXP(-LN(2)/2)*BR148+(1-EXP(-LN(2)/2))/(LN(2)/2)*BL149*BO149*VLOOKUP('Données projet'!$B$11,Paramètres!$A$1:$I$89,3,0)*0.475*44/12</f>
        <v>0</v>
      </c>
      <c r="BS149" s="24">
        <f t="shared" si="117"/>
        <v>0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2.2737367544323206E-13</v>
      </c>
      <c r="BZ149" s="14">
        <f>BY149*VLOOKUP('Données projet'!$B$12,Paramètres!$A$1:$I$89,3,0)*VLOOKUP('Données projet'!$B$12,Paramètres!$A$1:$I$89,5,0)</f>
        <v>1.2710188457276673E-13</v>
      </c>
      <c r="CA149" s="14">
        <f t="shared" si="147"/>
        <v>1.856866851063998E-12</v>
      </c>
      <c r="CB149" s="22">
        <f t="shared" si="118"/>
        <v>3.4554122145673649E-12</v>
      </c>
      <c r="CC149" s="62">
        <f t="shared" si="119"/>
        <v>293.33333333333678</v>
      </c>
      <c r="CD149" s="62">
        <f ca="1">AVERAGE(OFFSET($CC$3,0,0,'Données projet'!$E$12+1,1))-AVERAGE(OFFSET($H$3,0,0,'Données projet'!$E$12+1,1))</f>
        <v>323.98185264074681</v>
      </c>
      <c r="CE149" s="62">
        <f t="shared" si="148"/>
        <v>301.22207291854005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>
        <f>EXP(-LN(2)/35)*CK148+(1-EXP(-LN(2)/35))/(LN(2)/35)*CG149*CH149*VLOOKUP('Données projet'!$B$12,Paramètres!$A$1:$I$89,3,0)*0.475*44/12</f>
        <v>0.44860219708038668</v>
      </c>
      <c r="CL149" s="23">
        <f>EXP(-LN(2)/25)*CL148+(1-EXP(-LN(2)/25))/(LN(2)/25)*Calculateur!CG149*Calculateur!CI149*VLOOKUP('Données projet'!$B$12,Paramètres!$A$1:$I$89,3,0)*0.475*44/12</f>
        <v>0.33077493576017397</v>
      </c>
      <c r="CM149" s="23">
        <f>EXP(-LN(2)/2)*CM148+(1-EXP(-LN(2)/2))/(LN(2)/2)*CG149*CJ149*VLOOKUP('Données projet'!$B$12,Paramètres!$A$1:$I$89,3,0)*0.475*44/12</f>
        <v>2.112132406340707E-17</v>
      </c>
      <c r="CN149" s="24">
        <f t="shared" si="120"/>
        <v>0.77937713284056065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1.4</v>
      </c>
      <c r="CT149" s="13">
        <f>IF('Données projet'!$A$140&gt;35,CT148+CS149-DB148,IF(A149&lt;'Données projet'!$A$140,$CQ$205^A149,IF(A149='Données projet'!$A$140,'Données projet'!$B$140,CT148+CS149-DB148)))</f>
        <v>218.39999999999998</v>
      </c>
      <c r="CU149" s="18">
        <f>CT149*VLOOKUP('Données projet'!$B$13,Paramètres!$A$1:$I$89,3,0)*VLOOKUP('Données projet'!$B$13,Paramètres!$A$1:$I$89,5,0)</f>
        <v>248.71392</v>
      </c>
      <c r="CV149" s="14">
        <f t="shared" si="149"/>
        <v>60.310463565402536</v>
      </c>
      <c r="CW149" s="22">
        <f t="shared" si="121"/>
        <v>538.21746804307611</v>
      </c>
      <c r="CX149" s="62">
        <f t="shared" si="122"/>
        <v>831.55080137640948</v>
      </c>
      <c r="CY149" s="62">
        <f ca="1">AVERAGE(OFFSET($CX$3,0,0,'Données projet'!$E$13+1,1))-AVERAGE(OFFSET($H$3,0,0,'Données projet'!$E$13+1,1))</f>
        <v>399.78832690250164</v>
      </c>
      <c r="CZ149" s="62">
        <f t="shared" si="150"/>
        <v>174.32967064896343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>
        <f>EXP(-LN(2)/35)*DF148+(1-EXP(-LN(2)/35))/(LN(2)/35)*DB149*DC149*VLOOKUP('Données projet'!$B$13,Paramètres!$A$1:$I$89,3,0)*0.475*44/12</f>
        <v>0</v>
      </c>
      <c r="DG149" s="23">
        <f>EXP(-LN(2)/25)*DG148+(1-EXP(-LN(2)/25))/(LN(2)/25)*Calculateur!DB149*Calculateur!DD149*VLOOKUP('Données projet'!$B$13,Paramètres!$A$1:$I$89,3,0)*0.475*44/12</f>
        <v>0</v>
      </c>
      <c r="DH149" s="23">
        <f>EXP(-LN(2)/2)*DH148+(1-EXP(-LN(2)/2))/(LN(2)/2)*DB149*DE149*VLOOKUP('Données projet'!$B$13,Paramètres!$A$1:$I$89,3,0)*0.475*44/12</f>
        <v>0</v>
      </c>
      <c r="DI149" s="24">
        <f t="shared" si="123"/>
        <v>0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2.4</v>
      </c>
      <c r="DO149" s="13">
        <f>IF('Données projet'!$A$166&gt;35,DO148+DN149-DW148,IF(A149&lt;'Données projet'!$A$166,$DL$205^A149,IF(A149='Données projet'!$A$166,'Données projet'!$B$166,DO148+DN149-DW148)))</f>
        <v>283.39999999999912</v>
      </c>
      <c r="DP149" s="18">
        <f>DO149*VLOOKUP('Données projet'!$B$14,Paramètres!$A$1:$I$89,3,0)*VLOOKUP('Données projet'!$B$14,Paramètres!$A$1:$I$89,5,0)</f>
        <v>238.7361599999993</v>
      </c>
      <c r="DQ149" s="14">
        <f t="shared" si="151"/>
        <v>58.167525647006187</v>
      </c>
      <c r="DR149" s="22">
        <f t="shared" si="124"/>
        <v>517.10725250186795</v>
      </c>
      <c r="DS149" s="62">
        <f t="shared" si="125"/>
        <v>810.44058583520132</v>
      </c>
      <c r="DT149" s="62">
        <f ca="1">AVERAGE(OFFSET($DS$3,0,0,'Données projet'!$E$14+1,1))-AVERAGE(OFFSET($H$3,0,0,'Données projet'!$E$14+1,1))</f>
        <v>402.15128814037058</v>
      </c>
      <c r="DU149" s="62">
        <f t="shared" si="152"/>
        <v>232.85411068442738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>
        <f>EXP(-LN(2)/35)*EA148+(1-EXP(-LN(2)/35))/(LN(2)/35)*DW149*DX149*VLOOKUP('Données projet'!$B$14,Paramètres!$A$1:$I$89,3,0)*0.475*44/12</f>
        <v>0</v>
      </c>
      <c r="EB149" s="23">
        <f>EXP(-LN(2)/25)*EB148+(1-EXP(-LN(2)/25))/(LN(2)/25)*Calculateur!DW149*Calculateur!DY149*VLOOKUP('Données projet'!$B$14,Paramètres!$A$1:$I$89,3,0)*0.475*44/12</f>
        <v>0</v>
      </c>
      <c r="EC149" s="23">
        <f>EXP(-LN(2)/2)*EC148+(1-EXP(-LN(2)/2))/(LN(2)/2)*DW149*DZ149*VLOOKUP('Données projet'!$B$14,Paramètres!$A$1:$I$89,3,0)*0.475*44/12</f>
        <v>0</v>
      </c>
      <c r="ED149" s="24">
        <f t="shared" si="126"/>
        <v>0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6.2527760746888816E-13</v>
      </c>
      <c r="EK149" s="18">
        <f>EJ149*VLOOKUP('Données projet'!$B$15,Paramètres!$A$1:$I$89,3,0)*VLOOKUP('Données projet'!$B$15,Paramètres!$A$1:$I$89,5,0)</f>
        <v>6.5354015532648198E-13</v>
      </c>
      <c r="EL149" s="14">
        <f t="shared" si="153"/>
        <v>7.8909019831354483E-12</v>
      </c>
      <c r="EM149" s="22">
        <f t="shared" si="127"/>
        <v>1.4881570057821194E-11</v>
      </c>
      <c r="EN149" s="62">
        <f t="shared" si="128"/>
        <v>293.33333333334821</v>
      </c>
      <c r="EO149" s="62">
        <f ca="1">AVERAGE(OFFSET($EN$3,0,0,'Données projet'!$E$15+1,1))-AVERAGE(OFFSET($H$3,0,0,'Données projet'!$E$15+1,1))</f>
        <v>595.89992279024398</v>
      </c>
      <c r="EP149" s="62">
        <f t="shared" si="154"/>
        <v>378.16197659288338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>
        <f>EXP(-LN(2)/35)*EV148+(1-EXP(-LN(2)/35))/(LN(2)/35)*ER149*ES149*VLOOKUP('Données projet'!$B$15,Paramètres!$A$1:$I$89,3,0)*0.475*44/12</f>
        <v>0</v>
      </c>
      <c r="EW149" s="23">
        <f>EXP(-LN(2)/25)*EW148+(1-EXP(-LN(2)/25))/(LN(2)/25)*Calculateur!ER149*Calculateur!ET149*VLOOKUP('Données projet'!$B$15,Paramètres!$A$1:$I$89,3,0)*0.475*44/12</f>
        <v>0</v>
      </c>
      <c r="EX149" s="23">
        <f>EXP(-LN(2)/2)*EX148+(1-EXP(-LN(2)/2))/(LN(2)/2)*ER149*EU149*VLOOKUP('Données projet'!$B$15,Paramètres!$A$1:$I$89,3,0)*0.475*44/12</f>
        <v>0</v>
      </c>
      <c r="EY149" s="24">
        <f t="shared" si="129"/>
        <v>0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-2.2737367544323206E-13</v>
      </c>
      <c r="FF149" s="18">
        <f>FE149*VLOOKUP('Données projet'!$B$16,Paramètres!$A$1:$I$89,3,0)*VLOOKUP('Données projet'!$B$16,Paramètres!$A$1:$I$89,5,0)</f>
        <v>-1.3596945791505279E-13</v>
      </c>
      <c r="FG149" s="14" t="e">
        <f t="shared" si="155"/>
        <v>#NUM!</v>
      </c>
      <c r="FH149" s="22" t="e">
        <f t="shared" si="130"/>
        <v>#NUM!</v>
      </c>
      <c r="FI149" s="62" t="e">
        <f t="shared" si="131"/>
        <v>#NUM!</v>
      </c>
      <c r="FJ149" s="62">
        <f ca="1">AVERAGE(OFFSET($FI$3,0,0,'Données projet'!$E$16+1,1))-AVERAGE(OFFSET($H$3,0,0,'Données projet'!$E$16+1,1))</f>
        <v>257.56116197646924</v>
      </c>
      <c r="FK149" s="62">
        <f t="shared" si="156"/>
        <v>269.95556918835888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>
        <f>EXP(-LN(2)/35)*FQ148+(1-EXP(-LN(2)/35))/(LN(2)/35)*FM149*FN149*VLOOKUP('Données projet'!$B$16,Paramètres!$A$1:$I$89,3,0)*0.475*44/12</f>
        <v>1.4658889051259256</v>
      </c>
      <c r="FR149" s="23">
        <f>EXP(-LN(2)/25)*FR148+(1-EXP(-LN(2)/25))/(LN(2)/25)*Calculateur!FM149*Calculateur!FO149*VLOOKUP('Données projet'!$B$16,Paramètres!$A$1:$I$89,3,0)*0.475*44/12</f>
        <v>0.64745118791185208</v>
      </c>
      <c r="FS149" s="23">
        <f>EXP(-LN(2)/2)*FS148+(1-EXP(-LN(2)/2))/(LN(2)/2)*FM149*FP149*VLOOKUP('Données projet'!$B$16,Paramètres!$A$1:$I$89,3,0)*0.475*44/12</f>
        <v>2.9677938655128047E-17</v>
      </c>
      <c r="FT149" s="24">
        <f t="shared" si="132"/>
        <v>2.1133400930377775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-2.8421709430404007E-13</v>
      </c>
      <c r="GA149" s="18">
        <f>FZ149*VLOOKUP('Données projet'!$B$17,Paramètres!$A$1:$I$89,3,0)*VLOOKUP('Données projet'!$B$17,Paramètres!$A$1:$I$89,5,0)</f>
        <v>-1.69961822393816E-13</v>
      </c>
      <c r="GB149" s="14" t="e">
        <f t="shared" si="157"/>
        <v>#NUM!</v>
      </c>
      <c r="GC149" s="22" t="e">
        <f t="shared" si="133"/>
        <v>#NUM!</v>
      </c>
      <c r="GD149" s="62" t="e">
        <f t="shared" si="134"/>
        <v>#NUM!</v>
      </c>
      <c r="GE149" s="62">
        <f ca="1">AVERAGE(OFFSET($GD$3,0,0,'Données projet'!$E$17+1,1))-AVERAGE(OFFSET($H$3,0,0,'Données projet'!$E$17+1,1))</f>
        <v>289.12367833861299</v>
      </c>
      <c r="GF149" s="62">
        <f t="shared" si="158"/>
        <v>229.06617320689003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>
        <f>EXP(-LN(2)/35)*GL148+(1-EXP(-LN(2)/35))/(LN(2)/35)*GH149*GI149*VLOOKUP('Données projet'!$B$17,Paramètres!$A$1:$I$89,3,0)*0.475*44/12</f>
        <v>0</v>
      </c>
      <c r="GM149" s="23">
        <f>EXP(-LN(2)/25)*GM148+(1-EXP(-LN(2)/25))/(LN(2)/25)*Calculateur!GH149*Calculateur!GJ149*VLOOKUP('Données projet'!$B$17,Paramètres!$A$1:$I$89,3,0)*0.475*44/12</f>
        <v>0</v>
      </c>
      <c r="GN149" s="23">
        <f>EXP(-LN(2)/2)*GN148+(1-EXP(-LN(2)/2))/(LN(2)/2)*GH149*GK149*VLOOKUP('Données projet'!$B$17,Paramètres!$A$1:$I$89,3,0)*0.475*44/12</f>
        <v>1.4387224321709724E-17</v>
      </c>
      <c r="GO149" s="23">
        <f t="shared" si="135"/>
        <v>1.4387224321709724E-17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-5.6843418860808015E-14</v>
      </c>
      <c r="GV149" s="18">
        <f>GU149*VLOOKUP('Données projet'!$B$18,Paramètres!$A$1:$I$89,3,0)*VLOOKUP('Données projet'!$B$18,Paramètres!$A$1:$I$89,5,0)</f>
        <v>-2.6602720026858149E-14</v>
      </c>
      <c r="GW149" s="14" t="e">
        <f t="shared" si="159"/>
        <v>#NUM!</v>
      </c>
      <c r="GX149" s="22" t="e">
        <f t="shared" si="136"/>
        <v>#NUM!</v>
      </c>
      <c r="GY149" s="62" t="e">
        <f t="shared" si="137"/>
        <v>#NUM!</v>
      </c>
      <c r="GZ149" s="62">
        <f ca="1">AVERAGE(OFFSET($GY$3,0,0,'Données projet'!$E$18+1,1))-AVERAGE(OFFSET($H$3,0,0,'Données projet'!$E$18+1,1))</f>
        <v>284.88646502866419</v>
      </c>
      <c r="HA149" s="62">
        <f t="shared" si="160"/>
        <v>190.4880882944471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>
        <f>EXP(-LN(2)/35)*HG148+(1-EXP(-LN(2)/35))/(LN(2)/35)*HC149*HD149*VLOOKUP('Données projet'!$B$18,Paramètres!$A$1:$I$89,3,0)*0.475*44/12</f>
        <v>0</v>
      </c>
      <c r="HH149" s="23">
        <f>EXP(-LN(2)/25)*HH148+(1-EXP(-LN(2)/25))/(LN(2)/25)*Calculateur!HC149*Calculateur!HE149*VLOOKUP('Données projet'!$B$18,Paramètres!$A$1:$I$89,3,0)*0.475*44/12</f>
        <v>0</v>
      </c>
      <c r="HI149" s="23">
        <f>EXP(-LN(2)/2)*HI148+(1-EXP(-LN(2)/2))/(LN(2)/2)*HC149*HF149*VLOOKUP('Données projet'!$B$18,Paramètres!$A$1:$I$89,3,0)*0.475*44/12</f>
        <v>0</v>
      </c>
      <c r="HJ149" s="24">
        <f t="shared" si="138"/>
        <v>0</v>
      </c>
    </row>
    <row r="150" spans="1:218" s="5" customFormat="1" x14ac:dyDescent="0.25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2">
        <f t="shared" si="140"/>
        <v>0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0</v>
      </c>
      <c r="H150" s="70">
        <f t="shared" si="110"/>
        <v>256.66666666666669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-1.1368683772161603E-13</v>
      </c>
      <c r="O150" s="14">
        <f>N150*VLOOKUP('Données projet'!$B$9,Paramètres!$A$1:$I$89,3,0)*VLOOKUP('Données projet'!$B$9,Paramètres!$A$1:$I$89,5,0)</f>
        <v>-1.0818439477588981E-13</v>
      </c>
      <c r="P150" s="14" t="e">
        <f t="shared" si="141"/>
        <v>#NUM!</v>
      </c>
      <c r="Q150" s="22" t="e">
        <f t="shared" si="108"/>
        <v>#NUM!</v>
      </c>
      <c r="R150" s="62" t="e">
        <f t="shared" si="109"/>
        <v>#NUM!</v>
      </c>
      <c r="S150" s="62">
        <f ca="1">AVERAGE(OFFSET($R$3,0,0,'Données projet'!$E$9+1,1))-AVERAGE(OFFSET($H$3,0,0,'Données projet'!$E$9+1,1))</f>
        <v>367.11183928586667</v>
      </c>
      <c r="T150" s="62">
        <f t="shared" si="142"/>
        <v>281.52963027844595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0</v>
      </c>
      <c r="AA150" s="23">
        <f>EXP(-LN(2)/25)*AA149+(1-EXP(-LN(2)/25))/(LN(2)/25)*Calculateur!V150*Calculateur!X150*VLOOKUP('Données projet'!$B$9,Paramètres!$A$1:$I$89,3,0)*0.475*44/12</f>
        <v>0</v>
      </c>
      <c r="AB150" s="23">
        <f>EXP(-LN(2)/2)*AB149+(1-EXP(-LN(2)/2))/(LN(2)/2)*V150*Y150*VLOOKUP('Données projet'!$B$9,Paramètres!$A$1:$I$89,3,0)*0.475*44/12</f>
        <v>0</v>
      </c>
      <c r="AC150" s="24">
        <f t="shared" si="111"/>
        <v>0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2.4</v>
      </c>
      <c r="AI150" s="14">
        <f>IF('Données projet'!$A$62&gt;35,AI149+AH150-AQ149,IF(A150&lt;'Données projet'!$A$62,$AF$205^A150,IF(A150='Données projet'!$A$62,'Données projet'!$B$62,AI149+AH150-AQ149)))</f>
        <v>285.7999999999991</v>
      </c>
      <c r="AJ150" s="14">
        <f>AI150*VLOOKUP('Données projet'!$B$10,Paramètres!$A$1:$I$89,3,0)*VLOOKUP('Données projet'!$B$10,Paramètres!$A$1:$I$89,5,0)</f>
        <v>258.59183999999919</v>
      </c>
      <c r="AK150" s="14">
        <f t="shared" si="143"/>
        <v>62.422120343276475</v>
      </c>
      <c r="AL150" s="22">
        <f t="shared" si="112"/>
        <v>559.09931426453841</v>
      </c>
      <c r="AM150" s="62">
        <f t="shared" si="113"/>
        <v>852.43264759787166</v>
      </c>
      <c r="AN150" s="62">
        <f ca="1">AVERAGE(OFFSET($AM$3,0,0,'Données projet'!$E$10+1,1))-AVERAGE(OFFSET($H$3,0,0,'Données projet'!$E$10+1,1))</f>
        <v>428.8489304403459</v>
      </c>
      <c r="AO150" s="62">
        <f t="shared" si="144"/>
        <v>247.01165577562966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0</v>
      </c>
      <c r="AV150" s="23">
        <f>EXP(-LN(2)/25)*AV149+(1-EXP(-LN(2)/25))/(LN(2)/25)*Calculateur!AQ150*Calculateur!AS150*VLOOKUP('Données projet'!$B$10,Paramètres!$A$1:$I$89,3,0)*0.475*44/12</f>
        <v>0</v>
      </c>
      <c r="AW150" s="23">
        <f>EXP(-LN(2)/2)*AW149+(1-EXP(-LN(2)/2))/(LN(2)/2)*AQ150*AT150*VLOOKUP('Données projet'!$B$10,Paramètres!$A$1:$I$89,3,0)*0.475*44/12</f>
        <v>0</v>
      </c>
      <c r="AX150" s="23">
        <f t="shared" si="114"/>
        <v>0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2.4</v>
      </c>
      <c r="BD150" s="13">
        <f>IF('Données projet'!$A$88&gt;35,BD149+BC150-BL149,IF(A150&lt;'Données projet'!$A$88,$BA$205^A150,IF(A150='Données projet'!$A$88,'Données projet'!$B$88,BD149+BC150-BL149)))</f>
        <v>285.7999999999991</v>
      </c>
      <c r="BE150" s="14">
        <f>BD150*VLOOKUP('Données projet'!$B$11,Paramètres!$A$1:$I$89,3,0)*VLOOKUP('Données projet'!$B$11,Paramètres!$A$1:$I$89,5,0)</f>
        <v>289.80119999999908</v>
      </c>
      <c r="BF150" s="14">
        <f t="shared" si="145"/>
        <v>69.034118458450664</v>
      </c>
      <c r="BG150" s="22">
        <f t="shared" si="115"/>
        <v>624.97151298179995</v>
      </c>
      <c r="BH150" s="62">
        <f t="shared" si="116"/>
        <v>918.30484631513332</v>
      </c>
      <c r="BI150" s="62">
        <f ca="1">AVERAGE(OFFSET($BH$3,0,0,'Données projet'!$E$11+1,1))-AVERAGE(OFFSET($H$3,0,0,'Données projet'!$E$11+1,1))</f>
        <v>475.47920969424894</v>
      </c>
      <c r="BJ150" s="62">
        <f t="shared" si="146"/>
        <v>271.73544012419364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>
        <f>EXP(-LN(2)/35)*BP149+(1-EXP(-LN(2)/35))/(LN(2)/35)*BL150*BM150*VLOOKUP('Données projet'!$B$11,Paramètres!$A$1:$I$89,3,0)*0.475*44/12</f>
        <v>0</v>
      </c>
      <c r="BQ150" s="23">
        <f>EXP(-LN(2)/25)*BQ149+(1-EXP(-LN(2)/25))/(LN(2)/25)*Calculateur!BL150*Calculateur!BN150*VLOOKUP('Données projet'!$B$11,Paramètres!$A$1:$I$89,3,0)*0.475*44/12</f>
        <v>0</v>
      </c>
      <c r="BR150" s="23">
        <f>EXP(-LN(2)/2)*BR149+(1-EXP(-LN(2)/2))/(LN(2)/2)*BL150*BO150*VLOOKUP('Données projet'!$B$11,Paramètres!$A$1:$I$89,3,0)*0.475*44/12</f>
        <v>0</v>
      </c>
      <c r="BS150" s="24">
        <f t="shared" si="117"/>
        <v>0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2.2737367544323206E-13</v>
      </c>
      <c r="BZ150" s="14">
        <f>BY150*VLOOKUP('Données projet'!$B$12,Paramètres!$A$1:$I$89,3,0)*VLOOKUP('Données projet'!$B$12,Paramètres!$A$1:$I$89,5,0)</f>
        <v>1.2710188457276673E-13</v>
      </c>
      <c r="CA150" s="14">
        <f t="shared" si="147"/>
        <v>1.856866851063998E-12</v>
      </c>
      <c r="CB150" s="22">
        <f t="shared" si="118"/>
        <v>3.4554122145673649E-12</v>
      </c>
      <c r="CC150" s="62">
        <f t="shared" si="119"/>
        <v>293.33333333333678</v>
      </c>
      <c r="CD150" s="62">
        <f ca="1">AVERAGE(OFFSET($CC$3,0,0,'Données projet'!$E$12+1,1))-AVERAGE(OFFSET($H$3,0,0,'Données projet'!$E$12+1,1))</f>
        <v>323.98185264074681</v>
      </c>
      <c r="CE150" s="62">
        <f t="shared" si="148"/>
        <v>301.22207291854005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>
        <f>EXP(-LN(2)/35)*CK149+(1-EXP(-LN(2)/35))/(LN(2)/35)*CG150*CH150*VLOOKUP('Données projet'!$B$12,Paramètres!$A$1:$I$89,3,0)*0.475*44/12</f>
        <v>0.43980538161596278</v>
      </c>
      <c r="CL150" s="23">
        <f>EXP(-LN(2)/25)*CL149+(1-EXP(-LN(2)/25))/(LN(2)/25)*Calculateur!CG150*Calculateur!CI150*VLOOKUP('Données projet'!$B$12,Paramètres!$A$1:$I$89,3,0)*0.475*44/12</f>
        <v>0.32172987774711415</v>
      </c>
      <c r="CM150" s="23">
        <f>EXP(-LN(2)/2)*CM149+(1-EXP(-LN(2)/2))/(LN(2)/2)*CG150*CJ150*VLOOKUP('Données projet'!$B$12,Paramètres!$A$1:$I$89,3,0)*0.475*44/12</f>
        <v>1.4935031472873744E-17</v>
      </c>
      <c r="CN150" s="24">
        <f t="shared" si="120"/>
        <v>0.76153525936307687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1.4</v>
      </c>
      <c r="CT150" s="13">
        <f>IF('Données projet'!$A$140&gt;35,CT149+CS150-DB149,IF(A150&lt;'Données projet'!$A$140,$CQ$205^A150,IF(A150='Données projet'!$A$140,'Données projet'!$B$140,CT149+CS150-DB149)))</f>
        <v>219.79999999999998</v>
      </c>
      <c r="CU150" s="18">
        <f>CT150*VLOOKUP('Données projet'!$B$13,Paramètres!$A$1:$I$89,3,0)*VLOOKUP('Données projet'!$B$13,Paramètres!$A$1:$I$89,5,0)</f>
        <v>250.30823999999998</v>
      </c>
      <c r="CV150" s="14">
        <f t="shared" si="149"/>
        <v>60.651941074902069</v>
      </c>
      <c r="CW150" s="22">
        <f t="shared" si="121"/>
        <v>541.58898203878778</v>
      </c>
      <c r="CX150" s="62">
        <f t="shared" si="122"/>
        <v>834.92231537212115</v>
      </c>
      <c r="CY150" s="62">
        <f ca="1">AVERAGE(OFFSET($CX$3,0,0,'Données projet'!$E$13+1,1))-AVERAGE(OFFSET($H$3,0,0,'Données projet'!$E$13+1,1))</f>
        <v>399.78832690250164</v>
      </c>
      <c r="CZ150" s="62">
        <f t="shared" si="150"/>
        <v>174.32967064896343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>
        <f>EXP(-LN(2)/35)*DF149+(1-EXP(-LN(2)/35))/(LN(2)/35)*DB150*DC150*VLOOKUP('Données projet'!$B$13,Paramètres!$A$1:$I$89,3,0)*0.475*44/12</f>
        <v>0</v>
      </c>
      <c r="DG150" s="23">
        <f>EXP(-LN(2)/25)*DG149+(1-EXP(-LN(2)/25))/(LN(2)/25)*Calculateur!DB150*Calculateur!DD150*VLOOKUP('Données projet'!$B$13,Paramètres!$A$1:$I$89,3,0)*0.475*44/12</f>
        <v>0</v>
      </c>
      <c r="DH150" s="23">
        <f>EXP(-LN(2)/2)*DH149+(1-EXP(-LN(2)/2))/(LN(2)/2)*DB150*DE150*VLOOKUP('Données projet'!$B$13,Paramètres!$A$1:$I$89,3,0)*0.475*44/12</f>
        <v>0</v>
      </c>
      <c r="DI150" s="24">
        <f t="shared" si="123"/>
        <v>0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2.4</v>
      </c>
      <c r="DO150" s="13">
        <f>IF('Données projet'!$A$166&gt;35,DO149+DN150-DW149,IF(A150&lt;'Données projet'!$A$166,$DL$205^A150,IF(A150='Données projet'!$A$166,'Données projet'!$B$166,DO149+DN150-DW149)))</f>
        <v>285.7999999999991</v>
      </c>
      <c r="DP150" s="18">
        <f>DO150*VLOOKUP('Données projet'!$B$14,Paramètres!$A$1:$I$89,3,0)*VLOOKUP('Données projet'!$B$14,Paramètres!$A$1:$I$89,5,0)</f>
        <v>240.7579199999993</v>
      </c>
      <c r="DQ150" s="14">
        <f t="shared" si="151"/>
        <v>58.602570725922028</v>
      </c>
      <c r="DR150" s="22">
        <f t="shared" si="124"/>
        <v>521.38618801431301</v>
      </c>
      <c r="DS150" s="62">
        <f t="shared" si="125"/>
        <v>814.71952134764638</v>
      </c>
      <c r="DT150" s="62">
        <f ca="1">AVERAGE(OFFSET($DS$3,0,0,'Données projet'!$E$14+1,1))-AVERAGE(OFFSET($H$3,0,0,'Données projet'!$E$14+1,1))</f>
        <v>402.15128814037058</v>
      </c>
      <c r="DU150" s="62">
        <f t="shared" si="152"/>
        <v>232.85411068442738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>
        <f>EXP(-LN(2)/35)*EA149+(1-EXP(-LN(2)/35))/(LN(2)/35)*DW150*DX150*VLOOKUP('Données projet'!$B$14,Paramètres!$A$1:$I$89,3,0)*0.475*44/12</f>
        <v>0</v>
      </c>
      <c r="EB150" s="23">
        <f>EXP(-LN(2)/25)*EB149+(1-EXP(-LN(2)/25))/(LN(2)/25)*Calculateur!DW150*Calculateur!DY150*VLOOKUP('Données projet'!$B$14,Paramètres!$A$1:$I$89,3,0)*0.475*44/12</f>
        <v>0</v>
      </c>
      <c r="EC150" s="23">
        <f>EXP(-LN(2)/2)*EC149+(1-EXP(-LN(2)/2))/(LN(2)/2)*DW150*DZ150*VLOOKUP('Données projet'!$B$14,Paramètres!$A$1:$I$89,3,0)*0.475*44/12</f>
        <v>0</v>
      </c>
      <c r="ED150" s="24">
        <f t="shared" si="126"/>
        <v>0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6.2527760746888816E-13</v>
      </c>
      <c r="EK150" s="18">
        <f>EJ150*VLOOKUP('Données projet'!$B$15,Paramètres!$A$1:$I$89,3,0)*VLOOKUP('Données projet'!$B$15,Paramètres!$A$1:$I$89,5,0)</f>
        <v>6.5354015532648198E-13</v>
      </c>
      <c r="EL150" s="14">
        <f t="shared" si="153"/>
        <v>7.8909019831354483E-12</v>
      </c>
      <c r="EM150" s="22">
        <f t="shared" si="127"/>
        <v>1.4881570057821194E-11</v>
      </c>
      <c r="EN150" s="62">
        <f t="shared" si="128"/>
        <v>293.33333333334821</v>
      </c>
      <c r="EO150" s="62">
        <f ca="1">AVERAGE(OFFSET($EN$3,0,0,'Données projet'!$E$15+1,1))-AVERAGE(OFFSET($H$3,0,0,'Données projet'!$E$15+1,1))</f>
        <v>595.89992279024398</v>
      </c>
      <c r="EP150" s="62">
        <f t="shared" si="154"/>
        <v>378.16197659288338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>
        <f>EXP(-LN(2)/35)*EV149+(1-EXP(-LN(2)/35))/(LN(2)/35)*ER150*ES150*VLOOKUP('Données projet'!$B$15,Paramètres!$A$1:$I$89,3,0)*0.475*44/12</f>
        <v>0</v>
      </c>
      <c r="EW150" s="23">
        <f>EXP(-LN(2)/25)*EW149+(1-EXP(-LN(2)/25))/(LN(2)/25)*Calculateur!ER150*Calculateur!ET150*VLOOKUP('Données projet'!$B$15,Paramètres!$A$1:$I$89,3,0)*0.475*44/12</f>
        <v>0</v>
      </c>
      <c r="EX150" s="23">
        <f>EXP(-LN(2)/2)*EX149+(1-EXP(-LN(2)/2))/(LN(2)/2)*ER150*EU150*VLOOKUP('Données projet'!$B$15,Paramètres!$A$1:$I$89,3,0)*0.475*44/12</f>
        <v>0</v>
      </c>
      <c r="EY150" s="24">
        <f t="shared" si="129"/>
        <v>0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-2.2737367544323206E-13</v>
      </c>
      <c r="FF150" s="18">
        <f>FE150*VLOOKUP('Données projet'!$B$16,Paramètres!$A$1:$I$89,3,0)*VLOOKUP('Données projet'!$B$16,Paramètres!$A$1:$I$89,5,0)</f>
        <v>-1.3596945791505279E-13</v>
      </c>
      <c r="FG150" s="14" t="e">
        <f t="shared" si="155"/>
        <v>#NUM!</v>
      </c>
      <c r="FH150" s="22" t="e">
        <f t="shared" si="130"/>
        <v>#NUM!</v>
      </c>
      <c r="FI150" s="62" t="e">
        <f t="shared" si="131"/>
        <v>#NUM!</v>
      </c>
      <c r="FJ150" s="62">
        <f ca="1">AVERAGE(OFFSET($FI$3,0,0,'Données projet'!$E$16+1,1))-AVERAGE(OFFSET($H$3,0,0,'Données projet'!$E$16+1,1))</f>
        <v>257.56116197646924</v>
      </c>
      <c r="FK150" s="62">
        <f t="shared" si="156"/>
        <v>269.95556918835888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>
        <f>EXP(-LN(2)/35)*FQ149+(1-EXP(-LN(2)/35))/(LN(2)/35)*FM150*FN150*VLOOKUP('Données projet'!$B$16,Paramètres!$A$1:$I$89,3,0)*0.475*44/12</f>
        <v>1.437143717800353</v>
      </c>
      <c r="FR150" s="23">
        <f>EXP(-LN(2)/25)*FR149+(1-EXP(-LN(2)/25))/(LN(2)/25)*Calculateur!FM150*Calculateur!FO150*VLOOKUP('Données projet'!$B$16,Paramètres!$A$1:$I$89,3,0)*0.475*44/12</f>
        <v>0.62974660113042424</v>
      </c>
      <c r="FS150" s="23">
        <f>EXP(-LN(2)/2)*FS149+(1-EXP(-LN(2)/2))/(LN(2)/2)*FM150*FP150*VLOOKUP('Données projet'!$B$16,Paramètres!$A$1:$I$89,3,0)*0.475*44/12</f>
        <v>2.0985471674679409E-17</v>
      </c>
      <c r="FT150" s="24">
        <f t="shared" si="132"/>
        <v>2.0668903189307772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-2.8421709430404007E-13</v>
      </c>
      <c r="GA150" s="18">
        <f>FZ150*VLOOKUP('Données projet'!$B$17,Paramètres!$A$1:$I$89,3,0)*VLOOKUP('Données projet'!$B$17,Paramètres!$A$1:$I$89,5,0)</f>
        <v>-1.69961822393816E-13</v>
      </c>
      <c r="GB150" s="14" t="e">
        <f t="shared" si="157"/>
        <v>#NUM!</v>
      </c>
      <c r="GC150" s="22" t="e">
        <f t="shared" si="133"/>
        <v>#NUM!</v>
      </c>
      <c r="GD150" s="62" t="e">
        <f t="shared" si="134"/>
        <v>#NUM!</v>
      </c>
      <c r="GE150" s="62">
        <f ca="1">AVERAGE(OFFSET($GD$3,0,0,'Données projet'!$E$17+1,1))-AVERAGE(OFFSET($H$3,0,0,'Données projet'!$E$17+1,1))</f>
        <v>289.12367833861299</v>
      </c>
      <c r="GF150" s="62">
        <f t="shared" si="158"/>
        <v>229.06617320689003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>
        <f>EXP(-LN(2)/35)*GL149+(1-EXP(-LN(2)/35))/(LN(2)/35)*GH150*GI150*VLOOKUP('Données projet'!$B$17,Paramètres!$A$1:$I$89,3,0)*0.475*44/12</f>
        <v>0</v>
      </c>
      <c r="GM150" s="23">
        <f>EXP(-LN(2)/25)*GM149+(1-EXP(-LN(2)/25))/(LN(2)/25)*Calculateur!GH150*Calculateur!GJ150*VLOOKUP('Données projet'!$B$17,Paramètres!$A$1:$I$89,3,0)*0.475*44/12</f>
        <v>0</v>
      </c>
      <c r="GN150" s="23">
        <f>EXP(-LN(2)/2)*GN149+(1-EXP(-LN(2)/2))/(LN(2)/2)*GH150*GK150*VLOOKUP('Données projet'!$B$17,Paramètres!$A$1:$I$89,3,0)*0.475*44/12</f>
        <v>1.0173303880332972E-17</v>
      </c>
      <c r="GO150" s="23">
        <f t="shared" si="135"/>
        <v>1.0173303880332972E-17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-5.6843418860808015E-14</v>
      </c>
      <c r="GV150" s="18">
        <f>GU150*VLOOKUP('Données projet'!$B$18,Paramètres!$A$1:$I$89,3,0)*VLOOKUP('Données projet'!$B$18,Paramètres!$A$1:$I$89,5,0)</f>
        <v>-2.6602720026858149E-14</v>
      </c>
      <c r="GW150" s="14" t="e">
        <f t="shared" si="159"/>
        <v>#NUM!</v>
      </c>
      <c r="GX150" s="22" t="e">
        <f t="shared" si="136"/>
        <v>#NUM!</v>
      </c>
      <c r="GY150" s="62" t="e">
        <f t="shared" si="137"/>
        <v>#NUM!</v>
      </c>
      <c r="GZ150" s="62">
        <f ca="1">AVERAGE(OFFSET($GY$3,0,0,'Données projet'!$E$18+1,1))-AVERAGE(OFFSET($H$3,0,0,'Données projet'!$E$18+1,1))</f>
        <v>284.88646502866419</v>
      </c>
      <c r="HA150" s="62">
        <f t="shared" si="160"/>
        <v>190.4880882944471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>
        <f>EXP(-LN(2)/35)*HG149+(1-EXP(-LN(2)/35))/(LN(2)/35)*HC150*HD150*VLOOKUP('Données projet'!$B$18,Paramètres!$A$1:$I$89,3,0)*0.475*44/12</f>
        <v>0</v>
      </c>
      <c r="HH150" s="23">
        <f>EXP(-LN(2)/25)*HH149+(1-EXP(-LN(2)/25))/(LN(2)/25)*Calculateur!HC150*Calculateur!HE150*VLOOKUP('Données projet'!$B$18,Paramètres!$A$1:$I$89,3,0)*0.475*44/12</f>
        <v>0</v>
      </c>
      <c r="HI150" s="23">
        <f>EXP(-LN(2)/2)*HI149+(1-EXP(-LN(2)/2))/(LN(2)/2)*HC150*HF150*VLOOKUP('Données projet'!$B$18,Paramètres!$A$1:$I$89,3,0)*0.475*44/12</f>
        <v>0</v>
      </c>
      <c r="HJ150" s="24">
        <f t="shared" si="138"/>
        <v>0</v>
      </c>
    </row>
    <row r="151" spans="1:218" s="5" customFormat="1" x14ac:dyDescent="0.25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2">
        <f t="shared" si="140"/>
        <v>0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0</v>
      </c>
      <c r="H151" s="70">
        <f t="shared" si="110"/>
        <v>256.66666666666669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-1.1368683772161603E-13</v>
      </c>
      <c r="O151" s="14">
        <f>N151*VLOOKUP('Données projet'!$B$9,Paramètres!$A$1:$I$89,3,0)*VLOOKUP('Données projet'!$B$9,Paramètres!$A$1:$I$89,5,0)</f>
        <v>-1.0818439477588981E-13</v>
      </c>
      <c r="P151" s="14" t="e">
        <f t="shared" si="141"/>
        <v>#NUM!</v>
      </c>
      <c r="Q151" s="22" t="e">
        <f t="shared" si="108"/>
        <v>#NUM!</v>
      </c>
      <c r="R151" s="62" t="e">
        <f t="shared" si="109"/>
        <v>#NUM!</v>
      </c>
      <c r="S151" s="62">
        <f ca="1">AVERAGE(OFFSET($R$3,0,0,'Données projet'!$E$9+1,1))-AVERAGE(OFFSET($H$3,0,0,'Données projet'!$E$9+1,1))</f>
        <v>367.11183928586667</v>
      </c>
      <c r="T151" s="62">
        <f t="shared" si="142"/>
        <v>281.52963027844595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0</v>
      </c>
      <c r="AA151" s="23">
        <f>EXP(-LN(2)/25)*AA150+(1-EXP(-LN(2)/25))/(LN(2)/25)*Calculateur!V151*Calculateur!X151*VLOOKUP('Données projet'!$B$9,Paramètres!$A$1:$I$89,3,0)*0.475*44/12</f>
        <v>0</v>
      </c>
      <c r="AB151" s="23">
        <f>EXP(-LN(2)/2)*AB150+(1-EXP(-LN(2)/2))/(LN(2)/2)*V151*Y151*VLOOKUP('Données projet'!$B$9,Paramètres!$A$1:$I$89,3,0)*0.475*44/12</f>
        <v>0</v>
      </c>
      <c r="AC151" s="24">
        <f t="shared" si="111"/>
        <v>0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2.4</v>
      </c>
      <c r="AI151" s="14">
        <f>IF('Données projet'!$A$62&gt;35,AI150+AH151-AQ150,IF(A151&lt;'Données projet'!$A$62,$AF$205^A151,IF(A151='Données projet'!$A$62,'Données projet'!$B$62,AI150+AH151-AQ150)))</f>
        <v>288.19999999999908</v>
      </c>
      <c r="AJ151" s="14">
        <f>AI151*VLOOKUP('Données projet'!$B$10,Paramètres!$A$1:$I$89,3,0)*VLOOKUP('Données projet'!$B$10,Paramètres!$A$1:$I$89,5,0)</f>
        <v>260.76335999999918</v>
      </c>
      <c r="AK151" s="14">
        <f t="shared" si="143"/>
        <v>62.885067686031789</v>
      </c>
      <c r="AL151" s="22">
        <f t="shared" si="112"/>
        <v>563.68767821983727</v>
      </c>
      <c r="AM151" s="62">
        <f t="shared" si="113"/>
        <v>857.02101155317064</v>
      </c>
      <c r="AN151" s="62">
        <f ca="1">AVERAGE(OFFSET($AM$3,0,0,'Données projet'!$E$10+1,1))-AVERAGE(OFFSET($H$3,0,0,'Données projet'!$E$10+1,1))</f>
        <v>428.8489304403459</v>
      </c>
      <c r="AO151" s="62">
        <f t="shared" si="144"/>
        <v>247.01165577562966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0</v>
      </c>
      <c r="AV151" s="23">
        <f>EXP(-LN(2)/25)*AV150+(1-EXP(-LN(2)/25))/(LN(2)/25)*Calculateur!AQ151*Calculateur!AS151*VLOOKUP('Données projet'!$B$10,Paramètres!$A$1:$I$89,3,0)*0.475*44/12</f>
        <v>0</v>
      </c>
      <c r="AW151" s="23">
        <f>EXP(-LN(2)/2)*AW150+(1-EXP(-LN(2)/2))/(LN(2)/2)*AQ151*AT151*VLOOKUP('Données projet'!$B$10,Paramètres!$A$1:$I$89,3,0)*0.475*44/12</f>
        <v>0</v>
      </c>
      <c r="AX151" s="23">
        <f t="shared" si="114"/>
        <v>0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2.4</v>
      </c>
      <c r="BD151" s="13">
        <f>IF('Données projet'!$A$88&gt;35,BD150+BC151-BL150,IF(A151&lt;'Données projet'!$A$88,$BA$205^A151,IF(A151='Données projet'!$A$88,'Données projet'!$B$88,BD150+BC151-BL150)))</f>
        <v>288.19999999999908</v>
      </c>
      <c r="BE151" s="14">
        <f>BD151*VLOOKUP('Données projet'!$B$11,Paramètres!$A$1:$I$89,3,0)*VLOOKUP('Données projet'!$B$11,Paramètres!$A$1:$I$89,5,0)</f>
        <v>292.2347999999991</v>
      </c>
      <c r="BF151" s="14">
        <f t="shared" si="145"/>
        <v>69.546103016553573</v>
      </c>
      <c r="BG151" s="22">
        <f t="shared" si="115"/>
        <v>630.10173942049585</v>
      </c>
      <c r="BH151" s="62">
        <f t="shared" si="116"/>
        <v>923.43507275382922</v>
      </c>
      <c r="BI151" s="62">
        <f ca="1">AVERAGE(OFFSET($BH$3,0,0,'Données projet'!$E$11+1,1))-AVERAGE(OFFSET($H$3,0,0,'Données projet'!$E$11+1,1))</f>
        <v>475.47920969424894</v>
      </c>
      <c r="BJ151" s="62">
        <f t="shared" si="146"/>
        <v>271.73544012419364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>
        <f>EXP(-LN(2)/35)*BP150+(1-EXP(-LN(2)/35))/(LN(2)/35)*BL151*BM151*VLOOKUP('Données projet'!$B$11,Paramètres!$A$1:$I$89,3,0)*0.475*44/12</f>
        <v>0</v>
      </c>
      <c r="BQ151" s="23">
        <f>EXP(-LN(2)/25)*BQ150+(1-EXP(-LN(2)/25))/(LN(2)/25)*Calculateur!BL151*Calculateur!BN151*VLOOKUP('Données projet'!$B$11,Paramètres!$A$1:$I$89,3,0)*0.475*44/12</f>
        <v>0</v>
      </c>
      <c r="BR151" s="23">
        <f>EXP(-LN(2)/2)*BR150+(1-EXP(-LN(2)/2))/(LN(2)/2)*BL151*BO151*VLOOKUP('Données projet'!$B$11,Paramètres!$A$1:$I$89,3,0)*0.475*44/12</f>
        <v>0</v>
      </c>
      <c r="BS151" s="24">
        <f t="shared" si="117"/>
        <v>0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2.2737367544323206E-13</v>
      </c>
      <c r="BZ151" s="14">
        <f>BY151*VLOOKUP('Données projet'!$B$12,Paramètres!$A$1:$I$89,3,0)*VLOOKUP('Données projet'!$B$12,Paramètres!$A$1:$I$89,5,0)</f>
        <v>1.2710188457276673E-13</v>
      </c>
      <c r="CA151" s="14">
        <f t="shared" si="147"/>
        <v>1.856866851063998E-12</v>
      </c>
      <c r="CB151" s="22">
        <f t="shared" si="118"/>
        <v>3.4554122145673649E-12</v>
      </c>
      <c r="CC151" s="62">
        <f t="shared" si="119"/>
        <v>293.33333333333678</v>
      </c>
      <c r="CD151" s="62">
        <f ca="1">AVERAGE(OFFSET($CC$3,0,0,'Données projet'!$E$12+1,1))-AVERAGE(OFFSET($H$3,0,0,'Données projet'!$E$12+1,1))</f>
        <v>323.98185264074681</v>
      </c>
      <c r="CE151" s="62">
        <f t="shared" si="148"/>
        <v>301.22207291854005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>
        <f>EXP(-LN(2)/35)*CK150+(1-EXP(-LN(2)/35))/(LN(2)/35)*CG151*CH151*VLOOKUP('Données projet'!$B$12,Paramètres!$A$1:$I$89,3,0)*0.475*44/12</f>
        <v>0.43118106633726855</v>
      </c>
      <c r="CL151" s="23">
        <f>EXP(-LN(2)/25)*CL150+(1-EXP(-LN(2)/25))/(LN(2)/25)*Calculateur!CG151*Calculateur!CI151*VLOOKUP('Données projet'!$B$12,Paramètres!$A$1:$I$89,3,0)*0.475*44/12</f>
        <v>0.31293215732108037</v>
      </c>
      <c r="CM151" s="23">
        <f>EXP(-LN(2)/2)*CM150+(1-EXP(-LN(2)/2))/(LN(2)/2)*CG151*CJ151*VLOOKUP('Données projet'!$B$12,Paramètres!$A$1:$I$89,3,0)*0.475*44/12</f>
        <v>1.0560662031703535E-17</v>
      </c>
      <c r="CN151" s="24">
        <f t="shared" si="120"/>
        <v>0.74411322365834898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1.4</v>
      </c>
      <c r="CT151" s="13">
        <f>IF('Données projet'!$A$140&gt;35,CT150+CS151-DB150,IF(A151&lt;'Données projet'!$A$140,$CQ$205^A151,IF(A151='Données projet'!$A$140,'Données projet'!$B$140,CT150+CS151-DB150)))</f>
        <v>221.2</v>
      </c>
      <c r="CU151" s="18">
        <f>CT151*VLOOKUP('Données projet'!$B$13,Paramètres!$A$1:$I$89,3,0)*VLOOKUP('Données projet'!$B$13,Paramètres!$A$1:$I$89,5,0)</f>
        <v>251.90255999999999</v>
      </c>
      <c r="CV151" s="14">
        <f t="shared" si="149"/>
        <v>60.993165504558718</v>
      </c>
      <c r="CW151" s="22">
        <f t="shared" si="121"/>
        <v>544.96005525377302</v>
      </c>
      <c r="CX151" s="62">
        <f t="shared" si="122"/>
        <v>838.29338858710639</v>
      </c>
      <c r="CY151" s="62">
        <f ca="1">AVERAGE(OFFSET($CX$3,0,0,'Données projet'!$E$13+1,1))-AVERAGE(OFFSET($H$3,0,0,'Données projet'!$E$13+1,1))</f>
        <v>399.78832690250164</v>
      </c>
      <c r="CZ151" s="62">
        <f t="shared" si="150"/>
        <v>174.32967064896343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>
        <f>EXP(-LN(2)/35)*DF150+(1-EXP(-LN(2)/35))/(LN(2)/35)*DB151*DC151*VLOOKUP('Données projet'!$B$13,Paramètres!$A$1:$I$89,3,0)*0.475*44/12</f>
        <v>0</v>
      </c>
      <c r="DG151" s="23">
        <f>EXP(-LN(2)/25)*DG150+(1-EXP(-LN(2)/25))/(LN(2)/25)*Calculateur!DB151*Calculateur!DD151*VLOOKUP('Données projet'!$B$13,Paramètres!$A$1:$I$89,3,0)*0.475*44/12</f>
        <v>0</v>
      </c>
      <c r="DH151" s="23">
        <f>EXP(-LN(2)/2)*DH150+(1-EXP(-LN(2)/2))/(LN(2)/2)*DB151*DE151*VLOOKUP('Données projet'!$B$13,Paramètres!$A$1:$I$89,3,0)*0.475*44/12</f>
        <v>0</v>
      </c>
      <c r="DI151" s="24">
        <f t="shared" si="123"/>
        <v>0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2.4</v>
      </c>
      <c r="DO151" s="13">
        <f>IF('Données projet'!$A$166&gt;35,DO150+DN151-DW150,IF(A151&lt;'Données projet'!$A$166,$DL$205^A151,IF(A151='Données projet'!$A$166,'Données projet'!$B$166,DO150+DN151-DW150)))</f>
        <v>288.19999999999908</v>
      </c>
      <c r="DP151" s="18">
        <f>DO151*VLOOKUP('Données projet'!$B$14,Paramètres!$A$1:$I$89,3,0)*VLOOKUP('Données projet'!$B$14,Paramètres!$A$1:$I$89,5,0)</f>
        <v>242.77967999999925</v>
      </c>
      <c r="DQ151" s="14">
        <f t="shared" si="151"/>
        <v>59.0371907652126</v>
      </c>
      <c r="DR151" s="22">
        <f t="shared" si="124"/>
        <v>525.66438324941055</v>
      </c>
      <c r="DS151" s="62">
        <f t="shared" si="125"/>
        <v>818.99771658274381</v>
      </c>
      <c r="DT151" s="62">
        <f ca="1">AVERAGE(OFFSET($DS$3,0,0,'Données projet'!$E$14+1,1))-AVERAGE(OFFSET($H$3,0,0,'Données projet'!$E$14+1,1))</f>
        <v>402.15128814037058</v>
      </c>
      <c r="DU151" s="62">
        <f t="shared" si="152"/>
        <v>232.85411068442738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>
        <f>EXP(-LN(2)/35)*EA150+(1-EXP(-LN(2)/35))/(LN(2)/35)*DW151*DX151*VLOOKUP('Données projet'!$B$14,Paramètres!$A$1:$I$89,3,0)*0.475*44/12</f>
        <v>0</v>
      </c>
      <c r="EB151" s="23">
        <f>EXP(-LN(2)/25)*EB150+(1-EXP(-LN(2)/25))/(LN(2)/25)*Calculateur!DW151*Calculateur!DY151*VLOOKUP('Données projet'!$B$14,Paramètres!$A$1:$I$89,3,0)*0.475*44/12</f>
        <v>0</v>
      </c>
      <c r="EC151" s="23">
        <f>EXP(-LN(2)/2)*EC150+(1-EXP(-LN(2)/2))/(LN(2)/2)*DW151*DZ151*VLOOKUP('Données projet'!$B$14,Paramètres!$A$1:$I$89,3,0)*0.475*44/12</f>
        <v>0</v>
      </c>
      <c r="ED151" s="24">
        <f t="shared" si="126"/>
        <v>0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6.2527760746888816E-13</v>
      </c>
      <c r="EK151" s="18">
        <f>EJ151*VLOOKUP('Données projet'!$B$15,Paramètres!$A$1:$I$89,3,0)*VLOOKUP('Données projet'!$B$15,Paramètres!$A$1:$I$89,5,0)</f>
        <v>6.5354015532648198E-13</v>
      </c>
      <c r="EL151" s="14">
        <f t="shared" si="153"/>
        <v>7.8909019831354483E-12</v>
      </c>
      <c r="EM151" s="22">
        <f t="shared" si="127"/>
        <v>1.4881570057821194E-11</v>
      </c>
      <c r="EN151" s="62">
        <f t="shared" si="128"/>
        <v>293.33333333334821</v>
      </c>
      <c r="EO151" s="62">
        <f ca="1">AVERAGE(OFFSET($EN$3,0,0,'Données projet'!$E$15+1,1))-AVERAGE(OFFSET($H$3,0,0,'Données projet'!$E$15+1,1))</f>
        <v>595.89992279024398</v>
      </c>
      <c r="EP151" s="62">
        <f t="shared" si="154"/>
        <v>378.16197659288338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>
        <f>EXP(-LN(2)/35)*EV150+(1-EXP(-LN(2)/35))/(LN(2)/35)*ER151*ES151*VLOOKUP('Données projet'!$B$15,Paramètres!$A$1:$I$89,3,0)*0.475*44/12</f>
        <v>0</v>
      </c>
      <c r="EW151" s="23">
        <f>EXP(-LN(2)/25)*EW150+(1-EXP(-LN(2)/25))/(LN(2)/25)*Calculateur!ER151*Calculateur!ET151*VLOOKUP('Données projet'!$B$15,Paramètres!$A$1:$I$89,3,0)*0.475*44/12</f>
        <v>0</v>
      </c>
      <c r="EX151" s="23">
        <f>EXP(-LN(2)/2)*EX150+(1-EXP(-LN(2)/2))/(LN(2)/2)*ER151*EU151*VLOOKUP('Données projet'!$B$15,Paramètres!$A$1:$I$89,3,0)*0.475*44/12</f>
        <v>0</v>
      </c>
      <c r="EY151" s="24">
        <f t="shared" si="129"/>
        <v>0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-2.2737367544323206E-13</v>
      </c>
      <c r="FF151" s="18">
        <f>FE151*VLOOKUP('Données projet'!$B$16,Paramètres!$A$1:$I$89,3,0)*VLOOKUP('Données projet'!$B$16,Paramètres!$A$1:$I$89,5,0)</f>
        <v>-1.3596945791505279E-13</v>
      </c>
      <c r="FG151" s="14" t="e">
        <f t="shared" si="155"/>
        <v>#NUM!</v>
      </c>
      <c r="FH151" s="22" t="e">
        <f t="shared" si="130"/>
        <v>#NUM!</v>
      </c>
      <c r="FI151" s="62" t="e">
        <f t="shared" si="131"/>
        <v>#NUM!</v>
      </c>
      <c r="FJ151" s="62">
        <f ca="1">AVERAGE(OFFSET($FI$3,0,0,'Données projet'!$E$16+1,1))-AVERAGE(OFFSET($H$3,0,0,'Données projet'!$E$16+1,1))</f>
        <v>257.56116197646924</v>
      </c>
      <c r="FK151" s="62">
        <f t="shared" si="156"/>
        <v>269.95556918835888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>
        <f>EXP(-LN(2)/35)*FQ150+(1-EXP(-LN(2)/35))/(LN(2)/35)*FM151*FN151*VLOOKUP('Données projet'!$B$16,Paramètres!$A$1:$I$89,3,0)*0.475*44/12</f>
        <v>1.4089622060654017</v>
      </c>
      <c r="FR151" s="23">
        <f>EXP(-LN(2)/25)*FR150+(1-EXP(-LN(2)/25))/(LN(2)/25)*Calculateur!FM151*Calculateur!FO151*VLOOKUP('Données projet'!$B$16,Paramètres!$A$1:$I$89,3,0)*0.475*44/12</f>
        <v>0.6125261472055783</v>
      </c>
      <c r="FS151" s="23">
        <f>EXP(-LN(2)/2)*FS150+(1-EXP(-LN(2)/2))/(LN(2)/2)*FM151*FP151*VLOOKUP('Données projet'!$B$16,Paramètres!$A$1:$I$89,3,0)*0.475*44/12</f>
        <v>1.4838969327564024E-17</v>
      </c>
      <c r="FT151" s="24">
        <f t="shared" si="132"/>
        <v>2.0214883532709802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-2.8421709430404007E-13</v>
      </c>
      <c r="GA151" s="18">
        <f>FZ151*VLOOKUP('Données projet'!$B$17,Paramètres!$A$1:$I$89,3,0)*VLOOKUP('Données projet'!$B$17,Paramètres!$A$1:$I$89,5,0)</f>
        <v>-1.69961822393816E-13</v>
      </c>
      <c r="GB151" s="14" t="e">
        <f t="shared" si="157"/>
        <v>#NUM!</v>
      </c>
      <c r="GC151" s="22" t="e">
        <f t="shared" si="133"/>
        <v>#NUM!</v>
      </c>
      <c r="GD151" s="62" t="e">
        <f t="shared" si="134"/>
        <v>#NUM!</v>
      </c>
      <c r="GE151" s="62">
        <f ca="1">AVERAGE(OFFSET($GD$3,0,0,'Données projet'!$E$17+1,1))-AVERAGE(OFFSET($H$3,0,0,'Données projet'!$E$17+1,1))</f>
        <v>289.12367833861299</v>
      </c>
      <c r="GF151" s="62">
        <f t="shared" si="158"/>
        <v>229.06617320689003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>
        <f>EXP(-LN(2)/35)*GL150+(1-EXP(-LN(2)/35))/(LN(2)/35)*GH151*GI151*VLOOKUP('Données projet'!$B$17,Paramètres!$A$1:$I$89,3,0)*0.475*44/12</f>
        <v>0</v>
      </c>
      <c r="GM151" s="23">
        <f>EXP(-LN(2)/25)*GM150+(1-EXP(-LN(2)/25))/(LN(2)/25)*Calculateur!GH151*Calculateur!GJ151*VLOOKUP('Données projet'!$B$17,Paramètres!$A$1:$I$89,3,0)*0.475*44/12</f>
        <v>0</v>
      </c>
      <c r="GN151" s="23">
        <f>EXP(-LN(2)/2)*GN150+(1-EXP(-LN(2)/2))/(LN(2)/2)*GH151*GK151*VLOOKUP('Données projet'!$B$17,Paramètres!$A$1:$I$89,3,0)*0.475*44/12</f>
        <v>7.1936121608548618E-18</v>
      </c>
      <c r="GO151" s="23">
        <f t="shared" si="135"/>
        <v>7.1936121608548618E-18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-5.6843418860808015E-14</v>
      </c>
      <c r="GV151" s="18">
        <f>GU151*VLOOKUP('Données projet'!$B$18,Paramètres!$A$1:$I$89,3,0)*VLOOKUP('Données projet'!$B$18,Paramètres!$A$1:$I$89,5,0)</f>
        <v>-2.6602720026858149E-14</v>
      </c>
      <c r="GW151" s="14" t="e">
        <f t="shared" si="159"/>
        <v>#NUM!</v>
      </c>
      <c r="GX151" s="22" t="e">
        <f t="shared" si="136"/>
        <v>#NUM!</v>
      </c>
      <c r="GY151" s="62" t="e">
        <f t="shared" si="137"/>
        <v>#NUM!</v>
      </c>
      <c r="GZ151" s="62">
        <f ca="1">AVERAGE(OFFSET($GY$3,0,0,'Données projet'!$E$18+1,1))-AVERAGE(OFFSET($H$3,0,0,'Données projet'!$E$18+1,1))</f>
        <v>284.88646502866419</v>
      </c>
      <c r="HA151" s="62">
        <f t="shared" si="160"/>
        <v>190.4880882944471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>
        <f>EXP(-LN(2)/35)*HG150+(1-EXP(-LN(2)/35))/(LN(2)/35)*HC151*HD151*VLOOKUP('Données projet'!$B$18,Paramètres!$A$1:$I$89,3,0)*0.475*44/12</f>
        <v>0</v>
      </c>
      <c r="HH151" s="23">
        <f>EXP(-LN(2)/25)*HH150+(1-EXP(-LN(2)/25))/(LN(2)/25)*Calculateur!HC151*Calculateur!HE151*VLOOKUP('Données projet'!$B$18,Paramètres!$A$1:$I$89,3,0)*0.475*44/12</f>
        <v>0</v>
      </c>
      <c r="HI151" s="23">
        <f>EXP(-LN(2)/2)*HI150+(1-EXP(-LN(2)/2))/(LN(2)/2)*HC151*HF151*VLOOKUP('Données projet'!$B$18,Paramètres!$A$1:$I$89,3,0)*0.475*44/12</f>
        <v>0</v>
      </c>
      <c r="HJ151" s="24">
        <f t="shared" si="138"/>
        <v>0</v>
      </c>
    </row>
    <row r="152" spans="1:218" s="5" customFormat="1" x14ac:dyDescent="0.25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2">
        <f t="shared" si="140"/>
        <v>0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0</v>
      </c>
      <c r="H152" s="70">
        <f t="shared" si="110"/>
        <v>256.66666666666669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-1.1368683772161603E-13</v>
      </c>
      <c r="O152" s="14">
        <f>N152*VLOOKUP('Données projet'!$B$9,Paramètres!$A$1:$I$89,3,0)*VLOOKUP('Données projet'!$B$9,Paramètres!$A$1:$I$89,5,0)</f>
        <v>-1.0818439477588981E-13</v>
      </c>
      <c r="P152" s="14" t="e">
        <f t="shared" si="141"/>
        <v>#NUM!</v>
      </c>
      <c r="Q152" s="22" t="e">
        <f t="shared" si="108"/>
        <v>#NUM!</v>
      </c>
      <c r="R152" s="62" t="e">
        <f t="shared" si="109"/>
        <v>#NUM!</v>
      </c>
      <c r="S152" s="62">
        <f ca="1">AVERAGE(OFFSET($R$3,0,0,'Données projet'!$E$9+1,1))-AVERAGE(OFFSET($H$3,0,0,'Données projet'!$E$9+1,1))</f>
        <v>367.11183928586667</v>
      </c>
      <c r="T152" s="62">
        <f t="shared" si="142"/>
        <v>281.52963027844595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0</v>
      </c>
      <c r="AA152" s="23">
        <f>EXP(-LN(2)/25)*AA151+(1-EXP(-LN(2)/25))/(LN(2)/25)*Calculateur!V152*Calculateur!X152*VLOOKUP('Données projet'!$B$9,Paramètres!$A$1:$I$89,3,0)*0.475*44/12</f>
        <v>0</v>
      </c>
      <c r="AB152" s="23">
        <f>EXP(-LN(2)/2)*AB151+(1-EXP(-LN(2)/2))/(LN(2)/2)*V152*Y152*VLOOKUP('Données projet'!$B$9,Paramètres!$A$1:$I$89,3,0)*0.475*44/12</f>
        <v>0</v>
      </c>
      <c r="AC152" s="24">
        <f t="shared" si="111"/>
        <v>0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2.4</v>
      </c>
      <c r="AI152" s="14">
        <f>IF('Données projet'!$A$62&gt;35,AI151+AH152-AQ151,IF(A152&lt;'Données projet'!$A$62,$AF$205^A152,IF(A152='Données projet'!$A$62,'Données projet'!$B$62,AI151+AH152-AQ151)))</f>
        <v>290.59999999999906</v>
      </c>
      <c r="AJ152" s="14">
        <f>AI152*VLOOKUP('Données projet'!$B$10,Paramètres!$A$1:$I$89,3,0)*VLOOKUP('Données projet'!$B$10,Paramètres!$A$1:$I$89,5,0)</f>
        <v>262.93487999999911</v>
      </c>
      <c r="AK152" s="14">
        <f t="shared" si="143"/>
        <v>63.347566493432595</v>
      </c>
      <c r="AL152" s="22">
        <f t="shared" si="112"/>
        <v>568.27526097606028</v>
      </c>
      <c r="AM152" s="62">
        <f t="shared" si="113"/>
        <v>861.60859430939354</v>
      </c>
      <c r="AN152" s="62">
        <f ca="1">AVERAGE(OFFSET($AM$3,0,0,'Données projet'!$E$10+1,1))-AVERAGE(OFFSET($H$3,0,0,'Données projet'!$E$10+1,1))</f>
        <v>428.8489304403459</v>
      </c>
      <c r="AO152" s="62">
        <f t="shared" si="144"/>
        <v>247.01165577562966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0</v>
      </c>
      <c r="AV152" s="23">
        <f>EXP(-LN(2)/25)*AV151+(1-EXP(-LN(2)/25))/(LN(2)/25)*Calculateur!AQ152*Calculateur!AS152*VLOOKUP('Données projet'!$B$10,Paramètres!$A$1:$I$89,3,0)*0.475*44/12</f>
        <v>0</v>
      </c>
      <c r="AW152" s="23">
        <f>EXP(-LN(2)/2)*AW151+(1-EXP(-LN(2)/2))/(LN(2)/2)*AQ152*AT152*VLOOKUP('Données projet'!$B$10,Paramètres!$A$1:$I$89,3,0)*0.475*44/12</f>
        <v>0</v>
      </c>
      <c r="AX152" s="23">
        <f t="shared" si="114"/>
        <v>0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2.4</v>
      </c>
      <c r="BD152" s="13">
        <f>IF('Données projet'!$A$88&gt;35,BD151+BC152-BL151,IF(A152&lt;'Données projet'!$A$88,$BA$205^A152,IF(A152='Données projet'!$A$88,'Données projet'!$B$88,BD151+BC152-BL151)))</f>
        <v>290.59999999999906</v>
      </c>
      <c r="BE152" s="14">
        <f>BD152*VLOOKUP('Données projet'!$B$11,Paramètres!$A$1:$I$89,3,0)*VLOOKUP('Données projet'!$B$11,Paramètres!$A$1:$I$89,5,0)</f>
        <v>294.66839999999905</v>
      </c>
      <c r="BF152" s="14">
        <f t="shared" si="145"/>
        <v>70.057591528661362</v>
      </c>
      <c r="BG152" s="22">
        <f t="shared" si="115"/>
        <v>635.23110191241688</v>
      </c>
      <c r="BH152" s="62">
        <f t="shared" si="116"/>
        <v>928.56443524575025</v>
      </c>
      <c r="BI152" s="62">
        <f ca="1">AVERAGE(OFFSET($BH$3,0,0,'Données projet'!$E$11+1,1))-AVERAGE(OFFSET($H$3,0,0,'Données projet'!$E$11+1,1))</f>
        <v>475.47920969424894</v>
      </c>
      <c r="BJ152" s="62">
        <f t="shared" si="146"/>
        <v>271.73544012419364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>
        <f>EXP(-LN(2)/35)*BP151+(1-EXP(-LN(2)/35))/(LN(2)/35)*BL152*BM152*VLOOKUP('Données projet'!$B$11,Paramètres!$A$1:$I$89,3,0)*0.475*44/12</f>
        <v>0</v>
      </c>
      <c r="BQ152" s="23">
        <f>EXP(-LN(2)/25)*BQ151+(1-EXP(-LN(2)/25))/(LN(2)/25)*Calculateur!BL152*Calculateur!BN152*VLOOKUP('Données projet'!$B$11,Paramètres!$A$1:$I$89,3,0)*0.475*44/12</f>
        <v>0</v>
      </c>
      <c r="BR152" s="23">
        <f>EXP(-LN(2)/2)*BR151+(1-EXP(-LN(2)/2))/(LN(2)/2)*BL152*BO152*VLOOKUP('Données projet'!$B$11,Paramètres!$A$1:$I$89,3,0)*0.475*44/12</f>
        <v>0</v>
      </c>
      <c r="BS152" s="24">
        <f t="shared" si="117"/>
        <v>0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2.2737367544323206E-13</v>
      </c>
      <c r="BZ152" s="14">
        <f>BY152*VLOOKUP('Données projet'!$B$12,Paramètres!$A$1:$I$89,3,0)*VLOOKUP('Données projet'!$B$12,Paramètres!$A$1:$I$89,5,0)</f>
        <v>1.2710188457276673E-13</v>
      </c>
      <c r="CA152" s="14">
        <f t="shared" si="147"/>
        <v>1.856866851063998E-12</v>
      </c>
      <c r="CB152" s="22">
        <f t="shared" si="118"/>
        <v>3.4554122145673649E-12</v>
      </c>
      <c r="CC152" s="62">
        <f t="shared" si="119"/>
        <v>293.33333333333678</v>
      </c>
      <c r="CD152" s="62">
        <f ca="1">AVERAGE(OFFSET($CC$3,0,0,'Données projet'!$E$12+1,1))-AVERAGE(OFFSET($H$3,0,0,'Données projet'!$E$12+1,1))</f>
        <v>323.98185264074681</v>
      </c>
      <c r="CE152" s="62">
        <f t="shared" si="148"/>
        <v>301.22207291854005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>
        <f>EXP(-LN(2)/35)*CK151+(1-EXP(-LN(2)/35))/(LN(2)/35)*CG152*CH152*VLOOKUP('Données projet'!$B$12,Paramètres!$A$1:$I$89,3,0)*0.475*44/12</f>
        <v>0.42272586862087663</v>
      </c>
      <c r="CL152" s="23">
        <f>EXP(-LN(2)/25)*CL151+(1-EXP(-LN(2)/25))/(LN(2)/25)*Calculateur!CG152*Calculateur!CI152*VLOOKUP('Données projet'!$B$12,Paramètres!$A$1:$I$89,3,0)*0.475*44/12</f>
        <v>0.3043750110227485</v>
      </c>
      <c r="CM152" s="23">
        <f>EXP(-LN(2)/2)*CM151+(1-EXP(-LN(2)/2))/(LN(2)/2)*CG152*CJ152*VLOOKUP('Données projet'!$B$12,Paramètres!$A$1:$I$89,3,0)*0.475*44/12</f>
        <v>7.4675157364368719E-18</v>
      </c>
      <c r="CN152" s="24">
        <f t="shared" si="120"/>
        <v>0.72710087964362513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1.4</v>
      </c>
      <c r="CT152" s="13">
        <f>IF('Données projet'!$A$140&gt;35,CT151+CS152-DB151,IF(A152&lt;'Données projet'!$A$140,$CQ$205^A152,IF(A152='Données projet'!$A$140,'Données projet'!$B$140,CT151+CS152-DB151)))</f>
        <v>222.6</v>
      </c>
      <c r="CU152" s="18">
        <f>CT152*VLOOKUP('Données projet'!$B$13,Paramètres!$A$1:$I$89,3,0)*VLOOKUP('Données projet'!$B$13,Paramètres!$A$1:$I$89,5,0)</f>
        <v>253.49688</v>
      </c>
      <c r="CV152" s="14">
        <f t="shared" si="149"/>
        <v>61.334138641955136</v>
      </c>
      <c r="CW152" s="22">
        <f t="shared" si="121"/>
        <v>548.33069080140524</v>
      </c>
      <c r="CX152" s="62">
        <f t="shared" si="122"/>
        <v>841.66402413473861</v>
      </c>
      <c r="CY152" s="62">
        <f ca="1">AVERAGE(OFFSET($CX$3,0,0,'Données projet'!$E$13+1,1))-AVERAGE(OFFSET($H$3,0,0,'Données projet'!$E$13+1,1))</f>
        <v>399.78832690250164</v>
      </c>
      <c r="CZ152" s="62">
        <f t="shared" si="150"/>
        <v>174.32967064896343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>
        <f>EXP(-LN(2)/35)*DF151+(1-EXP(-LN(2)/35))/(LN(2)/35)*DB152*DC152*VLOOKUP('Données projet'!$B$13,Paramètres!$A$1:$I$89,3,0)*0.475*44/12</f>
        <v>0</v>
      </c>
      <c r="DG152" s="23">
        <f>EXP(-LN(2)/25)*DG151+(1-EXP(-LN(2)/25))/(LN(2)/25)*Calculateur!DB152*Calculateur!DD152*VLOOKUP('Données projet'!$B$13,Paramètres!$A$1:$I$89,3,0)*0.475*44/12</f>
        <v>0</v>
      </c>
      <c r="DH152" s="23">
        <f>EXP(-LN(2)/2)*DH151+(1-EXP(-LN(2)/2))/(LN(2)/2)*DB152*DE152*VLOOKUP('Données projet'!$B$13,Paramètres!$A$1:$I$89,3,0)*0.475*44/12</f>
        <v>0</v>
      </c>
      <c r="DI152" s="24">
        <f t="shared" si="123"/>
        <v>0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2.4</v>
      </c>
      <c r="DO152" s="13">
        <f>IF('Données projet'!$A$166&gt;35,DO151+DN152-DW151,IF(A152&lt;'Données projet'!$A$166,$DL$205^A152,IF(A152='Données projet'!$A$166,'Données projet'!$B$166,DO151+DN152-DW151)))</f>
        <v>290.59999999999906</v>
      </c>
      <c r="DP152" s="18">
        <f>DO152*VLOOKUP('Données projet'!$B$14,Paramètres!$A$1:$I$89,3,0)*VLOOKUP('Données projet'!$B$14,Paramètres!$A$1:$I$89,5,0)</f>
        <v>244.80143999999922</v>
      </c>
      <c r="DQ152" s="14">
        <f t="shared" si="151"/>
        <v>59.471389714596413</v>
      </c>
      <c r="DR152" s="22">
        <f t="shared" si="124"/>
        <v>529.94184508625403</v>
      </c>
      <c r="DS152" s="62">
        <f t="shared" si="125"/>
        <v>823.27517841958729</v>
      </c>
      <c r="DT152" s="62">
        <f ca="1">AVERAGE(OFFSET($DS$3,0,0,'Données projet'!$E$14+1,1))-AVERAGE(OFFSET($H$3,0,0,'Données projet'!$E$14+1,1))</f>
        <v>402.15128814037058</v>
      </c>
      <c r="DU152" s="62">
        <f t="shared" si="152"/>
        <v>232.85411068442738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>
        <f>EXP(-LN(2)/35)*EA151+(1-EXP(-LN(2)/35))/(LN(2)/35)*DW152*DX152*VLOOKUP('Données projet'!$B$14,Paramètres!$A$1:$I$89,3,0)*0.475*44/12</f>
        <v>0</v>
      </c>
      <c r="EB152" s="23">
        <f>EXP(-LN(2)/25)*EB151+(1-EXP(-LN(2)/25))/(LN(2)/25)*Calculateur!DW152*Calculateur!DY152*VLOOKUP('Données projet'!$B$14,Paramètres!$A$1:$I$89,3,0)*0.475*44/12</f>
        <v>0</v>
      </c>
      <c r="EC152" s="23">
        <f>EXP(-LN(2)/2)*EC151+(1-EXP(-LN(2)/2))/(LN(2)/2)*DW152*DZ152*VLOOKUP('Données projet'!$B$14,Paramètres!$A$1:$I$89,3,0)*0.475*44/12</f>
        <v>0</v>
      </c>
      <c r="ED152" s="24">
        <f t="shared" si="126"/>
        <v>0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6.2527760746888816E-13</v>
      </c>
      <c r="EK152" s="18">
        <f>EJ152*VLOOKUP('Données projet'!$B$15,Paramètres!$A$1:$I$89,3,0)*VLOOKUP('Données projet'!$B$15,Paramètres!$A$1:$I$89,5,0)</f>
        <v>6.5354015532648198E-13</v>
      </c>
      <c r="EL152" s="14">
        <f t="shared" si="153"/>
        <v>7.8909019831354483E-12</v>
      </c>
      <c r="EM152" s="22">
        <f t="shared" si="127"/>
        <v>1.4881570057821194E-11</v>
      </c>
      <c r="EN152" s="62">
        <f t="shared" si="128"/>
        <v>293.33333333334821</v>
      </c>
      <c r="EO152" s="62">
        <f ca="1">AVERAGE(OFFSET($EN$3,0,0,'Données projet'!$E$15+1,1))-AVERAGE(OFFSET($H$3,0,0,'Données projet'!$E$15+1,1))</f>
        <v>595.89992279024398</v>
      </c>
      <c r="EP152" s="62">
        <f t="shared" si="154"/>
        <v>378.16197659288338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>
        <f>EXP(-LN(2)/35)*EV151+(1-EXP(-LN(2)/35))/(LN(2)/35)*ER152*ES152*VLOOKUP('Données projet'!$B$15,Paramètres!$A$1:$I$89,3,0)*0.475*44/12</f>
        <v>0</v>
      </c>
      <c r="EW152" s="23">
        <f>EXP(-LN(2)/25)*EW151+(1-EXP(-LN(2)/25))/(LN(2)/25)*Calculateur!ER152*Calculateur!ET152*VLOOKUP('Données projet'!$B$15,Paramètres!$A$1:$I$89,3,0)*0.475*44/12</f>
        <v>0</v>
      </c>
      <c r="EX152" s="23">
        <f>EXP(-LN(2)/2)*EX151+(1-EXP(-LN(2)/2))/(LN(2)/2)*ER152*EU152*VLOOKUP('Données projet'!$B$15,Paramètres!$A$1:$I$89,3,0)*0.475*44/12</f>
        <v>0</v>
      </c>
      <c r="EY152" s="24">
        <f t="shared" si="129"/>
        <v>0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-2.2737367544323206E-13</v>
      </c>
      <c r="FF152" s="18">
        <f>FE152*VLOOKUP('Données projet'!$B$16,Paramètres!$A$1:$I$89,3,0)*VLOOKUP('Données projet'!$B$16,Paramètres!$A$1:$I$89,5,0)</f>
        <v>-1.3596945791505279E-13</v>
      </c>
      <c r="FG152" s="14" t="e">
        <f t="shared" si="155"/>
        <v>#NUM!</v>
      </c>
      <c r="FH152" s="22" t="e">
        <f t="shared" si="130"/>
        <v>#NUM!</v>
      </c>
      <c r="FI152" s="62" t="e">
        <f t="shared" si="131"/>
        <v>#NUM!</v>
      </c>
      <c r="FJ152" s="62">
        <f ca="1">AVERAGE(OFFSET($FI$3,0,0,'Données projet'!$E$16+1,1))-AVERAGE(OFFSET($H$3,0,0,'Données projet'!$E$16+1,1))</f>
        <v>257.56116197646924</v>
      </c>
      <c r="FK152" s="62">
        <f t="shared" si="156"/>
        <v>269.95556918835888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>
        <f>EXP(-LN(2)/35)*FQ151+(1-EXP(-LN(2)/35))/(LN(2)/35)*FM152*FN152*VLOOKUP('Données projet'!$B$16,Paramètres!$A$1:$I$89,3,0)*0.475*44/12</f>
        <v>1.381333316586548</v>
      </c>
      <c r="FR152" s="23">
        <f>EXP(-LN(2)/25)*FR151+(1-EXP(-LN(2)/25))/(LN(2)/25)*Calculateur!FM152*Calculateur!FO152*VLOOKUP('Données projet'!$B$16,Paramètres!$A$1:$I$89,3,0)*0.475*44/12</f>
        <v>0.59577658749889162</v>
      </c>
      <c r="FS152" s="23">
        <f>EXP(-LN(2)/2)*FS151+(1-EXP(-LN(2)/2))/(LN(2)/2)*FM152*FP152*VLOOKUP('Données projet'!$B$16,Paramètres!$A$1:$I$89,3,0)*0.475*44/12</f>
        <v>1.0492735837339705E-17</v>
      </c>
      <c r="FT152" s="24">
        <f t="shared" si="132"/>
        <v>1.9771099040854396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-2.8421709430404007E-13</v>
      </c>
      <c r="GA152" s="18">
        <f>FZ152*VLOOKUP('Données projet'!$B$17,Paramètres!$A$1:$I$89,3,0)*VLOOKUP('Données projet'!$B$17,Paramètres!$A$1:$I$89,5,0)</f>
        <v>-1.69961822393816E-13</v>
      </c>
      <c r="GB152" s="14" t="e">
        <f t="shared" si="157"/>
        <v>#NUM!</v>
      </c>
      <c r="GC152" s="22" t="e">
        <f t="shared" si="133"/>
        <v>#NUM!</v>
      </c>
      <c r="GD152" s="62" t="e">
        <f t="shared" si="134"/>
        <v>#NUM!</v>
      </c>
      <c r="GE152" s="62">
        <f ca="1">AVERAGE(OFFSET($GD$3,0,0,'Données projet'!$E$17+1,1))-AVERAGE(OFFSET($H$3,0,0,'Données projet'!$E$17+1,1))</f>
        <v>289.12367833861299</v>
      </c>
      <c r="GF152" s="62">
        <f t="shared" si="158"/>
        <v>229.06617320689003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>
        <f>EXP(-LN(2)/35)*GL151+(1-EXP(-LN(2)/35))/(LN(2)/35)*GH152*GI152*VLOOKUP('Données projet'!$B$17,Paramètres!$A$1:$I$89,3,0)*0.475*44/12</f>
        <v>0</v>
      </c>
      <c r="GM152" s="23">
        <f>EXP(-LN(2)/25)*GM151+(1-EXP(-LN(2)/25))/(LN(2)/25)*Calculateur!GH152*Calculateur!GJ152*VLOOKUP('Données projet'!$B$17,Paramètres!$A$1:$I$89,3,0)*0.475*44/12</f>
        <v>0</v>
      </c>
      <c r="GN152" s="23">
        <f>EXP(-LN(2)/2)*GN151+(1-EXP(-LN(2)/2))/(LN(2)/2)*GH152*GK152*VLOOKUP('Données projet'!$B$17,Paramètres!$A$1:$I$89,3,0)*0.475*44/12</f>
        <v>5.0866519401664861E-18</v>
      </c>
      <c r="GO152" s="23">
        <f t="shared" si="135"/>
        <v>5.0866519401664861E-18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-5.6843418860808015E-14</v>
      </c>
      <c r="GV152" s="18">
        <f>GU152*VLOOKUP('Données projet'!$B$18,Paramètres!$A$1:$I$89,3,0)*VLOOKUP('Données projet'!$B$18,Paramètres!$A$1:$I$89,5,0)</f>
        <v>-2.6602720026858149E-14</v>
      </c>
      <c r="GW152" s="14" t="e">
        <f t="shared" si="159"/>
        <v>#NUM!</v>
      </c>
      <c r="GX152" s="22" t="e">
        <f t="shared" si="136"/>
        <v>#NUM!</v>
      </c>
      <c r="GY152" s="62" t="e">
        <f t="shared" si="137"/>
        <v>#NUM!</v>
      </c>
      <c r="GZ152" s="62">
        <f ca="1">AVERAGE(OFFSET($GY$3,0,0,'Données projet'!$E$18+1,1))-AVERAGE(OFFSET($H$3,0,0,'Données projet'!$E$18+1,1))</f>
        <v>284.88646502866419</v>
      </c>
      <c r="HA152" s="62">
        <f t="shared" si="160"/>
        <v>190.4880882944471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>
        <f>EXP(-LN(2)/35)*HG151+(1-EXP(-LN(2)/35))/(LN(2)/35)*HC152*HD152*VLOOKUP('Données projet'!$B$18,Paramètres!$A$1:$I$89,3,0)*0.475*44/12</f>
        <v>0</v>
      </c>
      <c r="HH152" s="23">
        <f>EXP(-LN(2)/25)*HH151+(1-EXP(-LN(2)/25))/(LN(2)/25)*Calculateur!HC152*Calculateur!HE152*VLOOKUP('Données projet'!$B$18,Paramètres!$A$1:$I$89,3,0)*0.475*44/12</f>
        <v>0</v>
      </c>
      <c r="HI152" s="23">
        <f>EXP(-LN(2)/2)*HI151+(1-EXP(-LN(2)/2))/(LN(2)/2)*HC152*HF152*VLOOKUP('Données projet'!$B$18,Paramètres!$A$1:$I$89,3,0)*0.475*44/12</f>
        <v>0</v>
      </c>
      <c r="HJ152" s="24">
        <f t="shared" si="138"/>
        <v>0</v>
      </c>
    </row>
    <row r="153" spans="1:218" s="5" customFormat="1" x14ac:dyDescent="0.25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2">
        <f t="shared" si="140"/>
        <v>0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0</v>
      </c>
      <c r="H153" s="70">
        <f t="shared" si="110"/>
        <v>256.66666666666669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-1.1368683772161603E-13</v>
      </c>
      <c r="O153" s="14">
        <f>N153*VLOOKUP('Données projet'!$B$9,Paramètres!$A$1:$I$89,3,0)*VLOOKUP('Données projet'!$B$9,Paramètres!$A$1:$I$89,5,0)</f>
        <v>-1.0818439477588981E-13</v>
      </c>
      <c r="P153" s="14" t="e">
        <f t="shared" si="141"/>
        <v>#NUM!</v>
      </c>
      <c r="Q153" s="22" t="e">
        <f t="shared" si="108"/>
        <v>#NUM!</v>
      </c>
      <c r="R153" s="62" t="e">
        <f t="shared" si="109"/>
        <v>#NUM!</v>
      </c>
      <c r="S153" s="62">
        <f ca="1">AVERAGE(OFFSET($R$3,0,0,'Données projet'!$E$9+1,1))-AVERAGE(OFFSET($H$3,0,0,'Données projet'!$E$9+1,1))</f>
        <v>367.11183928586667</v>
      </c>
      <c r="T153" s="62">
        <f t="shared" si="142"/>
        <v>281.52963027844595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0</v>
      </c>
      <c r="AA153" s="23">
        <f>EXP(-LN(2)/25)*AA152+(1-EXP(-LN(2)/25))/(LN(2)/25)*Calculateur!V153*Calculateur!X153*VLOOKUP('Données projet'!$B$9,Paramètres!$A$1:$I$89,3,0)*0.475*44/12</f>
        <v>0</v>
      </c>
      <c r="AB153" s="23">
        <f>EXP(-LN(2)/2)*AB152+(1-EXP(-LN(2)/2))/(LN(2)/2)*V153*Y153*VLOOKUP('Données projet'!$B$9,Paramètres!$A$1:$I$89,3,0)*0.475*44/12</f>
        <v>0</v>
      </c>
      <c r="AC153" s="24">
        <f t="shared" si="111"/>
        <v>0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>
        <f>VLOOKUP(A153,'Données projet'!$A$61:$I$81,2,0)</f>
        <v>293</v>
      </c>
      <c r="AG153" s="13">
        <f>VLOOKUP(A153,'Données projet'!$A$61:$I$81,9,0)</f>
        <v>2.4</v>
      </c>
      <c r="AH153" s="13">
        <f t="array" ref="AH153">INDEX(AG:AG,MIN(IF(ISNUMBER(AG153:AG349),ROW(AG153:AG349),"")))</f>
        <v>2.4</v>
      </c>
      <c r="AI153" s="14">
        <f>IF('Données projet'!$A$62&gt;35,AI152+AH153-AQ152,IF(A153&lt;'Données projet'!$A$62,$AF$205^A153,IF(A153='Données projet'!$A$62,'Données projet'!$B$62,AI152+AH153-AQ152)))</f>
        <v>292.99999999999903</v>
      </c>
      <c r="AJ153" s="14">
        <f>AI153*VLOOKUP('Données projet'!$B$10,Paramètres!$A$1:$I$89,3,0)*VLOOKUP('Données projet'!$B$10,Paramètres!$A$1:$I$89,5,0)</f>
        <v>265.1063999999991</v>
      </c>
      <c r="AK153" s="14">
        <f t="shared" si="143"/>
        <v>63.809620899125136</v>
      </c>
      <c r="AL153" s="22">
        <f t="shared" si="112"/>
        <v>572.86206973264132</v>
      </c>
      <c r="AM153" s="62">
        <f t="shared" si="113"/>
        <v>866.19540306597469</v>
      </c>
      <c r="AN153" s="62">
        <f ca="1">AVERAGE(OFFSET($AM$3,0,0,'Données projet'!$E$10+1,1))-AVERAGE(OFFSET($H$3,0,0,'Données projet'!$E$10+1,1))</f>
        <v>428.8489304403459</v>
      </c>
      <c r="AO153" s="62">
        <f t="shared" si="144"/>
        <v>247.01165577562966</v>
      </c>
      <c r="AP153" s="16">
        <f>IF(ISNA(VLOOKUP(A153,'Données projet'!$A$61:$I$81,3,0)),0,VLOOKUP(A153,'Données projet'!$A$61:$I$81,3,0))</f>
        <v>13</v>
      </c>
      <c r="AQ153" s="16">
        <f>IF(ISNA(VLOOKUP(A153,'Données projet'!$A$61:$I$81,4,0)),0,VLOOKUP(A153,'Données projet'!$A$61:$I$81,4,0))</f>
        <v>293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0</v>
      </c>
      <c r="AV153" s="23">
        <f>EXP(-LN(2)/25)*AV152+(1-EXP(-LN(2)/25))/(LN(2)/25)*Calculateur!AQ153*Calculateur!AS153*VLOOKUP('Données projet'!$B$10,Paramètres!$A$1:$I$89,3,0)*0.475*44/12</f>
        <v>0</v>
      </c>
      <c r="AW153" s="23">
        <f>EXP(-LN(2)/2)*AW152+(1-EXP(-LN(2)/2))/(LN(2)/2)*AQ153*AT153*VLOOKUP('Données projet'!$B$10,Paramètres!$A$1:$I$89,3,0)*0.475*44/12</f>
        <v>0</v>
      </c>
      <c r="AX153" s="23">
        <f t="shared" si="114"/>
        <v>0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>
        <f>VLOOKUP(A153,'Données projet'!$A$87:$I$107,2,0)</f>
        <v>293</v>
      </c>
      <c r="BB153" s="13">
        <f>VLOOKUP(A153,'Données projet'!$A$87:$I$107,9,0)</f>
        <v>2.4</v>
      </c>
      <c r="BC153" s="13">
        <f t="array" ref="BC153">INDEX(BB:BB,MIN(IF(ISNUMBER(BB153:BB349),ROW(BB153:BB349),"")))</f>
        <v>2.4</v>
      </c>
      <c r="BD153" s="13">
        <f>IF('Données projet'!$A$88&gt;35,BD152+BC153-BL152,IF(A153&lt;'Données projet'!$A$88,$BA$205^A153,IF(A153='Données projet'!$A$88,'Données projet'!$B$88,BD152+BC153-BL152)))</f>
        <v>292.99999999999903</v>
      </c>
      <c r="BE153" s="14">
        <f>BD153*VLOOKUP('Données projet'!$B$11,Paramètres!$A$1:$I$89,3,0)*VLOOKUP('Données projet'!$B$11,Paramètres!$A$1:$I$89,5,0)</f>
        <v>297.10199999999907</v>
      </c>
      <c r="BF153" s="14">
        <f t="shared" si="145"/>
        <v>70.568588566272624</v>
      </c>
      <c r="BG153" s="22">
        <f t="shared" si="115"/>
        <v>640.3596084195899</v>
      </c>
      <c r="BH153" s="62">
        <f t="shared" si="116"/>
        <v>933.69294175292316</v>
      </c>
      <c r="BI153" s="62">
        <f ca="1">AVERAGE(OFFSET($BH$3,0,0,'Données projet'!$E$11+1,1))-AVERAGE(OFFSET($H$3,0,0,'Données projet'!$E$11+1,1))</f>
        <v>475.47920969424894</v>
      </c>
      <c r="BJ153" s="62">
        <f t="shared" si="146"/>
        <v>271.73544012419364</v>
      </c>
      <c r="BK153" s="16">
        <f>IF(ISNA(VLOOKUP(A153,'Données projet'!$A$87:$I$107,3,0)),0,VLOOKUP(A153,'Données projet'!$A$87:$I$107,3,0))</f>
        <v>13</v>
      </c>
      <c r="BL153" s="16">
        <f>IF(ISNA(VLOOKUP(A153,'Données projet'!$A$87:$I$107,4,0)),0,VLOOKUP(A153,'Données projet'!$A$87:$I$107,4,0))</f>
        <v>293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>
        <f>EXP(-LN(2)/35)*BP152+(1-EXP(-LN(2)/35))/(LN(2)/35)*BL153*BM153*VLOOKUP('Données projet'!$B$11,Paramètres!$A$1:$I$89,3,0)*0.475*44/12</f>
        <v>0</v>
      </c>
      <c r="BQ153" s="23">
        <f>EXP(-LN(2)/25)*BQ152+(1-EXP(-LN(2)/25))/(LN(2)/25)*Calculateur!BL153*Calculateur!BN153*VLOOKUP('Données projet'!$B$11,Paramètres!$A$1:$I$89,3,0)*0.475*44/12</f>
        <v>0</v>
      </c>
      <c r="BR153" s="23">
        <f>EXP(-LN(2)/2)*BR152+(1-EXP(-LN(2)/2))/(LN(2)/2)*BL153*BO153*VLOOKUP('Données projet'!$B$11,Paramètres!$A$1:$I$89,3,0)*0.475*44/12</f>
        <v>0</v>
      </c>
      <c r="BS153" s="24">
        <f t="shared" si="117"/>
        <v>0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2.2737367544323206E-13</v>
      </c>
      <c r="BZ153" s="14">
        <f>BY153*VLOOKUP('Données projet'!$B$12,Paramètres!$A$1:$I$89,3,0)*VLOOKUP('Données projet'!$B$12,Paramètres!$A$1:$I$89,5,0)</f>
        <v>1.2710188457276673E-13</v>
      </c>
      <c r="CA153" s="14">
        <f t="shared" si="147"/>
        <v>1.856866851063998E-12</v>
      </c>
      <c r="CB153" s="22">
        <f t="shared" si="118"/>
        <v>3.4554122145673649E-12</v>
      </c>
      <c r="CC153" s="62">
        <f t="shared" si="119"/>
        <v>293.33333333333678</v>
      </c>
      <c r="CD153" s="62">
        <f ca="1">AVERAGE(OFFSET($CC$3,0,0,'Données projet'!$E$12+1,1))-AVERAGE(OFFSET($H$3,0,0,'Données projet'!$E$12+1,1))</f>
        <v>323.98185264074681</v>
      </c>
      <c r="CE153" s="62">
        <f t="shared" si="148"/>
        <v>301.22207291854005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>
        <f>EXP(-LN(2)/35)*CK152+(1-EXP(-LN(2)/35))/(LN(2)/35)*CG153*CH153*VLOOKUP('Données projet'!$B$12,Paramètres!$A$1:$I$89,3,0)*0.475*44/12</f>
        <v>0.41443647217454177</v>
      </c>
      <c r="CL153" s="23">
        <f>EXP(-LN(2)/25)*CL152+(1-EXP(-LN(2)/25))/(LN(2)/25)*Calculateur!CG153*Calculateur!CI153*VLOOKUP('Données projet'!$B$12,Paramètres!$A$1:$I$89,3,0)*0.475*44/12</f>
        <v>0.29605186033994529</v>
      </c>
      <c r="CM153" s="23">
        <f>EXP(-LN(2)/2)*CM152+(1-EXP(-LN(2)/2))/(LN(2)/2)*CG153*CJ153*VLOOKUP('Données projet'!$B$12,Paramètres!$A$1:$I$89,3,0)*0.475*44/12</f>
        <v>5.2803310158517676E-18</v>
      </c>
      <c r="CN153" s="24">
        <f t="shared" si="120"/>
        <v>0.71048833251448706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>
        <f>VLOOKUP(A153,'Données projet'!$A$139:$I$159,2,0)</f>
        <v>224</v>
      </c>
      <c r="CR153" s="13">
        <f>VLOOKUP(A153,'Données projet'!$A$139:$I$159,9,0)</f>
        <v>1.4</v>
      </c>
      <c r="CS153" s="13">
        <f t="array" ref="CS153">INDEX(CR:CR,MIN(IF(ISNUMBER(CR153:CR349),ROW(CR153:CR349),"")))</f>
        <v>1.4</v>
      </c>
      <c r="CT153" s="13">
        <f>IF('Données projet'!$A$140&gt;35,CT152+CS153-DB152,IF(A153&lt;'Données projet'!$A$140,$CQ$205^A153,IF(A153='Données projet'!$A$140,'Données projet'!$B$140,CT152+CS153-DB152)))</f>
        <v>224</v>
      </c>
      <c r="CU153" s="18">
        <f>CT153*VLOOKUP('Données projet'!$B$13,Paramètres!$A$1:$I$89,3,0)*VLOOKUP('Données projet'!$B$13,Paramètres!$A$1:$I$89,5,0)</f>
        <v>255.09119999999999</v>
      </c>
      <c r="CV153" s="14">
        <f t="shared" si="149"/>
        <v>61.674862250888317</v>
      </c>
      <c r="CW153" s="22">
        <f t="shared" si="121"/>
        <v>551.70089175363034</v>
      </c>
      <c r="CX153" s="62">
        <f t="shared" si="122"/>
        <v>845.03422508696372</v>
      </c>
      <c r="CY153" s="62">
        <f ca="1">AVERAGE(OFFSET($CX$3,0,0,'Données projet'!$E$13+1,1))-AVERAGE(OFFSET($H$3,0,0,'Données projet'!$E$13+1,1))</f>
        <v>399.78832690250164</v>
      </c>
      <c r="CZ153" s="62">
        <f t="shared" si="150"/>
        <v>174.32967064896343</v>
      </c>
      <c r="DA153" s="16">
        <f>IF(ISNA(VLOOKUP(A153,'Données projet'!$A$139:$I$159,3,0)),0,VLOOKUP(A153,'Données projet'!$A$139:$I$159,3,0))</f>
        <v>12</v>
      </c>
      <c r="DB153" s="16">
        <f>IF(ISNA(VLOOKUP(A153,'Données projet'!$A$139:$I$159,4,0)),0,VLOOKUP(A153,'Données projet'!$A$139:$I$159,4,0))</f>
        <v>224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>
        <f>EXP(-LN(2)/35)*DF152+(1-EXP(-LN(2)/35))/(LN(2)/35)*DB153*DC153*VLOOKUP('Données projet'!$B$13,Paramètres!$A$1:$I$89,3,0)*0.475*44/12</f>
        <v>0</v>
      </c>
      <c r="DG153" s="23">
        <f>EXP(-LN(2)/25)*DG152+(1-EXP(-LN(2)/25))/(LN(2)/25)*Calculateur!DB153*Calculateur!DD153*VLOOKUP('Données projet'!$B$13,Paramètres!$A$1:$I$89,3,0)*0.475*44/12</f>
        <v>0</v>
      </c>
      <c r="DH153" s="23">
        <f>EXP(-LN(2)/2)*DH152+(1-EXP(-LN(2)/2))/(LN(2)/2)*DB153*DE153*VLOOKUP('Données projet'!$B$13,Paramètres!$A$1:$I$89,3,0)*0.475*44/12</f>
        <v>0</v>
      </c>
      <c r="DI153" s="24">
        <f t="shared" si="123"/>
        <v>0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>
        <f>VLOOKUP(A153,'Données projet'!$A$165:$I$185,2,0)</f>
        <v>293</v>
      </c>
      <c r="DM153" s="13">
        <f>VLOOKUP(A153,'Données projet'!$A$165:$I$185,9,0)</f>
        <v>2.4</v>
      </c>
      <c r="DN153" s="13">
        <f t="array" ref="DN153">INDEX(DM:DM,MIN(IF(ISNUMBER(DM153:DM349),ROW(DM153:DM349),"")))</f>
        <v>2.4</v>
      </c>
      <c r="DO153" s="13">
        <f>IF('Données projet'!$A$166&gt;35,DO152+DN153-DW152,IF(A153&lt;'Données projet'!$A$166,$DL$205^A153,IF(A153='Données projet'!$A$166,'Données projet'!$B$166,DO152+DN153-DW152)))</f>
        <v>292.99999999999903</v>
      </c>
      <c r="DP153" s="18">
        <f>DO153*VLOOKUP('Données projet'!$B$14,Paramètres!$A$1:$I$89,3,0)*VLOOKUP('Données projet'!$B$14,Paramètres!$A$1:$I$89,5,0)</f>
        <v>246.82319999999922</v>
      </c>
      <c r="DQ153" s="14">
        <f t="shared" si="151"/>
        <v>59.905171454785851</v>
      </c>
      <c r="DR153" s="22">
        <f t="shared" si="124"/>
        <v>534.21858028375061</v>
      </c>
      <c r="DS153" s="62">
        <f t="shared" si="125"/>
        <v>827.55191361708398</v>
      </c>
      <c r="DT153" s="62">
        <f ca="1">AVERAGE(OFFSET($DS$3,0,0,'Données projet'!$E$14+1,1))-AVERAGE(OFFSET($H$3,0,0,'Données projet'!$E$14+1,1))</f>
        <v>402.15128814037058</v>
      </c>
      <c r="DU153" s="62">
        <f t="shared" si="152"/>
        <v>232.85411068442738</v>
      </c>
      <c r="DV153" s="16">
        <f>IF(ISNA(VLOOKUP(A153,'Données projet'!$A$165:$I$185,3,0)),0,VLOOKUP(A153,'Données projet'!$A$165:$I$185,3,0))</f>
        <v>13</v>
      </c>
      <c r="DW153" s="16">
        <f>IF(ISNA(VLOOKUP(A153,'Données projet'!$A$165:$I$185,4,0)),0,VLOOKUP(A153,'Données projet'!$A$165:$I$185,4,0))</f>
        <v>293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>
        <f>EXP(-LN(2)/35)*EA152+(1-EXP(-LN(2)/35))/(LN(2)/35)*DW153*DX153*VLOOKUP('Données projet'!$B$14,Paramètres!$A$1:$I$89,3,0)*0.475*44/12</f>
        <v>0</v>
      </c>
      <c r="EB153" s="23">
        <f>EXP(-LN(2)/25)*EB152+(1-EXP(-LN(2)/25))/(LN(2)/25)*Calculateur!DW153*Calculateur!DY153*VLOOKUP('Données projet'!$B$14,Paramètres!$A$1:$I$89,3,0)*0.475*44/12</f>
        <v>0</v>
      </c>
      <c r="EC153" s="23">
        <f>EXP(-LN(2)/2)*EC152+(1-EXP(-LN(2)/2))/(LN(2)/2)*DW153*DZ153*VLOOKUP('Données projet'!$B$14,Paramètres!$A$1:$I$89,3,0)*0.475*44/12</f>
        <v>0</v>
      </c>
      <c r="ED153" s="24">
        <f t="shared" si="126"/>
        <v>0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6.2527760746888816E-13</v>
      </c>
      <c r="EK153" s="18">
        <f>EJ153*VLOOKUP('Données projet'!$B$15,Paramètres!$A$1:$I$89,3,0)*VLOOKUP('Données projet'!$B$15,Paramètres!$A$1:$I$89,5,0)</f>
        <v>6.5354015532648198E-13</v>
      </c>
      <c r="EL153" s="14">
        <f t="shared" si="153"/>
        <v>7.8909019831354483E-12</v>
      </c>
      <c r="EM153" s="22">
        <f t="shared" si="127"/>
        <v>1.4881570057821194E-11</v>
      </c>
      <c r="EN153" s="62">
        <f t="shared" si="128"/>
        <v>293.33333333334821</v>
      </c>
      <c r="EO153" s="62">
        <f ca="1">AVERAGE(OFFSET($EN$3,0,0,'Données projet'!$E$15+1,1))-AVERAGE(OFFSET($H$3,0,0,'Données projet'!$E$15+1,1))</f>
        <v>595.89992279024398</v>
      </c>
      <c r="EP153" s="62">
        <f t="shared" si="154"/>
        <v>378.16197659288338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>
        <f>EXP(-LN(2)/35)*EV152+(1-EXP(-LN(2)/35))/(LN(2)/35)*ER153*ES153*VLOOKUP('Données projet'!$B$15,Paramètres!$A$1:$I$89,3,0)*0.475*44/12</f>
        <v>0</v>
      </c>
      <c r="EW153" s="23">
        <f>EXP(-LN(2)/25)*EW152+(1-EXP(-LN(2)/25))/(LN(2)/25)*Calculateur!ER153*Calculateur!ET153*VLOOKUP('Données projet'!$B$15,Paramètres!$A$1:$I$89,3,0)*0.475*44/12</f>
        <v>0</v>
      </c>
      <c r="EX153" s="23">
        <f>EXP(-LN(2)/2)*EX152+(1-EXP(-LN(2)/2))/(LN(2)/2)*ER153*EU153*VLOOKUP('Données projet'!$B$15,Paramètres!$A$1:$I$89,3,0)*0.475*44/12</f>
        <v>0</v>
      </c>
      <c r="EY153" s="24">
        <f t="shared" si="129"/>
        <v>0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-2.2737367544323206E-13</v>
      </c>
      <c r="FF153" s="18">
        <f>FE153*VLOOKUP('Données projet'!$B$16,Paramètres!$A$1:$I$89,3,0)*VLOOKUP('Données projet'!$B$16,Paramètres!$A$1:$I$89,5,0)</f>
        <v>-1.3596945791505279E-13</v>
      </c>
      <c r="FG153" s="14" t="e">
        <f t="shared" si="155"/>
        <v>#NUM!</v>
      </c>
      <c r="FH153" s="22" t="e">
        <f t="shared" si="130"/>
        <v>#NUM!</v>
      </c>
      <c r="FI153" s="62" t="e">
        <f t="shared" si="131"/>
        <v>#NUM!</v>
      </c>
      <c r="FJ153" s="62">
        <f ca="1">AVERAGE(OFFSET($FI$3,0,0,'Données projet'!$E$16+1,1))-AVERAGE(OFFSET($H$3,0,0,'Données projet'!$E$16+1,1))</f>
        <v>257.56116197646924</v>
      </c>
      <c r="FK153" s="62">
        <f t="shared" si="156"/>
        <v>269.95556918835888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>
        <f>EXP(-LN(2)/35)*FQ152+(1-EXP(-LN(2)/35))/(LN(2)/35)*FM153*FN153*VLOOKUP('Données projet'!$B$16,Paramètres!$A$1:$I$89,3,0)*0.475*44/12</f>
        <v>1.3542462127784161</v>
      </c>
      <c r="FR153" s="23">
        <f>EXP(-LN(2)/25)*FR152+(1-EXP(-LN(2)/25))/(LN(2)/25)*Calculateur!FM153*Calculateur!FO153*VLOOKUP('Données projet'!$B$16,Paramètres!$A$1:$I$89,3,0)*0.475*44/12</f>
        <v>0.57948504538320533</v>
      </c>
      <c r="FS153" s="23">
        <f>EXP(-LN(2)/2)*FS152+(1-EXP(-LN(2)/2))/(LN(2)/2)*FM153*FP153*VLOOKUP('Données projet'!$B$16,Paramètres!$A$1:$I$89,3,0)*0.475*44/12</f>
        <v>7.4194846637820119E-18</v>
      </c>
      <c r="FT153" s="24">
        <f t="shared" si="132"/>
        <v>1.9337312581616213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-2.8421709430404007E-13</v>
      </c>
      <c r="GA153" s="18">
        <f>FZ153*VLOOKUP('Données projet'!$B$17,Paramètres!$A$1:$I$89,3,0)*VLOOKUP('Données projet'!$B$17,Paramètres!$A$1:$I$89,5,0)</f>
        <v>-1.69961822393816E-13</v>
      </c>
      <c r="GB153" s="14" t="e">
        <f t="shared" si="157"/>
        <v>#NUM!</v>
      </c>
      <c r="GC153" s="22" t="e">
        <f t="shared" si="133"/>
        <v>#NUM!</v>
      </c>
      <c r="GD153" s="62" t="e">
        <f t="shared" si="134"/>
        <v>#NUM!</v>
      </c>
      <c r="GE153" s="62">
        <f ca="1">AVERAGE(OFFSET($GD$3,0,0,'Données projet'!$E$17+1,1))-AVERAGE(OFFSET($H$3,0,0,'Données projet'!$E$17+1,1))</f>
        <v>289.12367833861299</v>
      </c>
      <c r="GF153" s="62">
        <f t="shared" si="158"/>
        <v>229.06617320689003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>
        <f>EXP(-LN(2)/35)*GL152+(1-EXP(-LN(2)/35))/(LN(2)/35)*GH153*GI153*VLOOKUP('Données projet'!$B$17,Paramètres!$A$1:$I$89,3,0)*0.475*44/12</f>
        <v>0</v>
      </c>
      <c r="GM153" s="23">
        <f>EXP(-LN(2)/25)*GM152+(1-EXP(-LN(2)/25))/(LN(2)/25)*Calculateur!GH153*Calculateur!GJ153*VLOOKUP('Données projet'!$B$17,Paramètres!$A$1:$I$89,3,0)*0.475*44/12</f>
        <v>0</v>
      </c>
      <c r="GN153" s="23">
        <f>EXP(-LN(2)/2)*GN152+(1-EXP(-LN(2)/2))/(LN(2)/2)*GH153*GK153*VLOOKUP('Données projet'!$B$17,Paramètres!$A$1:$I$89,3,0)*0.475*44/12</f>
        <v>3.5968060804274309E-18</v>
      </c>
      <c r="GO153" s="23">
        <f t="shared" si="135"/>
        <v>3.5968060804274309E-18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-5.6843418860808015E-14</v>
      </c>
      <c r="GV153" s="18">
        <f>GU153*VLOOKUP('Données projet'!$B$18,Paramètres!$A$1:$I$89,3,0)*VLOOKUP('Données projet'!$B$18,Paramètres!$A$1:$I$89,5,0)</f>
        <v>-2.6602720026858149E-14</v>
      </c>
      <c r="GW153" s="14" t="e">
        <f t="shared" si="159"/>
        <v>#NUM!</v>
      </c>
      <c r="GX153" s="22" t="e">
        <f t="shared" si="136"/>
        <v>#NUM!</v>
      </c>
      <c r="GY153" s="62" t="e">
        <f t="shared" si="137"/>
        <v>#NUM!</v>
      </c>
      <c r="GZ153" s="62">
        <f ca="1">AVERAGE(OFFSET($GY$3,0,0,'Données projet'!$E$18+1,1))-AVERAGE(OFFSET($H$3,0,0,'Données projet'!$E$18+1,1))</f>
        <v>284.88646502866419</v>
      </c>
      <c r="HA153" s="62">
        <f t="shared" si="160"/>
        <v>190.4880882944471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>
        <f>EXP(-LN(2)/35)*HG152+(1-EXP(-LN(2)/35))/(LN(2)/35)*HC153*HD153*VLOOKUP('Données projet'!$B$18,Paramètres!$A$1:$I$89,3,0)*0.475*44/12</f>
        <v>0</v>
      </c>
      <c r="HH153" s="23">
        <f>EXP(-LN(2)/25)*HH152+(1-EXP(-LN(2)/25))/(LN(2)/25)*Calculateur!HC153*Calculateur!HE153*VLOOKUP('Données projet'!$B$18,Paramètres!$A$1:$I$89,3,0)*0.475*44/12</f>
        <v>0</v>
      </c>
      <c r="HI153" s="23">
        <f>EXP(-LN(2)/2)*HI152+(1-EXP(-LN(2)/2))/(LN(2)/2)*HC153*HF153*VLOOKUP('Données projet'!$B$18,Paramètres!$A$1:$I$89,3,0)*0.475*44/12</f>
        <v>0</v>
      </c>
      <c r="HJ153" s="24">
        <f t="shared" si="138"/>
        <v>0</v>
      </c>
    </row>
    <row r="154" spans="1:218" x14ac:dyDescent="0.25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2">
        <f t="shared" si="140"/>
        <v>0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0</v>
      </c>
      <c r="H154" s="70">
        <f t="shared" si="110"/>
        <v>256.66666666666669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-1.1368683772161603E-13</v>
      </c>
      <c r="O154" s="14">
        <f>N154*VLOOKUP('Données projet'!$B$9,Paramètres!$A$1:$I$89,3,0)*VLOOKUP('Données projet'!$B$9,Paramètres!$A$1:$I$89,5,0)</f>
        <v>-1.0818439477588981E-13</v>
      </c>
      <c r="P154" s="14" t="e">
        <f t="shared" si="141"/>
        <v>#NUM!</v>
      </c>
      <c r="Q154" s="22" t="e">
        <f t="shared" ref="Q154:Q203" si="162">(O154+P154)*0.475*44/12</f>
        <v>#NUM!</v>
      </c>
      <c r="R154" s="62" t="e">
        <f t="shared" si="109"/>
        <v>#NUM!</v>
      </c>
      <c r="S154" s="62">
        <f ca="1">AVERAGE(OFFSET($R$3,0,0,'Données projet'!$E$9+1,1))-AVERAGE(OFFSET($H$3,0,0,'Données projet'!$E$9+1,1))</f>
        <v>367.11183928586667</v>
      </c>
      <c r="T154" s="62">
        <f t="shared" si="142"/>
        <v>281.52963027844595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0</v>
      </c>
      <c r="AA154" s="23">
        <f>EXP(-LN(2)/25)*AA153+(1-EXP(-LN(2)/25))/(LN(2)/25)*Calculateur!V154*Calculateur!X154*VLOOKUP('Données projet'!$B$9,Paramètres!$A$1:$I$89,3,0)*0.475*44/12</f>
        <v>0</v>
      </c>
      <c r="AB154" s="23">
        <f>EXP(-LN(2)/2)*AB153+(1-EXP(-LN(2)/2))/(LN(2)/2)*V154*Y154*VLOOKUP('Données projet'!$B$9,Paramètres!$A$1:$I$89,3,0)*0.475*44/12</f>
        <v>0</v>
      </c>
      <c r="AC154" s="24">
        <f t="shared" ref="AC154:AC203" si="163">SUM(Z154:AB154)</f>
        <v>0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-9.6633812063373625E-13</v>
      </c>
      <c r="AJ154" s="14">
        <f>AI154*VLOOKUP('Données projet'!$B$10,Paramètres!$A$1:$I$89,3,0)*VLOOKUP('Données projet'!$B$10,Paramètres!$A$1:$I$89,5,0)</f>
        <v>-8.7434273154940449E-13</v>
      </c>
      <c r="AK154" s="14" t="e">
        <f t="shared" ref="AK154:AK203" si="164">EXP(-1.0587+0.8836*LN(AJ154)+0.284)</f>
        <v>#NUM!</v>
      </c>
      <c r="AL154" s="22" t="e">
        <f t="shared" ref="AL154:AL203" si="165">(AJ154+AK154)*0.475*44/12</f>
        <v>#NUM!</v>
      </c>
      <c r="AM154" s="62" t="e">
        <f t="shared" si="113"/>
        <v>#NUM!</v>
      </c>
      <c r="AN154" s="62">
        <f ca="1">AVERAGE(OFFSET($AM$3,0,0,'Données projet'!$E$10+1,1))-AVERAGE(OFFSET($H$3,0,0,'Données projet'!$E$10+1,1))</f>
        <v>428.8489304403459</v>
      </c>
      <c r="AO154" s="62">
        <f t="shared" si="144"/>
        <v>247.01165577562966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0</v>
      </c>
      <c r="AV154" s="23">
        <f>EXP(-LN(2)/25)*AV153+(1-EXP(-LN(2)/25))/(LN(2)/25)*Calculateur!AQ154*Calculateur!AS154*VLOOKUP('Données projet'!$B$10,Paramètres!$A$1:$I$89,3,0)*0.475*44/12</f>
        <v>0</v>
      </c>
      <c r="AW154" s="23">
        <f>EXP(-LN(2)/2)*AW153+(1-EXP(-LN(2)/2))/(LN(2)/2)*AQ154*AT154*VLOOKUP('Données projet'!$B$10,Paramètres!$A$1:$I$89,3,0)*0.475*44/12</f>
        <v>0</v>
      </c>
      <c r="AX154" s="23">
        <f t="shared" ref="AX154:AX203" si="166">SUM(AU154:AW154)</f>
        <v>0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-9.6633812063373625E-13</v>
      </c>
      <c r="BE154" s="14">
        <f>BD154*VLOOKUP('Données projet'!$B$11,Paramètres!$A$1:$I$89,3,0)*VLOOKUP('Données projet'!$B$11,Paramètres!$A$1:$I$89,5,0)</f>
        <v>-9.7986685432260874E-13</v>
      </c>
      <c r="BF154" s="14" t="e">
        <f t="shared" ref="BF154:BF203" si="167">EXP(-1.0587+0.8836*LN(BE154)+0.284)</f>
        <v>#NUM!</v>
      </c>
      <c r="BG154" s="22" t="e">
        <f t="shared" ref="BG154:BG203" si="168">(BE154+BF154)*0.475*44/12</f>
        <v>#NUM!</v>
      </c>
      <c r="BH154" s="62" t="e">
        <f t="shared" si="116"/>
        <v>#NUM!</v>
      </c>
      <c r="BI154" s="62">
        <f ca="1">AVERAGE(OFFSET($BH$3,0,0,'Données projet'!$E$11+1,1))-AVERAGE(OFFSET($H$3,0,0,'Données projet'!$E$11+1,1))</f>
        <v>475.47920969424894</v>
      </c>
      <c r="BJ154" s="62">
        <f t="shared" si="146"/>
        <v>271.73544012419364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>
        <f>EXP(-LN(2)/35)*BP153+(1-EXP(-LN(2)/35))/(LN(2)/35)*BL154*BM154*VLOOKUP('Données projet'!$B$11,Paramètres!$A$1:$I$89,3,0)*0.475*44/12</f>
        <v>0</v>
      </c>
      <c r="BQ154" s="23">
        <f>EXP(-LN(2)/25)*BQ153+(1-EXP(-LN(2)/25))/(LN(2)/25)*Calculateur!BL154*Calculateur!BN154*VLOOKUP('Données projet'!$B$11,Paramètres!$A$1:$I$89,3,0)*0.475*44/12</f>
        <v>0</v>
      </c>
      <c r="BR154" s="23">
        <f>EXP(-LN(2)/2)*BR153+(1-EXP(-LN(2)/2))/(LN(2)/2)*BL154*BO154*VLOOKUP('Données projet'!$B$11,Paramètres!$A$1:$I$89,3,0)*0.475*44/12</f>
        <v>0</v>
      </c>
      <c r="BS154" s="24">
        <f t="shared" ref="BS154:BS203" si="169">SUM(BP154:BR154)</f>
        <v>0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2.2737367544323206E-13</v>
      </c>
      <c r="BZ154" s="14">
        <f>BY154*VLOOKUP('Données projet'!$B$12,Paramètres!$A$1:$I$89,3,0)*VLOOKUP('Données projet'!$B$12,Paramètres!$A$1:$I$89,5,0)</f>
        <v>1.2710188457276673E-13</v>
      </c>
      <c r="CA154" s="14">
        <f t="shared" ref="CA154:CA203" si="170">EXP(-1.0587+0.8836*LN(BZ154)+0.284)</f>
        <v>1.856866851063998E-12</v>
      </c>
      <c r="CB154" s="22">
        <f t="shared" ref="CB154:CB203" si="171">(BZ154+CA154)*0.475*44/12</f>
        <v>3.4554122145673649E-12</v>
      </c>
      <c r="CC154" s="62">
        <f t="shared" si="119"/>
        <v>293.33333333333678</v>
      </c>
      <c r="CD154" s="62">
        <f ca="1">AVERAGE(OFFSET($CC$3,0,0,'Données projet'!$E$12+1,1))-AVERAGE(OFFSET($H$3,0,0,'Données projet'!$E$12+1,1))</f>
        <v>323.98185264074681</v>
      </c>
      <c r="CE154" s="62">
        <f t="shared" si="148"/>
        <v>301.22207291854005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>
        <f>EXP(-LN(2)/35)*CK153+(1-EXP(-LN(2)/35))/(LN(2)/35)*CG154*CH154*VLOOKUP('Données projet'!$B$12,Paramètres!$A$1:$I$89,3,0)*0.475*44/12</f>
        <v>0.40630962573648693</v>
      </c>
      <c r="CL154" s="23">
        <f>EXP(-LN(2)/25)*CL153+(1-EXP(-LN(2)/25))/(LN(2)/25)*Calculateur!CG154*Calculateur!CI154*VLOOKUP('Données projet'!$B$12,Paramètres!$A$1:$I$89,3,0)*0.475*44/12</f>
        <v>0.28795630665025879</v>
      </c>
      <c r="CM154" s="23">
        <f>EXP(-LN(2)/2)*CM153+(1-EXP(-LN(2)/2))/(LN(2)/2)*CG154*CJ154*VLOOKUP('Données projet'!$B$12,Paramètres!$A$1:$I$89,3,0)*0.475*44/12</f>
        <v>3.733757868218436E-18</v>
      </c>
      <c r="CN154" s="24">
        <f t="shared" ref="CN154:CN203" si="172">SUM(CK154:CM154)</f>
        <v>0.69426593238674572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>
        <f>CT154*VLOOKUP('Données projet'!$B$13,Paramètres!$A$1:$I$89,3,0)*VLOOKUP('Données projet'!$B$13,Paramètres!$A$1:$I$89,5,0)</f>
        <v>0</v>
      </c>
      <c r="CV154" s="14" t="e">
        <f t="shared" ref="CV154:CV203" si="173">EXP(-1.0587+0.8836*LN(CU154)+0.284)</f>
        <v>#NUM!</v>
      </c>
      <c r="CW154" s="22" t="e">
        <f t="shared" ref="CW154:CW203" si="174">(CU154+CV154)*0.475*44/12</f>
        <v>#NUM!</v>
      </c>
      <c r="CX154" s="62" t="e">
        <f t="shared" si="122"/>
        <v>#NUM!</v>
      </c>
      <c r="CY154" s="62">
        <f ca="1">AVERAGE(OFFSET($CX$3,0,0,'Données projet'!$E$13+1,1))-AVERAGE(OFFSET($H$3,0,0,'Données projet'!$E$13+1,1))</f>
        <v>399.78832690250164</v>
      </c>
      <c r="CZ154" s="62">
        <f t="shared" si="150"/>
        <v>174.32967064896343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>
        <f>EXP(-LN(2)/35)*DF153+(1-EXP(-LN(2)/35))/(LN(2)/35)*DB154*DC154*VLOOKUP('Données projet'!$B$13,Paramètres!$A$1:$I$89,3,0)*0.475*44/12</f>
        <v>0</v>
      </c>
      <c r="DG154" s="23">
        <f>EXP(-LN(2)/25)*DG153+(1-EXP(-LN(2)/25))/(LN(2)/25)*Calculateur!DB154*Calculateur!DD154*VLOOKUP('Données projet'!$B$13,Paramètres!$A$1:$I$89,3,0)*0.475*44/12</f>
        <v>0</v>
      </c>
      <c r="DH154" s="23">
        <f>EXP(-LN(2)/2)*DH153+(1-EXP(-LN(2)/2))/(LN(2)/2)*DB154*DE154*VLOOKUP('Données projet'!$B$13,Paramètres!$A$1:$I$89,3,0)*0.475*44/12</f>
        <v>0</v>
      </c>
      <c r="DI154" s="24">
        <f t="shared" ref="DI154:DI203" si="175">SUM(DF154:DH154)</f>
        <v>0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-9.6633812063373625E-13</v>
      </c>
      <c r="DP154" s="18">
        <f>DO154*VLOOKUP('Données projet'!$B$14,Paramètres!$A$1:$I$89,3,0)*VLOOKUP('Données projet'!$B$14,Paramètres!$A$1:$I$89,5,0)</f>
        <v>-8.1404323282185943E-13</v>
      </c>
      <c r="DQ154" s="14" t="e">
        <f t="shared" ref="DQ154:DQ203" si="176">EXP(-1.0587+0.8836*LN(DP154)+0.284)</f>
        <v>#NUM!</v>
      </c>
      <c r="DR154" s="22" t="e">
        <f t="shared" ref="DR154:DR203" si="177">(DP154+DQ154)*0.475*44/12</f>
        <v>#NUM!</v>
      </c>
      <c r="DS154" s="62" t="e">
        <f t="shared" si="125"/>
        <v>#NUM!</v>
      </c>
      <c r="DT154" s="62">
        <f ca="1">AVERAGE(OFFSET($DS$3,0,0,'Données projet'!$E$14+1,1))-AVERAGE(OFFSET($H$3,0,0,'Données projet'!$E$14+1,1))</f>
        <v>402.15128814037058</v>
      </c>
      <c r="DU154" s="62">
        <f t="shared" si="152"/>
        <v>232.85411068442738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>
        <f>EXP(-LN(2)/35)*EA153+(1-EXP(-LN(2)/35))/(LN(2)/35)*DW154*DX154*VLOOKUP('Données projet'!$B$14,Paramètres!$A$1:$I$89,3,0)*0.475*44/12</f>
        <v>0</v>
      </c>
      <c r="EB154" s="23">
        <f>EXP(-LN(2)/25)*EB153+(1-EXP(-LN(2)/25))/(LN(2)/25)*Calculateur!DW154*Calculateur!DY154*VLOOKUP('Données projet'!$B$14,Paramètres!$A$1:$I$89,3,0)*0.475*44/12</f>
        <v>0</v>
      </c>
      <c r="EC154" s="23">
        <f>EXP(-LN(2)/2)*EC153+(1-EXP(-LN(2)/2))/(LN(2)/2)*DW154*DZ154*VLOOKUP('Données projet'!$B$14,Paramètres!$A$1:$I$89,3,0)*0.475*44/12</f>
        <v>0</v>
      </c>
      <c r="ED154" s="24">
        <f t="shared" ref="ED154:ED203" si="178">SUM(EA154:EC154)</f>
        <v>0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6.2527760746888816E-13</v>
      </c>
      <c r="EK154" s="18">
        <f>EJ154*VLOOKUP('Données projet'!$B$15,Paramètres!$A$1:$I$89,3,0)*VLOOKUP('Données projet'!$B$15,Paramètres!$A$1:$I$89,5,0)</f>
        <v>6.5354015532648198E-13</v>
      </c>
      <c r="EL154" s="14">
        <f t="shared" ref="EL154:EL203" si="179">EXP(-1.0587+0.8836*LN(EK154)+0.284)</f>
        <v>7.8909019831354483E-12</v>
      </c>
      <c r="EM154" s="22">
        <f t="shared" ref="EM154:EM203" si="180">(EK154+EL154)*0.475*44/12</f>
        <v>1.4881570057821194E-11</v>
      </c>
      <c r="EN154" s="62">
        <f t="shared" si="128"/>
        <v>293.33333333334821</v>
      </c>
      <c r="EO154" s="62">
        <f ca="1">AVERAGE(OFFSET($EN$3,0,0,'Données projet'!$E$15+1,1))-AVERAGE(OFFSET($H$3,0,0,'Données projet'!$E$15+1,1))</f>
        <v>595.89992279024398</v>
      </c>
      <c r="EP154" s="62">
        <f t="shared" si="154"/>
        <v>378.16197659288338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>
        <f>EXP(-LN(2)/35)*EV153+(1-EXP(-LN(2)/35))/(LN(2)/35)*ER154*ES154*VLOOKUP('Données projet'!$B$15,Paramètres!$A$1:$I$89,3,0)*0.475*44/12</f>
        <v>0</v>
      </c>
      <c r="EW154" s="23">
        <f>EXP(-LN(2)/25)*EW153+(1-EXP(-LN(2)/25))/(LN(2)/25)*Calculateur!ER154*Calculateur!ET154*VLOOKUP('Données projet'!$B$15,Paramètres!$A$1:$I$89,3,0)*0.475*44/12</f>
        <v>0</v>
      </c>
      <c r="EX154" s="23">
        <f>EXP(-LN(2)/2)*EX153+(1-EXP(-LN(2)/2))/(LN(2)/2)*ER154*EU154*VLOOKUP('Données projet'!$B$15,Paramètres!$A$1:$I$89,3,0)*0.475*44/12</f>
        <v>0</v>
      </c>
      <c r="EY154" s="24">
        <f t="shared" ref="EY154:EY203" si="181">SUM(EV154:EX154)</f>
        <v>0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-2.2737367544323206E-13</v>
      </c>
      <c r="FF154" s="18">
        <f>FE154*VLOOKUP('Données projet'!$B$16,Paramètres!$A$1:$I$89,3,0)*VLOOKUP('Données projet'!$B$16,Paramètres!$A$1:$I$89,5,0)</f>
        <v>-1.3596945791505279E-13</v>
      </c>
      <c r="FG154" s="14" t="e">
        <f t="shared" ref="FG154:FG203" si="182">EXP(-1.0587+0.8836*LN(FF154)+0.284)</f>
        <v>#NUM!</v>
      </c>
      <c r="FH154" s="22" t="e">
        <f t="shared" ref="FH154:FH203" si="183">(FF154+FG154)*0.475*44/12</f>
        <v>#NUM!</v>
      </c>
      <c r="FI154" s="62" t="e">
        <f t="shared" si="131"/>
        <v>#NUM!</v>
      </c>
      <c r="FJ154" s="62">
        <f ca="1">AVERAGE(OFFSET($FI$3,0,0,'Données projet'!$E$16+1,1))-AVERAGE(OFFSET($H$3,0,0,'Données projet'!$E$16+1,1))</f>
        <v>257.56116197646924</v>
      </c>
      <c r="FK154" s="62">
        <f t="shared" si="156"/>
        <v>269.95556918835888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>
        <f>EXP(-LN(2)/35)*FQ153+(1-EXP(-LN(2)/35))/(LN(2)/35)*FM154*FN154*VLOOKUP('Données projet'!$B$16,Paramètres!$A$1:$I$89,3,0)*0.475*44/12</f>
        <v>1.3276902705544595</v>
      </c>
      <c r="FR154" s="23">
        <f>EXP(-LN(2)/25)*FR153+(1-EXP(-LN(2)/25))/(LN(2)/25)*Calculateur!FM154*Calculateur!FO154*VLOOKUP('Données projet'!$B$16,Paramètres!$A$1:$I$89,3,0)*0.475*44/12</f>
        <v>0.56363899634340753</v>
      </c>
      <c r="FS154" s="23">
        <f>EXP(-LN(2)/2)*FS153+(1-EXP(-LN(2)/2))/(LN(2)/2)*FM154*FP154*VLOOKUP('Données projet'!$B$16,Paramètres!$A$1:$I$89,3,0)*0.475*44/12</f>
        <v>5.2463679186698523E-18</v>
      </c>
      <c r="FT154" s="24">
        <f t="shared" ref="FT154:FT203" si="184">SUM(FQ154:FS154)</f>
        <v>1.8913292668978672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-2.8421709430404007E-13</v>
      </c>
      <c r="GA154" s="18">
        <f>FZ154*VLOOKUP('Données projet'!$B$17,Paramètres!$A$1:$I$89,3,0)*VLOOKUP('Données projet'!$B$17,Paramètres!$A$1:$I$89,5,0)</f>
        <v>-1.69961822393816E-13</v>
      </c>
      <c r="GB154" s="14" t="e">
        <f t="shared" ref="GB154:GB203" si="185">EXP(-1.0587+0.8836*LN(GA154)+0.284)</f>
        <v>#NUM!</v>
      </c>
      <c r="GC154" s="22" t="e">
        <f t="shared" ref="GC154:GC203" si="186">(GA154+GB154)*0.475*44/12</f>
        <v>#NUM!</v>
      </c>
      <c r="GD154" s="62" t="e">
        <f t="shared" si="134"/>
        <v>#NUM!</v>
      </c>
      <c r="GE154" s="62">
        <f ca="1">AVERAGE(OFFSET($GD$3,0,0,'Données projet'!$E$17+1,1))-AVERAGE(OFFSET($H$3,0,0,'Données projet'!$E$17+1,1))</f>
        <v>289.12367833861299</v>
      </c>
      <c r="GF154" s="62">
        <f t="shared" si="158"/>
        <v>229.06617320689003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>
        <f>EXP(-LN(2)/35)*GL153+(1-EXP(-LN(2)/35))/(LN(2)/35)*GH154*GI154*VLOOKUP('Données projet'!$B$17,Paramètres!$A$1:$I$89,3,0)*0.475*44/12</f>
        <v>0</v>
      </c>
      <c r="GM154" s="23">
        <f>EXP(-LN(2)/25)*GM153+(1-EXP(-LN(2)/25))/(LN(2)/25)*Calculateur!GH154*Calculateur!GJ154*VLOOKUP('Données projet'!$B$17,Paramètres!$A$1:$I$89,3,0)*0.475*44/12</f>
        <v>0</v>
      </c>
      <c r="GN154" s="23">
        <f>EXP(-LN(2)/2)*GN153+(1-EXP(-LN(2)/2))/(LN(2)/2)*GH154*GK154*VLOOKUP('Données projet'!$B$17,Paramètres!$A$1:$I$89,3,0)*0.475*44/12</f>
        <v>2.5433259700832431E-18</v>
      </c>
      <c r="GO154" s="23">
        <f t="shared" ref="GO154:GO203" si="187">SUM(GL154:GN154)</f>
        <v>2.5433259700832431E-18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-5.6843418860808015E-14</v>
      </c>
      <c r="GV154" s="18">
        <f>GU154*VLOOKUP('Données projet'!$B$18,Paramètres!$A$1:$I$89,3,0)*VLOOKUP('Données projet'!$B$18,Paramètres!$A$1:$I$89,5,0)</f>
        <v>-2.6602720026858149E-14</v>
      </c>
      <c r="GW154" s="14" t="e">
        <f t="shared" ref="GW154:GW203" si="188">EXP(-1.0587+0.8836*LN(GV154)+0.284)</f>
        <v>#NUM!</v>
      </c>
      <c r="GX154" s="22" t="e">
        <f t="shared" ref="GX154:GX203" si="189">(GV154+GW154)*0.475*44/12</f>
        <v>#NUM!</v>
      </c>
      <c r="GY154" s="62" t="e">
        <f t="shared" si="137"/>
        <v>#NUM!</v>
      </c>
      <c r="GZ154" s="62">
        <f ca="1">AVERAGE(OFFSET($GY$3,0,0,'Données projet'!$E$18+1,1))-AVERAGE(OFFSET($H$3,0,0,'Données projet'!$E$18+1,1))</f>
        <v>284.88646502866419</v>
      </c>
      <c r="HA154" s="62">
        <f t="shared" si="160"/>
        <v>190.4880882944471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>
        <f>EXP(-LN(2)/35)*HG153+(1-EXP(-LN(2)/35))/(LN(2)/35)*HC154*HD154*VLOOKUP('Données projet'!$B$18,Paramètres!$A$1:$I$89,3,0)*0.475*44/12</f>
        <v>0</v>
      </c>
      <c r="HH154" s="23">
        <f>EXP(-LN(2)/25)*HH153+(1-EXP(-LN(2)/25))/(LN(2)/25)*Calculateur!HC154*Calculateur!HE154*VLOOKUP('Données projet'!$B$18,Paramètres!$A$1:$I$89,3,0)*0.475*44/12</f>
        <v>0</v>
      </c>
      <c r="HI154" s="23">
        <f>EXP(-LN(2)/2)*HI153+(1-EXP(-LN(2)/2))/(LN(2)/2)*HC154*HF154*VLOOKUP('Données projet'!$B$18,Paramètres!$A$1:$I$89,3,0)*0.475*44/12</f>
        <v>0</v>
      </c>
      <c r="HJ154" s="24">
        <f t="shared" ref="HJ154:HJ203" si="190">SUM(HG154:HI154)</f>
        <v>0</v>
      </c>
    </row>
    <row r="155" spans="1:218" x14ac:dyDescent="0.25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2">
        <f t="shared" si="140"/>
        <v>0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0</v>
      </c>
      <c r="H155" s="70">
        <f t="shared" si="110"/>
        <v>256.66666666666669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-1.1368683772161603E-13</v>
      </c>
      <c r="O155" s="14">
        <f>N155*VLOOKUP('Données projet'!$B$9,Paramètres!$A$1:$I$89,3,0)*VLOOKUP('Données projet'!$B$9,Paramètres!$A$1:$I$89,5,0)</f>
        <v>-1.0818439477588981E-13</v>
      </c>
      <c r="P155" s="14" t="e">
        <f t="shared" si="141"/>
        <v>#NUM!</v>
      </c>
      <c r="Q155" s="22" t="e">
        <f t="shared" si="162"/>
        <v>#NUM!</v>
      </c>
      <c r="R155" s="62" t="e">
        <f t="shared" si="109"/>
        <v>#NUM!</v>
      </c>
      <c r="S155" s="62">
        <f ca="1">AVERAGE(OFFSET($R$3,0,0,'Données projet'!$E$9+1,1))-AVERAGE(OFFSET($H$3,0,0,'Données projet'!$E$9+1,1))</f>
        <v>367.11183928586667</v>
      </c>
      <c r="T155" s="62">
        <f t="shared" si="142"/>
        <v>281.52963027844595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0</v>
      </c>
      <c r="AA155" s="23">
        <f>EXP(-LN(2)/25)*AA154+(1-EXP(-LN(2)/25))/(LN(2)/25)*Calculateur!V155*Calculateur!X155*VLOOKUP('Données projet'!$B$9,Paramètres!$A$1:$I$89,3,0)*0.475*44/12</f>
        <v>0</v>
      </c>
      <c r="AB155" s="23">
        <f>EXP(-LN(2)/2)*AB154+(1-EXP(-LN(2)/2))/(LN(2)/2)*V155*Y155*VLOOKUP('Données projet'!$B$9,Paramètres!$A$1:$I$89,3,0)*0.475*44/12</f>
        <v>0</v>
      </c>
      <c r="AC155" s="24">
        <f t="shared" si="163"/>
        <v>0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-9.6633812063373625E-13</v>
      </c>
      <c r="AJ155" s="14">
        <f>AI155*VLOOKUP('Données projet'!$B$10,Paramètres!$A$1:$I$89,3,0)*VLOOKUP('Données projet'!$B$10,Paramètres!$A$1:$I$89,5,0)</f>
        <v>-8.7434273154940449E-13</v>
      </c>
      <c r="AK155" s="14" t="e">
        <f t="shared" si="164"/>
        <v>#NUM!</v>
      </c>
      <c r="AL155" s="22" t="e">
        <f t="shared" si="165"/>
        <v>#NUM!</v>
      </c>
      <c r="AM155" s="62" t="e">
        <f t="shared" si="113"/>
        <v>#NUM!</v>
      </c>
      <c r="AN155" s="62">
        <f ca="1">AVERAGE(OFFSET($AM$3,0,0,'Données projet'!$E$10+1,1))-AVERAGE(OFFSET($H$3,0,0,'Données projet'!$E$10+1,1))</f>
        <v>428.8489304403459</v>
      </c>
      <c r="AO155" s="62">
        <f t="shared" si="144"/>
        <v>247.01165577562966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0</v>
      </c>
      <c r="AV155" s="23">
        <f>EXP(-LN(2)/25)*AV154+(1-EXP(-LN(2)/25))/(LN(2)/25)*Calculateur!AQ155*Calculateur!AS155*VLOOKUP('Données projet'!$B$10,Paramètres!$A$1:$I$89,3,0)*0.475*44/12</f>
        <v>0</v>
      </c>
      <c r="AW155" s="23">
        <f>EXP(-LN(2)/2)*AW154+(1-EXP(-LN(2)/2))/(LN(2)/2)*AQ155*AT155*VLOOKUP('Données projet'!$B$10,Paramètres!$A$1:$I$89,3,0)*0.475*44/12</f>
        <v>0</v>
      </c>
      <c r="AX155" s="23">
        <f t="shared" si="166"/>
        <v>0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-9.6633812063373625E-13</v>
      </c>
      <c r="BE155" s="14">
        <f>BD155*VLOOKUP('Données projet'!$B$11,Paramètres!$A$1:$I$89,3,0)*VLOOKUP('Données projet'!$B$11,Paramètres!$A$1:$I$89,5,0)</f>
        <v>-9.7986685432260874E-13</v>
      </c>
      <c r="BF155" s="14" t="e">
        <f t="shared" si="167"/>
        <v>#NUM!</v>
      </c>
      <c r="BG155" s="22" t="e">
        <f t="shared" si="168"/>
        <v>#NUM!</v>
      </c>
      <c r="BH155" s="62" t="e">
        <f t="shared" si="116"/>
        <v>#NUM!</v>
      </c>
      <c r="BI155" s="62">
        <f ca="1">AVERAGE(OFFSET($BH$3,0,0,'Données projet'!$E$11+1,1))-AVERAGE(OFFSET($H$3,0,0,'Données projet'!$E$11+1,1))</f>
        <v>475.47920969424894</v>
      </c>
      <c r="BJ155" s="62">
        <f t="shared" si="146"/>
        <v>271.73544012419364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>
        <f>EXP(-LN(2)/35)*BP154+(1-EXP(-LN(2)/35))/(LN(2)/35)*BL155*BM155*VLOOKUP('Données projet'!$B$11,Paramètres!$A$1:$I$89,3,0)*0.475*44/12</f>
        <v>0</v>
      </c>
      <c r="BQ155" s="23">
        <f>EXP(-LN(2)/25)*BQ154+(1-EXP(-LN(2)/25))/(LN(2)/25)*Calculateur!BL155*Calculateur!BN155*VLOOKUP('Données projet'!$B$11,Paramètres!$A$1:$I$89,3,0)*0.475*44/12</f>
        <v>0</v>
      </c>
      <c r="BR155" s="23">
        <f>EXP(-LN(2)/2)*BR154+(1-EXP(-LN(2)/2))/(LN(2)/2)*BL155*BO155*VLOOKUP('Données projet'!$B$11,Paramètres!$A$1:$I$89,3,0)*0.475*44/12</f>
        <v>0</v>
      </c>
      <c r="BS155" s="24">
        <f t="shared" si="169"/>
        <v>0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2.2737367544323206E-13</v>
      </c>
      <c r="BZ155" s="14">
        <f>BY155*VLOOKUP('Données projet'!$B$12,Paramètres!$A$1:$I$89,3,0)*VLOOKUP('Données projet'!$B$12,Paramètres!$A$1:$I$89,5,0)</f>
        <v>1.2710188457276673E-13</v>
      </c>
      <c r="CA155" s="14">
        <f t="shared" si="170"/>
        <v>1.856866851063998E-12</v>
      </c>
      <c r="CB155" s="22">
        <f t="shared" si="171"/>
        <v>3.4554122145673649E-12</v>
      </c>
      <c r="CC155" s="62">
        <f t="shared" si="119"/>
        <v>293.33333333333678</v>
      </c>
      <c r="CD155" s="62">
        <f ca="1">AVERAGE(OFFSET($CC$3,0,0,'Données projet'!$E$12+1,1))-AVERAGE(OFFSET($H$3,0,0,'Données projet'!$E$12+1,1))</f>
        <v>323.98185264074681</v>
      </c>
      <c r="CE155" s="62">
        <f t="shared" si="148"/>
        <v>301.22207291854005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>
        <f>EXP(-LN(2)/35)*CK154+(1-EXP(-LN(2)/35))/(LN(2)/35)*CG155*CH155*VLOOKUP('Données projet'!$B$12,Paramètres!$A$1:$I$89,3,0)*0.475*44/12</f>
        <v>0.3983421418001955</v>
      </c>
      <c r="CL155" s="23">
        <f>EXP(-LN(2)/25)*CL154+(1-EXP(-LN(2)/25))/(LN(2)/25)*Calculateur!CG155*Calculateur!CI155*VLOOKUP('Données projet'!$B$12,Paramètres!$A$1:$I$89,3,0)*0.475*44/12</f>
        <v>0.2800821263019434</v>
      </c>
      <c r="CM155" s="23">
        <f>EXP(-LN(2)/2)*CM154+(1-EXP(-LN(2)/2))/(LN(2)/2)*CG155*CJ155*VLOOKUP('Données projet'!$B$12,Paramètres!$A$1:$I$89,3,0)*0.475*44/12</f>
        <v>2.6401655079258838E-18</v>
      </c>
      <c r="CN155" s="24">
        <f t="shared" si="172"/>
        <v>0.67842426810213885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>
        <f>CT155*VLOOKUP('Données projet'!$B$13,Paramètres!$A$1:$I$89,3,0)*VLOOKUP('Données projet'!$B$13,Paramètres!$A$1:$I$89,5,0)</f>
        <v>0</v>
      </c>
      <c r="CV155" s="14" t="e">
        <f t="shared" si="173"/>
        <v>#NUM!</v>
      </c>
      <c r="CW155" s="22" t="e">
        <f t="shared" si="174"/>
        <v>#NUM!</v>
      </c>
      <c r="CX155" s="62" t="e">
        <f t="shared" si="122"/>
        <v>#NUM!</v>
      </c>
      <c r="CY155" s="62">
        <f ca="1">AVERAGE(OFFSET($CX$3,0,0,'Données projet'!$E$13+1,1))-AVERAGE(OFFSET($H$3,0,0,'Données projet'!$E$13+1,1))</f>
        <v>399.78832690250164</v>
      </c>
      <c r="CZ155" s="62">
        <f t="shared" si="150"/>
        <v>174.32967064896343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>
        <f>EXP(-LN(2)/35)*DF154+(1-EXP(-LN(2)/35))/(LN(2)/35)*DB155*DC155*VLOOKUP('Données projet'!$B$13,Paramètres!$A$1:$I$89,3,0)*0.475*44/12</f>
        <v>0</v>
      </c>
      <c r="DG155" s="23">
        <f>EXP(-LN(2)/25)*DG154+(1-EXP(-LN(2)/25))/(LN(2)/25)*Calculateur!DB155*Calculateur!DD155*VLOOKUP('Données projet'!$B$13,Paramètres!$A$1:$I$89,3,0)*0.475*44/12</f>
        <v>0</v>
      </c>
      <c r="DH155" s="23">
        <f>EXP(-LN(2)/2)*DH154+(1-EXP(-LN(2)/2))/(LN(2)/2)*DB155*DE155*VLOOKUP('Données projet'!$B$13,Paramètres!$A$1:$I$89,3,0)*0.475*44/12</f>
        <v>0</v>
      </c>
      <c r="DI155" s="24">
        <f t="shared" si="175"/>
        <v>0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-9.6633812063373625E-13</v>
      </c>
      <c r="DP155" s="18">
        <f>DO155*VLOOKUP('Données projet'!$B$14,Paramètres!$A$1:$I$89,3,0)*VLOOKUP('Données projet'!$B$14,Paramètres!$A$1:$I$89,5,0)</f>
        <v>-8.1404323282185943E-13</v>
      </c>
      <c r="DQ155" s="14" t="e">
        <f t="shared" si="176"/>
        <v>#NUM!</v>
      </c>
      <c r="DR155" s="22" t="e">
        <f t="shared" si="177"/>
        <v>#NUM!</v>
      </c>
      <c r="DS155" s="62" t="e">
        <f t="shared" si="125"/>
        <v>#NUM!</v>
      </c>
      <c r="DT155" s="62">
        <f ca="1">AVERAGE(OFFSET($DS$3,0,0,'Données projet'!$E$14+1,1))-AVERAGE(OFFSET($H$3,0,0,'Données projet'!$E$14+1,1))</f>
        <v>402.15128814037058</v>
      </c>
      <c r="DU155" s="62">
        <f t="shared" si="152"/>
        <v>232.85411068442738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>
        <f>EXP(-LN(2)/35)*EA154+(1-EXP(-LN(2)/35))/(LN(2)/35)*DW155*DX155*VLOOKUP('Données projet'!$B$14,Paramètres!$A$1:$I$89,3,0)*0.475*44/12</f>
        <v>0</v>
      </c>
      <c r="EB155" s="23">
        <f>EXP(-LN(2)/25)*EB154+(1-EXP(-LN(2)/25))/(LN(2)/25)*Calculateur!DW155*Calculateur!DY155*VLOOKUP('Données projet'!$B$14,Paramètres!$A$1:$I$89,3,0)*0.475*44/12</f>
        <v>0</v>
      </c>
      <c r="EC155" s="23">
        <f>EXP(-LN(2)/2)*EC154+(1-EXP(-LN(2)/2))/(LN(2)/2)*DW155*DZ155*VLOOKUP('Données projet'!$B$14,Paramètres!$A$1:$I$89,3,0)*0.475*44/12</f>
        <v>0</v>
      </c>
      <c r="ED155" s="24">
        <f t="shared" si="178"/>
        <v>0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6.2527760746888816E-13</v>
      </c>
      <c r="EK155" s="18">
        <f>EJ155*VLOOKUP('Données projet'!$B$15,Paramètres!$A$1:$I$89,3,0)*VLOOKUP('Données projet'!$B$15,Paramètres!$A$1:$I$89,5,0)</f>
        <v>6.5354015532648198E-13</v>
      </c>
      <c r="EL155" s="14">
        <f t="shared" si="179"/>
        <v>7.8909019831354483E-12</v>
      </c>
      <c r="EM155" s="22">
        <f t="shared" si="180"/>
        <v>1.4881570057821194E-11</v>
      </c>
      <c r="EN155" s="62">
        <f t="shared" si="128"/>
        <v>293.33333333334821</v>
      </c>
      <c r="EO155" s="62">
        <f ca="1">AVERAGE(OFFSET($EN$3,0,0,'Données projet'!$E$15+1,1))-AVERAGE(OFFSET($H$3,0,0,'Données projet'!$E$15+1,1))</f>
        <v>595.89992279024398</v>
      </c>
      <c r="EP155" s="62">
        <f t="shared" si="154"/>
        <v>378.16197659288338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>
        <f>EXP(-LN(2)/35)*EV154+(1-EXP(-LN(2)/35))/(LN(2)/35)*ER155*ES155*VLOOKUP('Données projet'!$B$15,Paramètres!$A$1:$I$89,3,0)*0.475*44/12</f>
        <v>0</v>
      </c>
      <c r="EW155" s="23">
        <f>EXP(-LN(2)/25)*EW154+(1-EXP(-LN(2)/25))/(LN(2)/25)*Calculateur!ER155*Calculateur!ET155*VLOOKUP('Données projet'!$B$15,Paramètres!$A$1:$I$89,3,0)*0.475*44/12</f>
        <v>0</v>
      </c>
      <c r="EX155" s="23">
        <f>EXP(-LN(2)/2)*EX154+(1-EXP(-LN(2)/2))/(LN(2)/2)*ER155*EU155*VLOOKUP('Données projet'!$B$15,Paramètres!$A$1:$I$89,3,0)*0.475*44/12</f>
        <v>0</v>
      </c>
      <c r="EY155" s="24">
        <f t="shared" si="181"/>
        <v>0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-2.2737367544323206E-13</v>
      </c>
      <c r="FF155" s="18">
        <f>FE155*VLOOKUP('Données projet'!$B$16,Paramètres!$A$1:$I$89,3,0)*VLOOKUP('Données projet'!$B$16,Paramètres!$A$1:$I$89,5,0)</f>
        <v>-1.3596945791505279E-13</v>
      </c>
      <c r="FG155" s="14" t="e">
        <f t="shared" si="182"/>
        <v>#NUM!</v>
      </c>
      <c r="FH155" s="22" t="e">
        <f t="shared" si="183"/>
        <v>#NUM!</v>
      </c>
      <c r="FI155" s="62" t="e">
        <f t="shared" si="131"/>
        <v>#NUM!</v>
      </c>
      <c r="FJ155" s="62">
        <f ca="1">AVERAGE(OFFSET($FI$3,0,0,'Données projet'!$E$16+1,1))-AVERAGE(OFFSET($H$3,0,0,'Données projet'!$E$16+1,1))</f>
        <v>257.56116197646924</v>
      </c>
      <c r="FK155" s="62">
        <f t="shared" si="156"/>
        <v>269.95556918835888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>
        <f>EXP(-LN(2)/35)*FQ154+(1-EXP(-LN(2)/35))/(LN(2)/35)*FM155*FN155*VLOOKUP('Données projet'!$B$16,Paramètres!$A$1:$I$89,3,0)*0.475*44/12</f>
        <v>1.3016550741599895</v>
      </c>
      <c r="FR155" s="23">
        <f>EXP(-LN(2)/25)*FR154+(1-EXP(-LN(2)/25))/(LN(2)/25)*Calculateur!FM155*Calculateur!FO155*VLOOKUP('Données projet'!$B$16,Paramètres!$A$1:$I$89,3,0)*0.475*44/12</f>
        <v>0.5482262583479105</v>
      </c>
      <c r="FS155" s="23">
        <f>EXP(-LN(2)/2)*FS154+(1-EXP(-LN(2)/2))/(LN(2)/2)*FM155*FP155*VLOOKUP('Données projet'!$B$16,Paramètres!$A$1:$I$89,3,0)*0.475*44/12</f>
        <v>3.7097423318910059E-18</v>
      </c>
      <c r="FT155" s="24">
        <f t="shared" si="184"/>
        <v>1.8498813325079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-2.8421709430404007E-13</v>
      </c>
      <c r="GA155" s="18">
        <f>FZ155*VLOOKUP('Données projet'!$B$17,Paramètres!$A$1:$I$89,3,0)*VLOOKUP('Données projet'!$B$17,Paramètres!$A$1:$I$89,5,0)</f>
        <v>-1.69961822393816E-13</v>
      </c>
      <c r="GB155" s="14" t="e">
        <f t="shared" si="185"/>
        <v>#NUM!</v>
      </c>
      <c r="GC155" s="22" t="e">
        <f t="shared" si="186"/>
        <v>#NUM!</v>
      </c>
      <c r="GD155" s="62" t="e">
        <f t="shared" si="134"/>
        <v>#NUM!</v>
      </c>
      <c r="GE155" s="62">
        <f ca="1">AVERAGE(OFFSET($GD$3,0,0,'Données projet'!$E$17+1,1))-AVERAGE(OFFSET($H$3,0,0,'Données projet'!$E$17+1,1))</f>
        <v>289.12367833861299</v>
      </c>
      <c r="GF155" s="62">
        <f t="shared" si="158"/>
        <v>229.06617320689003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>
        <f>EXP(-LN(2)/35)*GL154+(1-EXP(-LN(2)/35))/(LN(2)/35)*GH155*GI155*VLOOKUP('Données projet'!$B$17,Paramètres!$A$1:$I$89,3,0)*0.475*44/12</f>
        <v>0</v>
      </c>
      <c r="GM155" s="23">
        <f>EXP(-LN(2)/25)*GM154+(1-EXP(-LN(2)/25))/(LN(2)/25)*Calculateur!GH155*Calculateur!GJ155*VLOOKUP('Données projet'!$B$17,Paramètres!$A$1:$I$89,3,0)*0.475*44/12</f>
        <v>0</v>
      </c>
      <c r="GN155" s="23">
        <f>EXP(-LN(2)/2)*GN154+(1-EXP(-LN(2)/2))/(LN(2)/2)*GH155*GK155*VLOOKUP('Données projet'!$B$17,Paramètres!$A$1:$I$89,3,0)*0.475*44/12</f>
        <v>1.7984030402137154E-18</v>
      </c>
      <c r="GO155" s="23">
        <f t="shared" si="187"/>
        <v>1.7984030402137154E-18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-5.6843418860808015E-14</v>
      </c>
      <c r="GV155" s="18">
        <f>GU155*VLOOKUP('Données projet'!$B$18,Paramètres!$A$1:$I$89,3,0)*VLOOKUP('Données projet'!$B$18,Paramètres!$A$1:$I$89,5,0)</f>
        <v>-2.6602720026858149E-14</v>
      </c>
      <c r="GW155" s="14" t="e">
        <f t="shared" si="188"/>
        <v>#NUM!</v>
      </c>
      <c r="GX155" s="22" t="e">
        <f t="shared" si="189"/>
        <v>#NUM!</v>
      </c>
      <c r="GY155" s="62" t="e">
        <f t="shared" si="137"/>
        <v>#NUM!</v>
      </c>
      <c r="GZ155" s="62">
        <f ca="1">AVERAGE(OFFSET($GY$3,0,0,'Données projet'!$E$18+1,1))-AVERAGE(OFFSET($H$3,0,0,'Données projet'!$E$18+1,1))</f>
        <v>284.88646502866419</v>
      </c>
      <c r="HA155" s="62">
        <f t="shared" si="160"/>
        <v>190.4880882944471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>
        <f>EXP(-LN(2)/35)*HG154+(1-EXP(-LN(2)/35))/(LN(2)/35)*HC155*HD155*VLOOKUP('Données projet'!$B$18,Paramètres!$A$1:$I$89,3,0)*0.475*44/12</f>
        <v>0</v>
      </c>
      <c r="HH155" s="23">
        <f>EXP(-LN(2)/25)*HH154+(1-EXP(-LN(2)/25))/(LN(2)/25)*Calculateur!HC155*Calculateur!HE155*VLOOKUP('Données projet'!$B$18,Paramètres!$A$1:$I$89,3,0)*0.475*44/12</f>
        <v>0</v>
      </c>
      <c r="HI155" s="23">
        <f>EXP(-LN(2)/2)*HI154+(1-EXP(-LN(2)/2))/(LN(2)/2)*HC155*HF155*VLOOKUP('Données projet'!$B$18,Paramètres!$A$1:$I$89,3,0)*0.475*44/12</f>
        <v>0</v>
      </c>
      <c r="HJ155" s="24">
        <f t="shared" si="190"/>
        <v>0</v>
      </c>
    </row>
    <row r="156" spans="1:218" x14ac:dyDescent="0.25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2">
        <f t="shared" si="140"/>
        <v>0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0</v>
      </c>
      <c r="H156" s="70">
        <f t="shared" si="110"/>
        <v>256.66666666666669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-1.1368683772161603E-13</v>
      </c>
      <c r="O156" s="14">
        <f>N156*VLOOKUP('Données projet'!$B$9,Paramètres!$A$1:$I$89,3,0)*VLOOKUP('Données projet'!$B$9,Paramètres!$A$1:$I$89,5,0)</f>
        <v>-1.0818439477588981E-13</v>
      </c>
      <c r="P156" s="14" t="e">
        <f t="shared" si="141"/>
        <v>#NUM!</v>
      </c>
      <c r="Q156" s="22" t="e">
        <f t="shared" si="162"/>
        <v>#NUM!</v>
      </c>
      <c r="R156" s="62" t="e">
        <f t="shared" si="109"/>
        <v>#NUM!</v>
      </c>
      <c r="S156" s="62">
        <f ca="1">AVERAGE(OFFSET($R$3,0,0,'Données projet'!$E$9+1,1))-AVERAGE(OFFSET($H$3,0,0,'Données projet'!$E$9+1,1))</f>
        <v>367.11183928586667</v>
      </c>
      <c r="T156" s="62">
        <f t="shared" si="142"/>
        <v>281.52963027844595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0</v>
      </c>
      <c r="AA156" s="23">
        <f>EXP(-LN(2)/25)*AA155+(1-EXP(-LN(2)/25))/(LN(2)/25)*Calculateur!V156*Calculateur!X156*VLOOKUP('Données projet'!$B$9,Paramètres!$A$1:$I$89,3,0)*0.475*44/12</f>
        <v>0</v>
      </c>
      <c r="AB156" s="23">
        <f>EXP(-LN(2)/2)*AB155+(1-EXP(-LN(2)/2))/(LN(2)/2)*V156*Y156*VLOOKUP('Données projet'!$B$9,Paramètres!$A$1:$I$89,3,0)*0.475*44/12</f>
        <v>0</v>
      </c>
      <c r="AC156" s="24">
        <f t="shared" si="163"/>
        <v>0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-9.6633812063373625E-13</v>
      </c>
      <c r="AJ156" s="14">
        <f>AI156*VLOOKUP('Données projet'!$B$10,Paramètres!$A$1:$I$89,3,0)*VLOOKUP('Données projet'!$B$10,Paramètres!$A$1:$I$89,5,0)</f>
        <v>-8.7434273154940449E-13</v>
      </c>
      <c r="AK156" s="14" t="e">
        <f t="shared" si="164"/>
        <v>#NUM!</v>
      </c>
      <c r="AL156" s="22" t="e">
        <f t="shared" si="165"/>
        <v>#NUM!</v>
      </c>
      <c r="AM156" s="62" t="e">
        <f t="shared" si="113"/>
        <v>#NUM!</v>
      </c>
      <c r="AN156" s="62">
        <f ca="1">AVERAGE(OFFSET($AM$3,0,0,'Données projet'!$E$10+1,1))-AVERAGE(OFFSET($H$3,0,0,'Données projet'!$E$10+1,1))</f>
        <v>428.8489304403459</v>
      </c>
      <c r="AO156" s="62">
        <f t="shared" si="144"/>
        <v>247.01165577562966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0</v>
      </c>
      <c r="AV156" s="23">
        <f>EXP(-LN(2)/25)*AV155+(1-EXP(-LN(2)/25))/(LN(2)/25)*Calculateur!AQ156*Calculateur!AS156*VLOOKUP('Données projet'!$B$10,Paramètres!$A$1:$I$89,3,0)*0.475*44/12</f>
        <v>0</v>
      </c>
      <c r="AW156" s="23">
        <f>EXP(-LN(2)/2)*AW155+(1-EXP(-LN(2)/2))/(LN(2)/2)*AQ156*AT156*VLOOKUP('Données projet'!$B$10,Paramètres!$A$1:$I$89,3,0)*0.475*44/12</f>
        <v>0</v>
      </c>
      <c r="AX156" s="23">
        <f t="shared" si="166"/>
        <v>0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-9.6633812063373625E-13</v>
      </c>
      <c r="BE156" s="14">
        <f>BD156*VLOOKUP('Données projet'!$B$11,Paramètres!$A$1:$I$89,3,0)*VLOOKUP('Données projet'!$B$11,Paramètres!$A$1:$I$89,5,0)</f>
        <v>-9.7986685432260874E-13</v>
      </c>
      <c r="BF156" s="14" t="e">
        <f t="shared" si="167"/>
        <v>#NUM!</v>
      </c>
      <c r="BG156" s="22" t="e">
        <f t="shared" si="168"/>
        <v>#NUM!</v>
      </c>
      <c r="BH156" s="62" t="e">
        <f t="shared" si="116"/>
        <v>#NUM!</v>
      </c>
      <c r="BI156" s="62">
        <f ca="1">AVERAGE(OFFSET($BH$3,0,0,'Données projet'!$E$11+1,1))-AVERAGE(OFFSET($H$3,0,0,'Données projet'!$E$11+1,1))</f>
        <v>475.47920969424894</v>
      </c>
      <c r="BJ156" s="62">
        <f t="shared" si="146"/>
        <v>271.73544012419364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>
        <f>EXP(-LN(2)/35)*BP155+(1-EXP(-LN(2)/35))/(LN(2)/35)*BL156*BM156*VLOOKUP('Données projet'!$B$11,Paramètres!$A$1:$I$89,3,0)*0.475*44/12</f>
        <v>0</v>
      </c>
      <c r="BQ156" s="23">
        <f>EXP(-LN(2)/25)*BQ155+(1-EXP(-LN(2)/25))/(LN(2)/25)*Calculateur!BL156*Calculateur!BN156*VLOOKUP('Données projet'!$B$11,Paramètres!$A$1:$I$89,3,0)*0.475*44/12</f>
        <v>0</v>
      </c>
      <c r="BR156" s="23">
        <f>EXP(-LN(2)/2)*BR155+(1-EXP(-LN(2)/2))/(LN(2)/2)*BL156*BO156*VLOOKUP('Données projet'!$B$11,Paramètres!$A$1:$I$89,3,0)*0.475*44/12</f>
        <v>0</v>
      </c>
      <c r="BS156" s="24">
        <f t="shared" si="169"/>
        <v>0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2.2737367544323206E-13</v>
      </c>
      <c r="BZ156" s="14">
        <f>BY156*VLOOKUP('Données projet'!$B$12,Paramètres!$A$1:$I$89,3,0)*VLOOKUP('Données projet'!$B$12,Paramètres!$A$1:$I$89,5,0)</f>
        <v>1.2710188457276673E-13</v>
      </c>
      <c r="CA156" s="14">
        <f t="shared" si="170"/>
        <v>1.856866851063998E-12</v>
      </c>
      <c r="CB156" s="22">
        <f t="shared" si="171"/>
        <v>3.4554122145673649E-12</v>
      </c>
      <c r="CC156" s="62">
        <f t="shared" si="119"/>
        <v>293.33333333333678</v>
      </c>
      <c r="CD156" s="62">
        <f ca="1">AVERAGE(OFFSET($CC$3,0,0,'Données projet'!$E$12+1,1))-AVERAGE(OFFSET($H$3,0,0,'Données projet'!$E$12+1,1))</f>
        <v>323.98185264074681</v>
      </c>
      <c r="CE156" s="62">
        <f t="shared" si="148"/>
        <v>301.22207291854005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>
        <f>EXP(-LN(2)/35)*CK155+(1-EXP(-LN(2)/35))/(LN(2)/35)*CG156*CH156*VLOOKUP('Données projet'!$B$12,Paramètres!$A$1:$I$89,3,0)*0.475*44/12</f>
        <v>0.39053089536420937</v>
      </c>
      <c r="CL156" s="23">
        <f>EXP(-LN(2)/25)*CL155+(1-EXP(-LN(2)/25))/(LN(2)/25)*Calculateur!CG156*Calculateur!CI156*VLOOKUP('Données projet'!$B$12,Paramètres!$A$1:$I$89,3,0)*0.475*44/12</f>
        <v>0.27242326582933785</v>
      </c>
      <c r="CM156" s="23">
        <f>EXP(-LN(2)/2)*CM155+(1-EXP(-LN(2)/2))/(LN(2)/2)*CG156*CJ156*VLOOKUP('Données projet'!$B$12,Paramètres!$A$1:$I$89,3,0)*0.475*44/12</f>
        <v>1.866878934109218E-18</v>
      </c>
      <c r="CN156" s="24">
        <f t="shared" si="172"/>
        <v>0.66295416119354722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>
        <f>CT156*VLOOKUP('Données projet'!$B$13,Paramètres!$A$1:$I$89,3,0)*VLOOKUP('Données projet'!$B$13,Paramètres!$A$1:$I$89,5,0)</f>
        <v>0</v>
      </c>
      <c r="CV156" s="14" t="e">
        <f t="shared" si="173"/>
        <v>#NUM!</v>
      </c>
      <c r="CW156" s="22" t="e">
        <f t="shared" si="174"/>
        <v>#NUM!</v>
      </c>
      <c r="CX156" s="62" t="e">
        <f t="shared" si="122"/>
        <v>#NUM!</v>
      </c>
      <c r="CY156" s="62">
        <f ca="1">AVERAGE(OFFSET($CX$3,0,0,'Données projet'!$E$13+1,1))-AVERAGE(OFFSET($H$3,0,0,'Données projet'!$E$13+1,1))</f>
        <v>399.78832690250164</v>
      </c>
      <c r="CZ156" s="62">
        <f t="shared" si="150"/>
        <v>174.32967064896343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>
        <f>EXP(-LN(2)/35)*DF155+(1-EXP(-LN(2)/35))/(LN(2)/35)*DB156*DC156*VLOOKUP('Données projet'!$B$13,Paramètres!$A$1:$I$89,3,0)*0.475*44/12</f>
        <v>0</v>
      </c>
      <c r="DG156" s="23">
        <f>EXP(-LN(2)/25)*DG155+(1-EXP(-LN(2)/25))/(LN(2)/25)*Calculateur!DB156*Calculateur!DD156*VLOOKUP('Données projet'!$B$13,Paramètres!$A$1:$I$89,3,0)*0.475*44/12</f>
        <v>0</v>
      </c>
      <c r="DH156" s="23">
        <f>EXP(-LN(2)/2)*DH155+(1-EXP(-LN(2)/2))/(LN(2)/2)*DB156*DE156*VLOOKUP('Données projet'!$B$13,Paramètres!$A$1:$I$89,3,0)*0.475*44/12</f>
        <v>0</v>
      </c>
      <c r="DI156" s="24">
        <f t="shared" si="175"/>
        <v>0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-9.6633812063373625E-13</v>
      </c>
      <c r="DP156" s="18">
        <f>DO156*VLOOKUP('Données projet'!$B$14,Paramètres!$A$1:$I$89,3,0)*VLOOKUP('Données projet'!$B$14,Paramètres!$A$1:$I$89,5,0)</f>
        <v>-8.1404323282185943E-13</v>
      </c>
      <c r="DQ156" s="14" t="e">
        <f t="shared" si="176"/>
        <v>#NUM!</v>
      </c>
      <c r="DR156" s="22" t="e">
        <f t="shared" si="177"/>
        <v>#NUM!</v>
      </c>
      <c r="DS156" s="62" t="e">
        <f t="shared" si="125"/>
        <v>#NUM!</v>
      </c>
      <c r="DT156" s="62">
        <f ca="1">AVERAGE(OFFSET($DS$3,0,0,'Données projet'!$E$14+1,1))-AVERAGE(OFFSET($H$3,0,0,'Données projet'!$E$14+1,1))</f>
        <v>402.15128814037058</v>
      </c>
      <c r="DU156" s="62">
        <f t="shared" si="152"/>
        <v>232.85411068442738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>
        <f>EXP(-LN(2)/35)*EA155+(1-EXP(-LN(2)/35))/(LN(2)/35)*DW156*DX156*VLOOKUP('Données projet'!$B$14,Paramètres!$A$1:$I$89,3,0)*0.475*44/12</f>
        <v>0</v>
      </c>
      <c r="EB156" s="23">
        <f>EXP(-LN(2)/25)*EB155+(1-EXP(-LN(2)/25))/(LN(2)/25)*Calculateur!DW156*Calculateur!DY156*VLOOKUP('Données projet'!$B$14,Paramètres!$A$1:$I$89,3,0)*0.475*44/12</f>
        <v>0</v>
      </c>
      <c r="EC156" s="23">
        <f>EXP(-LN(2)/2)*EC155+(1-EXP(-LN(2)/2))/(LN(2)/2)*DW156*DZ156*VLOOKUP('Données projet'!$B$14,Paramètres!$A$1:$I$89,3,0)*0.475*44/12</f>
        <v>0</v>
      </c>
      <c r="ED156" s="24">
        <f t="shared" si="178"/>
        <v>0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6.2527760746888816E-13</v>
      </c>
      <c r="EK156" s="18">
        <f>EJ156*VLOOKUP('Données projet'!$B$15,Paramètres!$A$1:$I$89,3,0)*VLOOKUP('Données projet'!$B$15,Paramètres!$A$1:$I$89,5,0)</f>
        <v>6.5354015532648198E-13</v>
      </c>
      <c r="EL156" s="14">
        <f t="shared" si="179"/>
        <v>7.8909019831354483E-12</v>
      </c>
      <c r="EM156" s="22">
        <f t="shared" si="180"/>
        <v>1.4881570057821194E-11</v>
      </c>
      <c r="EN156" s="62">
        <f t="shared" si="128"/>
        <v>293.33333333334821</v>
      </c>
      <c r="EO156" s="62">
        <f ca="1">AVERAGE(OFFSET($EN$3,0,0,'Données projet'!$E$15+1,1))-AVERAGE(OFFSET($H$3,0,0,'Données projet'!$E$15+1,1))</f>
        <v>595.89992279024398</v>
      </c>
      <c r="EP156" s="62">
        <f t="shared" si="154"/>
        <v>378.16197659288338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>
        <f>EXP(-LN(2)/35)*EV155+(1-EXP(-LN(2)/35))/(LN(2)/35)*ER156*ES156*VLOOKUP('Données projet'!$B$15,Paramètres!$A$1:$I$89,3,0)*0.475*44/12</f>
        <v>0</v>
      </c>
      <c r="EW156" s="23">
        <f>EXP(-LN(2)/25)*EW155+(1-EXP(-LN(2)/25))/(LN(2)/25)*Calculateur!ER156*Calculateur!ET156*VLOOKUP('Données projet'!$B$15,Paramètres!$A$1:$I$89,3,0)*0.475*44/12</f>
        <v>0</v>
      </c>
      <c r="EX156" s="23">
        <f>EXP(-LN(2)/2)*EX155+(1-EXP(-LN(2)/2))/(LN(2)/2)*ER156*EU156*VLOOKUP('Données projet'!$B$15,Paramètres!$A$1:$I$89,3,0)*0.475*44/12</f>
        <v>0</v>
      </c>
      <c r="EY156" s="24">
        <f t="shared" si="181"/>
        <v>0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-2.2737367544323206E-13</v>
      </c>
      <c r="FF156" s="18">
        <f>FE156*VLOOKUP('Données projet'!$B$16,Paramètres!$A$1:$I$89,3,0)*VLOOKUP('Données projet'!$B$16,Paramètres!$A$1:$I$89,5,0)</f>
        <v>-1.3596945791505279E-13</v>
      </c>
      <c r="FG156" s="14" t="e">
        <f t="shared" si="182"/>
        <v>#NUM!</v>
      </c>
      <c r="FH156" s="22" t="e">
        <f t="shared" si="183"/>
        <v>#NUM!</v>
      </c>
      <c r="FI156" s="62" t="e">
        <f t="shared" si="131"/>
        <v>#NUM!</v>
      </c>
      <c r="FJ156" s="62">
        <f ca="1">AVERAGE(OFFSET($FI$3,0,0,'Données projet'!$E$16+1,1))-AVERAGE(OFFSET($H$3,0,0,'Données projet'!$E$16+1,1))</f>
        <v>257.56116197646924</v>
      </c>
      <c r="FK156" s="62">
        <f t="shared" si="156"/>
        <v>269.95556918835888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>
        <f>EXP(-LN(2)/35)*FQ155+(1-EXP(-LN(2)/35))/(LN(2)/35)*FM156*FN156*VLOOKUP('Données projet'!$B$16,Paramètres!$A$1:$I$89,3,0)*0.475*44/12</f>
        <v>1.2761304120869132</v>
      </c>
      <c r="FR156" s="23">
        <f>EXP(-LN(2)/25)*FR155+(1-EXP(-LN(2)/25))/(LN(2)/25)*Calculateur!FM156*Calculateur!FO156*VLOOKUP('Données projet'!$B$16,Paramètres!$A$1:$I$89,3,0)*0.475*44/12</f>
        <v>0.53323498248342094</v>
      </c>
      <c r="FS156" s="23">
        <f>EXP(-LN(2)/2)*FS155+(1-EXP(-LN(2)/2))/(LN(2)/2)*FM156*FP156*VLOOKUP('Données projet'!$B$16,Paramètres!$A$1:$I$89,3,0)*0.475*44/12</f>
        <v>2.6231839593349261E-18</v>
      </c>
      <c r="FT156" s="24">
        <f t="shared" si="184"/>
        <v>1.8093653945703343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-2.8421709430404007E-13</v>
      </c>
      <c r="GA156" s="18">
        <f>FZ156*VLOOKUP('Données projet'!$B$17,Paramètres!$A$1:$I$89,3,0)*VLOOKUP('Données projet'!$B$17,Paramètres!$A$1:$I$89,5,0)</f>
        <v>-1.69961822393816E-13</v>
      </c>
      <c r="GB156" s="14" t="e">
        <f t="shared" si="185"/>
        <v>#NUM!</v>
      </c>
      <c r="GC156" s="22" t="e">
        <f t="shared" si="186"/>
        <v>#NUM!</v>
      </c>
      <c r="GD156" s="62" t="e">
        <f t="shared" si="134"/>
        <v>#NUM!</v>
      </c>
      <c r="GE156" s="62">
        <f ca="1">AVERAGE(OFFSET($GD$3,0,0,'Données projet'!$E$17+1,1))-AVERAGE(OFFSET($H$3,0,0,'Données projet'!$E$17+1,1))</f>
        <v>289.12367833861299</v>
      </c>
      <c r="GF156" s="62">
        <f t="shared" si="158"/>
        <v>229.06617320689003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>
        <f>EXP(-LN(2)/35)*GL155+(1-EXP(-LN(2)/35))/(LN(2)/35)*GH156*GI156*VLOOKUP('Données projet'!$B$17,Paramètres!$A$1:$I$89,3,0)*0.475*44/12</f>
        <v>0</v>
      </c>
      <c r="GM156" s="23">
        <f>EXP(-LN(2)/25)*GM155+(1-EXP(-LN(2)/25))/(LN(2)/25)*Calculateur!GH156*Calculateur!GJ156*VLOOKUP('Données projet'!$B$17,Paramètres!$A$1:$I$89,3,0)*0.475*44/12</f>
        <v>0</v>
      </c>
      <c r="GN156" s="23">
        <f>EXP(-LN(2)/2)*GN155+(1-EXP(-LN(2)/2))/(LN(2)/2)*GH156*GK156*VLOOKUP('Données projet'!$B$17,Paramètres!$A$1:$I$89,3,0)*0.475*44/12</f>
        <v>1.2716629850416215E-18</v>
      </c>
      <c r="GO156" s="23">
        <f t="shared" si="187"/>
        <v>1.2716629850416215E-18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-5.6843418860808015E-14</v>
      </c>
      <c r="GV156" s="18">
        <f>GU156*VLOOKUP('Données projet'!$B$18,Paramètres!$A$1:$I$89,3,0)*VLOOKUP('Données projet'!$B$18,Paramètres!$A$1:$I$89,5,0)</f>
        <v>-2.6602720026858149E-14</v>
      </c>
      <c r="GW156" s="14" t="e">
        <f t="shared" si="188"/>
        <v>#NUM!</v>
      </c>
      <c r="GX156" s="22" t="e">
        <f t="shared" si="189"/>
        <v>#NUM!</v>
      </c>
      <c r="GY156" s="62" t="e">
        <f t="shared" si="137"/>
        <v>#NUM!</v>
      </c>
      <c r="GZ156" s="62">
        <f ca="1">AVERAGE(OFFSET($GY$3,0,0,'Données projet'!$E$18+1,1))-AVERAGE(OFFSET($H$3,0,0,'Données projet'!$E$18+1,1))</f>
        <v>284.88646502866419</v>
      </c>
      <c r="HA156" s="62">
        <f t="shared" si="160"/>
        <v>190.4880882944471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>
        <f>EXP(-LN(2)/35)*HG155+(1-EXP(-LN(2)/35))/(LN(2)/35)*HC156*HD156*VLOOKUP('Données projet'!$B$18,Paramètres!$A$1:$I$89,3,0)*0.475*44/12</f>
        <v>0</v>
      </c>
      <c r="HH156" s="23">
        <f>EXP(-LN(2)/25)*HH155+(1-EXP(-LN(2)/25))/(LN(2)/25)*Calculateur!HC156*Calculateur!HE156*VLOOKUP('Données projet'!$B$18,Paramètres!$A$1:$I$89,3,0)*0.475*44/12</f>
        <v>0</v>
      </c>
      <c r="HI156" s="23">
        <f>EXP(-LN(2)/2)*HI155+(1-EXP(-LN(2)/2))/(LN(2)/2)*HC156*HF156*VLOOKUP('Données projet'!$B$18,Paramètres!$A$1:$I$89,3,0)*0.475*44/12</f>
        <v>0</v>
      </c>
      <c r="HJ156" s="24">
        <f t="shared" si="190"/>
        <v>0</v>
      </c>
    </row>
    <row r="157" spans="1:218" x14ac:dyDescent="0.25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2">
        <f t="shared" si="140"/>
        <v>0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0</v>
      </c>
      <c r="H157" s="70">
        <f t="shared" si="110"/>
        <v>256.66666666666669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-1.1368683772161603E-13</v>
      </c>
      <c r="O157" s="14">
        <f>N157*VLOOKUP('Données projet'!$B$9,Paramètres!$A$1:$I$89,3,0)*VLOOKUP('Données projet'!$B$9,Paramètres!$A$1:$I$89,5,0)</f>
        <v>-1.0818439477588981E-13</v>
      </c>
      <c r="P157" s="14" t="e">
        <f t="shared" si="141"/>
        <v>#NUM!</v>
      </c>
      <c r="Q157" s="22" t="e">
        <f t="shared" si="162"/>
        <v>#NUM!</v>
      </c>
      <c r="R157" s="62" t="e">
        <f t="shared" si="109"/>
        <v>#NUM!</v>
      </c>
      <c r="S157" s="62">
        <f ca="1">AVERAGE(OFFSET($R$3,0,0,'Données projet'!$E$9+1,1))-AVERAGE(OFFSET($H$3,0,0,'Données projet'!$E$9+1,1))</f>
        <v>367.11183928586667</v>
      </c>
      <c r="T157" s="62">
        <f t="shared" si="142"/>
        <v>281.52963027844595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0</v>
      </c>
      <c r="AA157" s="23">
        <f>EXP(-LN(2)/25)*AA156+(1-EXP(-LN(2)/25))/(LN(2)/25)*Calculateur!V157*Calculateur!X157*VLOOKUP('Données projet'!$B$9,Paramètres!$A$1:$I$89,3,0)*0.475*44/12</f>
        <v>0</v>
      </c>
      <c r="AB157" s="23">
        <f>EXP(-LN(2)/2)*AB156+(1-EXP(-LN(2)/2))/(LN(2)/2)*V157*Y157*VLOOKUP('Données projet'!$B$9,Paramètres!$A$1:$I$89,3,0)*0.475*44/12</f>
        <v>0</v>
      </c>
      <c r="AC157" s="24">
        <f t="shared" si="163"/>
        <v>0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-9.6633812063373625E-13</v>
      </c>
      <c r="AJ157" s="14">
        <f>AI157*VLOOKUP('Données projet'!$B$10,Paramètres!$A$1:$I$89,3,0)*VLOOKUP('Données projet'!$B$10,Paramètres!$A$1:$I$89,5,0)</f>
        <v>-8.7434273154940449E-13</v>
      </c>
      <c r="AK157" s="14" t="e">
        <f t="shared" si="164"/>
        <v>#NUM!</v>
      </c>
      <c r="AL157" s="22" t="e">
        <f t="shared" si="165"/>
        <v>#NUM!</v>
      </c>
      <c r="AM157" s="62" t="e">
        <f t="shared" si="113"/>
        <v>#NUM!</v>
      </c>
      <c r="AN157" s="62">
        <f ca="1">AVERAGE(OFFSET($AM$3,0,0,'Données projet'!$E$10+1,1))-AVERAGE(OFFSET($H$3,0,0,'Données projet'!$E$10+1,1))</f>
        <v>428.8489304403459</v>
      </c>
      <c r="AO157" s="62">
        <f t="shared" si="144"/>
        <v>247.01165577562966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0</v>
      </c>
      <c r="AV157" s="23">
        <f>EXP(-LN(2)/25)*AV156+(1-EXP(-LN(2)/25))/(LN(2)/25)*Calculateur!AQ157*Calculateur!AS157*VLOOKUP('Données projet'!$B$10,Paramètres!$A$1:$I$89,3,0)*0.475*44/12</f>
        <v>0</v>
      </c>
      <c r="AW157" s="23">
        <f>EXP(-LN(2)/2)*AW156+(1-EXP(-LN(2)/2))/(LN(2)/2)*AQ157*AT157*VLOOKUP('Données projet'!$B$10,Paramètres!$A$1:$I$89,3,0)*0.475*44/12</f>
        <v>0</v>
      </c>
      <c r="AX157" s="23">
        <f t="shared" si="166"/>
        <v>0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-9.6633812063373625E-13</v>
      </c>
      <c r="BE157" s="14">
        <f>BD157*VLOOKUP('Données projet'!$B$11,Paramètres!$A$1:$I$89,3,0)*VLOOKUP('Données projet'!$B$11,Paramètres!$A$1:$I$89,5,0)</f>
        <v>-9.7986685432260874E-13</v>
      </c>
      <c r="BF157" s="14" t="e">
        <f t="shared" si="167"/>
        <v>#NUM!</v>
      </c>
      <c r="BG157" s="22" t="e">
        <f t="shared" si="168"/>
        <v>#NUM!</v>
      </c>
      <c r="BH157" s="62" t="e">
        <f t="shared" si="116"/>
        <v>#NUM!</v>
      </c>
      <c r="BI157" s="62">
        <f ca="1">AVERAGE(OFFSET($BH$3,0,0,'Données projet'!$E$11+1,1))-AVERAGE(OFFSET($H$3,0,0,'Données projet'!$E$11+1,1))</f>
        <v>475.47920969424894</v>
      </c>
      <c r="BJ157" s="62">
        <f t="shared" si="146"/>
        <v>271.73544012419364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>
        <f>EXP(-LN(2)/35)*BP156+(1-EXP(-LN(2)/35))/(LN(2)/35)*BL157*BM157*VLOOKUP('Données projet'!$B$11,Paramètres!$A$1:$I$89,3,0)*0.475*44/12</f>
        <v>0</v>
      </c>
      <c r="BQ157" s="23">
        <f>EXP(-LN(2)/25)*BQ156+(1-EXP(-LN(2)/25))/(LN(2)/25)*Calculateur!BL157*Calculateur!BN157*VLOOKUP('Données projet'!$B$11,Paramètres!$A$1:$I$89,3,0)*0.475*44/12</f>
        <v>0</v>
      </c>
      <c r="BR157" s="23">
        <f>EXP(-LN(2)/2)*BR156+(1-EXP(-LN(2)/2))/(LN(2)/2)*BL157*BO157*VLOOKUP('Données projet'!$B$11,Paramètres!$A$1:$I$89,3,0)*0.475*44/12</f>
        <v>0</v>
      </c>
      <c r="BS157" s="24">
        <f t="shared" si="169"/>
        <v>0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2.2737367544323206E-13</v>
      </c>
      <c r="BZ157" s="14">
        <f>BY157*VLOOKUP('Données projet'!$B$12,Paramètres!$A$1:$I$89,3,0)*VLOOKUP('Données projet'!$B$12,Paramètres!$A$1:$I$89,5,0)</f>
        <v>1.2710188457276673E-13</v>
      </c>
      <c r="CA157" s="14">
        <f t="shared" si="170"/>
        <v>1.856866851063998E-12</v>
      </c>
      <c r="CB157" s="22">
        <f t="shared" si="171"/>
        <v>3.4554122145673649E-12</v>
      </c>
      <c r="CC157" s="62">
        <f t="shared" si="119"/>
        <v>293.33333333333678</v>
      </c>
      <c r="CD157" s="62">
        <f ca="1">AVERAGE(OFFSET($CC$3,0,0,'Données projet'!$E$12+1,1))-AVERAGE(OFFSET($H$3,0,0,'Données projet'!$E$12+1,1))</f>
        <v>323.98185264074681</v>
      </c>
      <c r="CE157" s="62">
        <f t="shared" si="148"/>
        <v>301.22207291854005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>
        <f>EXP(-LN(2)/35)*CK156+(1-EXP(-LN(2)/35))/(LN(2)/35)*CG157*CH157*VLOOKUP('Données projet'!$B$12,Paramètres!$A$1:$I$89,3,0)*0.475*44/12</f>
        <v>0.38287282270644307</v>
      </c>
      <c r="CL157" s="23">
        <f>EXP(-LN(2)/25)*CL156+(1-EXP(-LN(2)/25))/(LN(2)/25)*Calculateur!CG157*Calculateur!CI157*VLOOKUP('Données projet'!$B$12,Paramètres!$A$1:$I$89,3,0)*0.475*44/12</f>
        <v>0.26497383729911766</v>
      </c>
      <c r="CM157" s="23">
        <f>EXP(-LN(2)/2)*CM156+(1-EXP(-LN(2)/2))/(LN(2)/2)*CG157*CJ157*VLOOKUP('Données projet'!$B$12,Paramètres!$A$1:$I$89,3,0)*0.475*44/12</f>
        <v>1.3200827539629419E-18</v>
      </c>
      <c r="CN157" s="24">
        <f t="shared" si="172"/>
        <v>0.64784666000556079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>
        <f>CT157*VLOOKUP('Données projet'!$B$13,Paramètres!$A$1:$I$89,3,0)*VLOOKUP('Données projet'!$B$13,Paramètres!$A$1:$I$89,5,0)</f>
        <v>0</v>
      </c>
      <c r="CV157" s="14" t="e">
        <f t="shared" si="173"/>
        <v>#NUM!</v>
      </c>
      <c r="CW157" s="22" t="e">
        <f t="shared" si="174"/>
        <v>#NUM!</v>
      </c>
      <c r="CX157" s="62" t="e">
        <f t="shared" si="122"/>
        <v>#NUM!</v>
      </c>
      <c r="CY157" s="62">
        <f ca="1">AVERAGE(OFFSET($CX$3,0,0,'Données projet'!$E$13+1,1))-AVERAGE(OFFSET($H$3,0,0,'Données projet'!$E$13+1,1))</f>
        <v>399.78832690250164</v>
      </c>
      <c r="CZ157" s="62">
        <f t="shared" si="150"/>
        <v>174.32967064896343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>
        <f>EXP(-LN(2)/35)*DF156+(1-EXP(-LN(2)/35))/(LN(2)/35)*DB157*DC157*VLOOKUP('Données projet'!$B$13,Paramètres!$A$1:$I$89,3,0)*0.475*44/12</f>
        <v>0</v>
      </c>
      <c r="DG157" s="23">
        <f>EXP(-LN(2)/25)*DG156+(1-EXP(-LN(2)/25))/(LN(2)/25)*Calculateur!DB157*Calculateur!DD157*VLOOKUP('Données projet'!$B$13,Paramètres!$A$1:$I$89,3,0)*0.475*44/12</f>
        <v>0</v>
      </c>
      <c r="DH157" s="23">
        <f>EXP(-LN(2)/2)*DH156+(1-EXP(-LN(2)/2))/(LN(2)/2)*DB157*DE157*VLOOKUP('Données projet'!$B$13,Paramètres!$A$1:$I$89,3,0)*0.475*44/12</f>
        <v>0</v>
      </c>
      <c r="DI157" s="24">
        <f t="shared" si="175"/>
        <v>0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-9.6633812063373625E-13</v>
      </c>
      <c r="DP157" s="18">
        <f>DO157*VLOOKUP('Données projet'!$B$14,Paramètres!$A$1:$I$89,3,0)*VLOOKUP('Données projet'!$B$14,Paramètres!$A$1:$I$89,5,0)</f>
        <v>-8.1404323282185943E-13</v>
      </c>
      <c r="DQ157" s="14" t="e">
        <f t="shared" si="176"/>
        <v>#NUM!</v>
      </c>
      <c r="DR157" s="22" t="e">
        <f t="shared" si="177"/>
        <v>#NUM!</v>
      </c>
      <c r="DS157" s="62" t="e">
        <f t="shared" si="125"/>
        <v>#NUM!</v>
      </c>
      <c r="DT157" s="62">
        <f ca="1">AVERAGE(OFFSET($DS$3,0,0,'Données projet'!$E$14+1,1))-AVERAGE(OFFSET($H$3,0,0,'Données projet'!$E$14+1,1))</f>
        <v>402.15128814037058</v>
      </c>
      <c r="DU157" s="62">
        <f t="shared" si="152"/>
        <v>232.85411068442738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>
        <f>EXP(-LN(2)/35)*EA156+(1-EXP(-LN(2)/35))/(LN(2)/35)*DW157*DX157*VLOOKUP('Données projet'!$B$14,Paramètres!$A$1:$I$89,3,0)*0.475*44/12</f>
        <v>0</v>
      </c>
      <c r="EB157" s="23">
        <f>EXP(-LN(2)/25)*EB156+(1-EXP(-LN(2)/25))/(LN(2)/25)*Calculateur!DW157*Calculateur!DY157*VLOOKUP('Données projet'!$B$14,Paramètres!$A$1:$I$89,3,0)*0.475*44/12</f>
        <v>0</v>
      </c>
      <c r="EC157" s="23">
        <f>EXP(-LN(2)/2)*EC156+(1-EXP(-LN(2)/2))/(LN(2)/2)*DW157*DZ157*VLOOKUP('Données projet'!$B$14,Paramètres!$A$1:$I$89,3,0)*0.475*44/12</f>
        <v>0</v>
      </c>
      <c r="ED157" s="24">
        <f t="shared" si="178"/>
        <v>0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6.2527760746888816E-13</v>
      </c>
      <c r="EK157" s="18">
        <f>EJ157*VLOOKUP('Données projet'!$B$15,Paramètres!$A$1:$I$89,3,0)*VLOOKUP('Données projet'!$B$15,Paramètres!$A$1:$I$89,5,0)</f>
        <v>6.5354015532648198E-13</v>
      </c>
      <c r="EL157" s="14">
        <f t="shared" si="179"/>
        <v>7.8909019831354483E-12</v>
      </c>
      <c r="EM157" s="22">
        <f t="shared" si="180"/>
        <v>1.4881570057821194E-11</v>
      </c>
      <c r="EN157" s="62">
        <f t="shared" si="128"/>
        <v>293.33333333334821</v>
      </c>
      <c r="EO157" s="62">
        <f ca="1">AVERAGE(OFFSET($EN$3,0,0,'Données projet'!$E$15+1,1))-AVERAGE(OFFSET($H$3,0,0,'Données projet'!$E$15+1,1))</f>
        <v>595.89992279024398</v>
      </c>
      <c r="EP157" s="62">
        <f t="shared" si="154"/>
        <v>378.16197659288338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>
        <f>EXP(-LN(2)/35)*EV156+(1-EXP(-LN(2)/35))/(LN(2)/35)*ER157*ES157*VLOOKUP('Données projet'!$B$15,Paramètres!$A$1:$I$89,3,0)*0.475*44/12</f>
        <v>0</v>
      </c>
      <c r="EW157" s="23">
        <f>EXP(-LN(2)/25)*EW156+(1-EXP(-LN(2)/25))/(LN(2)/25)*Calculateur!ER157*Calculateur!ET157*VLOOKUP('Données projet'!$B$15,Paramètres!$A$1:$I$89,3,0)*0.475*44/12</f>
        <v>0</v>
      </c>
      <c r="EX157" s="23">
        <f>EXP(-LN(2)/2)*EX156+(1-EXP(-LN(2)/2))/(LN(2)/2)*ER157*EU157*VLOOKUP('Données projet'!$B$15,Paramètres!$A$1:$I$89,3,0)*0.475*44/12</f>
        <v>0</v>
      </c>
      <c r="EY157" s="24">
        <f t="shared" si="181"/>
        <v>0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-2.2737367544323206E-13</v>
      </c>
      <c r="FF157" s="18">
        <f>FE157*VLOOKUP('Données projet'!$B$16,Paramètres!$A$1:$I$89,3,0)*VLOOKUP('Données projet'!$B$16,Paramètres!$A$1:$I$89,5,0)</f>
        <v>-1.3596945791505279E-13</v>
      </c>
      <c r="FG157" s="14" t="e">
        <f t="shared" si="182"/>
        <v>#NUM!</v>
      </c>
      <c r="FH157" s="22" t="e">
        <f t="shared" si="183"/>
        <v>#NUM!</v>
      </c>
      <c r="FI157" s="62" t="e">
        <f t="shared" si="131"/>
        <v>#NUM!</v>
      </c>
      <c r="FJ157" s="62">
        <f ca="1">AVERAGE(OFFSET($FI$3,0,0,'Données projet'!$E$16+1,1))-AVERAGE(OFFSET($H$3,0,0,'Données projet'!$E$16+1,1))</f>
        <v>257.56116197646924</v>
      </c>
      <c r="FK157" s="62">
        <f t="shared" si="156"/>
        <v>269.95556918835888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>
        <f>EXP(-LN(2)/35)*FQ156+(1-EXP(-LN(2)/35))/(LN(2)/35)*FM157*FN157*VLOOKUP('Données projet'!$B$16,Paramètres!$A$1:$I$89,3,0)*0.475*44/12</f>
        <v>1.2511062730685834</v>
      </c>
      <c r="FR157" s="23">
        <f>EXP(-LN(2)/25)*FR156+(1-EXP(-LN(2)/25))/(LN(2)/25)*Calculateur!FM157*Calculateur!FO157*VLOOKUP('Données projet'!$B$16,Paramètres!$A$1:$I$89,3,0)*0.475*44/12</f>
        <v>0.51865364384580281</v>
      </c>
      <c r="FS157" s="23">
        <f>EXP(-LN(2)/2)*FS156+(1-EXP(-LN(2)/2))/(LN(2)/2)*FM157*FP157*VLOOKUP('Données projet'!$B$16,Paramètres!$A$1:$I$89,3,0)*0.475*44/12</f>
        <v>1.854871165945503E-18</v>
      </c>
      <c r="FT157" s="24">
        <f t="shared" si="184"/>
        <v>1.7697599169143863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-2.8421709430404007E-13</v>
      </c>
      <c r="GA157" s="18">
        <f>FZ157*VLOOKUP('Données projet'!$B$17,Paramètres!$A$1:$I$89,3,0)*VLOOKUP('Données projet'!$B$17,Paramètres!$A$1:$I$89,5,0)</f>
        <v>-1.69961822393816E-13</v>
      </c>
      <c r="GB157" s="14" t="e">
        <f t="shared" si="185"/>
        <v>#NUM!</v>
      </c>
      <c r="GC157" s="22" t="e">
        <f t="shared" si="186"/>
        <v>#NUM!</v>
      </c>
      <c r="GD157" s="62" t="e">
        <f t="shared" si="134"/>
        <v>#NUM!</v>
      </c>
      <c r="GE157" s="62">
        <f ca="1">AVERAGE(OFFSET($GD$3,0,0,'Données projet'!$E$17+1,1))-AVERAGE(OFFSET($H$3,0,0,'Données projet'!$E$17+1,1))</f>
        <v>289.12367833861299</v>
      </c>
      <c r="GF157" s="62">
        <f t="shared" si="158"/>
        <v>229.06617320689003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>
        <f>EXP(-LN(2)/35)*GL156+(1-EXP(-LN(2)/35))/(LN(2)/35)*GH157*GI157*VLOOKUP('Données projet'!$B$17,Paramètres!$A$1:$I$89,3,0)*0.475*44/12</f>
        <v>0</v>
      </c>
      <c r="GM157" s="23">
        <f>EXP(-LN(2)/25)*GM156+(1-EXP(-LN(2)/25))/(LN(2)/25)*Calculateur!GH157*Calculateur!GJ157*VLOOKUP('Données projet'!$B$17,Paramètres!$A$1:$I$89,3,0)*0.475*44/12</f>
        <v>0</v>
      </c>
      <c r="GN157" s="23">
        <f>EXP(-LN(2)/2)*GN156+(1-EXP(-LN(2)/2))/(LN(2)/2)*GH157*GK157*VLOOKUP('Données projet'!$B$17,Paramètres!$A$1:$I$89,3,0)*0.475*44/12</f>
        <v>8.9920152010685772E-19</v>
      </c>
      <c r="GO157" s="23">
        <f t="shared" si="187"/>
        <v>8.9920152010685772E-19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-5.6843418860808015E-14</v>
      </c>
      <c r="GV157" s="18">
        <f>GU157*VLOOKUP('Données projet'!$B$18,Paramètres!$A$1:$I$89,3,0)*VLOOKUP('Données projet'!$B$18,Paramètres!$A$1:$I$89,5,0)</f>
        <v>-2.6602720026858149E-14</v>
      </c>
      <c r="GW157" s="14" t="e">
        <f t="shared" si="188"/>
        <v>#NUM!</v>
      </c>
      <c r="GX157" s="22" t="e">
        <f t="shared" si="189"/>
        <v>#NUM!</v>
      </c>
      <c r="GY157" s="62" t="e">
        <f t="shared" si="137"/>
        <v>#NUM!</v>
      </c>
      <c r="GZ157" s="62">
        <f ca="1">AVERAGE(OFFSET($GY$3,0,0,'Données projet'!$E$18+1,1))-AVERAGE(OFFSET($H$3,0,0,'Données projet'!$E$18+1,1))</f>
        <v>284.88646502866419</v>
      </c>
      <c r="HA157" s="62">
        <f t="shared" si="160"/>
        <v>190.4880882944471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>
        <f>EXP(-LN(2)/35)*HG156+(1-EXP(-LN(2)/35))/(LN(2)/35)*HC157*HD157*VLOOKUP('Données projet'!$B$18,Paramètres!$A$1:$I$89,3,0)*0.475*44/12</f>
        <v>0</v>
      </c>
      <c r="HH157" s="23">
        <f>EXP(-LN(2)/25)*HH156+(1-EXP(-LN(2)/25))/(LN(2)/25)*Calculateur!HC157*Calculateur!HE157*VLOOKUP('Données projet'!$B$18,Paramètres!$A$1:$I$89,3,0)*0.475*44/12</f>
        <v>0</v>
      </c>
      <c r="HI157" s="23">
        <f>EXP(-LN(2)/2)*HI156+(1-EXP(-LN(2)/2))/(LN(2)/2)*HC157*HF157*VLOOKUP('Données projet'!$B$18,Paramètres!$A$1:$I$89,3,0)*0.475*44/12</f>
        <v>0</v>
      </c>
      <c r="HJ157" s="24">
        <f t="shared" si="190"/>
        <v>0</v>
      </c>
    </row>
    <row r="158" spans="1:218" x14ac:dyDescent="0.25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2">
        <f t="shared" si="140"/>
        <v>0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0</v>
      </c>
      <c r="H158" s="70">
        <f t="shared" si="110"/>
        <v>256.66666666666669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-1.1368683772161603E-13</v>
      </c>
      <c r="O158" s="14">
        <f>N158*VLOOKUP('Données projet'!$B$9,Paramètres!$A$1:$I$89,3,0)*VLOOKUP('Données projet'!$B$9,Paramètres!$A$1:$I$89,5,0)</f>
        <v>-1.0818439477588981E-13</v>
      </c>
      <c r="P158" s="14" t="e">
        <f t="shared" si="141"/>
        <v>#NUM!</v>
      </c>
      <c r="Q158" s="22" t="e">
        <f t="shared" si="162"/>
        <v>#NUM!</v>
      </c>
      <c r="R158" s="62" t="e">
        <f t="shared" si="109"/>
        <v>#NUM!</v>
      </c>
      <c r="S158" s="62">
        <f ca="1">AVERAGE(OFFSET($R$3,0,0,'Données projet'!$E$9+1,1))-AVERAGE(OFFSET($H$3,0,0,'Données projet'!$E$9+1,1))</f>
        <v>367.11183928586667</v>
      </c>
      <c r="T158" s="62">
        <f t="shared" si="142"/>
        <v>281.52963027844595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0</v>
      </c>
      <c r="AA158" s="23">
        <f>EXP(-LN(2)/25)*AA157+(1-EXP(-LN(2)/25))/(LN(2)/25)*Calculateur!V158*Calculateur!X158*VLOOKUP('Données projet'!$B$9,Paramètres!$A$1:$I$89,3,0)*0.475*44/12</f>
        <v>0</v>
      </c>
      <c r="AB158" s="23">
        <f>EXP(-LN(2)/2)*AB157+(1-EXP(-LN(2)/2))/(LN(2)/2)*V158*Y158*VLOOKUP('Données projet'!$B$9,Paramètres!$A$1:$I$89,3,0)*0.475*44/12</f>
        <v>0</v>
      </c>
      <c r="AC158" s="24">
        <f t="shared" si="163"/>
        <v>0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-9.6633812063373625E-13</v>
      </c>
      <c r="AJ158" s="14">
        <f>AI158*VLOOKUP('Données projet'!$B$10,Paramètres!$A$1:$I$89,3,0)*VLOOKUP('Données projet'!$B$10,Paramètres!$A$1:$I$89,5,0)</f>
        <v>-8.7434273154940449E-13</v>
      </c>
      <c r="AK158" s="14" t="e">
        <f t="shared" si="164"/>
        <v>#NUM!</v>
      </c>
      <c r="AL158" s="22" t="e">
        <f t="shared" si="165"/>
        <v>#NUM!</v>
      </c>
      <c r="AM158" s="62" t="e">
        <f t="shared" si="113"/>
        <v>#NUM!</v>
      </c>
      <c r="AN158" s="62">
        <f ca="1">AVERAGE(OFFSET($AM$3,0,0,'Données projet'!$E$10+1,1))-AVERAGE(OFFSET($H$3,0,0,'Données projet'!$E$10+1,1))</f>
        <v>428.8489304403459</v>
      </c>
      <c r="AO158" s="62">
        <f t="shared" si="144"/>
        <v>247.01165577562966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0</v>
      </c>
      <c r="AV158" s="23">
        <f>EXP(-LN(2)/25)*AV157+(1-EXP(-LN(2)/25))/(LN(2)/25)*Calculateur!AQ158*Calculateur!AS158*VLOOKUP('Données projet'!$B$10,Paramètres!$A$1:$I$89,3,0)*0.475*44/12</f>
        <v>0</v>
      </c>
      <c r="AW158" s="23">
        <f>EXP(-LN(2)/2)*AW157+(1-EXP(-LN(2)/2))/(LN(2)/2)*AQ158*AT158*VLOOKUP('Données projet'!$B$10,Paramètres!$A$1:$I$89,3,0)*0.475*44/12</f>
        <v>0</v>
      </c>
      <c r="AX158" s="23">
        <f t="shared" si="166"/>
        <v>0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-9.6633812063373625E-13</v>
      </c>
      <c r="BE158" s="14">
        <f>BD158*VLOOKUP('Données projet'!$B$11,Paramètres!$A$1:$I$89,3,0)*VLOOKUP('Données projet'!$B$11,Paramètres!$A$1:$I$89,5,0)</f>
        <v>-9.7986685432260874E-13</v>
      </c>
      <c r="BF158" s="14" t="e">
        <f t="shared" si="167"/>
        <v>#NUM!</v>
      </c>
      <c r="BG158" s="22" t="e">
        <f t="shared" si="168"/>
        <v>#NUM!</v>
      </c>
      <c r="BH158" s="62" t="e">
        <f t="shared" si="116"/>
        <v>#NUM!</v>
      </c>
      <c r="BI158" s="62">
        <f ca="1">AVERAGE(OFFSET($BH$3,0,0,'Données projet'!$E$11+1,1))-AVERAGE(OFFSET($H$3,0,0,'Données projet'!$E$11+1,1))</f>
        <v>475.47920969424894</v>
      </c>
      <c r="BJ158" s="62">
        <f t="shared" si="146"/>
        <v>271.73544012419364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>
        <f>EXP(-LN(2)/35)*BP157+(1-EXP(-LN(2)/35))/(LN(2)/35)*BL158*BM158*VLOOKUP('Données projet'!$B$11,Paramètres!$A$1:$I$89,3,0)*0.475*44/12</f>
        <v>0</v>
      </c>
      <c r="BQ158" s="23">
        <f>EXP(-LN(2)/25)*BQ157+(1-EXP(-LN(2)/25))/(LN(2)/25)*Calculateur!BL158*Calculateur!BN158*VLOOKUP('Données projet'!$B$11,Paramètres!$A$1:$I$89,3,0)*0.475*44/12</f>
        <v>0</v>
      </c>
      <c r="BR158" s="23">
        <f>EXP(-LN(2)/2)*BR157+(1-EXP(-LN(2)/2))/(LN(2)/2)*BL158*BO158*VLOOKUP('Données projet'!$B$11,Paramètres!$A$1:$I$89,3,0)*0.475*44/12</f>
        <v>0</v>
      </c>
      <c r="BS158" s="24">
        <f t="shared" si="169"/>
        <v>0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2.2737367544323206E-13</v>
      </c>
      <c r="BZ158" s="14">
        <f>BY158*VLOOKUP('Données projet'!$B$12,Paramètres!$A$1:$I$89,3,0)*VLOOKUP('Données projet'!$B$12,Paramètres!$A$1:$I$89,5,0)</f>
        <v>1.2710188457276673E-13</v>
      </c>
      <c r="CA158" s="14">
        <f t="shared" si="170"/>
        <v>1.856866851063998E-12</v>
      </c>
      <c r="CB158" s="22">
        <f t="shared" si="171"/>
        <v>3.4554122145673649E-12</v>
      </c>
      <c r="CC158" s="62">
        <f t="shared" si="119"/>
        <v>293.33333333333678</v>
      </c>
      <c r="CD158" s="62">
        <f ca="1">AVERAGE(OFFSET($CC$3,0,0,'Données projet'!$E$12+1,1))-AVERAGE(OFFSET($H$3,0,0,'Données projet'!$E$12+1,1))</f>
        <v>323.98185264074681</v>
      </c>
      <c r="CE158" s="62">
        <f t="shared" si="148"/>
        <v>301.22207291854005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>
        <f>EXP(-LN(2)/35)*CK157+(1-EXP(-LN(2)/35))/(LN(2)/35)*CG158*CH158*VLOOKUP('Données projet'!$B$12,Paramètres!$A$1:$I$89,3,0)*0.475*44/12</f>
        <v>0.37536492018253248</v>
      </c>
      <c r="CL158" s="23">
        <f>EXP(-LN(2)/25)*CL157+(1-EXP(-LN(2)/25))/(LN(2)/25)*Calculateur!CG158*Calculateur!CI158*VLOOKUP('Données projet'!$B$12,Paramètres!$A$1:$I$89,3,0)*0.475*44/12</f>
        <v>0.25772811378380478</v>
      </c>
      <c r="CM158" s="23">
        <f>EXP(-LN(2)/2)*CM157+(1-EXP(-LN(2)/2))/(LN(2)/2)*CG158*CJ158*VLOOKUP('Données projet'!$B$12,Paramètres!$A$1:$I$89,3,0)*0.475*44/12</f>
        <v>9.3343946705460899E-19</v>
      </c>
      <c r="CN158" s="24">
        <f t="shared" si="172"/>
        <v>0.6330930339663372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>
        <f>CT158*VLOOKUP('Données projet'!$B$13,Paramètres!$A$1:$I$89,3,0)*VLOOKUP('Données projet'!$B$13,Paramètres!$A$1:$I$89,5,0)</f>
        <v>0</v>
      </c>
      <c r="CV158" s="14" t="e">
        <f t="shared" si="173"/>
        <v>#NUM!</v>
      </c>
      <c r="CW158" s="22" t="e">
        <f t="shared" si="174"/>
        <v>#NUM!</v>
      </c>
      <c r="CX158" s="62" t="e">
        <f t="shared" si="122"/>
        <v>#NUM!</v>
      </c>
      <c r="CY158" s="62">
        <f ca="1">AVERAGE(OFFSET($CX$3,0,0,'Données projet'!$E$13+1,1))-AVERAGE(OFFSET($H$3,0,0,'Données projet'!$E$13+1,1))</f>
        <v>399.78832690250164</v>
      </c>
      <c r="CZ158" s="62">
        <f t="shared" si="150"/>
        <v>174.32967064896343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>
        <f>EXP(-LN(2)/35)*DF157+(1-EXP(-LN(2)/35))/(LN(2)/35)*DB158*DC158*VLOOKUP('Données projet'!$B$13,Paramètres!$A$1:$I$89,3,0)*0.475*44/12</f>
        <v>0</v>
      </c>
      <c r="DG158" s="23">
        <f>EXP(-LN(2)/25)*DG157+(1-EXP(-LN(2)/25))/(LN(2)/25)*Calculateur!DB158*Calculateur!DD158*VLOOKUP('Données projet'!$B$13,Paramètres!$A$1:$I$89,3,0)*0.475*44/12</f>
        <v>0</v>
      </c>
      <c r="DH158" s="23">
        <f>EXP(-LN(2)/2)*DH157+(1-EXP(-LN(2)/2))/(LN(2)/2)*DB158*DE158*VLOOKUP('Données projet'!$B$13,Paramètres!$A$1:$I$89,3,0)*0.475*44/12</f>
        <v>0</v>
      </c>
      <c r="DI158" s="24">
        <f t="shared" si="175"/>
        <v>0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-9.6633812063373625E-13</v>
      </c>
      <c r="DP158" s="18">
        <f>DO158*VLOOKUP('Données projet'!$B$14,Paramètres!$A$1:$I$89,3,0)*VLOOKUP('Données projet'!$B$14,Paramètres!$A$1:$I$89,5,0)</f>
        <v>-8.1404323282185943E-13</v>
      </c>
      <c r="DQ158" s="14" t="e">
        <f t="shared" si="176"/>
        <v>#NUM!</v>
      </c>
      <c r="DR158" s="22" t="e">
        <f t="shared" si="177"/>
        <v>#NUM!</v>
      </c>
      <c r="DS158" s="62" t="e">
        <f t="shared" si="125"/>
        <v>#NUM!</v>
      </c>
      <c r="DT158" s="62">
        <f ca="1">AVERAGE(OFFSET($DS$3,0,0,'Données projet'!$E$14+1,1))-AVERAGE(OFFSET($H$3,0,0,'Données projet'!$E$14+1,1))</f>
        <v>402.15128814037058</v>
      </c>
      <c r="DU158" s="62">
        <f t="shared" si="152"/>
        <v>232.85411068442738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>
        <f>EXP(-LN(2)/35)*EA157+(1-EXP(-LN(2)/35))/(LN(2)/35)*DW158*DX158*VLOOKUP('Données projet'!$B$14,Paramètres!$A$1:$I$89,3,0)*0.475*44/12</f>
        <v>0</v>
      </c>
      <c r="EB158" s="23">
        <f>EXP(-LN(2)/25)*EB157+(1-EXP(-LN(2)/25))/(LN(2)/25)*Calculateur!DW158*Calculateur!DY158*VLOOKUP('Données projet'!$B$14,Paramètres!$A$1:$I$89,3,0)*0.475*44/12</f>
        <v>0</v>
      </c>
      <c r="EC158" s="23">
        <f>EXP(-LN(2)/2)*EC157+(1-EXP(-LN(2)/2))/(LN(2)/2)*DW158*DZ158*VLOOKUP('Données projet'!$B$14,Paramètres!$A$1:$I$89,3,0)*0.475*44/12</f>
        <v>0</v>
      </c>
      <c r="ED158" s="24">
        <f t="shared" si="178"/>
        <v>0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6.2527760746888816E-13</v>
      </c>
      <c r="EK158" s="18">
        <f>EJ158*VLOOKUP('Données projet'!$B$15,Paramètres!$A$1:$I$89,3,0)*VLOOKUP('Données projet'!$B$15,Paramètres!$A$1:$I$89,5,0)</f>
        <v>6.5354015532648198E-13</v>
      </c>
      <c r="EL158" s="14">
        <f t="shared" si="179"/>
        <v>7.8909019831354483E-12</v>
      </c>
      <c r="EM158" s="22">
        <f t="shared" si="180"/>
        <v>1.4881570057821194E-11</v>
      </c>
      <c r="EN158" s="62">
        <f t="shared" si="128"/>
        <v>293.33333333334821</v>
      </c>
      <c r="EO158" s="62">
        <f ca="1">AVERAGE(OFFSET($EN$3,0,0,'Données projet'!$E$15+1,1))-AVERAGE(OFFSET($H$3,0,0,'Données projet'!$E$15+1,1))</f>
        <v>595.89992279024398</v>
      </c>
      <c r="EP158" s="62">
        <f t="shared" si="154"/>
        <v>378.16197659288338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>
        <f>EXP(-LN(2)/35)*EV157+(1-EXP(-LN(2)/35))/(LN(2)/35)*ER158*ES158*VLOOKUP('Données projet'!$B$15,Paramètres!$A$1:$I$89,3,0)*0.475*44/12</f>
        <v>0</v>
      </c>
      <c r="EW158" s="23">
        <f>EXP(-LN(2)/25)*EW157+(1-EXP(-LN(2)/25))/(LN(2)/25)*Calculateur!ER158*Calculateur!ET158*VLOOKUP('Données projet'!$B$15,Paramètres!$A$1:$I$89,3,0)*0.475*44/12</f>
        <v>0</v>
      </c>
      <c r="EX158" s="23">
        <f>EXP(-LN(2)/2)*EX157+(1-EXP(-LN(2)/2))/(LN(2)/2)*ER158*EU158*VLOOKUP('Données projet'!$B$15,Paramètres!$A$1:$I$89,3,0)*0.475*44/12</f>
        <v>0</v>
      </c>
      <c r="EY158" s="24">
        <f t="shared" si="181"/>
        <v>0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-2.2737367544323206E-13</v>
      </c>
      <c r="FF158" s="18">
        <f>FE158*VLOOKUP('Données projet'!$B$16,Paramètres!$A$1:$I$89,3,0)*VLOOKUP('Données projet'!$B$16,Paramètres!$A$1:$I$89,5,0)</f>
        <v>-1.3596945791505279E-13</v>
      </c>
      <c r="FG158" s="14" t="e">
        <f t="shared" si="182"/>
        <v>#NUM!</v>
      </c>
      <c r="FH158" s="22" t="e">
        <f t="shared" si="183"/>
        <v>#NUM!</v>
      </c>
      <c r="FI158" s="62" t="e">
        <f t="shared" si="131"/>
        <v>#NUM!</v>
      </c>
      <c r="FJ158" s="62">
        <f ca="1">AVERAGE(OFFSET($FI$3,0,0,'Données projet'!$E$16+1,1))-AVERAGE(OFFSET($H$3,0,0,'Données projet'!$E$16+1,1))</f>
        <v>257.56116197646924</v>
      </c>
      <c r="FK158" s="62">
        <f t="shared" si="156"/>
        <v>269.95556918835888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>
        <f>EXP(-LN(2)/35)*FQ157+(1-EXP(-LN(2)/35))/(LN(2)/35)*FM158*FN158*VLOOKUP('Données projet'!$B$16,Paramètres!$A$1:$I$89,3,0)*0.475*44/12</f>
        <v>1.2265728421531852</v>
      </c>
      <c r="FR158" s="23">
        <f>EXP(-LN(2)/25)*FR157+(1-EXP(-LN(2)/25))/(LN(2)/25)*Calculateur!FM158*Calculateur!FO158*VLOOKUP('Données projet'!$B$16,Paramètres!$A$1:$I$89,3,0)*0.475*44/12</f>
        <v>0.50447103268002957</v>
      </c>
      <c r="FS158" s="23">
        <f>EXP(-LN(2)/2)*FS157+(1-EXP(-LN(2)/2))/(LN(2)/2)*FM158*FP158*VLOOKUP('Données projet'!$B$16,Paramètres!$A$1:$I$89,3,0)*0.475*44/12</f>
        <v>1.3115919796674631E-18</v>
      </c>
      <c r="FT158" s="24">
        <f t="shared" si="184"/>
        <v>1.7310438748332149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-2.8421709430404007E-13</v>
      </c>
      <c r="GA158" s="18">
        <f>FZ158*VLOOKUP('Données projet'!$B$17,Paramètres!$A$1:$I$89,3,0)*VLOOKUP('Données projet'!$B$17,Paramètres!$A$1:$I$89,5,0)</f>
        <v>-1.69961822393816E-13</v>
      </c>
      <c r="GB158" s="14" t="e">
        <f t="shared" si="185"/>
        <v>#NUM!</v>
      </c>
      <c r="GC158" s="22" t="e">
        <f t="shared" si="186"/>
        <v>#NUM!</v>
      </c>
      <c r="GD158" s="62" t="e">
        <f t="shared" si="134"/>
        <v>#NUM!</v>
      </c>
      <c r="GE158" s="62">
        <f ca="1">AVERAGE(OFFSET($GD$3,0,0,'Données projet'!$E$17+1,1))-AVERAGE(OFFSET($H$3,0,0,'Données projet'!$E$17+1,1))</f>
        <v>289.12367833861299</v>
      </c>
      <c r="GF158" s="62">
        <f t="shared" si="158"/>
        <v>229.06617320689003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>
        <f>EXP(-LN(2)/35)*GL157+(1-EXP(-LN(2)/35))/(LN(2)/35)*GH158*GI158*VLOOKUP('Données projet'!$B$17,Paramètres!$A$1:$I$89,3,0)*0.475*44/12</f>
        <v>0</v>
      </c>
      <c r="GM158" s="23">
        <f>EXP(-LN(2)/25)*GM157+(1-EXP(-LN(2)/25))/(LN(2)/25)*Calculateur!GH158*Calculateur!GJ158*VLOOKUP('Données projet'!$B$17,Paramètres!$A$1:$I$89,3,0)*0.475*44/12</f>
        <v>0</v>
      </c>
      <c r="GN158" s="23">
        <f>EXP(-LN(2)/2)*GN157+(1-EXP(-LN(2)/2))/(LN(2)/2)*GH158*GK158*VLOOKUP('Données projet'!$B$17,Paramètres!$A$1:$I$89,3,0)*0.475*44/12</f>
        <v>6.3583149252081077E-19</v>
      </c>
      <c r="GO158" s="23">
        <f t="shared" si="187"/>
        <v>6.3583149252081077E-19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-5.6843418860808015E-14</v>
      </c>
      <c r="GV158" s="18">
        <f>GU158*VLOOKUP('Données projet'!$B$18,Paramètres!$A$1:$I$89,3,0)*VLOOKUP('Données projet'!$B$18,Paramètres!$A$1:$I$89,5,0)</f>
        <v>-2.6602720026858149E-14</v>
      </c>
      <c r="GW158" s="14" t="e">
        <f t="shared" si="188"/>
        <v>#NUM!</v>
      </c>
      <c r="GX158" s="22" t="e">
        <f t="shared" si="189"/>
        <v>#NUM!</v>
      </c>
      <c r="GY158" s="62" t="e">
        <f t="shared" si="137"/>
        <v>#NUM!</v>
      </c>
      <c r="GZ158" s="62">
        <f ca="1">AVERAGE(OFFSET($GY$3,0,0,'Données projet'!$E$18+1,1))-AVERAGE(OFFSET($H$3,0,0,'Données projet'!$E$18+1,1))</f>
        <v>284.88646502866419</v>
      </c>
      <c r="HA158" s="62">
        <f t="shared" si="160"/>
        <v>190.4880882944471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>
        <f>EXP(-LN(2)/35)*HG157+(1-EXP(-LN(2)/35))/(LN(2)/35)*HC158*HD158*VLOOKUP('Données projet'!$B$18,Paramètres!$A$1:$I$89,3,0)*0.475*44/12</f>
        <v>0</v>
      </c>
      <c r="HH158" s="23">
        <f>EXP(-LN(2)/25)*HH157+(1-EXP(-LN(2)/25))/(LN(2)/25)*Calculateur!HC158*Calculateur!HE158*VLOOKUP('Données projet'!$B$18,Paramètres!$A$1:$I$89,3,0)*0.475*44/12</f>
        <v>0</v>
      </c>
      <c r="HI158" s="23">
        <f>EXP(-LN(2)/2)*HI157+(1-EXP(-LN(2)/2))/(LN(2)/2)*HC158*HF158*VLOOKUP('Données projet'!$B$18,Paramètres!$A$1:$I$89,3,0)*0.475*44/12</f>
        <v>0</v>
      </c>
      <c r="HJ158" s="24">
        <f t="shared" si="190"/>
        <v>0</v>
      </c>
    </row>
    <row r="159" spans="1:218" x14ac:dyDescent="0.25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2">
        <f t="shared" si="140"/>
        <v>0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0</v>
      </c>
      <c r="H159" s="70">
        <f t="shared" si="110"/>
        <v>256.66666666666669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-1.1368683772161603E-13</v>
      </c>
      <c r="O159" s="14">
        <f>N159*VLOOKUP('Données projet'!$B$9,Paramètres!$A$1:$I$89,3,0)*VLOOKUP('Données projet'!$B$9,Paramètres!$A$1:$I$89,5,0)</f>
        <v>-1.0818439477588981E-13</v>
      </c>
      <c r="P159" s="14" t="e">
        <f t="shared" si="141"/>
        <v>#NUM!</v>
      </c>
      <c r="Q159" s="22" t="e">
        <f t="shared" si="162"/>
        <v>#NUM!</v>
      </c>
      <c r="R159" s="62" t="e">
        <f t="shared" si="109"/>
        <v>#NUM!</v>
      </c>
      <c r="S159" s="62">
        <f ca="1">AVERAGE(OFFSET($R$3,0,0,'Données projet'!$E$9+1,1))-AVERAGE(OFFSET($H$3,0,0,'Données projet'!$E$9+1,1))</f>
        <v>367.11183928586667</v>
      </c>
      <c r="T159" s="62">
        <f t="shared" si="142"/>
        <v>281.52963027844595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0</v>
      </c>
      <c r="AA159" s="23">
        <f>EXP(-LN(2)/25)*AA158+(1-EXP(-LN(2)/25))/(LN(2)/25)*Calculateur!V159*Calculateur!X159*VLOOKUP('Données projet'!$B$9,Paramètres!$A$1:$I$89,3,0)*0.475*44/12</f>
        <v>0</v>
      </c>
      <c r="AB159" s="23">
        <f>EXP(-LN(2)/2)*AB158+(1-EXP(-LN(2)/2))/(LN(2)/2)*V159*Y159*VLOOKUP('Données projet'!$B$9,Paramètres!$A$1:$I$89,3,0)*0.475*44/12</f>
        <v>0</v>
      </c>
      <c r="AC159" s="24">
        <f t="shared" si="163"/>
        <v>0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-9.6633812063373625E-13</v>
      </c>
      <c r="AJ159" s="14">
        <f>AI159*VLOOKUP('Données projet'!$B$10,Paramètres!$A$1:$I$89,3,0)*VLOOKUP('Données projet'!$B$10,Paramètres!$A$1:$I$89,5,0)</f>
        <v>-8.7434273154940449E-13</v>
      </c>
      <c r="AK159" s="14" t="e">
        <f t="shared" si="164"/>
        <v>#NUM!</v>
      </c>
      <c r="AL159" s="22" t="e">
        <f t="shared" si="165"/>
        <v>#NUM!</v>
      </c>
      <c r="AM159" s="62" t="e">
        <f t="shared" si="113"/>
        <v>#NUM!</v>
      </c>
      <c r="AN159" s="62">
        <f ca="1">AVERAGE(OFFSET($AM$3,0,0,'Données projet'!$E$10+1,1))-AVERAGE(OFFSET($H$3,0,0,'Données projet'!$E$10+1,1))</f>
        <v>428.8489304403459</v>
      </c>
      <c r="AO159" s="62">
        <f t="shared" si="144"/>
        <v>247.01165577562966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0</v>
      </c>
      <c r="AV159" s="23">
        <f>EXP(-LN(2)/25)*AV158+(1-EXP(-LN(2)/25))/(LN(2)/25)*Calculateur!AQ159*Calculateur!AS159*VLOOKUP('Données projet'!$B$10,Paramètres!$A$1:$I$89,3,0)*0.475*44/12</f>
        <v>0</v>
      </c>
      <c r="AW159" s="23">
        <f>EXP(-LN(2)/2)*AW158+(1-EXP(-LN(2)/2))/(LN(2)/2)*AQ159*AT159*VLOOKUP('Données projet'!$B$10,Paramètres!$A$1:$I$89,3,0)*0.475*44/12</f>
        <v>0</v>
      </c>
      <c r="AX159" s="23">
        <f t="shared" si="166"/>
        <v>0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-9.6633812063373625E-13</v>
      </c>
      <c r="BE159" s="14">
        <f>BD159*VLOOKUP('Données projet'!$B$11,Paramètres!$A$1:$I$89,3,0)*VLOOKUP('Données projet'!$B$11,Paramètres!$A$1:$I$89,5,0)</f>
        <v>-9.7986685432260874E-13</v>
      </c>
      <c r="BF159" s="14" t="e">
        <f t="shared" si="167"/>
        <v>#NUM!</v>
      </c>
      <c r="BG159" s="22" t="e">
        <f t="shared" si="168"/>
        <v>#NUM!</v>
      </c>
      <c r="BH159" s="62" t="e">
        <f t="shared" si="116"/>
        <v>#NUM!</v>
      </c>
      <c r="BI159" s="62">
        <f ca="1">AVERAGE(OFFSET($BH$3,0,0,'Données projet'!$E$11+1,1))-AVERAGE(OFFSET($H$3,0,0,'Données projet'!$E$11+1,1))</f>
        <v>475.47920969424894</v>
      </c>
      <c r="BJ159" s="62">
        <f t="shared" si="146"/>
        <v>271.73544012419364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>
        <f>EXP(-LN(2)/35)*BP158+(1-EXP(-LN(2)/35))/(LN(2)/35)*BL159*BM159*VLOOKUP('Données projet'!$B$11,Paramètres!$A$1:$I$89,3,0)*0.475*44/12</f>
        <v>0</v>
      </c>
      <c r="BQ159" s="23">
        <f>EXP(-LN(2)/25)*BQ158+(1-EXP(-LN(2)/25))/(LN(2)/25)*Calculateur!BL159*Calculateur!BN159*VLOOKUP('Données projet'!$B$11,Paramètres!$A$1:$I$89,3,0)*0.475*44/12</f>
        <v>0</v>
      </c>
      <c r="BR159" s="23">
        <f>EXP(-LN(2)/2)*BR158+(1-EXP(-LN(2)/2))/(LN(2)/2)*BL159*BO159*VLOOKUP('Données projet'!$B$11,Paramètres!$A$1:$I$89,3,0)*0.475*44/12</f>
        <v>0</v>
      </c>
      <c r="BS159" s="24">
        <f t="shared" si="169"/>
        <v>0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2.2737367544323206E-13</v>
      </c>
      <c r="BZ159" s="14">
        <f>BY159*VLOOKUP('Données projet'!$B$12,Paramètres!$A$1:$I$89,3,0)*VLOOKUP('Données projet'!$B$12,Paramètres!$A$1:$I$89,5,0)</f>
        <v>1.2710188457276673E-13</v>
      </c>
      <c r="CA159" s="14">
        <f t="shared" si="170"/>
        <v>1.856866851063998E-12</v>
      </c>
      <c r="CB159" s="22">
        <f t="shared" si="171"/>
        <v>3.4554122145673649E-12</v>
      </c>
      <c r="CC159" s="62">
        <f t="shared" si="119"/>
        <v>293.33333333333678</v>
      </c>
      <c r="CD159" s="62">
        <f ca="1">AVERAGE(OFFSET($CC$3,0,0,'Données projet'!$E$12+1,1))-AVERAGE(OFFSET($H$3,0,0,'Données projet'!$E$12+1,1))</f>
        <v>323.98185264074681</v>
      </c>
      <c r="CE159" s="62">
        <f t="shared" si="148"/>
        <v>301.22207291854005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>
        <f>EXP(-LN(2)/35)*CK158+(1-EXP(-LN(2)/35))/(LN(2)/35)*CG159*CH159*VLOOKUP('Données projet'!$B$12,Paramètres!$A$1:$I$89,3,0)*0.475*44/12</f>
        <v>0.36800424304774737</v>
      </c>
      <c r="CL159" s="23">
        <f>EXP(-LN(2)/25)*CL158+(1-EXP(-LN(2)/25))/(LN(2)/25)*Calculateur!CG159*Calculateur!CI159*VLOOKUP('Données projet'!$B$12,Paramètres!$A$1:$I$89,3,0)*0.475*44/12</f>
        <v>0.25068052495905419</v>
      </c>
      <c r="CM159" s="23">
        <f>EXP(-LN(2)/2)*CM158+(1-EXP(-LN(2)/2))/(LN(2)/2)*CG159*CJ159*VLOOKUP('Données projet'!$B$12,Paramètres!$A$1:$I$89,3,0)*0.475*44/12</f>
        <v>6.6004137698147095E-19</v>
      </c>
      <c r="CN159" s="24">
        <f t="shared" si="172"/>
        <v>0.6186847680068015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>
        <f>CT159*VLOOKUP('Données projet'!$B$13,Paramètres!$A$1:$I$89,3,0)*VLOOKUP('Données projet'!$B$13,Paramètres!$A$1:$I$89,5,0)</f>
        <v>0</v>
      </c>
      <c r="CV159" s="14" t="e">
        <f t="shared" si="173"/>
        <v>#NUM!</v>
      </c>
      <c r="CW159" s="22" t="e">
        <f t="shared" si="174"/>
        <v>#NUM!</v>
      </c>
      <c r="CX159" s="62" t="e">
        <f t="shared" si="122"/>
        <v>#NUM!</v>
      </c>
      <c r="CY159" s="62">
        <f ca="1">AVERAGE(OFFSET($CX$3,0,0,'Données projet'!$E$13+1,1))-AVERAGE(OFFSET($H$3,0,0,'Données projet'!$E$13+1,1))</f>
        <v>399.78832690250164</v>
      </c>
      <c r="CZ159" s="62">
        <f t="shared" si="150"/>
        <v>174.32967064896343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>
        <f>EXP(-LN(2)/35)*DF158+(1-EXP(-LN(2)/35))/(LN(2)/35)*DB159*DC159*VLOOKUP('Données projet'!$B$13,Paramètres!$A$1:$I$89,3,0)*0.475*44/12</f>
        <v>0</v>
      </c>
      <c r="DG159" s="23">
        <f>EXP(-LN(2)/25)*DG158+(1-EXP(-LN(2)/25))/(LN(2)/25)*Calculateur!DB159*Calculateur!DD159*VLOOKUP('Données projet'!$B$13,Paramètres!$A$1:$I$89,3,0)*0.475*44/12</f>
        <v>0</v>
      </c>
      <c r="DH159" s="23">
        <f>EXP(-LN(2)/2)*DH158+(1-EXP(-LN(2)/2))/(LN(2)/2)*DB159*DE159*VLOOKUP('Données projet'!$B$13,Paramètres!$A$1:$I$89,3,0)*0.475*44/12</f>
        <v>0</v>
      </c>
      <c r="DI159" s="24">
        <f t="shared" si="175"/>
        <v>0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-9.6633812063373625E-13</v>
      </c>
      <c r="DP159" s="18">
        <f>DO159*VLOOKUP('Données projet'!$B$14,Paramètres!$A$1:$I$89,3,0)*VLOOKUP('Données projet'!$B$14,Paramètres!$A$1:$I$89,5,0)</f>
        <v>-8.1404323282185943E-13</v>
      </c>
      <c r="DQ159" s="14" t="e">
        <f t="shared" si="176"/>
        <v>#NUM!</v>
      </c>
      <c r="DR159" s="22" t="e">
        <f t="shared" si="177"/>
        <v>#NUM!</v>
      </c>
      <c r="DS159" s="62" t="e">
        <f t="shared" si="125"/>
        <v>#NUM!</v>
      </c>
      <c r="DT159" s="62">
        <f ca="1">AVERAGE(OFFSET($DS$3,0,0,'Données projet'!$E$14+1,1))-AVERAGE(OFFSET($H$3,0,0,'Données projet'!$E$14+1,1))</f>
        <v>402.15128814037058</v>
      </c>
      <c r="DU159" s="62">
        <f t="shared" si="152"/>
        <v>232.85411068442738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>
        <f>EXP(-LN(2)/35)*EA158+(1-EXP(-LN(2)/35))/(LN(2)/35)*DW159*DX159*VLOOKUP('Données projet'!$B$14,Paramètres!$A$1:$I$89,3,0)*0.475*44/12</f>
        <v>0</v>
      </c>
      <c r="EB159" s="23">
        <f>EXP(-LN(2)/25)*EB158+(1-EXP(-LN(2)/25))/(LN(2)/25)*Calculateur!DW159*Calculateur!DY159*VLOOKUP('Données projet'!$B$14,Paramètres!$A$1:$I$89,3,0)*0.475*44/12</f>
        <v>0</v>
      </c>
      <c r="EC159" s="23">
        <f>EXP(-LN(2)/2)*EC158+(1-EXP(-LN(2)/2))/(LN(2)/2)*DW159*DZ159*VLOOKUP('Données projet'!$B$14,Paramètres!$A$1:$I$89,3,0)*0.475*44/12</f>
        <v>0</v>
      </c>
      <c r="ED159" s="24">
        <f t="shared" si="178"/>
        <v>0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6.2527760746888816E-13</v>
      </c>
      <c r="EK159" s="18">
        <f>EJ159*VLOOKUP('Données projet'!$B$15,Paramètres!$A$1:$I$89,3,0)*VLOOKUP('Données projet'!$B$15,Paramètres!$A$1:$I$89,5,0)</f>
        <v>6.5354015532648198E-13</v>
      </c>
      <c r="EL159" s="14">
        <f t="shared" si="179"/>
        <v>7.8909019831354483E-12</v>
      </c>
      <c r="EM159" s="22">
        <f t="shared" si="180"/>
        <v>1.4881570057821194E-11</v>
      </c>
      <c r="EN159" s="62">
        <f t="shared" si="128"/>
        <v>293.33333333334821</v>
      </c>
      <c r="EO159" s="62">
        <f ca="1">AVERAGE(OFFSET($EN$3,0,0,'Données projet'!$E$15+1,1))-AVERAGE(OFFSET($H$3,0,0,'Données projet'!$E$15+1,1))</f>
        <v>595.89992279024398</v>
      </c>
      <c r="EP159" s="62">
        <f t="shared" si="154"/>
        <v>378.16197659288338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>
        <f>EXP(-LN(2)/35)*EV158+(1-EXP(-LN(2)/35))/(LN(2)/35)*ER159*ES159*VLOOKUP('Données projet'!$B$15,Paramètres!$A$1:$I$89,3,0)*0.475*44/12</f>
        <v>0</v>
      </c>
      <c r="EW159" s="23">
        <f>EXP(-LN(2)/25)*EW158+(1-EXP(-LN(2)/25))/(LN(2)/25)*Calculateur!ER159*Calculateur!ET159*VLOOKUP('Données projet'!$B$15,Paramètres!$A$1:$I$89,3,0)*0.475*44/12</f>
        <v>0</v>
      </c>
      <c r="EX159" s="23">
        <f>EXP(-LN(2)/2)*EX158+(1-EXP(-LN(2)/2))/(LN(2)/2)*ER159*EU159*VLOOKUP('Données projet'!$B$15,Paramètres!$A$1:$I$89,3,0)*0.475*44/12</f>
        <v>0</v>
      </c>
      <c r="EY159" s="24">
        <f t="shared" si="181"/>
        <v>0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-2.2737367544323206E-13</v>
      </c>
      <c r="FF159" s="18">
        <f>FE159*VLOOKUP('Données projet'!$B$16,Paramètres!$A$1:$I$89,3,0)*VLOOKUP('Données projet'!$B$16,Paramètres!$A$1:$I$89,5,0)</f>
        <v>-1.3596945791505279E-13</v>
      </c>
      <c r="FG159" s="14" t="e">
        <f t="shared" si="182"/>
        <v>#NUM!</v>
      </c>
      <c r="FH159" s="22" t="e">
        <f t="shared" si="183"/>
        <v>#NUM!</v>
      </c>
      <c r="FI159" s="62" t="e">
        <f t="shared" si="131"/>
        <v>#NUM!</v>
      </c>
      <c r="FJ159" s="62">
        <f ca="1">AVERAGE(OFFSET($FI$3,0,0,'Données projet'!$E$16+1,1))-AVERAGE(OFFSET($H$3,0,0,'Données projet'!$E$16+1,1))</f>
        <v>257.56116197646924</v>
      </c>
      <c r="FK159" s="62">
        <f t="shared" si="156"/>
        <v>269.95556918835888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>
        <f>EXP(-LN(2)/35)*FQ158+(1-EXP(-LN(2)/35))/(LN(2)/35)*FM159*FN159*VLOOKUP('Données projet'!$B$16,Paramètres!$A$1:$I$89,3,0)*0.475*44/12</f>
        <v>1.2025204968541228</v>
      </c>
      <c r="FR159" s="23">
        <f>EXP(-LN(2)/25)*FR158+(1-EXP(-LN(2)/25))/(LN(2)/25)*Calculateur!FM159*Calculateur!FO159*VLOOKUP('Données projet'!$B$16,Paramètres!$A$1:$I$89,3,0)*0.475*44/12</f>
        <v>0.49067624576241553</v>
      </c>
      <c r="FS159" s="23">
        <f>EXP(-LN(2)/2)*FS158+(1-EXP(-LN(2)/2))/(LN(2)/2)*FM159*FP159*VLOOKUP('Données projet'!$B$16,Paramètres!$A$1:$I$89,3,0)*0.475*44/12</f>
        <v>9.2743558297275148E-19</v>
      </c>
      <c r="FT159" s="24">
        <f t="shared" si="184"/>
        <v>1.6931967426165384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-2.8421709430404007E-13</v>
      </c>
      <c r="GA159" s="18">
        <f>FZ159*VLOOKUP('Données projet'!$B$17,Paramètres!$A$1:$I$89,3,0)*VLOOKUP('Données projet'!$B$17,Paramètres!$A$1:$I$89,5,0)</f>
        <v>-1.69961822393816E-13</v>
      </c>
      <c r="GB159" s="14" t="e">
        <f t="shared" si="185"/>
        <v>#NUM!</v>
      </c>
      <c r="GC159" s="22" t="e">
        <f t="shared" si="186"/>
        <v>#NUM!</v>
      </c>
      <c r="GD159" s="62" t="e">
        <f t="shared" si="134"/>
        <v>#NUM!</v>
      </c>
      <c r="GE159" s="62">
        <f ca="1">AVERAGE(OFFSET($GD$3,0,0,'Données projet'!$E$17+1,1))-AVERAGE(OFFSET($H$3,0,0,'Données projet'!$E$17+1,1))</f>
        <v>289.12367833861299</v>
      </c>
      <c r="GF159" s="62">
        <f t="shared" si="158"/>
        <v>229.06617320689003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>
        <f>EXP(-LN(2)/35)*GL158+(1-EXP(-LN(2)/35))/(LN(2)/35)*GH159*GI159*VLOOKUP('Données projet'!$B$17,Paramètres!$A$1:$I$89,3,0)*0.475*44/12</f>
        <v>0</v>
      </c>
      <c r="GM159" s="23">
        <f>EXP(-LN(2)/25)*GM158+(1-EXP(-LN(2)/25))/(LN(2)/25)*Calculateur!GH159*Calculateur!GJ159*VLOOKUP('Données projet'!$B$17,Paramètres!$A$1:$I$89,3,0)*0.475*44/12</f>
        <v>0</v>
      </c>
      <c r="GN159" s="23">
        <f>EXP(-LN(2)/2)*GN158+(1-EXP(-LN(2)/2))/(LN(2)/2)*GH159*GK159*VLOOKUP('Données projet'!$B$17,Paramètres!$A$1:$I$89,3,0)*0.475*44/12</f>
        <v>4.4960076005342886E-19</v>
      </c>
      <c r="GO159" s="23">
        <f t="shared" si="187"/>
        <v>4.4960076005342886E-19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-5.6843418860808015E-14</v>
      </c>
      <c r="GV159" s="18">
        <f>GU159*VLOOKUP('Données projet'!$B$18,Paramètres!$A$1:$I$89,3,0)*VLOOKUP('Données projet'!$B$18,Paramètres!$A$1:$I$89,5,0)</f>
        <v>-2.6602720026858149E-14</v>
      </c>
      <c r="GW159" s="14" t="e">
        <f t="shared" si="188"/>
        <v>#NUM!</v>
      </c>
      <c r="GX159" s="22" t="e">
        <f t="shared" si="189"/>
        <v>#NUM!</v>
      </c>
      <c r="GY159" s="62" t="e">
        <f t="shared" si="137"/>
        <v>#NUM!</v>
      </c>
      <c r="GZ159" s="62">
        <f ca="1">AVERAGE(OFFSET($GY$3,0,0,'Données projet'!$E$18+1,1))-AVERAGE(OFFSET($H$3,0,0,'Données projet'!$E$18+1,1))</f>
        <v>284.88646502866419</v>
      </c>
      <c r="HA159" s="62">
        <f t="shared" si="160"/>
        <v>190.4880882944471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>
        <f>EXP(-LN(2)/35)*HG158+(1-EXP(-LN(2)/35))/(LN(2)/35)*HC159*HD159*VLOOKUP('Données projet'!$B$18,Paramètres!$A$1:$I$89,3,0)*0.475*44/12</f>
        <v>0</v>
      </c>
      <c r="HH159" s="23">
        <f>EXP(-LN(2)/25)*HH158+(1-EXP(-LN(2)/25))/(LN(2)/25)*Calculateur!HC159*Calculateur!HE159*VLOOKUP('Données projet'!$B$18,Paramètres!$A$1:$I$89,3,0)*0.475*44/12</f>
        <v>0</v>
      </c>
      <c r="HI159" s="23">
        <f>EXP(-LN(2)/2)*HI158+(1-EXP(-LN(2)/2))/(LN(2)/2)*HC159*HF159*VLOOKUP('Données projet'!$B$18,Paramètres!$A$1:$I$89,3,0)*0.475*44/12</f>
        <v>0</v>
      </c>
      <c r="HJ159" s="24">
        <f t="shared" si="190"/>
        <v>0</v>
      </c>
    </row>
    <row r="160" spans="1:218" x14ac:dyDescent="0.25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2">
        <f t="shared" si="140"/>
        <v>0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0</v>
      </c>
      <c r="H160" s="70">
        <f t="shared" si="110"/>
        <v>256.66666666666669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-1.1368683772161603E-13</v>
      </c>
      <c r="O160" s="14">
        <f>N160*VLOOKUP('Données projet'!$B$9,Paramètres!$A$1:$I$89,3,0)*VLOOKUP('Données projet'!$B$9,Paramètres!$A$1:$I$89,5,0)</f>
        <v>-1.0818439477588981E-13</v>
      </c>
      <c r="P160" s="14" t="e">
        <f t="shared" si="141"/>
        <v>#NUM!</v>
      </c>
      <c r="Q160" s="22" t="e">
        <f t="shared" si="162"/>
        <v>#NUM!</v>
      </c>
      <c r="R160" s="62" t="e">
        <f t="shared" si="109"/>
        <v>#NUM!</v>
      </c>
      <c r="S160" s="62">
        <f ca="1">AVERAGE(OFFSET($R$3,0,0,'Données projet'!$E$9+1,1))-AVERAGE(OFFSET($H$3,0,0,'Données projet'!$E$9+1,1))</f>
        <v>367.11183928586667</v>
      </c>
      <c r="T160" s="62">
        <f t="shared" si="142"/>
        <v>281.52963027844595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0</v>
      </c>
      <c r="AA160" s="23">
        <f>EXP(-LN(2)/25)*AA159+(1-EXP(-LN(2)/25))/(LN(2)/25)*Calculateur!V160*Calculateur!X160*VLOOKUP('Données projet'!$B$9,Paramètres!$A$1:$I$89,3,0)*0.475*44/12</f>
        <v>0</v>
      </c>
      <c r="AB160" s="23">
        <f>EXP(-LN(2)/2)*AB159+(1-EXP(-LN(2)/2))/(LN(2)/2)*V160*Y160*VLOOKUP('Données projet'!$B$9,Paramètres!$A$1:$I$89,3,0)*0.475*44/12</f>
        <v>0</v>
      </c>
      <c r="AC160" s="24">
        <f t="shared" si="163"/>
        <v>0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-9.6633812063373625E-13</v>
      </c>
      <c r="AJ160" s="14">
        <f>AI160*VLOOKUP('Données projet'!$B$10,Paramètres!$A$1:$I$89,3,0)*VLOOKUP('Données projet'!$B$10,Paramètres!$A$1:$I$89,5,0)</f>
        <v>-8.7434273154940449E-13</v>
      </c>
      <c r="AK160" s="14" t="e">
        <f t="shared" si="164"/>
        <v>#NUM!</v>
      </c>
      <c r="AL160" s="22" t="e">
        <f t="shared" si="165"/>
        <v>#NUM!</v>
      </c>
      <c r="AM160" s="62" t="e">
        <f t="shared" si="113"/>
        <v>#NUM!</v>
      </c>
      <c r="AN160" s="62">
        <f ca="1">AVERAGE(OFFSET($AM$3,0,0,'Données projet'!$E$10+1,1))-AVERAGE(OFFSET($H$3,0,0,'Données projet'!$E$10+1,1))</f>
        <v>428.8489304403459</v>
      </c>
      <c r="AO160" s="62">
        <f t="shared" si="144"/>
        <v>247.01165577562966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0</v>
      </c>
      <c r="AV160" s="23">
        <f>EXP(-LN(2)/25)*AV159+(1-EXP(-LN(2)/25))/(LN(2)/25)*Calculateur!AQ160*Calculateur!AS160*VLOOKUP('Données projet'!$B$10,Paramètres!$A$1:$I$89,3,0)*0.475*44/12</f>
        <v>0</v>
      </c>
      <c r="AW160" s="23">
        <f>EXP(-LN(2)/2)*AW159+(1-EXP(-LN(2)/2))/(LN(2)/2)*AQ160*AT160*VLOOKUP('Données projet'!$B$10,Paramètres!$A$1:$I$89,3,0)*0.475*44/12</f>
        <v>0</v>
      </c>
      <c r="AX160" s="23">
        <f t="shared" si="166"/>
        <v>0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-9.6633812063373625E-13</v>
      </c>
      <c r="BE160" s="14">
        <f>BD160*VLOOKUP('Données projet'!$B$11,Paramètres!$A$1:$I$89,3,0)*VLOOKUP('Données projet'!$B$11,Paramètres!$A$1:$I$89,5,0)</f>
        <v>-9.7986685432260874E-13</v>
      </c>
      <c r="BF160" s="14" t="e">
        <f t="shared" si="167"/>
        <v>#NUM!</v>
      </c>
      <c r="BG160" s="22" t="e">
        <f t="shared" si="168"/>
        <v>#NUM!</v>
      </c>
      <c r="BH160" s="62" t="e">
        <f t="shared" si="116"/>
        <v>#NUM!</v>
      </c>
      <c r="BI160" s="62">
        <f ca="1">AVERAGE(OFFSET($BH$3,0,0,'Données projet'!$E$11+1,1))-AVERAGE(OFFSET($H$3,0,0,'Données projet'!$E$11+1,1))</f>
        <v>475.47920969424894</v>
      </c>
      <c r="BJ160" s="62">
        <f t="shared" si="146"/>
        <v>271.73544012419364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>
        <f>EXP(-LN(2)/35)*BP159+(1-EXP(-LN(2)/35))/(LN(2)/35)*BL160*BM160*VLOOKUP('Données projet'!$B$11,Paramètres!$A$1:$I$89,3,0)*0.475*44/12</f>
        <v>0</v>
      </c>
      <c r="BQ160" s="23">
        <f>EXP(-LN(2)/25)*BQ159+(1-EXP(-LN(2)/25))/(LN(2)/25)*Calculateur!BL160*Calculateur!BN160*VLOOKUP('Données projet'!$B$11,Paramètres!$A$1:$I$89,3,0)*0.475*44/12</f>
        <v>0</v>
      </c>
      <c r="BR160" s="23">
        <f>EXP(-LN(2)/2)*BR159+(1-EXP(-LN(2)/2))/(LN(2)/2)*BL160*BO160*VLOOKUP('Données projet'!$B$11,Paramètres!$A$1:$I$89,3,0)*0.475*44/12</f>
        <v>0</v>
      </c>
      <c r="BS160" s="24">
        <f t="shared" si="169"/>
        <v>0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2.2737367544323206E-13</v>
      </c>
      <c r="BZ160" s="14">
        <f>BY160*VLOOKUP('Données projet'!$B$12,Paramètres!$A$1:$I$89,3,0)*VLOOKUP('Données projet'!$B$12,Paramètres!$A$1:$I$89,5,0)</f>
        <v>1.2710188457276673E-13</v>
      </c>
      <c r="CA160" s="14">
        <f t="shared" si="170"/>
        <v>1.856866851063998E-12</v>
      </c>
      <c r="CB160" s="22">
        <f t="shared" si="171"/>
        <v>3.4554122145673649E-12</v>
      </c>
      <c r="CC160" s="62">
        <f t="shared" si="119"/>
        <v>293.33333333333678</v>
      </c>
      <c r="CD160" s="62">
        <f ca="1">AVERAGE(OFFSET($CC$3,0,0,'Données projet'!$E$12+1,1))-AVERAGE(OFFSET($H$3,0,0,'Données projet'!$E$12+1,1))</f>
        <v>323.98185264074681</v>
      </c>
      <c r="CE160" s="62">
        <f t="shared" si="148"/>
        <v>301.22207291854005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>
        <f>EXP(-LN(2)/35)*CK159+(1-EXP(-LN(2)/35))/(LN(2)/35)*CG160*CH160*VLOOKUP('Données projet'!$B$12,Paramètres!$A$1:$I$89,3,0)*0.475*44/12</f>
        <v>0.36078790430200569</v>
      </c>
      <c r="CL160" s="23">
        <f>EXP(-LN(2)/25)*CL159+(1-EXP(-LN(2)/25))/(LN(2)/25)*Calculateur!CG160*Calculateur!CI160*VLOOKUP('Données projet'!$B$12,Paramètres!$A$1:$I$89,3,0)*0.475*44/12</f>
        <v>0.24382565282133298</v>
      </c>
      <c r="CM160" s="23">
        <f>EXP(-LN(2)/2)*CM159+(1-EXP(-LN(2)/2))/(LN(2)/2)*CG160*CJ160*VLOOKUP('Données projet'!$B$12,Paramètres!$A$1:$I$89,3,0)*0.475*44/12</f>
        <v>4.667197335273045E-19</v>
      </c>
      <c r="CN160" s="24">
        <f t="shared" si="172"/>
        <v>0.60461355712333864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>
        <f>CT160*VLOOKUP('Données projet'!$B$13,Paramètres!$A$1:$I$89,3,0)*VLOOKUP('Données projet'!$B$13,Paramètres!$A$1:$I$89,5,0)</f>
        <v>0</v>
      </c>
      <c r="CV160" s="14" t="e">
        <f t="shared" si="173"/>
        <v>#NUM!</v>
      </c>
      <c r="CW160" s="22" t="e">
        <f t="shared" si="174"/>
        <v>#NUM!</v>
      </c>
      <c r="CX160" s="62" t="e">
        <f t="shared" si="122"/>
        <v>#NUM!</v>
      </c>
      <c r="CY160" s="62">
        <f ca="1">AVERAGE(OFFSET($CX$3,0,0,'Données projet'!$E$13+1,1))-AVERAGE(OFFSET($H$3,0,0,'Données projet'!$E$13+1,1))</f>
        <v>399.78832690250164</v>
      </c>
      <c r="CZ160" s="62">
        <f t="shared" si="150"/>
        <v>174.32967064896343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>
        <f>EXP(-LN(2)/35)*DF159+(1-EXP(-LN(2)/35))/(LN(2)/35)*DB160*DC160*VLOOKUP('Données projet'!$B$13,Paramètres!$A$1:$I$89,3,0)*0.475*44/12</f>
        <v>0</v>
      </c>
      <c r="DG160" s="23">
        <f>EXP(-LN(2)/25)*DG159+(1-EXP(-LN(2)/25))/(LN(2)/25)*Calculateur!DB160*Calculateur!DD160*VLOOKUP('Données projet'!$B$13,Paramètres!$A$1:$I$89,3,0)*0.475*44/12</f>
        <v>0</v>
      </c>
      <c r="DH160" s="23">
        <f>EXP(-LN(2)/2)*DH159+(1-EXP(-LN(2)/2))/(LN(2)/2)*DB160*DE160*VLOOKUP('Données projet'!$B$13,Paramètres!$A$1:$I$89,3,0)*0.475*44/12</f>
        <v>0</v>
      </c>
      <c r="DI160" s="24">
        <f t="shared" si="175"/>
        <v>0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-9.6633812063373625E-13</v>
      </c>
      <c r="DP160" s="18">
        <f>DO160*VLOOKUP('Données projet'!$B$14,Paramètres!$A$1:$I$89,3,0)*VLOOKUP('Données projet'!$B$14,Paramètres!$A$1:$I$89,5,0)</f>
        <v>-8.1404323282185943E-13</v>
      </c>
      <c r="DQ160" s="14" t="e">
        <f t="shared" si="176"/>
        <v>#NUM!</v>
      </c>
      <c r="DR160" s="22" t="e">
        <f t="shared" si="177"/>
        <v>#NUM!</v>
      </c>
      <c r="DS160" s="62" t="e">
        <f t="shared" si="125"/>
        <v>#NUM!</v>
      </c>
      <c r="DT160" s="62">
        <f ca="1">AVERAGE(OFFSET($DS$3,0,0,'Données projet'!$E$14+1,1))-AVERAGE(OFFSET($H$3,0,0,'Données projet'!$E$14+1,1))</f>
        <v>402.15128814037058</v>
      </c>
      <c r="DU160" s="62">
        <f t="shared" si="152"/>
        <v>232.85411068442738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>
        <f>EXP(-LN(2)/35)*EA159+(1-EXP(-LN(2)/35))/(LN(2)/35)*DW160*DX160*VLOOKUP('Données projet'!$B$14,Paramètres!$A$1:$I$89,3,0)*0.475*44/12</f>
        <v>0</v>
      </c>
      <c r="EB160" s="23">
        <f>EXP(-LN(2)/25)*EB159+(1-EXP(-LN(2)/25))/(LN(2)/25)*Calculateur!DW160*Calculateur!DY160*VLOOKUP('Données projet'!$B$14,Paramètres!$A$1:$I$89,3,0)*0.475*44/12</f>
        <v>0</v>
      </c>
      <c r="EC160" s="23">
        <f>EXP(-LN(2)/2)*EC159+(1-EXP(-LN(2)/2))/(LN(2)/2)*DW160*DZ160*VLOOKUP('Données projet'!$B$14,Paramètres!$A$1:$I$89,3,0)*0.475*44/12</f>
        <v>0</v>
      </c>
      <c r="ED160" s="24">
        <f t="shared" si="178"/>
        <v>0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6.2527760746888816E-13</v>
      </c>
      <c r="EK160" s="18">
        <f>EJ160*VLOOKUP('Données projet'!$B$15,Paramètres!$A$1:$I$89,3,0)*VLOOKUP('Données projet'!$B$15,Paramètres!$A$1:$I$89,5,0)</f>
        <v>6.5354015532648198E-13</v>
      </c>
      <c r="EL160" s="14">
        <f t="shared" si="179"/>
        <v>7.8909019831354483E-12</v>
      </c>
      <c r="EM160" s="22">
        <f t="shared" si="180"/>
        <v>1.4881570057821194E-11</v>
      </c>
      <c r="EN160" s="62">
        <f t="shared" si="128"/>
        <v>293.33333333334821</v>
      </c>
      <c r="EO160" s="62">
        <f ca="1">AVERAGE(OFFSET($EN$3,0,0,'Données projet'!$E$15+1,1))-AVERAGE(OFFSET($H$3,0,0,'Données projet'!$E$15+1,1))</f>
        <v>595.89992279024398</v>
      </c>
      <c r="EP160" s="62">
        <f t="shared" si="154"/>
        <v>378.16197659288338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>
        <f>EXP(-LN(2)/35)*EV159+(1-EXP(-LN(2)/35))/(LN(2)/35)*ER160*ES160*VLOOKUP('Données projet'!$B$15,Paramètres!$A$1:$I$89,3,0)*0.475*44/12</f>
        <v>0</v>
      </c>
      <c r="EW160" s="23">
        <f>EXP(-LN(2)/25)*EW159+(1-EXP(-LN(2)/25))/(LN(2)/25)*Calculateur!ER160*Calculateur!ET160*VLOOKUP('Données projet'!$B$15,Paramètres!$A$1:$I$89,3,0)*0.475*44/12</f>
        <v>0</v>
      </c>
      <c r="EX160" s="23">
        <f>EXP(-LN(2)/2)*EX159+(1-EXP(-LN(2)/2))/(LN(2)/2)*ER160*EU160*VLOOKUP('Données projet'!$B$15,Paramètres!$A$1:$I$89,3,0)*0.475*44/12</f>
        <v>0</v>
      </c>
      <c r="EY160" s="24">
        <f t="shared" si="181"/>
        <v>0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-2.2737367544323206E-13</v>
      </c>
      <c r="FF160" s="18">
        <f>FE160*VLOOKUP('Données projet'!$B$16,Paramètres!$A$1:$I$89,3,0)*VLOOKUP('Données projet'!$B$16,Paramètres!$A$1:$I$89,5,0)</f>
        <v>-1.3596945791505279E-13</v>
      </c>
      <c r="FG160" s="14" t="e">
        <f t="shared" si="182"/>
        <v>#NUM!</v>
      </c>
      <c r="FH160" s="22" t="e">
        <f t="shared" si="183"/>
        <v>#NUM!</v>
      </c>
      <c r="FI160" s="62" t="e">
        <f t="shared" si="131"/>
        <v>#NUM!</v>
      </c>
      <c r="FJ160" s="62">
        <f ca="1">AVERAGE(OFFSET($FI$3,0,0,'Données projet'!$E$16+1,1))-AVERAGE(OFFSET($H$3,0,0,'Données projet'!$E$16+1,1))</f>
        <v>257.56116197646924</v>
      </c>
      <c r="FK160" s="62">
        <f t="shared" si="156"/>
        <v>269.95556918835888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>
        <f>EXP(-LN(2)/35)*FQ159+(1-EXP(-LN(2)/35))/(LN(2)/35)*FM160*FN160*VLOOKUP('Données projet'!$B$16,Paramètres!$A$1:$I$89,3,0)*0.475*44/12</f>
        <v>1.1789398033758929</v>
      </c>
      <c r="FR160" s="23">
        <f>EXP(-LN(2)/25)*FR159+(1-EXP(-LN(2)/25))/(LN(2)/25)*Calculateur!FM160*Calculateur!FO160*VLOOKUP('Données projet'!$B$16,Paramètres!$A$1:$I$89,3,0)*0.475*44/12</f>
        <v>0.47725867801849997</v>
      </c>
      <c r="FS160" s="23">
        <f>EXP(-LN(2)/2)*FS159+(1-EXP(-LN(2)/2))/(LN(2)/2)*FM160*FP160*VLOOKUP('Données projet'!$B$16,Paramètres!$A$1:$I$89,3,0)*0.475*44/12</f>
        <v>6.5579598983373153E-19</v>
      </c>
      <c r="FT160" s="24">
        <f t="shared" si="184"/>
        <v>1.6561984813943929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-2.8421709430404007E-13</v>
      </c>
      <c r="GA160" s="18">
        <f>FZ160*VLOOKUP('Données projet'!$B$17,Paramètres!$A$1:$I$89,3,0)*VLOOKUP('Données projet'!$B$17,Paramètres!$A$1:$I$89,5,0)</f>
        <v>-1.69961822393816E-13</v>
      </c>
      <c r="GB160" s="14" t="e">
        <f t="shared" si="185"/>
        <v>#NUM!</v>
      </c>
      <c r="GC160" s="22" t="e">
        <f t="shared" si="186"/>
        <v>#NUM!</v>
      </c>
      <c r="GD160" s="62" t="e">
        <f t="shared" si="134"/>
        <v>#NUM!</v>
      </c>
      <c r="GE160" s="62">
        <f ca="1">AVERAGE(OFFSET($GD$3,0,0,'Données projet'!$E$17+1,1))-AVERAGE(OFFSET($H$3,0,0,'Données projet'!$E$17+1,1))</f>
        <v>289.12367833861299</v>
      </c>
      <c r="GF160" s="62">
        <f t="shared" si="158"/>
        <v>229.06617320689003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>
        <f>EXP(-LN(2)/35)*GL159+(1-EXP(-LN(2)/35))/(LN(2)/35)*GH160*GI160*VLOOKUP('Données projet'!$B$17,Paramètres!$A$1:$I$89,3,0)*0.475*44/12</f>
        <v>0</v>
      </c>
      <c r="GM160" s="23">
        <f>EXP(-LN(2)/25)*GM159+(1-EXP(-LN(2)/25))/(LN(2)/25)*Calculateur!GH160*Calculateur!GJ160*VLOOKUP('Données projet'!$B$17,Paramètres!$A$1:$I$89,3,0)*0.475*44/12</f>
        <v>0</v>
      </c>
      <c r="GN160" s="23">
        <f>EXP(-LN(2)/2)*GN159+(1-EXP(-LN(2)/2))/(LN(2)/2)*GH160*GK160*VLOOKUP('Données projet'!$B$17,Paramètres!$A$1:$I$89,3,0)*0.475*44/12</f>
        <v>3.1791574626040538E-19</v>
      </c>
      <c r="GO160" s="23">
        <f t="shared" si="187"/>
        <v>3.1791574626040538E-19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-5.6843418860808015E-14</v>
      </c>
      <c r="GV160" s="18">
        <f>GU160*VLOOKUP('Données projet'!$B$18,Paramètres!$A$1:$I$89,3,0)*VLOOKUP('Données projet'!$B$18,Paramètres!$A$1:$I$89,5,0)</f>
        <v>-2.6602720026858149E-14</v>
      </c>
      <c r="GW160" s="14" t="e">
        <f t="shared" si="188"/>
        <v>#NUM!</v>
      </c>
      <c r="GX160" s="22" t="e">
        <f t="shared" si="189"/>
        <v>#NUM!</v>
      </c>
      <c r="GY160" s="62" t="e">
        <f t="shared" si="137"/>
        <v>#NUM!</v>
      </c>
      <c r="GZ160" s="62">
        <f ca="1">AVERAGE(OFFSET($GY$3,0,0,'Données projet'!$E$18+1,1))-AVERAGE(OFFSET($H$3,0,0,'Données projet'!$E$18+1,1))</f>
        <v>284.88646502866419</v>
      </c>
      <c r="HA160" s="62">
        <f t="shared" si="160"/>
        <v>190.4880882944471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>
        <f>EXP(-LN(2)/35)*HG159+(1-EXP(-LN(2)/35))/(LN(2)/35)*HC160*HD160*VLOOKUP('Données projet'!$B$18,Paramètres!$A$1:$I$89,3,0)*0.475*44/12</f>
        <v>0</v>
      </c>
      <c r="HH160" s="23">
        <f>EXP(-LN(2)/25)*HH159+(1-EXP(-LN(2)/25))/(LN(2)/25)*Calculateur!HC160*Calculateur!HE160*VLOOKUP('Données projet'!$B$18,Paramètres!$A$1:$I$89,3,0)*0.475*44/12</f>
        <v>0</v>
      </c>
      <c r="HI160" s="23">
        <f>EXP(-LN(2)/2)*HI159+(1-EXP(-LN(2)/2))/(LN(2)/2)*HC160*HF160*VLOOKUP('Données projet'!$B$18,Paramètres!$A$1:$I$89,3,0)*0.475*44/12</f>
        <v>0</v>
      </c>
      <c r="HJ160" s="24">
        <f t="shared" si="190"/>
        <v>0</v>
      </c>
    </row>
    <row r="161" spans="1:218" x14ac:dyDescent="0.25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2">
        <f t="shared" si="140"/>
        <v>0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0</v>
      </c>
      <c r="H161" s="70">
        <f t="shared" si="110"/>
        <v>256.66666666666669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-1.1368683772161603E-13</v>
      </c>
      <c r="O161" s="14">
        <f>N161*VLOOKUP('Données projet'!$B$9,Paramètres!$A$1:$I$89,3,0)*VLOOKUP('Données projet'!$B$9,Paramètres!$A$1:$I$89,5,0)</f>
        <v>-1.0818439477588981E-13</v>
      </c>
      <c r="P161" s="14" t="e">
        <f t="shared" si="141"/>
        <v>#NUM!</v>
      </c>
      <c r="Q161" s="22" t="e">
        <f t="shared" si="162"/>
        <v>#NUM!</v>
      </c>
      <c r="R161" s="62" t="e">
        <f t="shared" si="109"/>
        <v>#NUM!</v>
      </c>
      <c r="S161" s="62">
        <f ca="1">AVERAGE(OFFSET($R$3,0,0,'Données projet'!$E$9+1,1))-AVERAGE(OFFSET($H$3,0,0,'Données projet'!$E$9+1,1))</f>
        <v>367.11183928586667</v>
      </c>
      <c r="T161" s="62">
        <f t="shared" si="142"/>
        <v>281.52963027844595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0</v>
      </c>
      <c r="AA161" s="23">
        <f>EXP(-LN(2)/25)*AA160+(1-EXP(-LN(2)/25))/(LN(2)/25)*Calculateur!V161*Calculateur!X161*VLOOKUP('Données projet'!$B$9,Paramètres!$A$1:$I$89,3,0)*0.475*44/12</f>
        <v>0</v>
      </c>
      <c r="AB161" s="23">
        <f>EXP(-LN(2)/2)*AB160+(1-EXP(-LN(2)/2))/(LN(2)/2)*V161*Y161*VLOOKUP('Données projet'!$B$9,Paramètres!$A$1:$I$89,3,0)*0.475*44/12</f>
        <v>0</v>
      </c>
      <c r="AC161" s="24">
        <f t="shared" si="163"/>
        <v>0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-9.6633812063373625E-13</v>
      </c>
      <c r="AJ161" s="14">
        <f>AI161*VLOOKUP('Données projet'!$B$10,Paramètres!$A$1:$I$89,3,0)*VLOOKUP('Données projet'!$B$10,Paramètres!$A$1:$I$89,5,0)</f>
        <v>-8.7434273154940449E-13</v>
      </c>
      <c r="AK161" s="14" t="e">
        <f t="shared" si="164"/>
        <v>#NUM!</v>
      </c>
      <c r="AL161" s="22" t="e">
        <f t="shared" si="165"/>
        <v>#NUM!</v>
      </c>
      <c r="AM161" s="62" t="e">
        <f t="shared" si="113"/>
        <v>#NUM!</v>
      </c>
      <c r="AN161" s="62">
        <f ca="1">AVERAGE(OFFSET($AM$3,0,0,'Données projet'!$E$10+1,1))-AVERAGE(OFFSET($H$3,0,0,'Données projet'!$E$10+1,1))</f>
        <v>428.8489304403459</v>
      </c>
      <c r="AO161" s="62">
        <f t="shared" si="144"/>
        <v>247.01165577562966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0</v>
      </c>
      <c r="AV161" s="23">
        <f>EXP(-LN(2)/25)*AV160+(1-EXP(-LN(2)/25))/(LN(2)/25)*Calculateur!AQ161*Calculateur!AS161*VLOOKUP('Données projet'!$B$10,Paramètres!$A$1:$I$89,3,0)*0.475*44/12</f>
        <v>0</v>
      </c>
      <c r="AW161" s="23">
        <f>EXP(-LN(2)/2)*AW160+(1-EXP(-LN(2)/2))/(LN(2)/2)*AQ161*AT161*VLOOKUP('Données projet'!$B$10,Paramètres!$A$1:$I$89,3,0)*0.475*44/12</f>
        <v>0</v>
      </c>
      <c r="AX161" s="23">
        <f t="shared" si="166"/>
        <v>0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-9.6633812063373625E-13</v>
      </c>
      <c r="BE161" s="14">
        <f>BD161*VLOOKUP('Données projet'!$B$11,Paramètres!$A$1:$I$89,3,0)*VLOOKUP('Données projet'!$B$11,Paramètres!$A$1:$I$89,5,0)</f>
        <v>-9.7986685432260874E-13</v>
      </c>
      <c r="BF161" s="14" t="e">
        <f t="shared" si="167"/>
        <v>#NUM!</v>
      </c>
      <c r="BG161" s="22" t="e">
        <f t="shared" si="168"/>
        <v>#NUM!</v>
      </c>
      <c r="BH161" s="62" t="e">
        <f t="shared" si="116"/>
        <v>#NUM!</v>
      </c>
      <c r="BI161" s="62">
        <f ca="1">AVERAGE(OFFSET($BH$3,0,0,'Données projet'!$E$11+1,1))-AVERAGE(OFFSET($H$3,0,0,'Données projet'!$E$11+1,1))</f>
        <v>475.47920969424894</v>
      </c>
      <c r="BJ161" s="62">
        <f t="shared" si="146"/>
        <v>271.73544012419364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>
        <f>EXP(-LN(2)/35)*BP160+(1-EXP(-LN(2)/35))/(LN(2)/35)*BL161*BM161*VLOOKUP('Données projet'!$B$11,Paramètres!$A$1:$I$89,3,0)*0.475*44/12</f>
        <v>0</v>
      </c>
      <c r="BQ161" s="23">
        <f>EXP(-LN(2)/25)*BQ160+(1-EXP(-LN(2)/25))/(LN(2)/25)*Calculateur!BL161*Calculateur!BN161*VLOOKUP('Données projet'!$B$11,Paramètres!$A$1:$I$89,3,0)*0.475*44/12</f>
        <v>0</v>
      </c>
      <c r="BR161" s="23">
        <f>EXP(-LN(2)/2)*BR160+(1-EXP(-LN(2)/2))/(LN(2)/2)*BL161*BO161*VLOOKUP('Données projet'!$B$11,Paramètres!$A$1:$I$89,3,0)*0.475*44/12</f>
        <v>0</v>
      </c>
      <c r="BS161" s="24">
        <f t="shared" si="169"/>
        <v>0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2.2737367544323206E-13</v>
      </c>
      <c r="BZ161" s="14">
        <f>BY161*VLOOKUP('Données projet'!$B$12,Paramètres!$A$1:$I$89,3,0)*VLOOKUP('Données projet'!$B$12,Paramètres!$A$1:$I$89,5,0)</f>
        <v>1.2710188457276673E-13</v>
      </c>
      <c r="CA161" s="14">
        <f t="shared" si="170"/>
        <v>1.856866851063998E-12</v>
      </c>
      <c r="CB161" s="22">
        <f t="shared" si="171"/>
        <v>3.4554122145673649E-12</v>
      </c>
      <c r="CC161" s="62">
        <f t="shared" si="119"/>
        <v>293.33333333333678</v>
      </c>
      <c r="CD161" s="62">
        <f ca="1">AVERAGE(OFFSET($CC$3,0,0,'Données projet'!$E$12+1,1))-AVERAGE(OFFSET($H$3,0,0,'Données projet'!$E$12+1,1))</f>
        <v>323.98185264074681</v>
      </c>
      <c r="CE161" s="62">
        <f t="shared" si="148"/>
        <v>301.22207291854005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>
        <f>EXP(-LN(2)/35)*CK160+(1-EXP(-LN(2)/35))/(LN(2)/35)*CG161*CH161*VLOOKUP('Données projet'!$B$12,Paramètres!$A$1:$I$89,3,0)*0.475*44/12</f>
        <v>0.35371307355753595</v>
      </c>
      <c r="CL161" s="23">
        <f>EXP(-LN(2)/25)*CL160+(1-EXP(-LN(2)/25))/(LN(2)/25)*Calculateur!CG161*Calculateur!CI161*VLOOKUP('Données projet'!$B$12,Paramètres!$A$1:$I$89,3,0)*0.475*44/12</f>
        <v>0.23715822752269983</v>
      </c>
      <c r="CM161" s="23">
        <f>EXP(-LN(2)/2)*CM160+(1-EXP(-LN(2)/2))/(LN(2)/2)*CG161*CJ161*VLOOKUP('Données projet'!$B$12,Paramètres!$A$1:$I$89,3,0)*0.475*44/12</f>
        <v>3.3002068849073547E-19</v>
      </c>
      <c r="CN161" s="24">
        <f t="shared" si="172"/>
        <v>0.59087130108023578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>
        <f>CT161*VLOOKUP('Données projet'!$B$13,Paramètres!$A$1:$I$89,3,0)*VLOOKUP('Données projet'!$B$13,Paramètres!$A$1:$I$89,5,0)</f>
        <v>0</v>
      </c>
      <c r="CV161" s="14" t="e">
        <f t="shared" si="173"/>
        <v>#NUM!</v>
      </c>
      <c r="CW161" s="22" t="e">
        <f t="shared" si="174"/>
        <v>#NUM!</v>
      </c>
      <c r="CX161" s="62" t="e">
        <f t="shared" si="122"/>
        <v>#NUM!</v>
      </c>
      <c r="CY161" s="62">
        <f ca="1">AVERAGE(OFFSET($CX$3,0,0,'Données projet'!$E$13+1,1))-AVERAGE(OFFSET($H$3,0,0,'Données projet'!$E$13+1,1))</f>
        <v>399.78832690250164</v>
      </c>
      <c r="CZ161" s="62">
        <f t="shared" si="150"/>
        <v>174.32967064896343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>
        <f>EXP(-LN(2)/35)*DF160+(1-EXP(-LN(2)/35))/(LN(2)/35)*DB161*DC161*VLOOKUP('Données projet'!$B$13,Paramètres!$A$1:$I$89,3,0)*0.475*44/12</f>
        <v>0</v>
      </c>
      <c r="DG161" s="23">
        <f>EXP(-LN(2)/25)*DG160+(1-EXP(-LN(2)/25))/(LN(2)/25)*Calculateur!DB161*Calculateur!DD161*VLOOKUP('Données projet'!$B$13,Paramètres!$A$1:$I$89,3,0)*0.475*44/12</f>
        <v>0</v>
      </c>
      <c r="DH161" s="23">
        <f>EXP(-LN(2)/2)*DH160+(1-EXP(-LN(2)/2))/(LN(2)/2)*DB161*DE161*VLOOKUP('Données projet'!$B$13,Paramètres!$A$1:$I$89,3,0)*0.475*44/12</f>
        <v>0</v>
      </c>
      <c r="DI161" s="24">
        <f t="shared" si="175"/>
        <v>0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-9.6633812063373625E-13</v>
      </c>
      <c r="DP161" s="18">
        <f>DO161*VLOOKUP('Données projet'!$B$14,Paramètres!$A$1:$I$89,3,0)*VLOOKUP('Données projet'!$B$14,Paramètres!$A$1:$I$89,5,0)</f>
        <v>-8.1404323282185943E-13</v>
      </c>
      <c r="DQ161" s="14" t="e">
        <f t="shared" si="176"/>
        <v>#NUM!</v>
      </c>
      <c r="DR161" s="22" t="e">
        <f t="shared" si="177"/>
        <v>#NUM!</v>
      </c>
      <c r="DS161" s="62" t="e">
        <f t="shared" si="125"/>
        <v>#NUM!</v>
      </c>
      <c r="DT161" s="62">
        <f ca="1">AVERAGE(OFFSET($DS$3,0,0,'Données projet'!$E$14+1,1))-AVERAGE(OFFSET($H$3,0,0,'Données projet'!$E$14+1,1))</f>
        <v>402.15128814037058</v>
      </c>
      <c r="DU161" s="62">
        <f t="shared" si="152"/>
        <v>232.85411068442738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>
        <f>EXP(-LN(2)/35)*EA160+(1-EXP(-LN(2)/35))/(LN(2)/35)*DW161*DX161*VLOOKUP('Données projet'!$B$14,Paramètres!$A$1:$I$89,3,0)*0.475*44/12</f>
        <v>0</v>
      </c>
      <c r="EB161" s="23">
        <f>EXP(-LN(2)/25)*EB160+(1-EXP(-LN(2)/25))/(LN(2)/25)*Calculateur!DW161*Calculateur!DY161*VLOOKUP('Données projet'!$B$14,Paramètres!$A$1:$I$89,3,0)*0.475*44/12</f>
        <v>0</v>
      </c>
      <c r="EC161" s="23">
        <f>EXP(-LN(2)/2)*EC160+(1-EXP(-LN(2)/2))/(LN(2)/2)*DW161*DZ161*VLOOKUP('Données projet'!$B$14,Paramètres!$A$1:$I$89,3,0)*0.475*44/12</f>
        <v>0</v>
      </c>
      <c r="ED161" s="24">
        <f t="shared" si="178"/>
        <v>0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6.2527760746888816E-13</v>
      </c>
      <c r="EK161" s="18">
        <f>EJ161*VLOOKUP('Données projet'!$B$15,Paramètres!$A$1:$I$89,3,0)*VLOOKUP('Données projet'!$B$15,Paramètres!$A$1:$I$89,5,0)</f>
        <v>6.5354015532648198E-13</v>
      </c>
      <c r="EL161" s="14">
        <f t="shared" si="179"/>
        <v>7.8909019831354483E-12</v>
      </c>
      <c r="EM161" s="22">
        <f t="shared" si="180"/>
        <v>1.4881570057821194E-11</v>
      </c>
      <c r="EN161" s="62">
        <f t="shared" si="128"/>
        <v>293.33333333334821</v>
      </c>
      <c r="EO161" s="62">
        <f ca="1">AVERAGE(OFFSET($EN$3,0,0,'Données projet'!$E$15+1,1))-AVERAGE(OFFSET($H$3,0,0,'Données projet'!$E$15+1,1))</f>
        <v>595.89992279024398</v>
      </c>
      <c r="EP161" s="62">
        <f t="shared" si="154"/>
        <v>378.16197659288338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>
        <f>EXP(-LN(2)/35)*EV160+(1-EXP(-LN(2)/35))/(LN(2)/35)*ER161*ES161*VLOOKUP('Données projet'!$B$15,Paramètres!$A$1:$I$89,3,0)*0.475*44/12</f>
        <v>0</v>
      </c>
      <c r="EW161" s="23">
        <f>EXP(-LN(2)/25)*EW160+(1-EXP(-LN(2)/25))/(LN(2)/25)*Calculateur!ER161*Calculateur!ET161*VLOOKUP('Données projet'!$B$15,Paramètres!$A$1:$I$89,3,0)*0.475*44/12</f>
        <v>0</v>
      </c>
      <c r="EX161" s="23">
        <f>EXP(-LN(2)/2)*EX160+(1-EXP(-LN(2)/2))/(LN(2)/2)*ER161*EU161*VLOOKUP('Données projet'!$B$15,Paramètres!$A$1:$I$89,3,0)*0.475*44/12</f>
        <v>0</v>
      </c>
      <c r="EY161" s="24">
        <f t="shared" si="181"/>
        <v>0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-2.2737367544323206E-13</v>
      </c>
      <c r="FF161" s="18">
        <f>FE161*VLOOKUP('Données projet'!$B$16,Paramètres!$A$1:$I$89,3,0)*VLOOKUP('Données projet'!$B$16,Paramètres!$A$1:$I$89,5,0)</f>
        <v>-1.3596945791505279E-13</v>
      </c>
      <c r="FG161" s="14" t="e">
        <f t="shared" si="182"/>
        <v>#NUM!</v>
      </c>
      <c r="FH161" s="22" t="e">
        <f t="shared" si="183"/>
        <v>#NUM!</v>
      </c>
      <c r="FI161" s="62" t="e">
        <f t="shared" si="131"/>
        <v>#NUM!</v>
      </c>
      <c r="FJ161" s="62">
        <f ca="1">AVERAGE(OFFSET($FI$3,0,0,'Données projet'!$E$16+1,1))-AVERAGE(OFFSET($H$3,0,0,'Données projet'!$E$16+1,1))</f>
        <v>257.56116197646924</v>
      </c>
      <c r="FK161" s="62">
        <f t="shared" si="156"/>
        <v>269.95556918835888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>
        <f>EXP(-LN(2)/35)*FQ160+(1-EXP(-LN(2)/35))/(LN(2)/35)*FM161*FN161*VLOOKUP('Données projet'!$B$16,Paramètres!$A$1:$I$89,3,0)*0.475*44/12</f>
        <v>1.1558215129139682</v>
      </c>
      <c r="FR161" s="23">
        <f>EXP(-LN(2)/25)*FR160+(1-EXP(-LN(2)/25))/(LN(2)/25)*Calculateur!FM161*Calculateur!FO161*VLOOKUP('Données projet'!$B$16,Paramètres!$A$1:$I$89,3,0)*0.475*44/12</f>
        <v>0.46420801437014098</v>
      </c>
      <c r="FS161" s="23">
        <f>EXP(-LN(2)/2)*FS160+(1-EXP(-LN(2)/2))/(LN(2)/2)*FM161*FP161*VLOOKUP('Données projet'!$B$16,Paramètres!$A$1:$I$89,3,0)*0.475*44/12</f>
        <v>4.6371779148637574E-19</v>
      </c>
      <c r="FT161" s="24">
        <f t="shared" si="184"/>
        <v>1.6200295272841092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-2.8421709430404007E-13</v>
      </c>
      <c r="GA161" s="18">
        <f>FZ161*VLOOKUP('Données projet'!$B$17,Paramètres!$A$1:$I$89,3,0)*VLOOKUP('Données projet'!$B$17,Paramètres!$A$1:$I$89,5,0)</f>
        <v>-1.69961822393816E-13</v>
      </c>
      <c r="GB161" s="14" t="e">
        <f t="shared" si="185"/>
        <v>#NUM!</v>
      </c>
      <c r="GC161" s="22" t="e">
        <f t="shared" si="186"/>
        <v>#NUM!</v>
      </c>
      <c r="GD161" s="62" t="e">
        <f t="shared" si="134"/>
        <v>#NUM!</v>
      </c>
      <c r="GE161" s="62">
        <f ca="1">AVERAGE(OFFSET($GD$3,0,0,'Données projet'!$E$17+1,1))-AVERAGE(OFFSET($H$3,0,0,'Données projet'!$E$17+1,1))</f>
        <v>289.12367833861299</v>
      </c>
      <c r="GF161" s="62">
        <f t="shared" si="158"/>
        <v>229.06617320689003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>
        <f>EXP(-LN(2)/35)*GL160+(1-EXP(-LN(2)/35))/(LN(2)/35)*GH161*GI161*VLOOKUP('Données projet'!$B$17,Paramètres!$A$1:$I$89,3,0)*0.475*44/12</f>
        <v>0</v>
      </c>
      <c r="GM161" s="23">
        <f>EXP(-LN(2)/25)*GM160+(1-EXP(-LN(2)/25))/(LN(2)/25)*Calculateur!GH161*Calculateur!GJ161*VLOOKUP('Données projet'!$B$17,Paramètres!$A$1:$I$89,3,0)*0.475*44/12</f>
        <v>0</v>
      </c>
      <c r="GN161" s="23">
        <f>EXP(-LN(2)/2)*GN160+(1-EXP(-LN(2)/2))/(LN(2)/2)*GH161*GK161*VLOOKUP('Données projet'!$B$17,Paramètres!$A$1:$I$89,3,0)*0.475*44/12</f>
        <v>2.2480038002671443E-19</v>
      </c>
      <c r="GO161" s="23">
        <f t="shared" si="187"/>
        <v>2.2480038002671443E-19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-5.6843418860808015E-14</v>
      </c>
      <c r="GV161" s="18">
        <f>GU161*VLOOKUP('Données projet'!$B$18,Paramètres!$A$1:$I$89,3,0)*VLOOKUP('Données projet'!$B$18,Paramètres!$A$1:$I$89,5,0)</f>
        <v>-2.6602720026858149E-14</v>
      </c>
      <c r="GW161" s="14" t="e">
        <f t="shared" si="188"/>
        <v>#NUM!</v>
      </c>
      <c r="GX161" s="22" t="e">
        <f t="shared" si="189"/>
        <v>#NUM!</v>
      </c>
      <c r="GY161" s="62" t="e">
        <f t="shared" si="137"/>
        <v>#NUM!</v>
      </c>
      <c r="GZ161" s="62">
        <f ca="1">AVERAGE(OFFSET($GY$3,0,0,'Données projet'!$E$18+1,1))-AVERAGE(OFFSET($H$3,0,0,'Données projet'!$E$18+1,1))</f>
        <v>284.88646502866419</v>
      </c>
      <c r="HA161" s="62">
        <f t="shared" si="160"/>
        <v>190.4880882944471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>
        <f>EXP(-LN(2)/35)*HG160+(1-EXP(-LN(2)/35))/(LN(2)/35)*HC161*HD161*VLOOKUP('Données projet'!$B$18,Paramètres!$A$1:$I$89,3,0)*0.475*44/12</f>
        <v>0</v>
      </c>
      <c r="HH161" s="23">
        <f>EXP(-LN(2)/25)*HH160+(1-EXP(-LN(2)/25))/(LN(2)/25)*Calculateur!HC161*Calculateur!HE161*VLOOKUP('Données projet'!$B$18,Paramètres!$A$1:$I$89,3,0)*0.475*44/12</f>
        <v>0</v>
      </c>
      <c r="HI161" s="23">
        <f>EXP(-LN(2)/2)*HI160+(1-EXP(-LN(2)/2))/(LN(2)/2)*HC161*HF161*VLOOKUP('Données projet'!$B$18,Paramètres!$A$1:$I$89,3,0)*0.475*44/12</f>
        <v>0</v>
      </c>
      <c r="HJ161" s="24">
        <f t="shared" si="190"/>
        <v>0</v>
      </c>
    </row>
    <row r="162" spans="1:218" x14ac:dyDescent="0.25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2">
        <f t="shared" si="140"/>
        <v>0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0</v>
      </c>
      <c r="H162" s="70">
        <f t="shared" si="110"/>
        <v>256.66666666666669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-1.1368683772161603E-13</v>
      </c>
      <c r="O162" s="14">
        <f>N162*VLOOKUP('Données projet'!$B$9,Paramètres!$A$1:$I$89,3,0)*VLOOKUP('Données projet'!$B$9,Paramètres!$A$1:$I$89,5,0)</f>
        <v>-1.0818439477588981E-13</v>
      </c>
      <c r="P162" s="14" t="e">
        <f t="shared" si="141"/>
        <v>#NUM!</v>
      </c>
      <c r="Q162" s="22" t="e">
        <f t="shared" si="162"/>
        <v>#NUM!</v>
      </c>
      <c r="R162" s="62" t="e">
        <f t="shared" si="109"/>
        <v>#NUM!</v>
      </c>
      <c r="S162" s="62">
        <f ca="1">AVERAGE(OFFSET($R$3,0,0,'Données projet'!$E$9+1,1))-AVERAGE(OFFSET($H$3,0,0,'Données projet'!$E$9+1,1))</f>
        <v>367.11183928586667</v>
      </c>
      <c r="T162" s="62">
        <f t="shared" si="142"/>
        <v>281.52963027844595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0</v>
      </c>
      <c r="AA162" s="23">
        <f>EXP(-LN(2)/25)*AA161+(1-EXP(-LN(2)/25))/(LN(2)/25)*Calculateur!V162*Calculateur!X162*VLOOKUP('Données projet'!$B$9,Paramètres!$A$1:$I$89,3,0)*0.475*44/12</f>
        <v>0</v>
      </c>
      <c r="AB162" s="23">
        <f>EXP(-LN(2)/2)*AB161+(1-EXP(-LN(2)/2))/(LN(2)/2)*V162*Y162*VLOOKUP('Données projet'!$B$9,Paramètres!$A$1:$I$89,3,0)*0.475*44/12</f>
        <v>0</v>
      </c>
      <c r="AC162" s="24">
        <f t="shared" si="163"/>
        <v>0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-9.6633812063373625E-13</v>
      </c>
      <c r="AJ162" s="14">
        <f>AI162*VLOOKUP('Données projet'!$B$10,Paramètres!$A$1:$I$89,3,0)*VLOOKUP('Données projet'!$B$10,Paramètres!$A$1:$I$89,5,0)</f>
        <v>-8.7434273154940449E-13</v>
      </c>
      <c r="AK162" s="14" t="e">
        <f t="shared" si="164"/>
        <v>#NUM!</v>
      </c>
      <c r="AL162" s="22" t="e">
        <f t="shared" si="165"/>
        <v>#NUM!</v>
      </c>
      <c r="AM162" s="62" t="e">
        <f t="shared" si="113"/>
        <v>#NUM!</v>
      </c>
      <c r="AN162" s="62">
        <f ca="1">AVERAGE(OFFSET($AM$3,0,0,'Données projet'!$E$10+1,1))-AVERAGE(OFFSET($H$3,0,0,'Données projet'!$E$10+1,1))</f>
        <v>428.8489304403459</v>
      </c>
      <c r="AO162" s="62">
        <f t="shared" si="144"/>
        <v>247.01165577562966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0</v>
      </c>
      <c r="AV162" s="23">
        <f>EXP(-LN(2)/25)*AV161+(1-EXP(-LN(2)/25))/(LN(2)/25)*Calculateur!AQ162*Calculateur!AS162*VLOOKUP('Données projet'!$B$10,Paramètres!$A$1:$I$89,3,0)*0.475*44/12</f>
        <v>0</v>
      </c>
      <c r="AW162" s="23">
        <f>EXP(-LN(2)/2)*AW161+(1-EXP(-LN(2)/2))/(LN(2)/2)*AQ162*AT162*VLOOKUP('Données projet'!$B$10,Paramètres!$A$1:$I$89,3,0)*0.475*44/12</f>
        <v>0</v>
      </c>
      <c r="AX162" s="23">
        <f t="shared" si="166"/>
        <v>0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-9.6633812063373625E-13</v>
      </c>
      <c r="BE162" s="14">
        <f>BD162*VLOOKUP('Données projet'!$B$11,Paramètres!$A$1:$I$89,3,0)*VLOOKUP('Données projet'!$B$11,Paramètres!$A$1:$I$89,5,0)</f>
        <v>-9.7986685432260874E-13</v>
      </c>
      <c r="BF162" s="14" t="e">
        <f t="shared" si="167"/>
        <v>#NUM!</v>
      </c>
      <c r="BG162" s="22" t="e">
        <f t="shared" si="168"/>
        <v>#NUM!</v>
      </c>
      <c r="BH162" s="62" t="e">
        <f t="shared" si="116"/>
        <v>#NUM!</v>
      </c>
      <c r="BI162" s="62">
        <f ca="1">AVERAGE(OFFSET($BH$3,0,0,'Données projet'!$E$11+1,1))-AVERAGE(OFFSET($H$3,0,0,'Données projet'!$E$11+1,1))</f>
        <v>475.47920969424894</v>
      </c>
      <c r="BJ162" s="62">
        <f t="shared" si="146"/>
        <v>271.73544012419364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>
        <f>EXP(-LN(2)/35)*BP161+(1-EXP(-LN(2)/35))/(LN(2)/35)*BL162*BM162*VLOOKUP('Données projet'!$B$11,Paramètres!$A$1:$I$89,3,0)*0.475*44/12</f>
        <v>0</v>
      </c>
      <c r="BQ162" s="23">
        <f>EXP(-LN(2)/25)*BQ161+(1-EXP(-LN(2)/25))/(LN(2)/25)*Calculateur!BL162*Calculateur!BN162*VLOOKUP('Données projet'!$B$11,Paramètres!$A$1:$I$89,3,0)*0.475*44/12</f>
        <v>0</v>
      </c>
      <c r="BR162" s="23">
        <f>EXP(-LN(2)/2)*BR161+(1-EXP(-LN(2)/2))/(LN(2)/2)*BL162*BO162*VLOOKUP('Données projet'!$B$11,Paramètres!$A$1:$I$89,3,0)*0.475*44/12</f>
        <v>0</v>
      </c>
      <c r="BS162" s="24">
        <f t="shared" si="169"/>
        <v>0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2.2737367544323206E-13</v>
      </c>
      <c r="BZ162" s="14">
        <f>BY162*VLOOKUP('Données projet'!$B$12,Paramètres!$A$1:$I$89,3,0)*VLOOKUP('Données projet'!$B$12,Paramètres!$A$1:$I$89,5,0)</f>
        <v>1.2710188457276673E-13</v>
      </c>
      <c r="CA162" s="14">
        <f t="shared" si="170"/>
        <v>1.856866851063998E-12</v>
      </c>
      <c r="CB162" s="22">
        <f t="shared" si="171"/>
        <v>3.4554122145673649E-12</v>
      </c>
      <c r="CC162" s="62">
        <f t="shared" si="119"/>
        <v>293.33333333333678</v>
      </c>
      <c r="CD162" s="62">
        <f ca="1">AVERAGE(OFFSET($CC$3,0,0,'Données projet'!$E$12+1,1))-AVERAGE(OFFSET($H$3,0,0,'Données projet'!$E$12+1,1))</f>
        <v>323.98185264074681</v>
      </c>
      <c r="CE162" s="62">
        <f t="shared" si="148"/>
        <v>301.22207291854005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>
        <f>EXP(-LN(2)/35)*CK161+(1-EXP(-LN(2)/35))/(LN(2)/35)*CG162*CH162*VLOOKUP('Données projet'!$B$12,Paramètres!$A$1:$I$89,3,0)*0.475*44/12</f>
        <v>0.34677697592874462</v>
      </c>
      <c r="CL162" s="23">
        <f>EXP(-LN(2)/25)*CL161+(1-EXP(-LN(2)/25))/(LN(2)/25)*Calculateur!CG162*Calculateur!CI162*VLOOKUP('Données projet'!$B$12,Paramètres!$A$1:$I$89,3,0)*0.475*44/12</f>
        <v>0.23067312331948245</v>
      </c>
      <c r="CM162" s="23">
        <f>EXP(-LN(2)/2)*CM161+(1-EXP(-LN(2)/2))/(LN(2)/2)*CG162*CJ162*VLOOKUP('Données projet'!$B$12,Paramètres!$A$1:$I$89,3,0)*0.475*44/12</f>
        <v>2.3335986676365225E-19</v>
      </c>
      <c r="CN162" s="24">
        <f t="shared" si="172"/>
        <v>0.5774500992482271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>
        <f>CT162*VLOOKUP('Données projet'!$B$13,Paramètres!$A$1:$I$89,3,0)*VLOOKUP('Données projet'!$B$13,Paramètres!$A$1:$I$89,5,0)</f>
        <v>0</v>
      </c>
      <c r="CV162" s="14" t="e">
        <f t="shared" si="173"/>
        <v>#NUM!</v>
      </c>
      <c r="CW162" s="22" t="e">
        <f t="shared" si="174"/>
        <v>#NUM!</v>
      </c>
      <c r="CX162" s="62" t="e">
        <f t="shared" si="122"/>
        <v>#NUM!</v>
      </c>
      <c r="CY162" s="62">
        <f ca="1">AVERAGE(OFFSET($CX$3,0,0,'Données projet'!$E$13+1,1))-AVERAGE(OFFSET($H$3,0,0,'Données projet'!$E$13+1,1))</f>
        <v>399.78832690250164</v>
      </c>
      <c r="CZ162" s="62">
        <f t="shared" si="150"/>
        <v>174.32967064896343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>
        <f>EXP(-LN(2)/35)*DF161+(1-EXP(-LN(2)/35))/(LN(2)/35)*DB162*DC162*VLOOKUP('Données projet'!$B$13,Paramètres!$A$1:$I$89,3,0)*0.475*44/12</f>
        <v>0</v>
      </c>
      <c r="DG162" s="23">
        <f>EXP(-LN(2)/25)*DG161+(1-EXP(-LN(2)/25))/(LN(2)/25)*Calculateur!DB162*Calculateur!DD162*VLOOKUP('Données projet'!$B$13,Paramètres!$A$1:$I$89,3,0)*0.475*44/12</f>
        <v>0</v>
      </c>
      <c r="DH162" s="23">
        <f>EXP(-LN(2)/2)*DH161+(1-EXP(-LN(2)/2))/(LN(2)/2)*DB162*DE162*VLOOKUP('Données projet'!$B$13,Paramètres!$A$1:$I$89,3,0)*0.475*44/12</f>
        <v>0</v>
      </c>
      <c r="DI162" s="24">
        <f t="shared" si="175"/>
        <v>0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-9.6633812063373625E-13</v>
      </c>
      <c r="DP162" s="18">
        <f>DO162*VLOOKUP('Données projet'!$B$14,Paramètres!$A$1:$I$89,3,0)*VLOOKUP('Données projet'!$B$14,Paramètres!$A$1:$I$89,5,0)</f>
        <v>-8.1404323282185943E-13</v>
      </c>
      <c r="DQ162" s="14" t="e">
        <f t="shared" si="176"/>
        <v>#NUM!</v>
      </c>
      <c r="DR162" s="22" t="e">
        <f t="shared" si="177"/>
        <v>#NUM!</v>
      </c>
      <c r="DS162" s="62" t="e">
        <f t="shared" si="125"/>
        <v>#NUM!</v>
      </c>
      <c r="DT162" s="62">
        <f ca="1">AVERAGE(OFFSET($DS$3,0,0,'Données projet'!$E$14+1,1))-AVERAGE(OFFSET($H$3,0,0,'Données projet'!$E$14+1,1))</f>
        <v>402.15128814037058</v>
      </c>
      <c r="DU162" s="62">
        <f t="shared" si="152"/>
        <v>232.85411068442738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>
        <f>EXP(-LN(2)/35)*EA161+(1-EXP(-LN(2)/35))/(LN(2)/35)*DW162*DX162*VLOOKUP('Données projet'!$B$14,Paramètres!$A$1:$I$89,3,0)*0.475*44/12</f>
        <v>0</v>
      </c>
      <c r="EB162" s="23">
        <f>EXP(-LN(2)/25)*EB161+(1-EXP(-LN(2)/25))/(LN(2)/25)*Calculateur!DW162*Calculateur!DY162*VLOOKUP('Données projet'!$B$14,Paramètres!$A$1:$I$89,3,0)*0.475*44/12</f>
        <v>0</v>
      </c>
      <c r="EC162" s="23">
        <f>EXP(-LN(2)/2)*EC161+(1-EXP(-LN(2)/2))/(LN(2)/2)*DW162*DZ162*VLOOKUP('Données projet'!$B$14,Paramètres!$A$1:$I$89,3,0)*0.475*44/12</f>
        <v>0</v>
      </c>
      <c r="ED162" s="24">
        <f t="shared" si="178"/>
        <v>0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6.2527760746888816E-13</v>
      </c>
      <c r="EK162" s="18">
        <f>EJ162*VLOOKUP('Données projet'!$B$15,Paramètres!$A$1:$I$89,3,0)*VLOOKUP('Données projet'!$B$15,Paramètres!$A$1:$I$89,5,0)</f>
        <v>6.5354015532648198E-13</v>
      </c>
      <c r="EL162" s="14">
        <f t="shared" si="179"/>
        <v>7.8909019831354483E-12</v>
      </c>
      <c r="EM162" s="22">
        <f t="shared" si="180"/>
        <v>1.4881570057821194E-11</v>
      </c>
      <c r="EN162" s="62">
        <f t="shared" si="128"/>
        <v>293.33333333334821</v>
      </c>
      <c r="EO162" s="62">
        <f ca="1">AVERAGE(OFFSET($EN$3,0,0,'Données projet'!$E$15+1,1))-AVERAGE(OFFSET($H$3,0,0,'Données projet'!$E$15+1,1))</f>
        <v>595.89992279024398</v>
      </c>
      <c r="EP162" s="62">
        <f t="shared" si="154"/>
        <v>378.16197659288338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>
        <f>EXP(-LN(2)/35)*EV161+(1-EXP(-LN(2)/35))/(LN(2)/35)*ER162*ES162*VLOOKUP('Données projet'!$B$15,Paramètres!$A$1:$I$89,3,0)*0.475*44/12</f>
        <v>0</v>
      </c>
      <c r="EW162" s="23">
        <f>EXP(-LN(2)/25)*EW161+(1-EXP(-LN(2)/25))/(LN(2)/25)*Calculateur!ER162*Calculateur!ET162*VLOOKUP('Données projet'!$B$15,Paramètres!$A$1:$I$89,3,0)*0.475*44/12</f>
        <v>0</v>
      </c>
      <c r="EX162" s="23">
        <f>EXP(-LN(2)/2)*EX161+(1-EXP(-LN(2)/2))/(LN(2)/2)*ER162*EU162*VLOOKUP('Données projet'!$B$15,Paramètres!$A$1:$I$89,3,0)*0.475*44/12</f>
        <v>0</v>
      </c>
      <c r="EY162" s="24">
        <f t="shared" si="181"/>
        <v>0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-2.2737367544323206E-13</v>
      </c>
      <c r="FF162" s="18">
        <f>FE162*VLOOKUP('Données projet'!$B$16,Paramètres!$A$1:$I$89,3,0)*VLOOKUP('Données projet'!$B$16,Paramètres!$A$1:$I$89,5,0)</f>
        <v>-1.3596945791505279E-13</v>
      </c>
      <c r="FG162" s="14" t="e">
        <f t="shared" si="182"/>
        <v>#NUM!</v>
      </c>
      <c r="FH162" s="22" t="e">
        <f t="shared" si="183"/>
        <v>#NUM!</v>
      </c>
      <c r="FI162" s="62" t="e">
        <f t="shared" si="131"/>
        <v>#NUM!</v>
      </c>
      <c r="FJ162" s="62">
        <f ca="1">AVERAGE(OFFSET($FI$3,0,0,'Données projet'!$E$16+1,1))-AVERAGE(OFFSET($H$3,0,0,'Données projet'!$E$16+1,1))</f>
        <v>257.56116197646924</v>
      </c>
      <c r="FK162" s="62">
        <f t="shared" si="156"/>
        <v>269.95556918835888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>
        <f>EXP(-LN(2)/35)*FQ161+(1-EXP(-LN(2)/35))/(LN(2)/35)*FM162*FN162*VLOOKUP('Données projet'!$B$16,Paramètres!$A$1:$I$89,3,0)*0.475*44/12</f>
        <v>1.1331565580272369</v>
      </c>
      <c r="FR162" s="23">
        <f>EXP(-LN(2)/25)*FR161+(1-EXP(-LN(2)/25))/(LN(2)/25)*Calculateur!FM162*Calculateur!FO162*VLOOKUP('Données projet'!$B$16,Paramètres!$A$1:$I$89,3,0)*0.475*44/12</f>
        <v>0.45151422180555095</v>
      </c>
      <c r="FS162" s="23">
        <f>EXP(-LN(2)/2)*FS161+(1-EXP(-LN(2)/2))/(LN(2)/2)*FM162*FP162*VLOOKUP('Données projet'!$B$16,Paramètres!$A$1:$I$89,3,0)*0.475*44/12</f>
        <v>3.2789799491686577E-19</v>
      </c>
      <c r="FT162" s="24">
        <f t="shared" si="184"/>
        <v>1.5846707798327879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-2.8421709430404007E-13</v>
      </c>
      <c r="GA162" s="18">
        <f>FZ162*VLOOKUP('Données projet'!$B$17,Paramètres!$A$1:$I$89,3,0)*VLOOKUP('Données projet'!$B$17,Paramètres!$A$1:$I$89,5,0)</f>
        <v>-1.69961822393816E-13</v>
      </c>
      <c r="GB162" s="14" t="e">
        <f t="shared" si="185"/>
        <v>#NUM!</v>
      </c>
      <c r="GC162" s="22" t="e">
        <f t="shared" si="186"/>
        <v>#NUM!</v>
      </c>
      <c r="GD162" s="62" t="e">
        <f t="shared" si="134"/>
        <v>#NUM!</v>
      </c>
      <c r="GE162" s="62">
        <f ca="1">AVERAGE(OFFSET($GD$3,0,0,'Données projet'!$E$17+1,1))-AVERAGE(OFFSET($H$3,0,0,'Données projet'!$E$17+1,1))</f>
        <v>289.12367833861299</v>
      </c>
      <c r="GF162" s="62">
        <f t="shared" si="158"/>
        <v>229.06617320689003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>
        <f>EXP(-LN(2)/35)*GL161+(1-EXP(-LN(2)/35))/(LN(2)/35)*GH162*GI162*VLOOKUP('Données projet'!$B$17,Paramètres!$A$1:$I$89,3,0)*0.475*44/12</f>
        <v>0</v>
      </c>
      <c r="GM162" s="23">
        <f>EXP(-LN(2)/25)*GM161+(1-EXP(-LN(2)/25))/(LN(2)/25)*Calculateur!GH162*Calculateur!GJ162*VLOOKUP('Données projet'!$B$17,Paramètres!$A$1:$I$89,3,0)*0.475*44/12</f>
        <v>0</v>
      </c>
      <c r="GN162" s="23">
        <f>EXP(-LN(2)/2)*GN161+(1-EXP(-LN(2)/2))/(LN(2)/2)*GH162*GK162*VLOOKUP('Données projet'!$B$17,Paramètres!$A$1:$I$89,3,0)*0.475*44/12</f>
        <v>1.5895787313020269E-19</v>
      </c>
      <c r="GO162" s="23">
        <f t="shared" si="187"/>
        <v>1.5895787313020269E-19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-5.6843418860808015E-14</v>
      </c>
      <c r="GV162" s="18">
        <f>GU162*VLOOKUP('Données projet'!$B$18,Paramètres!$A$1:$I$89,3,0)*VLOOKUP('Données projet'!$B$18,Paramètres!$A$1:$I$89,5,0)</f>
        <v>-2.6602720026858149E-14</v>
      </c>
      <c r="GW162" s="14" t="e">
        <f t="shared" si="188"/>
        <v>#NUM!</v>
      </c>
      <c r="GX162" s="22" t="e">
        <f t="shared" si="189"/>
        <v>#NUM!</v>
      </c>
      <c r="GY162" s="62" t="e">
        <f t="shared" si="137"/>
        <v>#NUM!</v>
      </c>
      <c r="GZ162" s="62">
        <f ca="1">AVERAGE(OFFSET($GY$3,0,0,'Données projet'!$E$18+1,1))-AVERAGE(OFFSET($H$3,0,0,'Données projet'!$E$18+1,1))</f>
        <v>284.88646502866419</v>
      </c>
      <c r="HA162" s="62">
        <f t="shared" si="160"/>
        <v>190.4880882944471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>
        <f>EXP(-LN(2)/35)*HG161+(1-EXP(-LN(2)/35))/(LN(2)/35)*HC162*HD162*VLOOKUP('Données projet'!$B$18,Paramètres!$A$1:$I$89,3,0)*0.475*44/12</f>
        <v>0</v>
      </c>
      <c r="HH162" s="23">
        <f>EXP(-LN(2)/25)*HH161+(1-EXP(-LN(2)/25))/(LN(2)/25)*Calculateur!HC162*Calculateur!HE162*VLOOKUP('Données projet'!$B$18,Paramètres!$A$1:$I$89,3,0)*0.475*44/12</f>
        <v>0</v>
      </c>
      <c r="HI162" s="23">
        <f>EXP(-LN(2)/2)*HI161+(1-EXP(-LN(2)/2))/(LN(2)/2)*HC162*HF162*VLOOKUP('Données projet'!$B$18,Paramètres!$A$1:$I$89,3,0)*0.475*44/12</f>
        <v>0</v>
      </c>
      <c r="HJ162" s="24">
        <f t="shared" si="190"/>
        <v>0</v>
      </c>
    </row>
    <row r="163" spans="1:218" x14ac:dyDescent="0.25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2">
        <f t="shared" si="140"/>
        <v>0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0</v>
      </c>
      <c r="H163" s="70">
        <f t="shared" si="110"/>
        <v>256.66666666666669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-1.1368683772161603E-13</v>
      </c>
      <c r="O163" s="14">
        <f>N163*VLOOKUP('Données projet'!$B$9,Paramètres!$A$1:$I$89,3,0)*VLOOKUP('Données projet'!$B$9,Paramètres!$A$1:$I$89,5,0)</f>
        <v>-1.0818439477588981E-13</v>
      </c>
      <c r="P163" s="14" t="e">
        <f t="shared" si="141"/>
        <v>#NUM!</v>
      </c>
      <c r="Q163" s="22" t="e">
        <f t="shared" si="162"/>
        <v>#NUM!</v>
      </c>
      <c r="R163" s="62" t="e">
        <f t="shared" si="109"/>
        <v>#NUM!</v>
      </c>
      <c r="S163" s="62">
        <f ca="1">AVERAGE(OFFSET($R$3,0,0,'Données projet'!$E$9+1,1))-AVERAGE(OFFSET($H$3,0,0,'Données projet'!$E$9+1,1))</f>
        <v>367.11183928586667</v>
      </c>
      <c r="T163" s="62">
        <f t="shared" si="142"/>
        <v>281.52963027844595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0</v>
      </c>
      <c r="AA163" s="23">
        <f>EXP(-LN(2)/25)*AA162+(1-EXP(-LN(2)/25))/(LN(2)/25)*Calculateur!V163*Calculateur!X163*VLOOKUP('Données projet'!$B$9,Paramètres!$A$1:$I$89,3,0)*0.475*44/12</f>
        <v>0</v>
      </c>
      <c r="AB163" s="23">
        <f>EXP(-LN(2)/2)*AB162+(1-EXP(-LN(2)/2))/(LN(2)/2)*V163*Y163*VLOOKUP('Données projet'!$B$9,Paramètres!$A$1:$I$89,3,0)*0.475*44/12</f>
        <v>0</v>
      </c>
      <c r="AC163" s="24">
        <f t="shared" si="163"/>
        <v>0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-9.6633812063373625E-13</v>
      </c>
      <c r="AJ163" s="14">
        <f>AI163*VLOOKUP('Données projet'!$B$10,Paramètres!$A$1:$I$89,3,0)*VLOOKUP('Données projet'!$B$10,Paramètres!$A$1:$I$89,5,0)</f>
        <v>-8.7434273154940449E-13</v>
      </c>
      <c r="AK163" s="14" t="e">
        <f t="shared" si="164"/>
        <v>#NUM!</v>
      </c>
      <c r="AL163" s="22" t="e">
        <f t="shared" si="165"/>
        <v>#NUM!</v>
      </c>
      <c r="AM163" s="62" t="e">
        <f t="shared" si="113"/>
        <v>#NUM!</v>
      </c>
      <c r="AN163" s="62">
        <f ca="1">AVERAGE(OFFSET($AM$3,0,0,'Données projet'!$E$10+1,1))-AVERAGE(OFFSET($H$3,0,0,'Données projet'!$E$10+1,1))</f>
        <v>428.8489304403459</v>
      </c>
      <c r="AO163" s="62">
        <f t="shared" si="144"/>
        <v>247.01165577562966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0</v>
      </c>
      <c r="AV163" s="23">
        <f>EXP(-LN(2)/25)*AV162+(1-EXP(-LN(2)/25))/(LN(2)/25)*Calculateur!AQ163*Calculateur!AS163*VLOOKUP('Données projet'!$B$10,Paramètres!$A$1:$I$89,3,0)*0.475*44/12</f>
        <v>0</v>
      </c>
      <c r="AW163" s="23">
        <f>EXP(-LN(2)/2)*AW162+(1-EXP(-LN(2)/2))/(LN(2)/2)*AQ163*AT163*VLOOKUP('Données projet'!$B$10,Paramètres!$A$1:$I$89,3,0)*0.475*44/12</f>
        <v>0</v>
      </c>
      <c r="AX163" s="23">
        <f t="shared" si="166"/>
        <v>0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-9.6633812063373625E-13</v>
      </c>
      <c r="BE163" s="14">
        <f>BD163*VLOOKUP('Données projet'!$B$11,Paramètres!$A$1:$I$89,3,0)*VLOOKUP('Données projet'!$B$11,Paramètres!$A$1:$I$89,5,0)</f>
        <v>-9.7986685432260874E-13</v>
      </c>
      <c r="BF163" s="14" t="e">
        <f t="shared" si="167"/>
        <v>#NUM!</v>
      </c>
      <c r="BG163" s="22" t="e">
        <f t="shared" si="168"/>
        <v>#NUM!</v>
      </c>
      <c r="BH163" s="62" t="e">
        <f t="shared" si="116"/>
        <v>#NUM!</v>
      </c>
      <c r="BI163" s="62">
        <f ca="1">AVERAGE(OFFSET($BH$3,0,0,'Données projet'!$E$11+1,1))-AVERAGE(OFFSET($H$3,0,0,'Données projet'!$E$11+1,1))</f>
        <v>475.47920969424894</v>
      </c>
      <c r="BJ163" s="62">
        <f t="shared" si="146"/>
        <v>271.73544012419364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>
        <f>EXP(-LN(2)/35)*BP162+(1-EXP(-LN(2)/35))/(LN(2)/35)*BL163*BM163*VLOOKUP('Données projet'!$B$11,Paramètres!$A$1:$I$89,3,0)*0.475*44/12</f>
        <v>0</v>
      </c>
      <c r="BQ163" s="23">
        <f>EXP(-LN(2)/25)*BQ162+(1-EXP(-LN(2)/25))/(LN(2)/25)*Calculateur!BL163*Calculateur!BN163*VLOOKUP('Données projet'!$B$11,Paramètres!$A$1:$I$89,3,0)*0.475*44/12</f>
        <v>0</v>
      </c>
      <c r="BR163" s="23">
        <f>EXP(-LN(2)/2)*BR162+(1-EXP(-LN(2)/2))/(LN(2)/2)*BL163*BO163*VLOOKUP('Données projet'!$B$11,Paramètres!$A$1:$I$89,3,0)*0.475*44/12</f>
        <v>0</v>
      </c>
      <c r="BS163" s="24">
        <f t="shared" si="169"/>
        <v>0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2.2737367544323206E-13</v>
      </c>
      <c r="BZ163" s="14">
        <f>BY163*VLOOKUP('Données projet'!$B$12,Paramètres!$A$1:$I$89,3,0)*VLOOKUP('Données projet'!$B$12,Paramètres!$A$1:$I$89,5,0)</f>
        <v>1.2710188457276673E-13</v>
      </c>
      <c r="CA163" s="14">
        <f t="shared" si="170"/>
        <v>1.856866851063998E-12</v>
      </c>
      <c r="CB163" s="22">
        <f t="shared" si="171"/>
        <v>3.4554122145673649E-12</v>
      </c>
      <c r="CC163" s="62">
        <f t="shared" si="119"/>
        <v>293.33333333333678</v>
      </c>
      <c r="CD163" s="62">
        <f ca="1">AVERAGE(OFFSET($CC$3,0,0,'Données projet'!$E$12+1,1))-AVERAGE(OFFSET($H$3,0,0,'Données projet'!$E$12+1,1))</f>
        <v>323.98185264074681</v>
      </c>
      <c r="CE163" s="62">
        <f t="shared" si="148"/>
        <v>301.22207291854005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>
        <f>EXP(-LN(2)/35)*CK162+(1-EXP(-LN(2)/35))/(LN(2)/35)*CG163*CH163*VLOOKUP('Données projet'!$B$12,Paramètres!$A$1:$I$89,3,0)*0.475*44/12</f>
        <v>0.33997689094385208</v>
      </c>
      <c r="CL163" s="23">
        <f>EXP(-LN(2)/25)*CL162+(1-EXP(-LN(2)/25))/(LN(2)/25)*Calculateur!CG163*Calculateur!CI163*VLOOKUP('Données projet'!$B$12,Paramètres!$A$1:$I$89,3,0)*0.475*44/12</f>
        <v>0.22436535463173884</v>
      </c>
      <c r="CM163" s="23">
        <f>EXP(-LN(2)/2)*CM162+(1-EXP(-LN(2)/2))/(LN(2)/2)*CG163*CJ163*VLOOKUP('Données projet'!$B$12,Paramètres!$A$1:$I$89,3,0)*0.475*44/12</f>
        <v>1.6501034424536774E-19</v>
      </c>
      <c r="CN163" s="24">
        <f t="shared" si="172"/>
        <v>0.56434224557559087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>
        <f>CT163*VLOOKUP('Données projet'!$B$13,Paramètres!$A$1:$I$89,3,0)*VLOOKUP('Données projet'!$B$13,Paramètres!$A$1:$I$89,5,0)</f>
        <v>0</v>
      </c>
      <c r="CV163" s="14" t="e">
        <f t="shared" si="173"/>
        <v>#NUM!</v>
      </c>
      <c r="CW163" s="22" t="e">
        <f t="shared" si="174"/>
        <v>#NUM!</v>
      </c>
      <c r="CX163" s="62" t="e">
        <f t="shared" si="122"/>
        <v>#NUM!</v>
      </c>
      <c r="CY163" s="62">
        <f ca="1">AVERAGE(OFFSET($CX$3,0,0,'Données projet'!$E$13+1,1))-AVERAGE(OFFSET($H$3,0,0,'Données projet'!$E$13+1,1))</f>
        <v>399.78832690250164</v>
      </c>
      <c r="CZ163" s="62">
        <f t="shared" si="150"/>
        <v>174.32967064896343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>
        <f>EXP(-LN(2)/35)*DF162+(1-EXP(-LN(2)/35))/(LN(2)/35)*DB163*DC163*VLOOKUP('Données projet'!$B$13,Paramètres!$A$1:$I$89,3,0)*0.475*44/12</f>
        <v>0</v>
      </c>
      <c r="DG163" s="23">
        <f>EXP(-LN(2)/25)*DG162+(1-EXP(-LN(2)/25))/(LN(2)/25)*Calculateur!DB163*Calculateur!DD163*VLOOKUP('Données projet'!$B$13,Paramètres!$A$1:$I$89,3,0)*0.475*44/12</f>
        <v>0</v>
      </c>
      <c r="DH163" s="23">
        <f>EXP(-LN(2)/2)*DH162+(1-EXP(-LN(2)/2))/(LN(2)/2)*DB163*DE163*VLOOKUP('Données projet'!$B$13,Paramètres!$A$1:$I$89,3,0)*0.475*44/12</f>
        <v>0</v>
      </c>
      <c r="DI163" s="24">
        <f t="shared" si="175"/>
        <v>0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-9.6633812063373625E-13</v>
      </c>
      <c r="DP163" s="18">
        <f>DO163*VLOOKUP('Données projet'!$B$14,Paramètres!$A$1:$I$89,3,0)*VLOOKUP('Données projet'!$B$14,Paramètres!$A$1:$I$89,5,0)</f>
        <v>-8.1404323282185943E-13</v>
      </c>
      <c r="DQ163" s="14" t="e">
        <f t="shared" si="176"/>
        <v>#NUM!</v>
      </c>
      <c r="DR163" s="22" t="e">
        <f t="shared" si="177"/>
        <v>#NUM!</v>
      </c>
      <c r="DS163" s="62" t="e">
        <f t="shared" si="125"/>
        <v>#NUM!</v>
      </c>
      <c r="DT163" s="62">
        <f ca="1">AVERAGE(OFFSET($DS$3,0,0,'Données projet'!$E$14+1,1))-AVERAGE(OFFSET($H$3,0,0,'Données projet'!$E$14+1,1))</f>
        <v>402.15128814037058</v>
      </c>
      <c r="DU163" s="62">
        <f t="shared" si="152"/>
        <v>232.85411068442738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>
        <f>EXP(-LN(2)/35)*EA162+(1-EXP(-LN(2)/35))/(LN(2)/35)*DW163*DX163*VLOOKUP('Données projet'!$B$14,Paramètres!$A$1:$I$89,3,0)*0.475*44/12</f>
        <v>0</v>
      </c>
      <c r="EB163" s="23">
        <f>EXP(-LN(2)/25)*EB162+(1-EXP(-LN(2)/25))/(LN(2)/25)*Calculateur!DW163*Calculateur!DY163*VLOOKUP('Données projet'!$B$14,Paramètres!$A$1:$I$89,3,0)*0.475*44/12</f>
        <v>0</v>
      </c>
      <c r="EC163" s="23">
        <f>EXP(-LN(2)/2)*EC162+(1-EXP(-LN(2)/2))/(LN(2)/2)*DW163*DZ163*VLOOKUP('Données projet'!$B$14,Paramètres!$A$1:$I$89,3,0)*0.475*44/12</f>
        <v>0</v>
      </c>
      <c r="ED163" s="24">
        <f t="shared" si="178"/>
        <v>0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6.2527760746888816E-13</v>
      </c>
      <c r="EK163" s="18">
        <f>EJ163*VLOOKUP('Données projet'!$B$15,Paramètres!$A$1:$I$89,3,0)*VLOOKUP('Données projet'!$B$15,Paramètres!$A$1:$I$89,5,0)</f>
        <v>6.5354015532648198E-13</v>
      </c>
      <c r="EL163" s="14">
        <f t="shared" si="179"/>
        <v>7.8909019831354483E-12</v>
      </c>
      <c r="EM163" s="22">
        <f t="shared" si="180"/>
        <v>1.4881570057821194E-11</v>
      </c>
      <c r="EN163" s="62">
        <f t="shared" si="128"/>
        <v>293.33333333334821</v>
      </c>
      <c r="EO163" s="62">
        <f ca="1">AVERAGE(OFFSET($EN$3,0,0,'Données projet'!$E$15+1,1))-AVERAGE(OFFSET($H$3,0,0,'Données projet'!$E$15+1,1))</f>
        <v>595.89992279024398</v>
      </c>
      <c r="EP163" s="62">
        <f t="shared" si="154"/>
        <v>378.16197659288338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>
        <f>EXP(-LN(2)/35)*EV162+(1-EXP(-LN(2)/35))/(LN(2)/35)*ER163*ES163*VLOOKUP('Données projet'!$B$15,Paramètres!$A$1:$I$89,3,0)*0.475*44/12</f>
        <v>0</v>
      </c>
      <c r="EW163" s="23">
        <f>EXP(-LN(2)/25)*EW162+(1-EXP(-LN(2)/25))/(LN(2)/25)*Calculateur!ER163*Calculateur!ET163*VLOOKUP('Données projet'!$B$15,Paramètres!$A$1:$I$89,3,0)*0.475*44/12</f>
        <v>0</v>
      </c>
      <c r="EX163" s="23">
        <f>EXP(-LN(2)/2)*EX162+(1-EXP(-LN(2)/2))/(LN(2)/2)*ER163*EU163*VLOOKUP('Données projet'!$B$15,Paramètres!$A$1:$I$89,3,0)*0.475*44/12</f>
        <v>0</v>
      </c>
      <c r="EY163" s="24">
        <f t="shared" si="181"/>
        <v>0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-2.2737367544323206E-13</v>
      </c>
      <c r="FF163" s="18">
        <f>FE163*VLOOKUP('Données projet'!$B$16,Paramètres!$A$1:$I$89,3,0)*VLOOKUP('Données projet'!$B$16,Paramètres!$A$1:$I$89,5,0)</f>
        <v>-1.3596945791505279E-13</v>
      </c>
      <c r="FG163" s="14" t="e">
        <f t="shared" si="182"/>
        <v>#NUM!</v>
      </c>
      <c r="FH163" s="22" t="e">
        <f t="shared" si="183"/>
        <v>#NUM!</v>
      </c>
      <c r="FI163" s="62" t="e">
        <f t="shared" si="131"/>
        <v>#NUM!</v>
      </c>
      <c r="FJ163" s="62">
        <f ca="1">AVERAGE(OFFSET($FI$3,0,0,'Données projet'!$E$16+1,1))-AVERAGE(OFFSET($H$3,0,0,'Données projet'!$E$16+1,1))</f>
        <v>257.56116197646924</v>
      </c>
      <c r="FK163" s="62">
        <f t="shared" si="156"/>
        <v>269.95556918835888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>
        <f>EXP(-LN(2)/35)*FQ162+(1-EXP(-LN(2)/35))/(LN(2)/35)*FM163*FN163*VLOOKUP('Données projet'!$B$16,Paramètres!$A$1:$I$89,3,0)*0.475*44/12</f>
        <v>1.1109360490815772</v>
      </c>
      <c r="FR163" s="23">
        <f>EXP(-LN(2)/25)*FR162+(1-EXP(-LN(2)/25))/(LN(2)/25)*Calculateur!FM163*Calculateur!FO163*VLOOKUP('Données projet'!$B$16,Paramètres!$A$1:$I$89,3,0)*0.475*44/12</f>
        <v>0.43916754166617716</v>
      </c>
      <c r="FS163" s="23">
        <f>EXP(-LN(2)/2)*FS162+(1-EXP(-LN(2)/2))/(LN(2)/2)*FM163*FP163*VLOOKUP('Données projet'!$B$16,Paramètres!$A$1:$I$89,3,0)*0.475*44/12</f>
        <v>2.3185889574318787E-19</v>
      </c>
      <c r="FT163" s="24">
        <f t="shared" si="184"/>
        <v>1.5501035907477543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-2.8421709430404007E-13</v>
      </c>
      <c r="GA163" s="18">
        <f>FZ163*VLOOKUP('Données projet'!$B$17,Paramètres!$A$1:$I$89,3,0)*VLOOKUP('Données projet'!$B$17,Paramètres!$A$1:$I$89,5,0)</f>
        <v>-1.69961822393816E-13</v>
      </c>
      <c r="GB163" s="14" t="e">
        <f t="shared" si="185"/>
        <v>#NUM!</v>
      </c>
      <c r="GC163" s="22" t="e">
        <f t="shared" si="186"/>
        <v>#NUM!</v>
      </c>
      <c r="GD163" s="62" t="e">
        <f t="shared" si="134"/>
        <v>#NUM!</v>
      </c>
      <c r="GE163" s="62">
        <f ca="1">AVERAGE(OFFSET($GD$3,0,0,'Données projet'!$E$17+1,1))-AVERAGE(OFFSET($H$3,0,0,'Données projet'!$E$17+1,1))</f>
        <v>289.12367833861299</v>
      </c>
      <c r="GF163" s="62">
        <f t="shared" si="158"/>
        <v>229.06617320689003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>
        <f>EXP(-LN(2)/35)*GL162+(1-EXP(-LN(2)/35))/(LN(2)/35)*GH163*GI163*VLOOKUP('Données projet'!$B$17,Paramètres!$A$1:$I$89,3,0)*0.475*44/12</f>
        <v>0</v>
      </c>
      <c r="GM163" s="23">
        <f>EXP(-LN(2)/25)*GM162+(1-EXP(-LN(2)/25))/(LN(2)/25)*Calculateur!GH163*Calculateur!GJ163*VLOOKUP('Données projet'!$B$17,Paramètres!$A$1:$I$89,3,0)*0.475*44/12</f>
        <v>0</v>
      </c>
      <c r="GN163" s="23">
        <f>EXP(-LN(2)/2)*GN162+(1-EXP(-LN(2)/2))/(LN(2)/2)*GH163*GK163*VLOOKUP('Données projet'!$B$17,Paramètres!$A$1:$I$89,3,0)*0.475*44/12</f>
        <v>1.1240019001335722E-19</v>
      </c>
      <c r="GO163" s="23">
        <f t="shared" si="187"/>
        <v>1.1240019001335722E-19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-5.6843418860808015E-14</v>
      </c>
      <c r="GV163" s="18">
        <f>GU163*VLOOKUP('Données projet'!$B$18,Paramètres!$A$1:$I$89,3,0)*VLOOKUP('Données projet'!$B$18,Paramètres!$A$1:$I$89,5,0)</f>
        <v>-2.6602720026858149E-14</v>
      </c>
      <c r="GW163" s="14" t="e">
        <f t="shared" si="188"/>
        <v>#NUM!</v>
      </c>
      <c r="GX163" s="22" t="e">
        <f t="shared" si="189"/>
        <v>#NUM!</v>
      </c>
      <c r="GY163" s="62" t="e">
        <f t="shared" si="137"/>
        <v>#NUM!</v>
      </c>
      <c r="GZ163" s="62">
        <f ca="1">AVERAGE(OFFSET($GY$3,0,0,'Données projet'!$E$18+1,1))-AVERAGE(OFFSET($H$3,0,0,'Données projet'!$E$18+1,1))</f>
        <v>284.88646502866419</v>
      </c>
      <c r="HA163" s="62">
        <f t="shared" si="160"/>
        <v>190.4880882944471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>
        <f>EXP(-LN(2)/35)*HG162+(1-EXP(-LN(2)/35))/(LN(2)/35)*HC163*HD163*VLOOKUP('Données projet'!$B$18,Paramètres!$A$1:$I$89,3,0)*0.475*44/12</f>
        <v>0</v>
      </c>
      <c r="HH163" s="23">
        <f>EXP(-LN(2)/25)*HH162+(1-EXP(-LN(2)/25))/(LN(2)/25)*Calculateur!HC163*Calculateur!HE163*VLOOKUP('Données projet'!$B$18,Paramètres!$A$1:$I$89,3,0)*0.475*44/12</f>
        <v>0</v>
      </c>
      <c r="HI163" s="23">
        <f>EXP(-LN(2)/2)*HI162+(1-EXP(-LN(2)/2))/(LN(2)/2)*HC163*HF163*VLOOKUP('Données projet'!$B$18,Paramètres!$A$1:$I$89,3,0)*0.475*44/12</f>
        <v>0</v>
      </c>
      <c r="HJ163" s="24">
        <f t="shared" si="190"/>
        <v>0</v>
      </c>
    </row>
    <row r="164" spans="1:218" x14ac:dyDescent="0.25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2">
        <f t="shared" si="140"/>
        <v>0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0</v>
      </c>
      <c r="H164" s="70">
        <f t="shared" si="110"/>
        <v>256.66666666666669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-1.1368683772161603E-13</v>
      </c>
      <c r="O164" s="14">
        <f>N164*VLOOKUP('Données projet'!$B$9,Paramètres!$A$1:$I$89,3,0)*VLOOKUP('Données projet'!$B$9,Paramètres!$A$1:$I$89,5,0)</f>
        <v>-1.0818439477588981E-13</v>
      </c>
      <c r="P164" s="14" t="e">
        <f t="shared" si="141"/>
        <v>#NUM!</v>
      </c>
      <c r="Q164" s="22" t="e">
        <f t="shared" si="162"/>
        <v>#NUM!</v>
      </c>
      <c r="R164" s="62" t="e">
        <f t="shared" si="109"/>
        <v>#NUM!</v>
      </c>
      <c r="S164" s="62">
        <f ca="1">AVERAGE(OFFSET($R$3,0,0,'Données projet'!$E$9+1,1))-AVERAGE(OFFSET($H$3,0,0,'Données projet'!$E$9+1,1))</f>
        <v>367.11183928586667</v>
      </c>
      <c r="T164" s="62">
        <f t="shared" si="142"/>
        <v>281.52963027844595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0</v>
      </c>
      <c r="AA164" s="23">
        <f>EXP(-LN(2)/25)*AA163+(1-EXP(-LN(2)/25))/(LN(2)/25)*Calculateur!V164*Calculateur!X164*VLOOKUP('Données projet'!$B$9,Paramètres!$A$1:$I$89,3,0)*0.475*44/12</f>
        <v>0</v>
      </c>
      <c r="AB164" s="23">
        <f>EXP(-LN(2)/2)*AB163+(1-EXP(-LN(2)/2))/(LN(2)/2)*V164*Y164*VLOOKUP('Données projet'!$B$9,Paramètres!$A$1:$I$89,3,0)*0.475*44/12</f>
        <v>0</v>
      </c>
      <c r="AC164" s="24">
        <f t="shared" si="163"/>
        <v>0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-9.6633812063373625E-13</v>
      </c>
      <c r="AJ164" s="14">
        <f>AI164*VLOOKUP('Données projet'!$B$10,Paramètres!$A$1:$I$89,3,0)*VLOOKUP('Données projet'!$B$10,Paramètres!$A$1:$I$89,5,0)</f>
        <v>-8.7434273154940449E-13</v>
      </c>
      <c r="AK164" s="14" t="e">
        <f t="shared" si="164"/>
        <v>#NUM!</v>
      </c>
      <c r="AL164" s="22" t="e">
        <f t="shared" si="165"/>
        <v>#NUM!</v>
      </c>
      <c r="AM164" s="62" t="e">
        <f t="shared" si="113"/>
        <v>#NUM!</v>
      </c>
      <c r="AN164" s="62">
        <f ca="1">AVERAGE(OFFSET($AM$3,0,0,'Données projet'!$E$10+1,1))-AVERAGE(OFFSET($H$3,0,0,'Données projet'!$E$10+1,1))</f>
        <v>428.8489304403459</v>
      </c>
      <c r="AO164" s="62">
        <f t="shared" si="144"/>
        <v>247.01165577562966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0</v>
      </c>
      <c r="AV164" s="23">
        <f>EXP(-LN(2)/25)*AV163+(1-EXP(-LN(2)/25))/(LN(2)/25)*Calculateur!AQ164*Calculateur!AS164*VLOOKUP('Données projet'!$B$10,Paramètres!$A$1:$I$89,3,0)*0.475*44/12</f>
        <v>0</v>
      </c>
      <c r="AW164" s="23">
        <f>EXP(-LN(2)/2)*AW163+(1-EXP(-LN(2)/2))/(LN(2)/2)*AQ164*AT164*VLOOKUP('Données projet'!$B$10,Paramètres!$A$1:$I$89,3,0)*0.475*44/12</f>
        <v>0</v>
      </c>
      <c r="AX164" s="23">
        <f t="shared" si="166"/>
        <v>0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-9.6633812063373625E-13</v>
      </c>
      <c r="BE164" s="14">
        <f>BD164*VLOOKUP('Données projet'!$B$11,Paramètres!$A$1:$I$89,3,0)*VLOOKUP('Données projet'!$B$11,Paramètres!$A$1:$I$89,5,0)</f>
        <v>-9.7986685432260874E-13</v>
      </c>
      <c r="BF164" s="14" t="e">
        <f t="shared" si="167"/>
        <v>#NUM!</v>
      </c>
      <c r="BG164" s="22" t="e">
        <f t="shared" si="168"/>
        <v>#NUM!</v>
      </c>
      <c r="BH164" s="62" t="e">
        <f t="shared" si="116"/>
        <v>#NUM!</v>
      </c>
      <c r="BI164" s="62">
        <f ca="1">AVERAGE(OFFSET($BH$3,0,0,'Données projet'!$E$11+1,1))-AVERAGE(OFFSET($H$3,0,0,'Données projet'!$E$11+1,1))</f>
        <v>475.47920969424894</v>
      </c>
      <c r="BJ164" s="62">
        <f t="shared" si="146"/>
        <v>271.73544012419364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>
        <f>EXP(-LN(2)/35)*BP163+(1-EXP(-LN(2)/35))/(LN(2)/35)*BL164*BM164*VLOOKUP('Données projet'!$B$11,Paramètres!$A$1:$I$89,3,0)*0.475*44/12</f>
        <v>0</v>
      </c>
      <c r="BQ164" s="23">
        <f>EXP(-LN(2)/25)*BQ163+(1-EXP(-LN(2)/25))/(LN(2)/25)*Calculateur!BL164*Calculateur!BN164*VLOOKUP('Données projet'!$B$11,Paramètres!$A$1:$I$89,3,0)*0.475*44/12</f>
        <v>0</v>
      </c>
      <c r="BR164" s="23">
        <f>EXP(-LN(2)/2)*BR163+(1-EXP(-LN(2)/2))/(LN(2)/2)*BL164*BO164*VLOOKUP('Données projet'!$B$11,Paramètres!$A$1:$I$89,3,0)*0.475*44/12</f>
        <v>0</v>
      </c>
      <c r="BS164" s="24">
        <f t="shared" si="169"/>
        <v>0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2.2737367544323206E-13</v>
      </c>
      <c r="BZ164" s="14">
        <f>BY164*VLOOKUP('Données projet'!$B$12,Paramètres!$A$1:$I$89,3,0)*VLOOKUP('Données projet'!$B$12,Paramètres!$A$1:$I$89,5,0)</f>
        <v>1.2710188457276673E-13</v>
      </c>
      <c r="CA164" s="14">
        <f t="shared" si="170"/>
        <v>1.856866851063998E-12</v>
      </c>
      <c r="CB164" s="22">
        <f t="shared" si="171"/>
        <v>3.4554122145673649E-12</v>
      </c>
      <c r="CC164" s="62">
        <f t="shared" si="119"/>
        <v>293.33333333333678</v>
      </c>
      <c r="CD164" s="62">
        <f ca="1">AVERAGE(OFFSET($CC$3,0,0,'Données projet'!$E$12+1,1))-AVERAGE(OFFSET($H$3,0,0,'Données projet'!$E$12+1,1))</f>
        <v>323.98185264074681</v>
      </c>
      <c r="CE164" s="62">
        <f t="shared" si="148"/>
        <v>301.22207291854005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>
        <f>EXP(-LN(2)/35)*CK163+(1-EXP(-LN(2)/35))/(LN(2)/35)*CG164*CH164*VLOOKUP('Données projet'!$B$12,Paramètres!$A$1:$I$89,3,0)*0.475*44/12</f>
        <v>0.33331015147787096</v>
      </c>
      <c r="CL164" s="23">
        <f>EXP(-LN(2)/25)*CL163+(1-EXP(-LN(2)/25))/(LN(2)/25)*Calculateur!CG164*Calculateur!CI164*VLOOKUP('Données projet'!$B$12,Paramètres!$A$1:$I$89,3,0)*0.475*44/12</f>
        <v>0.21823007221047275</v>
      </c>
      <c r="CM164" s="23">
        <f>EXP(-LN(2)/2)*CM163+(1-EXP(-LN(2)/2))/(LN(2)/2)*CG164*CJ164*VLOOKUP('Données projet'!$B$12,Paramètres!$A$1:$I$89,3,0)*0.475*44/12</f>
        <v>1.1667993338182612E-19</v>
      </c>
      <c r="CN164" s="24">
        <f t="shared" si="172"/>
        <v>0.55154022368834377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>
        <f>CT164*VLOOKUP('Données projet'!$B$13,Paramètres!$A$1:$I$89,3,0)*VLOOKUP('Données projet'!$B$13,Paramètres!$A$1:$I$89,5,0)</f>
        <v>0</v>
      </c>
      <c r="CV164" s="14" t="e">
        <f t="shared" si="173"/>
        <v>#NUM!</v>
      </c>
      <c r="CW164" s="22" t="e">
        <f t="shared" si="174"/>
        <v>#NUM!</v>
      </c>
      <c r="CX164" s="62" t="e">
        <f t="shared" si="122"/>
        <v>#NUM!</v>
      </c>
      <c r="CY164" s="62">
        <f ca="1">AVERAGE(OFFSET($CX$3,0,0,'Données projet'!$E$13+1,1))-AVERAGE(OFFSET($H$3,0,0,'Données projet'!$E$13+1,1))</f>
        <v>399.78832690250164</v>
      </c>
      <c r="CZ164" s="62">
        <f t="shared" si="150"/>
        <v>174.32967064896343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>
        <f>EXP(-LN(2)/35)*DF163+(1-EXP(-LN(2)/35))/(LN(2)/35)*DB164*DC164*VLOOKUP('Données projet'!$B$13,Paramètres!$A$1:$I$89,3,0)*0.475*44/12</f>
        <v>0</v>
      </c>
      <c r="DG164" s="23">
        <f>EXP(-LN(2)/25)*DG163+(1-EXP(-LN(2)/25))/(LN(2)/25)*Calculateur!DB164*Calculateur!DD164*VLOOKUP('Données projet'!$B$13,Paramètres!$A$1:$I$89,3,0)*0.475*44/12</f>
        <v>0</v>
      </c>
      <c r="DH164" s="23">
        <f>EXP(-LN(2)/2)*DH163+(1-EXP(-LN(2)/2))/(LN(2)/2)*DB164*DE164*VLOOKUP('Données projet'!$B$13,Paramètres!$A$1:$I$89,3,0)*0.475*44/12</f>
        <v>0</v>
      </c>
      <c r="DI164" s="24">
        <f t="shared" si="175"/>
        <v>0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-9.6633812063373625E-13</v>
      </c>
      <c r="DP164" s="18">
        <f>DO164*VLOOKUP('Données projet'!$B$14,Paramètres!$A$1:$I$89,3,0)*VLOOKUP('Données projet'!$B$14,Paramètres!$A$1:$I$89,5,0)</f>
        <v>-8.1404323282185943E-13</v>
      </c>
      <c r="DQ164" s="14" t="e">
        <f t="shared" si="176"/>
        <v>#NUM!</v>
      </c>
      <c r="DR164" s="22" t="e">
        <f t="shared" si="177"/>
        <v>#NUM!</v>
      </c>
      <c r="DS164" s="62" t="e">
        <f t="shared" si="125"/>
        <v>#NUM!</v>
      </c>
      <c r="DT164" s="62">
        <f ca="1">AVERAGE(OFFSET($DS$3,0,0,'Données projet'!$E$14+1,1))-AVERAGE(OFFSET($H$3,0,0,'Données projet'!$E$14+1,1))</f>
        <v>402.15128814037058</v>
      </c>
      <c r="DU164" s="62">
        <f t="shared" si="152"/>
        <v>232.85411068442738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>
        <f>EXP(-LN(2)/35)*EA163+(1-EXP(-LN(2)/35))/(LN(2)/35)*DW164*DX164*VLOOKUP('Données projet'!$B$14,Paramètres!$A$1:$I$89,3,0)*0.475*44/12</f>
        <v>0</v>
      </c>
      <c r="EB164" s="23">
        <f>EXP(-LN(2)/25)*EB163+(1-EXP(-LN(2)/25))/(LN(2)/25)*Calculateur!DW164*Calculateur!DY164*VLOOKUP('Données projet'!$B$14,Paramètres!$A$1:$I$89,3,0)*0.475*44/12</f>
        <v>0</v>
      </c>
      <c r="EC164" s="23">
        <f>EXP(-LN(2)/2)*EC163+(1-EXP(-LN(2)/2))/(LN(2)/2)*DW164*DZ164*VLOOKUP('Données projet'!$B$14,Paramètres!$A$1:$I$89,3,0)*0.475*44/12</f>
        <v>0</v>
      </c>
      <c r="ED164" s="24">
        <f t="shared" si="178"/>
        <v>0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6.2527760746888816E-13</v>
      </c>
      <c r="EK164" s="18">
        <f>EJ164*VLOOKUP('Données projet'!$B$15,Paramètres!$A$1:$I$89,3,0)*VLOOKUP('Données projet'!$B$15,Paramètres!$A$1:$I$89,5,0)</f>
        <v>6.5354015532648198E-13</v>
      </c>
      <c r="EL164" s="14">
        <f t="shared" si="179"/>
        <v>7.8909019831354483E-12</v>
      </c>
      <c r="EM164" s="22">
        <f t="shared" si="180"/>
        <v>1.4881570057821194E-11</v>
      </c>
      <c r="EN164" s="62">
        <f t="shared" si="128"/>
        <v>293.33333333334821</v>
      </c>
      <c r="EO164" s="62">
        <f ca="1">AVERAGE(OFFSET($EN$3,0,0,'Données projet'!$E$15+1,1))-AVERAGE(OFFSET($H$3,0,0,'Données projet'!$E$15+1,1))</f>
        <v>595.89992279024398</v>
      </c>
      <c r="EP164" s="62">
        <f t="shared" si="154"/>
        <v>378.16197659288338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>
        <f>EXP(-LN(2)/35)*EV163+(1-EXP(-LN(2)/35))/(LN(2)/35)*ER164*ES164*VLOOKUP('Données projet'!$B$15,Paramètres!$A$1:$I$89,3,0)*0.475*44/12</f>
        <v>0</v>
      </c>
      <c r="EW164" s="23">
        <f>EXP(-LN(2)/25)*EW163+(1-EXP(-LN(2)/25))/(LN(2)/25)*Calculateur!ER164*Calculateur!ET164*VLOOKUP('Données projet'!$B$15,Paramètres!$A$1:$I$89,3,0)*0.475*44/12</f>
        <v>0</v>
      </c>
      <c r="EX164" s="23">
        <f>EXP(-LN(2)/2)*EX163+(1-EXP(-LN(2)/2))/(LN(2)/2)*ER164*EU164*VLOOKUP('Données projet'!$B$15,Paramètres!$A$1:$I$89,3,0)*0.475*44/12</f>
        <v>0</v>
      </c>
      <c r="EY164" s="24">
        <f t="shared" si="181"/>
        <v>0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-2.2737367544323206E-13</v>
      </c>
      <c r="FF164" s="18">
        <f>FE164*VLOOKUP('Données projet'!$B$16,Paramètres!$A$1:$I$89,3,0)*VLOOKUP('Données projet'!$B$16,Paramètres!$A$1:$I$89,5,0)</f>
        <v>-1.3596945791505279E-13</v>
      </c>
      <c r="FG164" s="14" t="e">
        <f t="shared" si="182"/>
        <v>#NUM!</v>
      </c>
      <c r="FH164" s="22" t="e">
        <f t="shared" si="183"/>
        <v>#NUM!</v>
      </c>
      <c r="FI164" s="62" t="e">
        <f t="shared" si="131"/>
        <v>#NUM!</v>
      </c>
      <c r="FJ164" s="62">
        <f ca="1">AVERAGE(OFFSET($FI$3,0,0,'Données projet'!$E$16+1,1))-AVERAGE(OFFSET($H$3,0,0,'Données projet'!$E$16+1,1))</f>
        <v>257.56116197646924</v>
      </c>
      <c r="FK164" s="62">
        <f t="shared" si="156"/>
        <v>269.95556918835888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>
        <f>EXP(-LN(2)/35)*FQ163+(1-EXP(-LN(2)/35))/(LN(2)/35)*FM164*FN164*VLOOKUP('Données projet'!$B$16,Paramètres!$A$1:$I$89,3,0)*0.475*44/12</f>
        <v>1.0891512707631696</v>
      </c>
      <c r="FR164" s="23">
        <f>EXP(-LN(2)/25)*FR163+(1-EXP(-LN(2)/25))/(LN(2)/25)*Calculateur!FM164*Calculateur!FO164*VLOOKUP('Données projet'!$B$16,Paramètres!$A$1:$I$89,3,0)*0.475*44/12</f>
        <v>0.42715848214449825</v>
      </c>
      <c r="FS164" s="23">
        <f>EXP(-LN(2)/2)*FS163+(1-EXP(-LN(2)/2))/(LN(2)/2)*FM164*FP164*VLOOKUP('Données projet'!$B$16,Paramètres!$A$1:$I$89,3,0)*0.475*44/12</f>
        <v>1.6394899745843288E-19</v>
      </c>
      <c r="FT164" s="24">
        <f t="shared" si="184"/>
        <v>1.5163097529076679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-2.8421709430404007E-13</v>
      </c>
      <c r="GA164" s="18">
        <f>FZ164*VLOOKUP('Données projet'!$B$17,Paramètres!$A$1:$I$89,3,0)*VLOOKUP('Données projet'!$B$17,Paramètres!$A$1:$I$89,5,0)</f>
        <v>-1.69961822393816E-13</v>
      </c>
      <c r="GB164" s="14" t="e">
        <f t="shared" si="185"/>
        <v>#NUM!</v>
      </c>
      <c r="GC164" s="22" t="e">
        <f t="shared" si="186"/>
        <v>#NUM!</v>
      </c>
      <c r="GD164" s="62" t="e">
        <f t="shared" si="134"/>
        <v>#NUM!</v>
      </c>
      <c r="GE164" s="62">
        <f ca="1">AVERAGE(OFFSET($GD$3,0,0,'Données projet'!$E$17+1,1))-AVERAGE(OFFSET($H$3,0,0,'Données projet'!$E$17+1,1))</f>
        <v>289.12367833861299</v>
      </c>
      <c r="GF164" s="62">
        <f t="shared" si="158"/>
        <v>229.06617320689003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>
        <f>EXP(-LN(2)/35)*GL163+(1-EXP(-LN(2)/35))/(LN(2)/35)*GH164*GI164*VLOOKUP('Données projet'!$B$17,Paramètres!$A$1:$I$89,3,0)*0.475*44/12</f>
        <v>0</v>
      </c>
      <c r="GM164" s="23">
        <f>EXP(-LN(2)/25)*GM163+(1-EXP(-LN(2)/25))/(LN(2)/25)*Calculateur!GH164*Calculateur!GJ164*VLOOKUP('Données projet'!$B$17,Paramètres!$A$1:$I$89,3,0)*0.475*44/12</f>
        <v>0</v>
      </c>
      <c r="GN164" s="23">
        <f>EXP(-LN(2)/2)*GN163+(1-EXP(-LN(2)/2))/(LN(2)/2)*GH164*GK164*VLOOKUP('Données projet'!$B$17,Paramètres!$A$1:$I$89,3,0)*0.475*44/12</f>
        <v>7.9478936565101346E-20</v>
      </c>
      <c r="GO164" s="23">
        <f t="shared" si="187"/>
        <v>7.9478936565101346E-20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-5.6843418860808015E-14</v>
      </c>
      <c r="GV164" s="18">
        <f>GU164*VLOOKUP('Données projet'!$B$18,Paramètres!$A$1:$I$89,3,0)*VLOOKUP('Données projet'!$B$18,Paramètres!$A$1:$I$89,5,0)</f>
        <v>-2.6602720026858149E-14</v>
      </c>
      <c r="GW164" s="14" t="e">
        <f t="shared" si="188"/>
        <v>#NUM!</v>
      </c>
      <c r="GX164" s="22" t="e">
        <f t="shared" si="189"/>
        <v>#NUM!</v>
      </c>
      <c r="GY164" s="62" t="e">
        <f t="shared" si="137"/>
        <v>#NUM!</v>
      </c>
      <c r="GZ164" s="62">
        <f ca="1">AVERAGE(OFFSET($GY$3,0,0,'Données projet'!$E$18+1,1))-AVERAGE(OFFSET($H$3,0,0,'Données projet'!$E$18+1,1))</f>
        <v>284.88646502866419</v>
      </c>
      <c r="HA164" s="62">
        <f t="shared" si="160"/>
        <v>190.4880882944471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>
        <f>EXP(-LN(2)/35)*HG163+(1-EXP(-LN(2)/35))/(LN(2)/35)*HC164*HD164*VLOOKUP('Données projet'!$B$18,Paramètres!$A$1:$I$89,3,0)*0.475*44/12</f>
        <v>0</v>
      </c>
      <c r="HH164" s="23">
        <f>EXP(-LN(2)/25)*HH163+(1-EXP(-LN(2)/25))/(LN(2)/25)*Calculateur!HC164*Calculateur!HE164*VLOOKUP('Données projet'!$B$18,Paramètres!$A$1:$I$89,3,0)*0.475*44/12</f>
        <v>0</v>
      </c>
      <c r="HI164" s="23">
        <f>EXP(-LN(2)/2)*HI163+(1-EXP(-LN(2)/2))/(LN(2)/2)*HC164*HF164*VLOOKUP('Données projet'!$B$18,Paramètres!$A$1:$I$89,3,0)*0.475*44/12</f>
        <v>0</v>
      </c>
      <c r="HJ164" s="24">
        <f t="shared" si="190"/>
        <v>0</v>
      </c>
    </row>
    <row r="165" spans="1:218" x14ac:dyDescent="0.25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2">
        <f t="shared" si="140"/>
        <v>0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0</v>
      </c>
      <c r="H165" s="70">
        <f t="shared" si="110"/>
        <v>256.66666666666669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-1.1368683772161603E-13</v>
      </c>
      <c r="O165" s="14">
        <f>N165*VLOOKUP('Données projet'!$B$9,Paramètres!$A$1:$I$89,3,0)*VLOOKUP('Données projet'!$B$9,Paramètres!$A$1:$I$89,5,0)</f>
        <v>-1.0818439477588981E-13</v>
      </c>
      <c r="P165" s="14" t="e">
        <f t="shared" si="141"/>
        <v>#NUM!</v>
      </c>
      <c r="Q165" s="22" t="e">
        <f t="shared" si="162"/>
        <v>#NUM!</v>
      </c>
      <c r="R165" s="62" t="e">
        <f t="shared" si="109"/>
        <v>#NUM!</v>
      </c>
      <c r="S165" s="62">
        <f ca="1">AVERAGE(OFFSET($R$3,0,0,'Données projet'!$E$9+1,1))-AVERAGE(OFFSET($H$3,0,0,'Données projet'!$E$9+1,1))</f>
        <v>367.11183928586667</v>
      </c>
      <c r="T165" s="62">
        <f t="shared" si="142"/>
        <v>281.52963027844595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0</v>
      </c>
      <c r="AA165" s="23">
        <f>EXP(-LN(2)/25)*AA164+(1-EXP(-LN(2)/25))/(LN(2)/25)*Calculateur!V165*Calculateur!X165*VLOOKUP('Données projet'!$B$9,Paramètres!$A$1:$I$89,3,0)*0.475*44/12</f>
        <v>0</v>
      </c>
      <c r="AB165" s="23">
        <f>EXP(-LN(2)/2)*AB164+(1-EXP(-LN(2)/2))/(LN(2)/2)*V165*Y165*VLOOKUP('Données projet'!$B$9,Paramètres!$A$1:$I$89,3,0)*0.475*44/12</f>
        <v>0</v>
      </c>
      <c r="AC165" s="24">
        <f t="shared" si="163"/>
        <v>0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-9.6633812063373625E-13</v>
      </c>
      <c r="AJ165" s="14">
        <f>AI165*VLOOKUP('Données projet'!$B$10,Paramètres!$A$1:$I$89,3,0)*VLOOKUP('Données projet'!$B$10,Paramètres!$A$1:$I$89,5,0)</f>
        <v>-8.7434273154940449E-13</v>
      </c>
      <c r="AK165" s="14" t="e">
        <f t="shared" si="164"/>
        <v>#NUM!</v>
      </c>
      <c r="AL165" s="22" t="e">
        <f t="shared" si="165"/>
        <v>#NUM!</v>
      </c>
      <c r="AM165" s="62" t="e">
        <f t="shared" si="113"/>
        <v>#NUM!</v>
      </c>
      <c r="AN165" s="62">
        <f ca="1">AVERAGE(OFFSET($AM$3,0,0,'Données projet'!$E$10+1,1))-AVERAGE(OFFSET($H$3,0,0,'Données projet'!$E$10+1,1))</f>
        <v>428.8489304403459</v>
      </c>
      <c r="AO165" s="62">
        <f t="shared" si="144"/>
        <v>247.01165577562966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0</v>
      </c>
      <c r="AV165" s="23">
        <f>EXP(-LN(2)/25)*AV164+(1-EXP(-LN(2)/25))/(LN(2)/25)*Calculateur!AQ165*Calculateur!AS165*VLOOKUP('Données projet'!$B$10,Paramètres!$A$1:$I$89,3,0)*0.475*44/12</f>
        <v>0</v>
      </c>
      <c r="AW165" s="23">
        <f>EXP(-LN(2)/2)*AW164+(1-EXP(-LN(2)/2))/(LN(2)/2)*AQ165*AT165*VLOOKUP('Données projet'!$B$10,Paramètres!$A$1:$I$89,3,0)*0.475*44/12</f>
        <v>0</v>
      </c>
      <c r="AX165" s="23">
        <f t="shared" si="166"/>
        <v>0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-9.6633812063373625E-13</v>
      </c>
      <c r="BE165" s="14">
        <f>BD165*VLOOKUP('Données projet'!$B$11,Paramètres!$A$1:$I$89,3,0)*VLOOKUP('Données projet'!$B$11,Paramètres!$A$1:$I$89,5,0)</f>
        <v>-9.7986685432260874E-13</v>
      </c>
      <c r="BF165" s="14" t="e">
        <f t="shared" si="167"/>
        <v>#NUM!</v>
      </c>
      <c r="BG165" s="22" t="e">
        <f t="shared" si="168"/>
        <v>#NUM!</v>
      </c>
      <c r="BH165" s="62" t="e">
        <f t="shared" si="116"/>
        <v>#NUM!</v>
      </c>
      <c r="BI165" s="62">
        <f ca="1">AVERAGE(OFFSET($BH$3,0,0,'Données projet'!$E$11+1,1))-AVERAGE(OFFSET($H$3,0,0,'Données projet'!$E$11+1,1))</f>
        <v>475.47920969424894</v>
      </c>
      <c r="BJ165" s="62">
        <f t="shared" si="146"/>
        <v>271.73544012419364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>
        <f>EXP(-LN(2)/35)*BP164+(1-EXP(-LN(2)/35))/(LN(2)/35)*BL165*BM165*VLOOKUP('Données projet'!$B$11,Paramètres!$A$1:$I$89,3,0)*0.475*44/12</f>
        <v>0</v>
      </c>
      <c r="BQ165" s="23">
        <f>EXP(-LN(2)/25)*BQ164+(1-EXP(-LN(2)/25))/(LN(2)/25)*Calculateur!BL165*Calculateur!BN165*VLOOKUP('Données projet'!$B$11,Paramètres!$A$1:$I$89,3,0)*0.475*44/12</f>
        <v>0</v>
      </c>
      <c r="BR165" s="23">
        <f>EXP(-LN(2)/2)*BR164+(1-EXP(-LN(2)/2))/(LN(2)/2)*BL165*BO165*VLOOKUP('Données projet'!$B$11,Paramètres!$A$1:$I$89,3,0)*0.475*44/12</f>
        <v>0</v>
      </c>
      <c r="BS165" s="24">
        <f t="shared" si="169"/>
        <v>0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2.2737367544323206E-13</v>
      </c>
      <c r="BZ165" s="14">
        <f>BY165*VLOOKUP('Données projet'!$B$12,Paramètres!$A$1:$I$89,3,0)*VLOOKUP('Données projet'!$B$12,Paramètres!$A$1:$I$89,5,0)</f>
        <v>1.2710188457276673E-13</v>
      </c>
      <c r="CA165" s="14">
        <f t="shared" si="170"/>
        <v>1.856866851063998E-12</v>
      </c>
      <c r="CB165" s="22">
        <f t="shared" si="171"/>
        <v>3.4554122145673649E-12</v>
      </c>
      <c r="CC165" s="62">
        <f t="shared" si="119"/>
        <v>293.33333333333678</v>
      </c>
      <c r="CD165" s="62">
        <f ca="1">AVERAGE(OFFSET($CC$3,0,0,'Données projet'!$E$12+1,1))-AVERAGE(OFFSET($H$3,0,0,'Données projet'!$E$12+1,1))</f>
        <v>323.98185264074681</v>
      </c>
      <c r="CE165" s="62">
        <f t="shared" si="148"/>
        <v>301.22207291854005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>
        <f>EXP(-LN(2)/35)*CK164+(1-EXP(-LN(2)/35))/(LN(2)/35)*CG165*CH165*VLOOKUP('Données projet'!$B$12,Paramètres!$A$1:$I$89,3,0)*0.475*44/12</f>
        <v>0.32677414270650817</v>
      </c>
      <c r="CL165" s="23">
        <f>EXP(-LN(2)/25)*CL164+(1-EXP(-LN(2)/25))/(LN(2)/25)*Calculateur!CG165*Calculateur!CI165*VLOOKUP('Données projet'!$B$12,Paramètres!$A$1:$I$89,3,0)*0.475*44/12</f>
        <v>0.21226255940965663</v>
      </c>
      <c r="CM165" s="23">
        <f>EXP(-LN(2)/2)*CM164+(1-EXP(-LN(2)/2))/(LN(2)/2)*CG165*CJ165*VLOOKUP('Données projet'!$B$12,Paramètres!$A$1:$I$89,3,0)*0.475*44/12</f>
        <v>8.2505172122683869E-20</v>
      </c>
      <c r="CN165" s="24">
        <f t="shared" si="172"/>
        <v>0.53903670211616483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>
        <f>CT165*VLOOKUP('Données projet'!$B$13,Paramètres!$A$1:$I$89,3,0)*VLOOKUP('Données projet'!$B$13,Paramètres!$A$1:$I$89,5,0)</f>
        <v>0</v>
      </c>
      <c r="CV165" s="14" t="e">
        <f t="shared" si="173"/>
        <v>#NUM!</v>
      </c>
      <c r="CW165" s="22" t="e">
        <f t="shared" si="174"/>
        <v>#NUM!</v>
      </c>
      <c r="CX165" s="62" t="e">
        <f t="shared" si="122"/>
        <v>#NUM!</v>
      </c>
      <c r="CY165" s="62">
        <f ca="1">AVERAGE(OFFSET($CX$3,0,0,'Données projet'!$E$13+1,1))-AVERAGE(OFFSET($H$3,0,0,'Données projet'!$E$13+1,1))</f>
        <v>399.78832690250164</v>
      </c>
      <c r="CZ165" s="62">
        <f t="shared" si="150"/>
        <v>174.32967064896343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>
        <f>EXP(-LN(2)/35)*DF164+(1-EXP(-LN(2)/35))/(LN(2)/35)*DB165*DC165*VLOOKUP('Données projet'!$B$13,Paramètres!$A$1:$I$89,3,0)*0.475*44/12</f>
        <v>0</v>
      </c>
      <c r="DG165" s="23">
        <f>EXP(-LN(2)/25)*DG164+(1-EXP(-LN(2)/25))/(LN(2)/25)*Calculateur!DB165*Calculateur!DD165*VLOOKUP('Données projet'!$B$13,Paramètres!$A$1:$I$89,3,0)*0.475*44/12</f>
        <v>0</v>
      </c>
      <c r="DH165" s="23">
        <f>EXP(-LN(2)/2)*DH164+(1-EXP(-LN(2)/2))/(LN(2)/2)*DB165*DE165*VLOOKUP('Données projet'!$B$13,Paramètres!$A$1:$I$89,3,0)*0.475*44/12</f>
        <v>0</v>
      </c>
      <c r="DI165" s="24">
        <f t="shared" si="175"/>
        <v>0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-9.6633812063373625E-13</v>
      </c>
      <c r="DP165" s="18">
        <f>DO165*VLOOKUP('Données projet'!$B$14,Paramètres!$A$1:$I$89,3,0)*VLOOKUP('Données projet'!$B$14,Paramètres!$A$1:$I$89,5,0)</f>
        <v>-8.1404323282185943E-13</v>
      </c>
      <c r="DQ165" s="14" t="e">
        <f t="shared" si="176"/>
        <v>#NUM!</v>
      </c>
      <c r="DR165" s="22" t="e">
        <f t="shared" si="177"/>
        <v>#NUM!</v>
      </c>
      <c r="DS165" s="62" t="e">
        <f t="shared" si="125"/>
        <v>#NUM!</v>
      </c>
      <c r="DT165" s="62">
        <f ca="1">AVERAGE(OFFSET($DS$3,0,0,'Données projet'!$E$14+1,1))-AVERAGE(OFFSET($H$3,0,0,'Données projet'!$E$14+1,1))</f>
        <v>402.15128814037058</v>
      </c>
      <c r="DU165" s="62">
        <f t="shared" si="152"/>
        <v>232.85411068442738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>
        <f>EXP(-LN(2)/35)*EA164+(1-EXP(-LN(2)/35))/(LN(2)/35)*DW165*DX165*VLOOKUP('Données projet'!$B$14,Paramètres!$A$1:$I$89,3,0)*0.475*44/12</f>
        <v>0</v>
      </c>
      <c r="EB165" s="23">
        <f>EXP(-LN(2)/25)*EB164+(1-EXP(-LN(2)/25))/(LN(2)/25)*Calculateur!DW165*Calculateur!DY165*VLOOKUP('Données projet'!$B$14,Paramètres!$A$1:$I$89,3,0)*0.475*44/12</f>
        <v>0</v>
      </c>
      <c r="EC165" s="23">
        <f>EXP(-LN(2)/2)*EC164+(1-EXP(-LN(2)/2))/(LN(2)/2)*DW165*DZ165*VLOOKUP('Données projet'!$B$14,Paramètres!$A$1:$I$89,3,0)*0.475*44/12</f>
        <v>0</v>
      </c>
      <c r="ED165" s="24">
        <f t="shared" si="178"/>
        <v>0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6.2527760746888816E-13</v>
      </c>
      <c r="EK165" s="18">
        <f>EJ165*VLOOKUP('Données projet'!$B$15,Paramètres!$A$1:$I$89,3,0)*VLOOKUP('Données projet'!$B$15,Paramètres!$A$1:$I$89,5,0)</f>
        <v>6.5354015532648198E-13</v>
      </c>
      <c r="EL165" s="14">
        <f t="shared" si="179"/>
        <v>7.8909019831354483E-12</v>
      </c>
      <c r="EM165" s="22">
        <f t="shared" si="180"/>
        <v>1.4881570057821194E-11</v>
      </c>
      <c r="EN165" s="62">
        <f t="shared" si="128"/>
        <v>293.33333333334821</v>
      </c>
      <c r="EO165" s="62">
        <f ca="1">AVERAGE(OFFSET($EN$3,0,0,'Données projet'!$E$15+1,1))-AVERAGE(OFFSET($H$3,0,0,'Données projet'!$E$15+1,1))</f>
        <v>595.89992279024398</v>
      </c>
      <c r="EP165" s="62">
        <f t="shared" si="154"/>
        <v>378.16197659288338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>
        <f>EXP(-LN(2)/35)*EV164+(1-EXP(-LN(2)/35))/(LN(2)/35)*ER165*ES165*VLOOKUP('Données projet'!$B$15,Paramètres!$A$1:$I$89,3,0)*0.475*44/12</f>
        <v>0</v>
      </c>
      <c r="EW165" s="23">
        <f>EXP(-LN(2)/25)*EW164+(1-EXP(-LN(2)/25))/(LN(2)/25)*Calculateur!ER165*Calculateur!ET165*VLOOKUP('Données projet'!$B$15,Paramètres!$A$1:$I$89,3,0)*0.475*44/12</f>
        <v>0</v>
      </c>
      <c r="EX165" s="23">
        <f>EXP(-LN(2)/2)*EX164+(1-EXP(-LN(2)/2))/(LN(2)/2)*ER165*EU165*VLOOKUP('Données projet'!$B$15,Paramètres!$A$1:$I$89,3,0)*0.475*44/12</f>
        <v>0</v>
      </c>
      <c r="EY165" s="24">
        <f t="shared" si="181"/>
        <v>0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-2.2737367544323206E-13</v>
      </c>
      <c r="FF165" s="18">
        <f>FE165*VLOOKUP('Données projet'!$B$16,Paramètres!$A$1:$I$89,3,0)*VLOOKUP('Données projet'!$B$16,Paramètres!$A$1:$I$89,5,0)</f>
        <v>-1.3596945791505279E-13</v>
      </c>
      <c r="FG165" s="14" t="e">
        <f t="shared" si="182"/>
        <v>#NUM!</v>
      </c>
      <c r="FH165" s="22" t="e">
        <f t="shared" si="183"/>
        <v>#NUM!</v>
      </c>
      <c r="FI165" s="62" t="e">
        <f t="shared" si="131"/>
        <v>#NUM!</v>
      </c>
      <c r="FJ165" s="62">
        <f ca="1">AVERAGE(OFFSET($FI$3,0,0,'Données projet'!$E$16+1,1))-AVERAGE(OFFSET($H$3,0,0,'Données projet'!$E$16+1,1))</f>
        <v>257.56116197646924</v>
      </c>
      <c r="FK165" s="62">
        <f t="shared" si="156"/>
        <v>269.95556918835888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>
        <f>EXP(-LN(2)/35)*FQ164+(1-EXP(-LN(2)/35))/(LN(2)/35)*FM165*FN165*VLOOKUP('Données projet'!$B$16,Paramètres!$A$1:$I$89,3,0)*0.475*44/12</f>
        <v>1.0677936786601832</v>
      </c>
      <c r="FR165" s="23">
        <f>EXP(-LN(2)/25)*FR164+(1-EXP(-LN(2)/25))/(LN(2)/25)*Calculateur!FM165*Calculateur!FO165*VLOOKUP('Données projet'!$B$16,Paramètres!$A$1:$I$89,3,0)*0.475*44/12</f>
        <v>0.41547781098696868</v>
      </c>
      <c r="FS165" s="23">
        <f>EXP(-LN(2)/2)*FS164+(1-EXP(-LN(2)/2))/(LN(2)/2)*FM165*FP165*VLOOKUP('Données projet'!$B$16,Paramètres!$A$1:$I$89,3,0)*0.475*44/12</f>
        <v>1.1592944787159394E-19</v>
      </c>
      <c r="FT165" s="24">
        <f t="shared" si="184"/>
        <v>1.4832714896471519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-2.8421709430404007E-13</v>
      </c>
      <c r="GA165" s="18">
        <f>FZ165*VLOOKUP('Données projet'!$B$17,Paramètres!$A$1:$I$89,3,0)*VLOOKUP('Données projet'!$B$17,Paramètres!$A$1:$I$89,5,0)</f>
        <v>-1.69961822393816E-13</v>
      </c>
      <c r="GB165" s="14" t="e">
        <f t="shared" si="185"/>
        <v>#NUM!</v>
      </c>
      <c r="GC165" s="22" t="e">
        <f t="shared" si="186"/>
        <v>#NUM!</v>
      </c>
      <c r="GD165" s="62" t="e">
        <f t="shared" si="134"/>
        <v>#NUM!</v>
      </c>
      <c r="GE165" s="62">
        <f ca="1">AVERAGE(OFFSET($GD$3,0,0,'Données projet'!$E$17+1,1))-AVERAGE(OFFSET($H$3,0,0,'Données projet'!$E$17+1,1))</f>
        <v>289.12367833861299</v>
      </c>
      <c r="GF165" s="62">
        <f t="shared" si="158"/>
        <v>229.06617320689003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>
        <f>EXP(-LN(2)/35)*GL164+(1-EXP(-LN(2)/35))/(LN(2)/35)*GH165*GI165*VLOOKUP('Données projet'!$B$17,Paramètres!$A$1:$I$89,3,0)*0.475*44/12</f>
        <v>0</v>
      </c>
      <c r="GM165" s="23">
        <f>EXP(-LN(2)/25)*GM164+(1-EXP(-LN(2)/25))/(LN(2)/25)*Calculateur!GH165*Calculateur!GJ165*VLOOKUP('Données projet'!$B$17,Paramètres!$A$1:$I$89,3,0)*0.475*44/12</f>
        <v>0</v>
      </c>
      <c r="GN165" s="23">
        <f>EXP(-LN(2)/2)*GN164+(1-EXP(-LN(2)/2))/(LN(2)/2)*GH165*GK165*VLOOKUP('Données projet'!$B$17,Paramètres!$A$1:$I$89,3,0)*0.475*44/12</f>
        <v>5.6200095006678608E-20</v>
      </c>
      <c r="GO165" s="23">
        <f t="shared" si="187"/>
        <v>5.6200095006678608E-20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-5.6843418860808015E-14</v>
      </c>
      <c r="GV165" s="18">
        <f>GU165*VLOOKUP('Données projet'!$B$18,Paramètres!$A$1:$I$89,3,0)*VLOOKUP('Données projet'!$B$18,Paramètres!$A$1:$I$89,5,0)</f>
        <v>-2.6602720026858149E-14</v>
      </c>
      <c r="GW165" s="14" t="e">
        <f t="shared" si="188"/>
        <v>#NUM!</v>
      </c>
      <c r="GX165" s="22" t="e">
        <f t="shared" si="189"/>
        <v>#NUM!</v>
      </c>
      <c r="GY165" s="62" t="e">
        <f t="shared" si="137"/>
        <v>#NUM!</v>
      </c>
      <c r="GZ165" s="62">
        <f ca="1">AVERAGE(OFFSET($GY$3,0,0,'Données projet'!$E$18+1,1))-AVERAGE(OFFSET($H$3,0,0,'Données projet'!$E$18+1,1))</f>
        <v>284.88646502866419</v>
      </c>
      <c r="HA165" s="62">
        <f t="shared" si="160"/>
        <v>190.4880882944471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>
        <f>EXP(-LN(2)/35)*HG164+(1-EXP(-LN(2)/35))/(LN(2)/35)*HC165*HD165*VLOOKUP('Données projet'!$B$18,Paramètres!$A$1:$I$89,3,0)*0.475*44/12</f>
        <v>0</v>
      </c>
      <c r="HH165" s="23">
        <f>EXP(-LN(2)/25)*HH164+(1-EXP(-LN(2)/25))/(LN(2)/25)*Calculateur!HC165*Calculateur!HE165*VLOOKUP('Données projet'!$B$18,Paramètres!$A$1:$I$89,3,0)*0.475*44/12</f>
        <v>0</v>
      </c>
      <c r="HI165" s="23">
        <f>EXP(-LN(2)/2)*HI164+(1-EXP(-LN(2)/2))/(LN(2)/2)*HC165*HF165*VLOOKUP('Données projet'!$B$18,Paramètres!$A$1:$I$89,3,0)*0.475*44/12</f>
        <v>0</v>
      </c>
      <c r="HJ165" s="24">
        <f t="shared" si="190"/>
        <v>0</v>
      </c>
    </row>
    <row r="166" spans="1:218" x14ac:dyDescent="0.25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2">
        <f t="shared" si="140"/>
        <v>0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0</v>
      </c>
      <c r="H166" s="70">
        <f t="shared" si="110"/>
        <v>256.66666666666669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-1.1368683772161603E-13</v>
      </c>
      <c r="O166" s="14">
        <f>N166*VLOOKUP('Données projet'!$B$9,Paramètres!$A$1:$I$89,3,0)*VLOOKUP('Données projet'!$B$9,Paramètres!$A$1:$I$89,5,0)</f>
        <v>-1.0818439477588981E-13</v>
      </c>
      <c r="P166" s="14" t="e">
        <f t="shared" si="141"/>
        <v>#NUM!</v>
      </c>
      <c r="Q166" s="22" t="e">
        <f t="shared" si="162"/>
        <v>#NUM!</v>
      </c>
      <c r="R166" s="62" t="e">
        <f t="shared" si="109"/>
        <v>#NUM!</v>
      </c>
      <c r="S166" s="62">
        <f ca="1">AVERAGE(OFFSET($R$3,0,0,'Données projet'!$E$9+1,1))-AVERAGE(OFFSET($H$3,0,0,'Données projet'!$E$9+1,1))</f>
        <v>367.11183928586667</v>
      </c>
      <c r="T166" s="62">
        <f t="shared" si="142"/>
        <v>281.52963027844595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0</v>
      </c>
      <c r="AA166" s="23">
        <f>EXP(-LN(2)/25)*AA165+(1-EXP(-LN(2)/25))/(LN(2)/25)*Calculateur!V166*Calculateur!X166*VLOOKUP('Données projet'!$B$9,Paramètres!$A$1:$I$89,3,0)*0.475*44/12</f>
        <v>0</v>
      </c>
      <c r="AB166" s="23">
        <f>EXP(-LN(2)/2)*AB165+(1-EXP(-LN(2)/2))/(LN(2)/2)*V166*Y166*VLOOKUP('Données projet'!$B$9,Paramètres!$A$1:$I$89,3,0)*0.475*44/12</f>
        <v>0</v>
      </c>
      <c r="AC166" s="24">
        <f t="shared" si="163"/>
        <v>0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-9.6633812063373625E-13</v>
      </c>
      <c r="AJ166" s="14">
        <f>AI166*VLOOKUP('Données projet'!$B$10,Paramètres!$A$1:$I$89,3,0)*VLOOKUP('Données projet'!$B$10,Paramètres!$A$1:$I$89,5,0)</f>
        <v>-8.7434273154940449E-13</v>
      </c>
      <c r="AK166" s="14" t="e">
        <f t="shared" si="164"/>
        <v>#NUM!</v>
      </c>
      <c r="AL166" s="22" t="e">
        <f t="shared" si="165"/>
        <v>#NUM!</v>
      </c>
      <c r="AM166" s="62" t="e">
        <f t="shared" si="113"/>
        <v>#NUM!</v>
      </c>
      <c r="AN166" s="62">
        <f ca="1">AVERAGE(OFFSET($AM$3,0,0,'Données projet'!$E$10+1,1))-AVERAGE(OFFSET($H$3,0,0,'Données projet'!$E$10+1,1))</f>
        <v>428.8489304403459</v>
      </c>
      <c r="AO166" s="62">
        <f t="shared" si="144"/>
        <v>247.01165577562966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0</v>
      </c>
      <c r="AV166" s="23">
        <f>EXP(-LN(2)/25)*AV165+(1-EXP(-LN(2)/25))/(LN(2)/25)*Calculateur!AQ166*Calculateur!AS166*VLOOKUP('Données projet'!$B$10,Paramètres!$A$1:$I$89,3,0)*0.475*44/12</f>
        <v>0</v>
      </c>
      <c r="AW166" s="23">
        <f>EXP(-LN(2)/2)*AW165+(1-EXP(-LN(2)/2))/(LN(2)/2)*AQ166*AT166*VLOOKUP('Données projet'!$B$10,Paramètres!$A$1:$I$89,3,0)*0.475*44/12</f>
        <v>0</v>
      </c>
      <c r="AX166" s="23">
        <f t="shared" si="166"/>
        <v>0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-9.6633812063373625E-13</v>
      </c>
      <c r="BE166" s="14">
        <f>BD166*VLOOKUP('Données projet'!$B$11,Paramètres!$A$1:$I$89,3,0)*VLOOKUP('Données projet'!$B$11,Paramètres!$A$1:$I$89,5,0)</f>
        <v>-9.7986685432260874E-13</v>
      </c>
      <c r="BF166" s="14" t="e">
        <f t="shared" si="167"/>
        <v>#NUM!</v>
      </c>
      <c r="BG166" s="22" t="e">
        <f t="shared" si="168"/>
        <v>#NUM!</v>
      </c>
      <c r="BH166" s="62" t="e">
        <f t="shared" si="116"/>
        <v>#NUM!</v>
      </c>
      <c r="BI166" s="62">
        <f ca="1">AVERAGE(OFFSET($BH$3,0,0,'Données projet'!$E$11+1,1))-AVERAGE(OFFSET($H$3,0,0,'Données projet'!$E$11+1,1))</f>
        <v>475.47920969424894</v>
      </c>
      <c r="BJ166" s="62">
        <f t="shared" si="146"/>
        <v>271.73544012419364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>
        <f>EXP(-LN(2)/35)*BP165+(1-EXP(-LN(2)/35))/(LN(2)/35)*BL166*BM166*VLOOKUP('Données projet'!$B$11,Paramètres!$A$1:$I$89,3,0)*0.475*44/12</f>
        <v>0</v>
      </c>
      <c r="BQ166" s="23">
        <f>EXP(-LN(2)/25)*BQ165+(1-EXP(-LN(2)/25))/(LN(2)/25)*Calculateur!BL166*Calculateur!BN166*VLOOKUP('Données projet'!$B$11,Paramètres!$A$1:$I$89,3,0)*0.475*44/12</f>
        <v>0</v>
      </c>
      <c r="BR166" s="23">
        <f>EXP(-LN(2)/2)*BR165+(1-EXP(-LN(2)/2))/(LN(2)/2)*BL166*BO166*VLOOKUP('Données projet'!$B$11,Paramètres!$A$1:$I$89,3,0)*0.475*44/12</f>
        <v>0</v>
      </c>
      <c r="BS166" s="24">
        <f t="shared" si="169"/>
        <v>0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2.2737367544323206E-13</v>
      </c>
      <c r="BZ166" s="14">
        <f>BY166*VLOOKUP('Données projet'!$B$12,Paramètres!$A$1:$I$89,3,0)*VLOOKUP('Données projet'!$B$12,Paramètres!$A$1:$I$89,5,0)</f>
        <v>1.2710188457276673E-13</v>
      </c>
      <c r="CA166" s="14">
        <f t="shared" si="170"/>
        <v>1.856866851063998E-12</v>
      </c>
      <c r="CB166" s="22">
        <f t="shared" si="171"/>
        <v>3.4554122145673649E-12</v>
      </c>
      <c r="CC166" s="62">
        <f t="shared" si="119"/>
        <v>293.33333333333678</v>
      </c>
      <c r="CD166" s="62">
        <f ca="1">AVERAGE(OFFSET($CC$3,0,0,'Données projet'!$E$12+1,1))-AVERAGE(OFFSET($H$3,0,0,'Données projet'!$E$12+1,1))</f>
        <v>323.98185264074681</v>
      </c>
      <c r="CE166" s="62">
        <f t="shared" si="148"/>
        <v>301.22207291854005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>
        <f>EXP(-LN(2)/35)*CK165+(1-EXP(-LN(2)/35))/(LN(2)/35)*CG166*CH166*VLOOKUP('Données projet'!$B$12,Paramètres!$A$1:$I$89,3,0)*0.475*44/12</f>
        <v>0.32036630108058012</v>
      </c>
      <c r="CL166" s="23">
        <f>EXP(-LN(2)/25)*CL165+(1-EXP(-LN(2)/25))/(LN(2)/25)*Calculateur!CG166*Calculateur!CI166*VLOOKUP('Données projet'!$B$12,Paramètres!$A$1:$I$89,3,0)*0.475*44/12</f>
        <v>0.20645822856019672</v>
      </c>
      <c r="CM166" s="23">
        <f>EXP(-LN(2)/2)*CM165+(1-EXP(-LN(2)/2))/(LN(2)/2)*CG166*CJ166*VLOOKUP('Données projet'!$B$12,Paramètres!$A$1:$I$89,3,0)*0.475*44/12</f>
        <v>5.8339966690913062E-20</v>
      </c>
      <c r="CN166" s="24">
        <f t="shared" si="172"/>
        <v>0.52682452964077686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>
        <f>CT166*VLOOKUP('Données projet'!$B$13,Paramètres!$A$1:$I$89,3,0)*VLOOKUP('Données projet'!$B$13,Paramètres!$A$1:$I$89,5,0)</f>
        <v>0</v>
      </c>
      <c r="CV166" s="14" t="e">
        <f t="shared" si="173"/>
        <v>#NUM!</v>
      </c>
      <c r="CW166" s="22" t="e">
        <f t="shared" si="174"/>
        <v>#NUM!</v>
      </c>
      <c r="CX166" s="62" t="e">
        <f t="shared" si="122"/>
        <v>#NUM!</v>
      </c>
      <c r="CY166" s="62">
        <f ca="1">AVERAGE(OFFSET($CX$3,0,0,'Données projet'!$E$13+1,1))-AVERAGE(OFFSET($H$3,0,0,'Données projet'!$E$13+1,1))</f>
        <v>399.78832690250164</v>
      </c>
      <c r="CZ166" s="62">
        <f t="shared" si="150"/>
        <v>174.32967064896343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>
        <f>EXP(-LN(2)/35)*DF165+(1-EXP(-LN(2)/35))/(LN(2)/35)*DB166*DC166*VLOOKUP('Données projet'!$B$13,Paramètres!$A$1:$I$89,3,0)*0.475*44/12</f>
        <v>0</v>
      </c>
      <c r="DG166" s="23">
        <f>EXP(-LN(2)/25)*DG165+(1-EXP(-LN(2)/25))/(LN(2)/25)*Calculateur!DB166*Calculateur!DD166*VLOOKUP('Données projet'!$B$13,Paramètres!$A$1:$I$89,3,0)*0.475*44/12</f>
        <v>0</v>
      </c>
      <c r="DH166" s="23">
        <f>EXP(-LN(2)/2)*DH165+(1-EXP(-LN(2)/2))/(LN(2)/2)*DB166*DE166*VLOOKUP('Données projet'!$B$13,Paramètres!$A$1:$I$89,3,0)*0.475*44/12</f>
        <v>0</v>
      </c>
      <c r="DI166" s="24">
        <f t="shared" si="175"/>
        <v>0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-9.6633812063373625E-13</v>
      </c>
      <c r="DP166" s="18">
        <f>DO166*VLOOKUP('Données projet'!$B$14,Paramètres!$A$1:$I$89,3,0)*VLOOKUP('Données projet'!$B$14,Paramètres!$A$1:$I$89,5,0)</f>
        <v>-8.1404323282185943E-13</v>
      </c>
      <c r="DQ166" s="14" t="e">
        <f t="shared" si="176"/>
        <v>#NUM!</v>
      </c>
      <c r="DR166" s="22" t="e">
        <f t="shared" si="177"/>
        <v>#NUM!</v>
      </c>
      <c r="DS166" s="62" t="e">
        <f t="shared" si="125"/>
        <v>#NUM!</v>
      </c>
      <c r="DT166" s="62">
        <f ca="1">AVERAGE(OFFSET($DS$3,0,0,'Données projet'!$E$14+1,1))-AVERAGE(OFFSET($H$3,0,0,'Données projet'!$E$14+1,1))</f>
        <v>402.15128814037058</v>
      </c>
      <c r="DU166" s="62">
        <f t="shared" si="152"/>
        <v>232.85411068442738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>
        <f>EXP(-LN(2)/35)*EA165+(1-EXP(-LN(2)/35))/(LN(2)/35)*DW166*DX166*VLOOKUP('Données projet'!$B$14,Paramètres!$A$1:$I$89,3,0)*0.475*44/12</f>
        <v>0</v>
      </c>
      <c r="EB166" s="23">
        <f>EXP(-LN(2)/25)*EB165+(1-EXP(-LN(2)/25))/(LN(2)/25)*Calculateur!DW166*Calculateur!DY166*VLOOKUP('Données projet'!$B$14,Paramètres!$A$1:$I$89,3,0)*0.475*44/12</f>
        <v>0</v>
      </c>
      <c r="EC166" s="23">
        <f>EXP(-LN(2)/2)*EC165+(1-EXP(-LN(2)/2))/(LN(2)/2)*DW166*DZ166*VLOOKUP('Données projet'!$B$14,Paramètres!$A$1:$I$89,3,0)*0.475*44/12</f>
        <v>0</v>
      </c>
      <c r="ED166" s="24">
        <f t="shared" si="178"/>
        <v>0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6.2527760746888816E-13</v>
      </c>
      <c r="EK166" s="18">
        <f>EJ166*VLOOKUP('Données projet'!$B$15,Paramètres!$A$1:$I$89,3,0)*VLOOKUP('Données projet'!$B$15,Paramètres!$A$1:$I$89,5,0)</f>
        <v>6.5354015532648198E-13</v>
      </c>
      <c r="EL166" s="14">
        <f t="shared" si="179"/>
        <v>7.8909019831354483E-12</v>
      </c>
      <c r="EM166" s="22">
        <f t="shared" si="180"/>
        <v>1.4881570057821194E-11</v>
      </c>
      <c r="EN166" s="62">
        <f t="shared" si="128"/>
        <v>293.33333333334821</v>
      </c>
      <c r="EO166" s="62">
        <f ca="1">AVERAGE(OFFSET($EN$3,0,0,'Données projet'!$E$15+1,1))-AVERAGE(OFFSET($H$3,0,0,'Données projet'!$E$15+1,1))</f>
        <v>595.89992279024398</v>
      </c>
      <c r="EP166" s="62">
        <f t="shared" si="154"/>
        <v>378.16197659288338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>
        <f>EXP(-LN(2)/35)*EV165+(1-EXP(-LN(2)/35))/(LN(2)/35)*ER166*ES166*VLOOKUP('Données projet'!$B$15,Paramètres!$A$1:$I$89,3,0)*0.475*44/12</f>
        <v>0</v>
      </c>
      <c r="EW166" s="23">
        <f>EXP(-LN(2)/25)*EW165+(1-EXP(-LN(2)/25))/(LN(2)/25)*Calculateur!ER166*Calculateur!ET166*VLOOKUP('Données projet'!$B$15,Paramètres!$A$1:$I$89,3,0)*0.475*44/12</f>
        <v>0</v>
      </c>
      <c r="EX166" s="23">
        <f>EXP(-LN(2)/2)*EX165+(1-EXP(-LN(2)/2))/(LN(2)/2)*ER166*EU166*VLOOKUP('Données projet'!$B$15,Paramètres!$A$1:$I$89,3,0)*0.475*44/12</f>
        <v>0</v>
      </c>
      <c r="EY166" s="24">
        <f t="shared" si="181"/>
        <v>0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-2.2737367544323206E-13</v>
      </c>
      <c r="FF166" s="18">
        <f>FE166*VLOOKUP('Données projet'!$B$16,Paramètres!$A$1:$I$89,3,0)*VLOOKUP('Données projet'!$B$16,Paramètres!$A$1:$I$89,5,0)</f>
        <v>-1.3596945791505279E-13</v>
      </c>
      <c r="FG166" s="14" t="e">
        <f t="shared" si="182"/>
        <v>#NUM!</v>
      </c>
      <c r="FH166" s="22" t="e">
        <f t="shared" si="183"/>
        <v>#NUM!</v>
      </c>
      <c r="FI166" s="62" t="e">
        <f t="shared" si="131"/>
        <v>#NUM!</v>
      </c>
      <c r="FJ166" s="62">
        <f ca="1">AVERAGE(OFFSET($FI$3,0,0,'Données projet'!$E$16+1,1))-AVERAGE(OFFSET($H$3,0,0,'Données projet'!$E$16+1,1))</f>
        <v>257.56116197646924</v>
      </c>
      <c r="FK166" s="62">
        <f t="shared" si="156"/>
        <v>269.95556918835888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>
        <f>EXP(-LN(2)/35)*FQ165+(1-EXP(-LN(2)/35))/(LN(2)/35)*FM166*FN166*VLOOKUP('Données projet'!$B$16,Paramètres!$A$1:$I$89,3,0)*0.475*44/12</f>
        <v>1.0468548959114914</v>
      </c>
      <c r="FR166" s="23">
        <f>EXP(-LN(2)/25)*FR165+(1-EXP(-LN(2)/25))/(LN(2)/25)*Calculateur!FM166*Calculateur!FO166*VLOOKUP('Données projet'!$B$16,Paramètres!$A$1:$I$89,3,0)*0.475*44/12</f>
        <v>0.40411654839650152</v>
      </c>
      <c r="FS166" s="23">
        <f>EXP(-LN(2)/2)*FS165+(1-EXP(-LN(2)/2))/(LN(2)/2)*FM166*FP166*VLOOKUP('Données projet'!$B$16,Paramètres!$A$1:$I$89,3,0)*0.475*44/12</f>
        <v>8.1974498729216442E-20</v>
      </c>
      <c r="FT166" s="24">
        <f t="shared" si="184"/>
        <v>1.4509714443079929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-2.8421709430404007E-13</v>
      </c>
      <c r="GA166" s="18">
        <f>FZ166*VLOOKUP('Données projet'!$B$17,Paramètres!$A$1:$I$89,3,0)*VLOOKUP('Données projet'!$B$17,Paramètres!$A$1:$I$89,5,0)</f>
        <v>-1.69961822393816E-13</v>
      </c>
      <c r="GB166" s="14" t="e">
        <f t="shared" si="185"/>
        <v>#NUM!</v>
      </c>
      <c r="GC166" s="22" t="e">
        <f t="shared" si="186"/>
        <v>#NUM!</v>
      </c>
      <c r="GD166" s="62" t="e">
        <f t="shared" si="134"/>
        <v>#NUM!</v>
      </c>
      <c r="GE166" s="62">
        <f ca="1">AVERAGE(OFFSET($GD$3,0,0,'Données projet'!$E$17+1,1))-AVERAGE(OFFSET($H$3,0,0,'Données projet'!$E$17+1,1))</f>
        <v>289.12367833861299</v>
      </c>
      <c r="GF166" s="62">
        <f t="shared" si="158"/>
        <v>229.06617320689003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>
        <f>EXP(-LN(2)/35)*GL165+(1-EXP(-LN(2)/35))/(LN(2)/35)*GH166*GI166*VLOOKUP('Données projet'!$B$17,Paramètres!$A$1:$I$89,3,0)*0.475*44/12</f>
        <v>0</v>
      </c>
      <c r="GM166" s="23">
        <f>EXP(-LN(2)/25)*GM165+(1-EXP(-LN(2)/25))/(LN(2)/25)*Calculateur!GH166*Calculateur!GJ166*VLOOKUP('Données projet'!$B$17,Paramètres!$A$1:$I$89,3,0)*0.475*44/12</f>
        <v>0</v>
      </c>
      <c r="GN166" s="23">
        <f>EXP(-LN(2)/2)*GN165+(1-EXP(-LN(2)/2))/(LN(2)/2)*GH166*GK166*VLOOKUP('Données projet'!$B$17,Paramètres!$A$1:$I$89,3,0)*0.475*44/12</f>
        <v>3.9739468282550673E-20</v>
      </c>
      <c r="GO166" s="23">
        <f t="shared" si="187"/>
        <v>3.9739468282550673E-20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-5.6843418860808015E-14</v>
      </c>
      <c r="GV166" s="18">
        <f>GU166*VLOOKUP('Données projet'!$B$18,Paramètres!$A$1:$I$89,3,0)*VLOOKUP('Données projet'!$B$18,Paramètres!$A$1:$I$89,5,0)</f>
        <v>-2.6602720026858149E-14</v>
      </c>
      <c r="GW166" s="14" t="e">
        <f t="shared" si="188"/>
        <v>#NUM!</v>
      </c>
      <c r="GX166" s="22" t="e">
        <f t="shared" si="189"/>
        <v>#NUM!</v>
      </c>
      <c r="GY166" s="62" t="e">
        <f t="shared" si="137"/>
        <v>#NUM!</v>
      </c>
      <c r="GZ166" s="62">
        <f ca="1">AVERAGE(OFFSET($GY$3,0,0,'Données projet'!$E$18+1,1))-AVERAGE(OFFSET($H$3,0,0,'Données projet'!$E$18+1,1))</f>
        <v>284.88646502866419</v>
      </c>
      <c r="HA166" s="62">
        <f t="shared" si="160"/>
        <v>190.4880882944471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>
        <f>EXP(-LN(2)/35)*HG165+(1-EXP(-LN(2)/35))/(LN(2)/35)*HC166*HD166*VLOOKUP('Données projet'!$B$18,Paramètres!$A$1:$I$89,3,0)*0.475*44/12</f>
        <v>0</v>
      </c>
      <c r="HH166" s="23">
        <f>EXP(-LN(2)/25)*HH165+(1-EXP(-LN(2)/25))/(LN(2)/25)*Calculateur!HC166*Calculateur!HE166*VLOOKUP('Données projet'!$B$18,Paramètres!$A$1:$I$89,3,0)*0.475*44/12</f>
        <v>0</v>
      </c>
      <c r="HI166" s="23">
        <f>EXP(-LN(2)/2)*HI165+(1-EXP(-LN(2)/2))/(LN(2)/2)*HC166*HF166*VLOOKUP('Données projet'!$B$18,Paramètres!$A$1:$I$89,3,0)*0.475*44/12</f>
        <v>0</v>
      </c>
      <c r="HJ166" s="24">
        <f t="shared" si="190"/>
        <v>0</v>
      </c>
    </row>
    <row r="167" spans="1:218" x14ac:dyDescent="0.25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2">
        <f t="shared" si="140"/>
        <v>0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0</v>
      </c>
      <c r="H167" s="70">
        <f t="shared" si="110"/>
        <v>256.66666666666669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-1.1368683772161603E-13</v>
      </c>
      <c r="O167" s="14">
        <f>N167*VLOOKUP('Données projet'!$B$9,Paramètres!$A$1:$I$89,3,0)*VLOOKUP('Données projet'!$B$9,Paramètres!$A$1:$I$89,5,0)</f>
        <v>-1.0818439477588981E-13</v>
      </c>
      <c r="P167" s="14" t="e">
        <f t="shared" si="141"/>
        <v>#NUM!</v>
      </c>
      <c r="Q167" s="22" t="e">
        <f t="shared" si="162"/>
        <v>#NUM!</v>
      </c>
      <c r="R167" s="62" t="e">
        <f t="shared" si="109"/>
        <v>#NUM!</v>
      </c>
      <c r="S167" s="62">
        <f ca="1">AVERAGE(OFFSET($R$3,0,0,'Données projet'!$E$9+1,1))-AVERAGE(OFFSET($H$3,0,0,'Données projet'!$E$9+1,1))</f>
        <v>367.11183928586667</v>
      </c>
      <c r="T167" s="62">
        <f t="shared" si="142"/>
        <v>281.52963027844595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0</v>
      </c>
      <c r="AA167" s="23">
        <f>EXP(-LN(2)/25)*AA166+(1-EXP(-LN(2)/25))/(LN(2)/25)*Calculateur!V167*Calculateur!X167*VLOOKUP('Données projet'!$B$9,Paramètres!$A$1:$I$89,3,0)*0.475*44/12</f>
        <v>0</v>
      </c>
      <c r="AB167" s="23">
        <f>EXP(-LN(2)/2)*AB166+(1-EXP(-LN(2)/2))/(LN(2)/2)*V167*Y167*VLOOKUP('Données projet'!$B$9,Paramètres!$A$1:$I$89,3,0)*0.475*44/12</f>
        <v>0</v>
      </c>
      <c r="AC167" s="24">
        <f t="shared" si="163"/>
        <v>0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-9.6633812063373625E-13</v>
      </c>
      <c r="AJ167" s="14">
        <f>AI167*VLOOKUP('Données projet'!$B$10,Paramètres!$A$1:$I$89,3,0)*VLOOKUP('Données projet'!$B$10,Paramètres!$A$1:$I$89,5,0)</f>
        <v>-8.7434273154940449E-13</v>
      </c>
      <c r="AK167" s="14" t="e">
        <f t="shared" si="164"/>
        <v>#NUM!</v>
      </c>
      <c r="AL167" s="22" t="e">
        <f t="shared" si="165"/>
        <v>#NUM!</v>
      </c>
      <c r="AM167" s="62" t="e">
        <f t="shared" si="113"/>
        <v>#NUM!</v>
      </c>
      <c r="AN167" s="62">
        <f ca="1">AVERAGE(OFFSET($AM$3,0,0,'Données projet'!$E$10+1,1))-AVERAGE(OFFSET($H$3,0,0,'Données projet'!$E$10+1,1))</f>
        <v>428.8489304403459</v>
      </c>
      <c r="AO167" s="62">
        <f t="shared" si="144"/>
        <v>247.01165577562966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0</v>
      </c>
      <c r="AV167" s="23">
        <f>EXP(-LN(2)/25)*AV166+(1-EXP(-LN(2)/25))/(LN(2)/25)*Calculateur!AQ167*Calculateur!AS167*VLOOKUP('Données projet'!$B$10,Paramètres!$A$1:$I$89,3,0)*0.475*44/12</f>
        <v>0</v>
      </c>
      <c r="AW167" s="23">
        <f>EXP(-LN(2)/2)*AW166+(1-EXP(-LN(2)/2))/(LN(2)/2)*AQ167*AT167*VLOOKUP('Données projet'!$B$10,Paramètres!$A$1:$I$89,3,0)*0.475*44/12</f>
        <v>0</v>
      </c>
      <c r="AX167" s="23">
        <f t="shared" si="166"/>
        <v>0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-9.6633812063373625E-13</v>
      </c>
      <c r="BE167" s="14">
        <f>BD167*VLOOKUP('Données projet'!$B$11,Paramètres!$A$1:$I$89,3,0)*VLOOKUP('Données projet'!$B$11,Paramètres!$A$1:$I$89,5,0)</f>
        <v>-9.7986685432260874E-13</v>
      </c>
      <c r="BF167" s="14" t="e">
        <f t="shared" si="167"/>
        <v>#NUM!</v>
      </c>
      <c r="BG167" s="22" t="e">
        <f t="shared" si="168"/>
        <v>#NUM!</v>
      </c>
      <c r="BH167" s="62" t="e">
        <f t="shared" si="116"/>
        <v>#NUM!</v>
      </c>
      <c r="BI167" s="62">
        <f ca="1">AVERAGE(OFFSET($BH$3,0,0,'Données projet'!$E$11+1,1))-AVERAGE(OFFSET($H$3,0,0,'Données projet'!$E$11+1,1))</f>
        <v>475.47920969424894</v>
      </c>
      <c r="BJ167" s="62">
        <f t="shared" si="146"/>
        <v>271.73544012419364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>
        <f>EXP(-LN(2)/35)*BP166+(1-EXP(-LN(2)/35))/(LN(2)/35)*BL167*BM167*VLOOKUP('Données projet'!$B$11,Paramètres!$A$1:$I$89,3,0)*0.475*44/12</f>
        <v>0</v>
      </c>
      <c r="BQ167" s="23">
        <f>EXP(-LN(2)/25)*BQ166+(1-EXP(-LN(2)/25))/(LN(2)/25)*Calculateur!BL167*Calculateur!BN167*VLOOKUP('Données projet'!$B$11,Paramètres!$A$1:$I$89,3,0)*0.475*44/12</f>
        <v>0</v>
      </c>
      <c r="BR167" s="23">
        <f>EXP(-LN(2)/2)*BR166+(1-EXP(-LN(2)/2))/(LN(2)/2)*BL167*BO167*VLOOKUP('Données projet'!$B$11,Paramètres!$A$1:$I$89,3,0)*0.475*44/12</f>
        <v>0</v>
      </c>
      <c r="BS167" s="24">
        <f t="shared" si="169"/>
        <v>0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2.2737367544323206E-13</v>
      </c>
      <c r="BZ167" s="14">
        <f>BY167*VLOOKUP('Données projet'!$B$12,Paramètres!$A$1:$I$89,3,0)*VLOOKUP('Données projet'!$B$12,Paramètres!$A$1:$I$89,5,0)</f>
        <v>1.2710188457276673E-13</v>
      </c>
      <c r="CA167" s="14">
        <f t="shared" si="170"/>
        <v>1.856866851063998E-12</v>
      </c>
      <c r="CB167" s="22">
        <f t="shared" si="171"/>
        <v>3.4554122145673649E-12</v>
      </c>
      <c r="CC167" s="62">
        <f t="shared" si="119"/>
        <v>293.33333333333678</v>
      </c>
      <c r="CD167" s="62">
        <f ca="1">AVERAGE(OFFSET($CC$3,0,0,'Données projet'!$E$12+1,1))-AVERAGE(OFFSET($H$3,0,0,'Données projet'!$E$12+1,1))</f>
        <v>323.98185264074681</v>
      </c>
      <c r="CE167" s="62">
        <f t="shared" si="148"/>
        <v>301.22207291854005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>
        <f>EXP(-LN(2)/35)*CK166+(1-EXP(-LN(2)/35))/(LN(2)/35)*CG167*CH167*VLOOKUP('Données projet'!$B$12,Paramètres!$A$1:$I$89,3,0)*0.475*44/12</f>
        <v>0.31408411332053904</v>
      </c>
      <c r="CL167" s="23">
        <f>EXP(-LN(2)/25)*CL166+(1-EXP(-LN(2)/25))/(LN(2)/25)*Calculateur!CG167*Calculateur!CI167*VLOOKUP('Données projet'!$B$12,Paramètres!$A$1:$I$89,3,0)*0.475*44/12</f>
        <v>0.20081261744305176</v>
      </c>
      <c r="CM167" s="23">
        <f>EXP(-LN(2)/2)*CM166+(1-EXP(-LN(2)/2))/(LN(2)/2)*CG167*CJ167*VLOOKUP('Données projet'!$B$12,Paramètres!$A$1:$I$89,3,0)*0.475*44/12</f>
        <v>4.1252586061341934E-20</v>
      </c>
      <c r="CN167" s="24">
        <f t="shared" si="172"/>
        <v>0.51489673076359077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>
        <f>CT167*VLOOKUP('Données projet'!$B$13,Paramètres!$A$1:$I$89,3,0)*VLOOKUP('Données projet'!$B$13,Paramètres!$A$1:$I$89,5,0)</f>
        <v>0</v>
      </c>
      <c r="CV167" s="14" t="e">
        <f t="shared" si="173"/>
        <v>#NUM!</v>
      </c>
      <c r="CW167" s="22" t="e">
        <f t="shared" si="174"/>
        <v>#NUM!</v>
      </c>
      <c r="CX167" s="62" t="e">
        <f t="shared" si="122"/>
        <v>#NUM!</v>
      </c>
      <c r="CY167" s="62">
        <f ca="1">AVERAGE(OFFSET($CX$3,0,0,'Données projet'!$E$13+1,1))-AVERAGE(OFFSET($H$3,0,0,'Données projet'!$E$13+1,1))</f>
        <v>399.78832690250164</v>
      </c>
      <c r="CZ167" s="62">
        <f t="shared" si="150"/>
        <v>174.32967064896343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>
        <f>EXP(-LN(2)/35)*DF166+(1-EXP(-LN(2)/35))/(LN(2)/35)*DB167*DC167*VLOOKUP('Données projet'!$B$13,Paramètres!$A$1:$I$89,3,0)*0.475*44/12</f>
        <v>0</v>
      </c>
      <c r="DG167" s="23">
        <f>EXP(-LN(2)/25)*DG166+(1-EXP(-LN(2)/25))/(LN(2)/25)*Calculateur!DB167*Calculateur!DD167*VLOOKUP('Données projet'!$B$13,Paramètres!$A$1:$I$89,3,0)*0.475*44/12</f>
        <v>0</v>
      </c>
      <c r="DH167" s="23">
        <f>EXP(-LN(2)/2)*DH166+(1-EXP(-LN(2)/2))/(LN(2)/2)*DB167*DE167*VLOOKUP('Données projet'!$B$13,Paramètres!$A$1:$I$89,3,0)*0.475*44/12</f>
        <v>0</v>
      </c>
      <c r="DI167" s="24">
        <f t="shared" si="175"/>
        <v>0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-9.6633812063373625E-13</v>
      </c>
      <c r="DP167" s="18">
        <f>DO167*VLOOKUP('Données projet'!$B$14,Paramètres!$A$1:$I$89,3,0)*VLOOKUP('Données projet'!$B$14,Paramètres!$A$1:$I$89,5,0)</f>
        <v>-8.1404323282185943E-13</v>
      </c>
      <c r="DQ167" s="14" t="e">
        <f t="shared" si="176"/>
        <v>#NUM!</v>
      </c>
      <c r="DR167" s="22" t="e">
        <f t="shared" si="177"/>
        <v>#NUM!</v>
      </c>
      <c r="DS167" s="62" t="e">
        <f t="shared" si="125"/>
        <v>#NUM!</v>
      </c>
      <c r="DT167" s="62">
        <f ca="1">AVERAGE(OFFSET($DS$3,0,0,'Données projet'!$E$14+1,1))-AVERAGE(OFFSET($H$3,0,0,'Données projet'!$E$14+1,1))</f>
        <v>402.15128814037058</v>
      </c>
      <c r="DU167" s="62">
        <f t="shared" si="152"/>
        <v>232.85411068442738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>
        <f>EXP(-LN(2)/35)*EA166+(1-EXP(-LN(2)/35))/(LN(2)/35)*DW167*DX167*VLOOKUP('Données projet'!$B$14,Paramètres!$A$1:$I$89,3,0)*0.475*44/12</f>
        <v>0</v>
      </c>
      <c r="EB167" s="23">
        <f>EXP(-LN(2)/25)*EB166+(1-EXP(-LN(2)/25))/(LN(2)/25)*Calculateur!DW167*Calculateur!DY167*VLOOKUP('Données projet'!$B$14,Paramètres!$A$1:$I$89,3,0)*0.475*44/12</f>
        <v>0</v>
      </c>
      <c r="EC167" s="23">
        <f>EXP(-LN(2)/2)*EC166+(1-EXP(-LN(2)/2))/(LN(2)/2)*DW167*DZ167*VLOOKUP('Données projet'!$B$14,Paramètres!$A$1:$I$89,3,0)*0.475*44/12</f>
        <v>0</v>
      </c>
      <c r="ED167" s="24">
        <f t="shared" si="178"/>
        <v>0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6.2527760746888816E-13</v>
      </c>
      <c r="EK167" s="18">
        <f>EJ167*VLOOKUP('Données projet'!$B$15,Paramètres!$A$1:$I$89,3,0)*VLOOKUP('Données projet'!$B$15,Paramètres!$A$1:$I$89,5,0)</f>
        <v>6.5354015532648198E-13</v>
      </c>
      <c r="EL167" s="14">
        <f t="shared" si="179"/>
        <v>7.8909019831354483E-12</v>
      </c>
      <c r="EM167" s="22">
        <f t="shared" si="180"/>
        <v>1.4881570057821194E-11</v>
      </c>
      <c r="EN167" s="62">
        <f t="shared" si="128"/>
        <v>293.33333333334821</v>
      </c>
      <c r="EO167" s="62">
        <f ca="1">AVERAGE(OFFSET($EN$3,0,0,'Données projet'!$E$15+1,1))-AVERAGE(OFFSET($H$3,0,0,'Données projet'!$E$15+1,1))</f>
        <v>595.89992279024398</v>
      </c>
      <c r="EP167" s="62">
        <f t="shared" si="154"/>
        <v>378.16197659288338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>
        <f>EXP(-LN(2)/35)*EV166+(1-EXP(-LN(2)/35))/(LN(2)/35)*ER167*ES167*VLOOKUP('Données projet'!$B$15,Paramètres!$A$1:$I$89,3,0)*0.475*44/12</f>
        <v>0</v>
      </c>
      <c r="EW167" s="23">
        <f>EXP(-LN(2)/25)*EW166+(1-EXP(-LN(2)/25))/(LN(2)/25)*Calculateur!ER167*Calculateur!ET167*VLOOKUP('Données projet'!$B$15,Paramètres!$A$1:$I$89,3,0)*0.475*44/12</f>
        <v>0</v>
      </c>
      <c r="EX167" s="23">
        <f>EXP(-LN(2)/2)*EX166+(1-EXP(-LN(2)/2))/(LN(2)/2)*ER167*EU167*VLOOKUP('Données projet'!$B$15,Paramètres!$A$1:$I$89,3,0)*0.475*44/12</f>
        <v>0</v>
      </c>
      <c r="EY167" s="24">
        <f t="shared" si="181"/>
        <v>0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-2.2737367544323206E-13</v>
      </c>
      <c r="FF167" s="18">
        <f>FE167*VLOOKUP('Données projet'!$B$16,Paramètres!$A$1:$I$89,3,0)*VLOOKUP('Données projet'!$B$16,Paramètres!$A$1:$I$89,5,0)</f>
        <v>-1.3596945791505279E-13</v>
      </c>
      <c r="FG167" s="14" t="e">
        <f t="shared" si="182"/>
        <v>#NUM!</v>
      </c>
      <c r="FH167" s="22" t="e">
        <f t="shared" si="183"/>
        <v>#NUM!</v>
      </c>
      <c r="FI167" s="62" t="e">
        <f t="shared" si="131"/>
        <v>#NUM!</v>
      </c>
      <c r="FJ167" s="62">
        <f ca="1">AVERAGE(OFFSET($FI$3,0,0,'Données projet'!$E$16+1,1))-AVERAGE(OFFSET($H$3,0,0,'Données projet'!$E$16+1,1))</f>
        <v>257.56116197646924</v>
      </c>
      <c r="FK167" s="62">
        <f t="shared" si="156"/>
        <v>269.95556918835888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>
        <f>EXP(-LN(2)/35)*FQ166+(1-EXP(-LN(2)/35))/(LN(2)/35)*FM167*FN167*VLOOKUP('Données projet'!$B$16,Paramètres!$A$1:$I$89,3,0)*0.475*44/12</f>
        <v>1.0263267099211051</v>
      </c>
      <c r="FR167" s="23">
        <f>EXP(-LN(2)/25)*FR166+(1-EXP(-LN(2)/25))/(LN(2)/25)*Calculateur!FM167*Calculateur!FO167*VLOOKUP('Données projet'!$B$16,Paramètres!$A$1:$I$89,3,0)*0.475*44/12</f>
        <v>0.3930659601290335</v>
      </c>
      <c r="FS167" s="23">
        <f>EXP(-LN(2)/2)*FS166+(1-EXP(-LN(2)/2))/(LN(2)/2)*FM167*FP167*VLOOKUP('Données projet'!$B$16,Paramètres!$A$1:$I$89,3,0)*0.475*44/12</f>
        <v>5.7964723935796968E-20</v>
      </c>
      <c r="FT167" s="24">
        <f t="shared" si="184"/>
        <v>1.4193926700501387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-2.8421709430404007E-13</v>
      </c>
      <c r="GA167" s="18">
        <f>FZ167*VLOOKUP('Données projet'!$B$17,Paramètres!$A$1:$I$89,3,0)*VLOOKUP('Données projet'!$B$17,Paramètres!$A$1:$I$89,5,0)</f>
        <v>-1.69961822393816E-13</v>
      </c>
      <c r="GB167" s="14" t="e">
        <f t="shared" si="185"/>
        <v>#NUM!</v>
      </c>
      <c r="GC167" s="22" t="e">
        <f t="shared" si="186"/>
        <v>#NUM!</v>
      </c>
      <c r="GD167" s="62" t="e">
        <f t="shared" si="134"/>
        <v>#NUM!</v>
      </c>
      <c r="GE167" s="62">
        <f ca="1">AVERAGE(OFFSET($GD$3,0,0,'Données projet'!$E$17+1,1))-AVERAGE(OFFSET($H$3,0,0,'Données projet'!$E$17+1,1))</f>
        <v>289.12367833861299</v>
      </c>
      <c r="GF167" s="62">
        <f t="shared" si="158"/>
        <v>229.06617320689003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>
        <f>EXP(-LN(2)/35)*GL166+(1-EXP(-LN(2)/35))/(LN(2)/35)*GH167*GI167*VLOOKUP('Données projet'!$B$17,Paramètres!$A$1:$I$89,3,0)*0.475*44/12</f>
        <v>0</v>
      </c>
      <c r="GM167" s="23">
        <f>EXP(-LN(2)/25)*GM166+(1-EXP(-LN(2)/25))/(LN(2)/25)*Calculateur!GH167*Calculateur!GJ167*VLOOKUP('Données projet'!$B$17,Paramètres!$A$1:$I$89,3,0)*0.475*44/12</f>
        <v>0</v>
      </c>
      <c r="GN167" s="23">
        <f>EXP(-LN(2)/2)*GN166+(1-EXP(-LN(2)/2))/(LN(2)/2)*GH167*GK167*VLOOKUP('Données projet'!$B$17,Paramètres!$A$1:$I$89,3,0)*0.475*44/12</f>
        <v>2.8100047503339304E-20</v>
      </c>
      <c r="GO167" s="23">
        <f t="shared" si="187"/>
        <v>2.8100047503339304E-20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-5.6843418860808015E-14</v>
      </c>
      <c r="GV167" s="18">
        <f>GU167*VLOOKUP('Données projet'!$B$18,Paramètres!$A$1:$I$89,3,0)*VLOOKUP('Données projet'!$B$18,Paramètres!$A$1:$I$89,5,0)</f>
        <v>-2.6602720026858149E-14</v>
      </c>
      <c r="GW167" s="14" t="e">
        <f t="shared" si="188"/>
        <v>#NUM!</v>
      </c>
      <c r="GX167" s="22" t="e">
        <f t="shared" si="189"/>
        <v>#NUM!</v>
      </c>
      <c r="GY167" s="62" t="e">
        <f t="shared" si="137"/>
        <v>#NUM!</v>
      </c>
      <c r="GZ167" s="62">
        <f ca="1">AVERAGE(OFFSET($GY$3,0,0,'Données projet'!$E$18+1,1))-AVERAGE(OFFSET($H$3,0,0,'Données projet'!$E$18+1,1))</f>
        <v>284.88646502866419</v>
      </c>
      <c r="HA167" s="62">
        <f t="shared" si="160"/>
        <v>190.4880882944471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>
        <f>EXP(-LN(2)/35)*HG166+(1-EXP(-LN(2)/35))/(LN(2)/35)*HC167*HD167*VLOOKUP('Données projet'!$B$18,Paramètres!$A$1:$I$89,3,0)*0.475*44/12</f>
        <v>0</v>
      </c>
      <c r="HH167" s="23">
        <f>EXP(-LN(2)/25)*HH166+(1-EXP(-LN(2)/25))/(LN(2)/25)*Calculateur!HC167*Calculateur!HE167*VLOOKUP('Données projet'!$B$18,Paramètres!$A$1:$I$89,3,0)*0.475*44/12</f>
        <v>0</v>
      </c>
      <c r="HI167" s="23">
        <f>EXP(-LN(2)/2)*HI166+(1-EXP(-LN(2)/2))/(LN(2)/2)*HC167*HF167*VLOOKUP('Données projet'!$B$18,Paramètres!$A$1:$I$89,3,0)*0.475*44/12</f>
        <v>0</v>
      </c>
      <c r="HJ167" s="24">
        <f t="shared" si="190"/>
        <v>0</v>
      </c>
    </row>
    <row r="168" spans="1:218" x14ac:dyDescent="0.25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2">
        <f t="shared" si="140"/>
        <v>0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0</v>
      </c>
      <c r="H168" s="70">
        <f t="shared" si="110"/>
        <v>256.66666666666669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-1.1368683772161603E-13</v>
      </c>
      <c r="O168" s="14">
        <f>N168*VLOOKUP('Données projet'!$B$9,Paramètres!$A$1:$I$89,3,0)*VLOOKUP('Données projet'!$B$9,Paramètres!$A$1:$I$89,5,0)</f>
        <v>-1.0818439477588981E-13</v>
      </c>
      <c r="P168" s="14" t="e">
        <f t="shared" si="141"/>
        <v>#NUM!</v>
      </c>
      <c r="Q168" s="22" t="e">
        <f t="shared" si="162"/>
        <v>#NUM!</v>
      </c>
      <c r="R168" s="62" t="e">
        <f t="shared" si="109"/>
        <v>#NUM!</v>
      </c>
      <c r="S168" s="62">
        <f ca="1">AVERAGE(OFFSET($R$3,0,0,'Données projet'!$E$9+1,1))-AVERAGE(OFFSET($H$3,0,0,'Données projet'!$E$9+1,1))</f>
        <v>367.11183928586667</v>
      </c>
      <c r="T168" s="62">
        <f t="shared" si="142"/>
        <v>281.52963027844595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0</v>
      </c>
      <c r="AA168" s="23">
        <f>EXP(-LN(2)/25)*AA167+(1-EXP(-LN(2)/25))/(LN(2)/25)*Calculateur!V168*Calculateur!X168*VLOOKUP('Données projet'!$B$9,Paramètres!$A$1:$I$89,3,0)*0.475*44/12</f>
        <v>0</v>
      </c>
      <c r="AB168" s="23">
        <f>EXP(-LN(2)/2)*AB167+(1-EXP(-LN(2)/2))/(LN(2)/2)*V168*Y168*VLOOKUP('Données projet'!$B$9,Paramètres!$A$1:$I$89,3,0)*0.475*44/12</f>
        <v>0</v>
      </c>
      <c r="AC168" s="24">
        <f t="shared" si="163"/>
        <v>0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-9.6633812063373625E-13</v>
      </c>
      <c r="AJ168" s="14">
        <f>AI168*VLOOKUP('Données projet'!$B$10,Paramètres!$A$1:$I$89,3,0)*VLOOKUP('Données projet'!$B$10,Paramètres!$A$1:$I$89,5,0)</f>
        <v>-8.7434273154940449E-13</v>
      </c>
      <c r="AK168" s="14" t="e">
        <f t="shared" si="164"/>
        <v>#NUM!</v>
      </c>
      <c r="AL168" s="22" t="e">
        <f t="shared" si="165"/>
        <v>#NUM!</v>
      </c>
      <c r="AM168" s="62" t="e">
        <f t="shared" si="113"/>
        <v>#NUM!</v>
      </c>
      <c r="AN168" s="62">
        <f ca="1">AVERAGE(OFFSET($AM$3,0,0,'Données projet'!$E$10+1,1))-AVERAGE(OFFSET($H$3,0,0,'Données projet'!$E$10+1,1))</f>
        <v>428.8489304403459</v>
      </c>
      <c r="AO168" s="62">
        <f t="shared" si="144"/>
        <v>247.01165577562966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0</v>
      </c>
      <c r="AV168" s="23">
        <f>EXP(-LN(2)/25)*AV167+(1-EXP(-LN(2)/25))/(LN(2)/25)*Calculateur!AQ168*Calculateur!AS168*VLOOKUP('Données projet'!$B$10,Paramètres!$A$1:$I$89,3,0)*0.475*44/12</f>
        <v>0</v>
      </c>
      <c r="AW168" s="23">
        <f>EXP(-LN(2)/2)*AW167+(1-EXP(-LN(2)/2))/(LN(2)/2)*AQ168*AT168*VLOOKUP('Données projet'!$B$10,Paramètres!$A$1:$I$89,3,0)*0.475*44/12</f>
        <v>0</v>
      </c>
      <c r="AX168" s="23">
        <f t="shared" si="166"/>
        <v>0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-9.6633812063373625E-13</v>
      </c>
      <c r="BE168" s="14">
        <f>BD168*VLOOKUP('Données projet'!$B$11,Paramètres!$A$1:$I$89,3,0)*VLOOKUP('Données projet'!$B$11,Paramètres!$A$1:$I$89,5,0)</f>
        <v>-9.7986685432260874E-13</v>
      </c>
      <c r="BF168" s="14" t="e">
        <f t="shared" si="167"/>
        <v>#NUM!</v>
      </c>
      <c r="BG168" s="22" t="e">
        <f t="shared" si="168"/>
        <v>#NUM!</v>
      </c>
      <c r="BH168" s="62" t="e">
        <f t="shared" si="116"/>
        <v>#NUM!</v>
      </c>
      <c r="BI168" s="62">
        <f ca="1">AVERAGE(OFFSET($BH$3,0,0,'Données projet'!$E$11+1,1))-AVERAGE(OFFSET($H$3,0,0,'Données projet'!$E$11+1,1))</f>
        <v>475.47920969424894</v>
      </c>
      <c r="BJ168" s="62">
        <f t="shared" si="146"/>
        <v>271.73544012419364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>
        <f>EXP(-LN(2)/35)*BP167+(1-EXP(-LN(2)/35))/(LN(2)/35)*BL168*BM168*VLOOKUP('Données projet'!$B$11,Paramètres!$A$1:$I$89,3,0)*0.475*44/12</f>
        <v>0</v>
      </c>
      <c r="BQ168" s="23">
        <f>EXP(-LN(2)/25)*BQ167+(1-EXP(-LN(2)/25))/(LN(2)/25)*Calculateur!BL168*Calculateur!BN168*VLOOKUP('Données projet'!$B$11,Paramètres!$A$1:$I$89,3,0)*0.475*44/12</f>
        <v>0</v>
      </c>
      <c r="BR168" s="23">
        <f>EXP(-LN(2)/2)*BR167+(1-EXP(-LN(2)/2))/(LN(2)/2)*BL168*BO168*VLOOKUP('Données projet'!$B$11,Paramètres!$A$1:$I$89,3,0)*0.475*44/12</f>
        <v>0</v>
      </c>
      <c r="BS168" s="24">
        <f t="shared" si="169"/>
        <v>0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2.2737367544323206E-13</v>
      </c>
      <c r="BZ168" s="14">
        <f>BY168*VLOOKUP('Données projet'!$B$12,Paramètres!$A$1:$I$89,3,0)*VLOOKUP('Données projet'!$B$12,Paramètres!$A$1:$I$89,5,0)</f>
        <v>1.2710188457276673E-13</v>
      </c>
      <c r="CA168" s="14">
        <f t="shared" si="170"/>
        <v>1.856866851063998E-12</v>
      </c>
      <c r="CB168" s="22">
        <f t="shared" si="171"/>
        <v>3.4554122145673649E-12</v>
      </c>
      <c r="CC168" s="62">
        <f t="shared" si="119"/>
        <v>293.33333333333678</v>
      </c>
      <c r="CD168" s="62">
        <f ca="1">AVERAGE(OFFSET($CC$3,0,0,'Données projet'!$E$12+1,1))-AVERAGE(OFFSET($H$3,0,0,'Données projet'!$E$12+1,1))</f>
        <v>323.98185264074681</v>
      </c>
      <c r="CE168" s="62">
        <f t="shared" si="148"/>
        <v>301.22207291854005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>
        <f>EXP(-LN(2)/35)*CK167+(1-EXP(-LN(2)/35))/(LN(2)/35)*CG168*CH168*VLOOKUP('Données projet'!$B$12,Paramètres!$A$1:$I$89,3,0)*0.475*44/12</f>
        <v>0.30792511543071621</v>
      </c>
      <c r="CL168" s="23">
        <f>EXP(-LN(2)/25)*CL167+(1-EXP(-LN(2)/25))/(LN(2)/25)*Calculateur!CG168*Calculateur!CI168*VLOOKUP('Données projet'!$B$12,Paramètres!$A$1:$I$89,3,0)*0.475*44/12</f>
        <v>0.19532138585879491</v>
      </c>
      <c r="CM168" s="23">
        <f>EXP(-LN(2)/2)*CM167+(1-EXP(-LN(2)/2))/(LN(2)/2)*CG168*CJ168*VLOOKUP('Données projet'!$B$12,Paramètres!$A$1:$I$89,3,0)*0.475*44/12</f>
        <v>2.9169983345456531E-20</v>
      </c>
      <c r="CN168" s="24">
        <f t="shared" si="172"/>
        <v>0.50324650128951109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>
        <f>CT168*VLOOKUP('Données projet'!$B$13,Paramètres!$A$1:$I$89,3,0)*VLOOKUP('Données projet'!$B$13,Paramètres!$A$1:$I$89,5,0)</f>
        <v>0</v>
      </c>
      <c r="CV168" s="14" t="e">
        <f t="shared" si="173"/>
        <v>#NUM!</v>
      </c>
      <c r="CW168" s="22" t="e">
        <f t="shared" si="174"/>
        <v>#NUM!</v>
      </c>
      <c r="CX168" s="62" t="e">
        <f t="shared" si="122"/>
        <v>#NUM!</v>
      </c>
      <c r="CY168" s="62">
        <f ca="1">AVERAGE(OFFSET($CX$3,0,0,'Données projet'!$E$13+1,1))-AVERAGE(OFFSET($H$3,0,0,'Données projet'!$E$13+1,1))</f>
        <v>399.78832690250164</v>
      </c>
      <c r="CZ168" s="62">
        <f t="shared" si="150"/>
        <v>174.32967064896343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>
        <f>EXP(-LN(2)/35)*DF167+(1-EXP(-LN(2)/35))/(LN(2)/35)*DB168*DC168*VLOOKUP('Données projet'!$B$13,Paramètres!$A$1:$I$89,3,0)*0.475*44/12</f>
        <v>0</v>
      </c>
      <c r="DG168" s="23">
        <f>EXP(-LN(2)/25)*DG167+(1-EXP(-LN(2)/25))/(LN(2)/25)*Calculateur!DB168*Calculateur!DD168*VLOOKUP('Données projet'!$B$13,Paramètres!$A$1:$I$89,3,0)*0.475*44/12</f>
        <v>0</v>
      </c>
      <c r="DH168" s="23">
        <f>EXP(-LN(2)/2)*DH167+(1-EXP(-LN(2)/2))/(LN(2)/2)*DB168*DE168*VLOOKUP('Données projet'!$B$13,Paramètres!$A$1:$I$89,3,0)*0.475*44/12</f>
        <v>0</v>
      </c>
      <c r="DI168" s="24">
        <f t="shared" si="175"/>
        <v>0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-9.6633812063373625E-13</v>
      </c>
      <c r="DP168" s="18">
        <f>DO168*VLOOKUP('Données projet'!$B$14,Paramètres!$A$1:$I$89,3,0)*VLOOKUP('Données projet'!$B$14,Paramètres!$A$1:$I$89,5,0)</f>
        <v>-8.1404323282185943E-13</v>
      </c>
      <c r="DQ168" s="14" t="e">
        <f t="shared" si="176"/>
        <v>#NUM!</v>
      </c>
      <c r="DR168" s="22" t="e">
        <f t="shared" si="177"/>
        <v>#NUM!</v>
      </c>
      <c r="DS168" s="62" t="e">
        <f t="shared" si="125"/>
        <v>#NUM!</v>
      </c>
      <c r="DT168" s="62">
        <f ca="1">AVERAGE(OFFSET($DS$3,0,0,'Données projet'!$E$14+1,1))-AVERAGE(OFFSET($H$3,0,0,'Données projet'!$E$14+1,1))</f>
        <v>402.15128814037058</v>
      </c>
      <c r="DU168" s="62">
        <f t="shared" si="152"/>
        <v>232.85411068442738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>
        <f>EXP(-LN(2)/35)*EA167+(1-EXP(-LN(2)/35))/(LN(2)/35)*DW168*DX168*VLOOKUP('Données projet'!$B$14,Paramètres!$A$1:$I$89,3,0)*0.475*44/12</f>
        <v>0</v>
      </c>
      <c r="EB168" s="23">
        <f>EXP(-LN(2)/25)*EB167+(1-EXP(-LN(2)/25))/(LN(2)/25)*Calculateur!DW168*Calculateur!DY168*VLOOKUP('Données projet'!$B$14,Paramètres!$A$1:$I$89,3,0)*0.475*44/12</f>
        <v>0</v>
      </c>
      <c r="EC168" s="23">
        <f>EXP(-LN(2)/2)*EC167+(1-EXP(-LN(2)/2))/(LN(2)/2)*DW168*DZ168*VLOOKUP('Données projet'!$B$14,Paramètres!$A$1:$I$89,3,0)*0.475*44/12</f>
        <v>0</v>
      </c>
      <c r="ED168" s="24">
        <f t="shared" si="178"/>
        <v>0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6.2527760746888816E-13</v>
      </c>
      <c r="EK168" s="18">
        <f>EJ168*VLOOKUP('Données projet'!$B$15,Paramètres!$A$1:$I$89,3,0)*VLOOKUP('Données projet'!$B$15,Paramètres!$A$1:$I$89,5,0)</f>
        <v>6.5354015532648198E-13</v>
      </c>
      <c r="EL168" s="14">
        <f t="shared" si="179"/>
        <v>7.8909019831354483E-12</v>
      </c>
      <c r="EM168" s="22">
        <f t="shared" si="180"/>
        <v>1.4881570057821194E-11</v>
      </c>
      <c r="EN168" s="62">
        <f t="shared" si="128"/>
        <v>293.33333333334821</v>
      </c>
      <c r="EO168" s="62">
        <f ca="1">AVERAGE(OFFSET($EN$3,0,0,'Données projet'!$E$15+1,1))-AVERAGE(OFFSET($H$3,0,0,'Données projet'!$E$15+1,1))</f>
        <v>595.89992279024398</v>
      </c>
      <c r="EP168" s="62">
        <f t="shared" si="154"/>
        <v>378.16197659288338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>
        <f>EXP(-LN(2)/35)*EV167+(1-EXP(-LN(2)/35))/(LN(2)/35)*ER168*ES168*VLOOKUP('Données projet'!$B$15,Paramètres!$A$1:$I$89,3,0)*0.475*44/12</f>
        <v>0</v>
      </c>
      <c r="EW168" s="23">
        <f>EXP(-LN(2)/25)*EW167+(1-EXP(-LN(2)/25))/(LN(2)/25)*Calculateur!ER168*Calculateur!ET168*VLOOKUP('Données projet'!$B$15,Paramètres!$A$1:$I$89,3,0)*0.475*44/12</f>
        <v>0</v>
      </c>
      <c r="EX168" s="23">
        <f>EXP(-LN(2)/2)*EX167+(1-EXP(-LN(2)/2))/(LN(2)/2)*ER168*EU168*VLOOKUP('Données projet'!$B$15,Paramètres!$A$1:$I$89,3,0)*0.475*44/12</f>
        <v>0</v>
      </c>
      <c r="EY168" s="24">
        <f t="shared" si="181"/>
        <v>0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-2.2737367544323206E-13</v>
      </c>
      <c r="FF168" s="18">
        <f>FE168*VLOOKUP('Données projet'!$B$16,Paramètres!$A$1:$I$89,3,0)*VLOOKUP('Données projet'!$B$16,Paramètres!$A$1:$I$89,5,0)</f>
        <v>-1.3596945791505279E-13</v>
      </c>
      <c r="FG168" s="14" t="e">
        <f t="shared" si="182"/>
        <v>#NUM!</v>
      </c>
      <c r="FH168" s="22" t="e">
        <f t="shared" si="183"/>
        <v>#NUM!</v>
      </c>
      <c r="FI168" s="62" t="e">
        <f t="shared" si="131"/>
        <v>#NUM!</v>
      </c>
      <c r="FJ168" s="62">
        <f ca="1">AVERAGE(OFFSET($FI$3,0,0,'Données projet'!$E$16+1,1))-AVERAGE(OFFSET($H$3,0,0,'Données projet'!$E$16+1,1))</f>
        <v>257.56116197646924</v>
      </c>
      <c r="FK168" s="62">
        <f t="shared" si="156"/>
        <v>269.95556918835888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>
        <f>EXP(-LN(2)/35)*FQ167+(1-EXP(-LN(2)/35))/(LN(2)/35)*FM168*FN168*VLOOKUP('Données projet'!$B$16,Paramètres!$A$1:$I$89,3,0)*0.475*44/12</f>
        <v>1.0062010691370331</v>
      </c>
      <c r="FR168" s="23">
        <f>EXP(-LN(2)/25)*FR167+(1-EXP(-LN(2)/25))/(LN(2)/25)*Calculateur!FM168*Calculateur!FO168*VLOOKUP('Données projet'!$B$16,Paramètres!$A$1:$I$89,3,0)*0.475*44/12</f>
        <v>0.38231755077886459</v>
      </c>
      <c r="FS168" s="23">
        <f>EXP(-LN(2)/2)*FS167+(1-EXP(-LN(2)/2))/(LN(2)/2)*FM168*FP168*VLOOKUP('Données projet'!$B$16,Paramètres!$A$1:$I$89,3,0)*0.475*44/12</f>
        <v>4.0987249364608221E-20</v>
      </c>
      <c r="FT168" s="24">
        <f t="shared" si="184"/>
        <v>1.3885186199158976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-2.8421709430404007E-13</v>
      </c>
      <c r="GA168" s="18">
        <f>FZ168*VLOOKUP('Données projet'!$B$17,Paramètres!$A$1:$I$89,3,0)*VLOOKUP('Données projet'!$B$17,Paramètres!$A$1:$I$89,5,0)</f>
        <v>-1.69961822393816E-13</v>
      </c>
      <c r="GB168" s="14" t="e">
        <f t="shared" si="185"/>
        <v>#NUM!</v>
      </c>
      <c r="GC168" s="22" t="e">
        <f t="shared" si="186"/>
        <v>#NUM!</v>
      </c>
      <c r="GD168" s="62" t="e">
        <f t="shared" si="134"/>
        <v>#NUM!</v>
      </c>
      <c r="GE168" s="62">
        <f ca="1">AVERAGE(OFFSET($GD$3,0,0,'Données projet'!$E$17+1,1))-AVERAGE(OFFSET($H$3,0,0,'Données projet'!$E$17+1,1))</f>
        <v>289.12367833861299</v>
      </c>
      <c r="GF168" s="62">
        <f t="shared" si="158"/>
        <v>229.06617320689003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>
        <f>EXP(-LN(2)/35)*GL167+(1-EXP(-LN(2)/35))/(LN(2)/35)*GH168*GI168*VLOOKUP('Données projet'!$B$17,Paramètres!$A$1:$I$89,3,0)*0.475*44/12</f>
        <v>0</v>
      </c>
      <c r="GM168" s="23">
        <f>EXP(-LN(2)/25)*GM167+(1-EXP(-LN(2)/25))/(LN(2)/25)*Calculateur!GH168*Calculateur!GJ168*VLOOKUP('Données projet'!$B$17,Paramètres!$A$1:$I$89,3,0)*0.475*44/12</f>
        <v>0</v>
      </c>
      <c r="GN168" s="23">
        <f>EXP(-LN(2)/2)*GN167+(1-EXP(-LN(2)/2))/(LN(2)/2)*GH168*GK168*VLOOKUP('Données projet'!$B$17,Paramètres!$A$1:$I$89,3,0)*0.475*44/12</f>
        <v>1.9869734141275337E-20</v>
      </c>
      <c r="GO168" s="23">
        <f t="shared" si="187"/>
        <v>1.9869734141275337E-20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-5.6843418860808015E-14</v>
      </c>
      <c r="GV168" s="18">
        <f>GU168*VLOOKUP('Données projet'!$B$18,Paramètres!$A$1:$I$89,3,0)*VLOOKUP('Données projet'!$B$18,Paramètres!$A$1:$I$89,5,0)</f>
        <v>-2.6602720026858149E-14</v>
      </c>
      <c r="GW168" s="14" t="e">
        <f t="shared" si="188"/>
        <v>#NUM!</v>
      </c>
      <c r="GX168" s="22" t="e">
        <f t="shared" si="189"/>
        <v>#NUM!</v>
      </c>
      <c r="GY168" s="62" t="e">
        <f t="shared" si="137"/>
        <v>#NUM!</v>
      </c>
      <c r="GZ168" s="62">
        <f ca="1">AVERAGE(OFFSET($GY$3,0,0,'Données projet'!$E$18+1,1))-AVERAGE(OFFSET($H$3,0,0,'Données projet'!$E$18+1,1))</f>
        <v>284.88646502866419</v>
      </c>
      <c r="HA168" s="62">
        <f t="shared" si="160"/>
        <v>190.4880882944471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>
        <f>EXP(-LN(2)/35)*HG167+(1-EXP(-LN(2)/35))/(LN(2)/35)*HC168*HD168*VLOOKUP('Données projet'!$B$18,Paramètres!$A$1:$I$89,3,0)*0.475*44/12</f>
        <v>0</v>
      </c>
      <c r="HH168" s="23">
        <f>EXP(-LN(2)/25)*HH167+(1-EXP(-LN(2)/25))/(LN(2)/25)*Calculateur!HC168*Calculateur!HE168*VLOOKUP('Données projet'!$B$18,Paramètres!$A$1:$I$89,3,0)*0.475*44/12</f>
        <v>0</v>
      </c>
      <c r="HI168" s="23">
        <f>EXP(-LN(2)/2)*HI167+(1-EXP(-LN(2)/2))/(LN(2)/2)*HC168*HF168*VLOOKUP('Données projet'!$B$18,Paramètres!$A$1:$I$89,3,0)*0.475*44/12</f>
        <v>0</v>
      </c>
      <c r="HJ168" s="24">
        <f t="shared" si="190"/>
        <v>0</v>
      </c>
    </row>
    <row r="169" spans="1:218" x14ac:dyDescent="0.25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2">
        <f t="shared" si="140"/>
        <v>0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0</v>
      </c>
      <c r="H169" s="70">
        <f t="shared" si="110"/>
        <v>256.66666666666669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-1.1368683772161603E-13</v>
      </c>
      <c r="O169" s="14">
        <f>N169*VLOOKUP('Données projet'!$B$9,Paramètres!$A$1:$I$89,3,0)*VLOOKUP('Données projet'!$B$9,Paramètres!$A$1:$I$89,5,0)</f>
        <v>-1.0818439477588981E-13</v>
      </c>
      <c r="P169" s="14" t="e">
        <f t="shared" si="141"/>
        <v>#NUM!</v>
      </c>
      <c r="Q169" s="22" t="e">
        <f t="shared" si="162"/>
        <v>#NUM!</v>
      </c>
      <c r="R169" s="62" t="e">
        <f t="shared" si="109"/>
        <v>#NUM!</v>
      </c>
      <c r="S169" s="62">
        <f ca="1">AVERAGE(OFFSET($R$3,0,0,'Données projet'!$E$9+1,1))-AVERAGE(OFFSET($H$3,0,0,'Données projet'!$E$9+1,1))</f>
        <v>367.11183928586667</v>
      </c>
      <c r="T169" s="62">
        <f t="shared" si="142"/>
        <v>281.52963027844595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0</v>
      </c>
      <c r="AA169" s="23">
        <f>EXP(-LN(2)/25)*AA168+(1-EXP(-LN(2)/25))/(LN(2)/25)*Calculateur!V169*Calculateur!X169*VLOOKUP('Données projet'!$B$9,Paramètres!$A$1:$I$89,3,0)*0.475*44/12</f>
        <v>0</v>
      </c>
      <c r="AB169" s="23">
        <f>EXP(-LN(2)/2)*AB168+(1-EXP(-LN(2)/2))/(LN(2)/2)*V169*Y169*VLOOKUP('Données projet'!$B$9,Paramètres!$A$1:$I$89,3,0)*0.475*44/12</f>
        <v>0</v>
      </c>
      <c r="AC169" s="24">
        <f t="shared" si="163"/>
        <v>0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-9.6633812063373625E-13</v>
      </c>
      <c r="AJ169" s="14">
        <f>AI169*VLOOKUP('Données projet'!$B$10,Paramètres!$A$1:$I$89,3,0)*VLOOKUP('Données projet'!$B$10,Paramètres!$A$1:$I$89,5,0)</f>
        <v>-8.7434273154940449E-13</v>
      </c>
      <c r="AK169" s="14" t="e">
        <f t="shared" si="164"/>
        <v>#NUM!</v>
      </c>
      <c r="AL169" s="22" t="e">
        <f t="shared" si="165"/>
        <v>#NUM!</v>
      </c>
      <c r="AM169" s="62" t="e">
        <f t="shared" si="113"/>
        <v>#NUM!</v>
      </c>
      <c r="AN169" s="62">
        <f ca="1">AVERAGE(OFFSET($AM$3,0,0,'Données projet'!$E$10+1,1))-AVERAGE(OFFSET($H$3,0,0,'Données projet'!$E$10+1,1))</f>
        <v>428.8489304403459</v>
      </c>
      <c r="AO169" s="62">
        <f t="shared" si="144"/>
        <v>247.01165577562966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0</v>
      </c>
      <c r="AV169" s="23">
        <f>EXP(-LN(2)/25)*AV168+(1-EXP(-LN(2)/25))/(LN(2)/25)*Calculateur!AQ169*Calculateur!AS169*VLOOKUP('Données projet'!$B$10,Paramètres!$A$1:$I$89,3,0)*0.475*44/12</f>
        <v>0</v>
      </c>
      <c r="AW169" s="23">
        <f>EXP(-LN(2)/2)*AW168+(1-EXP(-LN(2)/2))/(LN(2)/2)*AQ169*AT169*VLOOKUP('Données projet'!$B$10,Paramètres!$A$1:$I$89,3,0)*0.475*44/12</f>
        <v>0</v>
      </c>
      <c r="AX169" s="23">
        <f t="shared" si="166"/>
        <v>0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-9.6633812063373625E-13</v>
      </c>
      <c r="BE169" s="14">
        <f>BD169*VLOOKUP('Données projet'!$B$11,Paramètres!$A$1:$I$89,3,0)*VLOOKUP('Données projet'!$B$11,Paramètres!$A$1:$I$89,5,0)</f>
        <v>-9.7986685432260874E-13</v>
      </c>
      <c r="BF169" s="14" t="e">
        <f t="shared" si="167"/>
        <v>#NUM!</v>
      </c>
      <c r="BG169" s="22" t="e">
        <f t="shared" si="168"/>
        <v>#NUM!</v>
      </c>
      <c r="BH169" s="62" t="e">
        <f t="shared" si="116"/>
        <v>#NUM!</v>
      </c>
      <c r="BI169" s="62">
        <f ca="1">AVERAGE(OFFSET($BH$3,0,0,'Données projet'!$E$11+1,1))-AVERAGE(OFFSET($H$3,0,0,'Données projet'!$E$11+1,1))</f>
        <v>475.47920969424894</v>
      </c>
      <c r="BJ169" s="62">
        <f t="shared" si="146"/>
        <v>271.73544012419364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>
        <f>EXP(-LN(2)/35)*BP168+(1-EXP(-LN(2)/35))/(LN(2)/35)*BL169*BM169*VLOOKUP('Données projet'!$B$11,Paramètres!$A$1:$I$89,3,0)*0.475*44/12</f>
        <v>0</v>
      </c>
      <c r="BQ169" s="23">
        <f>EXP(-LN(2)/25)*BQ168+(1-EXP(-LN(2)/25))/(LN(2)/25)*Calculateur!BL169*Calculateur!BN169*VLOOKUP('Données projet'!$B$11,Paramètres!$A$1:$I$89,3,0)*0.475*44/12</f>
        <v>0</v>
      </c>
      <c r="BR169" s="23">
        <f>EXP(-LN(2)/2)*BR168+(1-EXP(-LN(2)/2))/(LN(2)/2)*BL169*BO169*VLOOKUP('Données projet'!$B$11,Paramètres!$A$1:$I$89,3,0)*0.475*44/12</f>
        <v>0</v>
      </c>
      <c r="BS169" s="24">
        <f t="shared" si="169"/>
        <v>0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2.2737367544323206E-13</v>
      </c>
      <c r="BZ169" s="14">
        <f>BY169*VLOOKUP('Données projet'!$B$12,Paramètres!$A$1:$I$89,3,0)*VLOOKUP('Données projet'!$B$12,Paramètres!$A$1:$I$89,5,0)</f>
        <v>1.2710188457276673E-13</v>
      </c>
      <c r="CA169" s="14">
        <f t="shared" si="170"/>
        <v>1.856866851063998E-12</v>
      </c>
      <c r="CB169" s="22">
        <f t="shared" si="171"/>
        <v>3.4554122145673649E-12</v>
      </c>
      <c r="CC169" s="62">
        <f t="shared" si="119"/>
        <v>293.33333333333678</v>
      </c>
      <c r="CD169" s="62">
        <f ca="1">AVERAGE(OFFSET($CC$3,0,0,'Données projet'!$E$12+1,1))-AVERAGE(OFFSET($H$3,0,0,'Données projet'!$E$12+1,1))</f>
        <v>323.98185264074681</v>
      </c>
      <c r="CE169" s="62">
        <f t="shared" si="148"/>
        <v>301.22207291854005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>
        <f>EXP(-LN(2)/35)*CK168+(1-EXP(-LN(2)/35))/(LN(2)/35)*CG169*CH169*VLOOKUP('Données projet'!$B$12,Paramètres!$A$1:$I$89,3,0)*0.475*44/12</f>
        <v>0.30188689173289501</v>
      </c>
      <c r="CL169" s="23">
        <f>EXP(-LN(2)/25)*CL168+(1-EXP(-LN(2)/25))/(LN(2)/25)*Calculateur!CG169*Calculateur!CI169*VLOOKUP('Données projet'!$B$12,Paramètres!$A$1:$I$89,3,0)*0.475*44/12</f>
        <v>0.18998031229098089</v>
      </c>
      <c r="CM169" s="23">
        <f>EXP(-LN(2)/2)*CM168+(1-EXP(-LN(2)/2))/(LN(2)/2)*CG169*CJ169*VLOOKUP('Données projet'!$B$12,Paramètres!$A$1:$I$89,3,0)*0.475*44/12</f>
        <v>2.0626293030670967E-20</v>
      </c>
      <c r="CN169" s="24">
        <f t="shared" si="172"/>
        <v>0.4918672040238759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>
        <f>CT169*VLOOKUP('Données projet'!$B$13,Paramètres!$A$1:$I$89,3,0)*VLOOKUP('Données projet'!$B$13,Paramètres!$A$1:$I$89,5,0)</f>
        <v>0</v>
      </c>
      <c r="CV169" s="14" t="e">
        <f t="shared" si="173"/>
        <v>#NUM!</v>
      </c>
      <c r="CW169" s="22" t="e">
        <f t="shared" si="174"/>
        <v>#NUM!</v>
      </c>
      <c r="CX169" s="62" t="e">
        <f t="shared" si="122"/>
        <v>#NUM!</v>
      </c>
      <c r="CY169" s="62">
        <f ca="1">AVERAGE(OFFSET($CX$3,0,0,'Données projet'!$E$13+1,1))-AVERAGE(OFFSET($H$3,0,0,'Données projet'!$E$13+1,1))</f>
        <v>399.78832690250164</v>
      </c>
      <c r="CZ169" s="62">
        <f t="shared" si="150"/>
        <v>174.32967064896343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>
        <f>EXP(-LN(2)/35)*DF168+(1-EXP(-LN(2)/35))/(LN(2)/35)*DB169*DC169*VLOOKUP('Données projet'!$B$13,Paramètres!$A$1:$I$89,3,0)*0.475*44/12</f>
        <v>0</v>
      </c>
      <c r="DG169" s="23">
        <f>EXP(-LN(2)/25)*DG168+(1-EXP(-LN(2)/25))/(LN(2)/25)*Calculateur!DB169*Calculateur!DD169*VLOOKUP('Données projet'!$B$13,Paramètres!$A$1:$I$89,3,0)*0.475*44/12</f>
        <v>0</v>
      </c>
      <c r="DH169" s="23">
        <f>EXP(-LN(2)/2)*DH168+(1-EXP(-LN(2)/2))/(LN(2)/2)*DB169*DE169*VLOOKUP('Données projet'!$B$13,Paramètres!$A$1:$I$89,3,0)*0.475*44/12</f>
        <v>0</v>
      </c>
      <c r="DI169" s="24">
        <f t="shared" si="175"/>
        <v>0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-9.6633812063373625E-13</v>
      </c>
      <c r="DP169" s="18">
        <f>DO169*VLOOKUP('Données projet'!$B$14,Paramètres!$A$1:$I$89,3,0)*VLOOKUP('Données projet'!$B$14,Paramètres!$A$1:$I$89,5,0)</f>
        <v>-8.1404323282185943E-13</v>
      </c>
      <c r="DQ169" s="14" t="e">
        <f t="shared" si="176"/>
        <v>#NUM!</v>
      </c>
      <c r="DR169" s="22" t="e">
        <f t="shared" si="177"/>
        <v>#NUM!</v>
      </c>
      <c r="DS169" s="62" t="e">
        <f t="shared" si="125"/>
        <v>#NUM!</v>
      </c>
      <c r="DT169" s="62">
        <f ca="1">AVERAGE(OFFSET($DS$3,0,0,'Données projet'!$E$14+1,1))-AVERAGE(OFFSET($H$3,0,0,'Données projet'!$E$14+1,1))</f>
        <v>402.15128814037058</v>
      </c>
      <c r="DU169" s="62">
        <f t="shared" si="152"/>
        <v>232.85411068442738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>
        <f>EXP(-LN(2)/35)*EA168+(1-EXP(-LN(2)/35))/(LN(2)/35)*DW169*DX169*VLOOKUP('Données projet'!$B$14,Paramètres!$A$1:$I$89,3,0)*0.475*44/12</f>
        <v>0</v>
      </c>
      <c r="EB169" s="23">
        <f>EXP(-LN(2)/25)*EB168+(1-EXP(-LN(2)/25))/(LN(2)/25)*Calculateur!DW169*Calculateur!DY169*VLOOKUP('Données projet'!$B$14,Paramètres!$A$1:$I$89,3,0)*0.475*44/12</f>
        <v>0</v>
      </c>
      <c r="EC169" s="23">
        <f>EXP(-LN(2)/2)*EC168+(1-EXP(-LN(2)/2))/(LN(2)/2)*DW169*DZ169*VLOOKUP('Données projet'!$B$14,Paramètres!$A$1:$I$89,3,0)*0.475*44/12</f>
        <v>0</v>
      </c>
      <c r="ED169" s="24">
        <f t="shared" si="178"/>
        <v>0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6.2527760746888816E-13</v>
      </c>
      <c r="EK169" s="18">
        <f>EJ169*VLOOKUP('Données projet'!$B$15,Paramètres!$A$1:$I$89,3,0)*VLOOKUP('Données projet'!$B$15,Paramètres!$A$1:$I$89,5,0)</f>
        <v>6.5354015532648198E-13</v>
      </c>
      <c r="EL169" s="14">
        <f t="shared" si="179"/>
        <v>7.8909019831354483E-12</v>
      </c>
      <c r="EM169" s="22">
        <f t="shared" si="180"/>
        <v>1.4881570057821194E-11</v>
      </c>
      <c r="EN169" s="62">
        <f t="shared" si="128"/>
        <v>293.33333333334821</v>
      </c>
      <c r="EO169" s="62">
        <f ca="1">AVERAGE(OFFSET($EN$3,0,0,'Données projet'!$E$15+1,1))-AVERAGE(OFFSET($H$3,0,0,'Données projet'!$E$15+1,1))</f>
        <v>595.89992279024398</v>
      </c>
      <c r="EP169" s="62">
        <f t="shared" si="154"/>
        <v>378.16197659288338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>
        <f>EXP(-LN(2)/35)*EV168+(1-EXP(-LN(2)/35))/(LN(2)/35)*ER169*ES169*VLOOKUP('Données projet'!$B$15,Paramètres!$A$1:$I$89,3,0)*0.475*44/12</f>
        <v>0</v>
      </c>
      <c r="EW169" s="23">
        <f>EXP(-LN(2)/25)*EW168+(1-EXP(-LN(2)/25))/(LN(2)/25)*Calculateur!ER169*Calculateur!ET169*VLOOKUP('Données projet'!$B$15,Paramètres!$A$1:$I$89,3,0)*0.475*44/12</f>
        <v>0</v>
      </c>
      <c r="EX169" s="23">
        <f>EXP(-LN(2)/2)*EX168+(1-EXP(-LN(2)/2))/(LN(2)/2)*ER169*EU169*VLOOKUP('Données projet'!$B$15,Paramètres!$A$1:$I$89,3,0)*0.475*44/12</f>
        <v>0</v>
      </c>
      <c r="EY169" s="24">
        <f t="shared" si="181"/>
        <v>0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-2.2737367544323206E-13</v>
      </c>
      <c r="FF169" s="18">
        <f>FE169*VLOOKUP('Données projet'!$B$16,Paramètres!$A$1:$I$89,3,0)*VLOOKUP('Données projet'!$B$16,Paramètres!$A$1:$I$89,5,0)</f>
        <v>-1.3596945791505279E-13</v>
      </c>
      <c r="FG169" s="14" t="e">
        <f t="shared" si="182"/>
        <v>#NUM!</v>
      </c>
      <c r="FH169" s="22" t="e">
        <f t="shared" si="183"/>
        <v>#NUM!</v>
      </c>
      <c r="FI169" s="62" t="e">
        <f t="shared" si="131"/>
        <v>#NUM!</v>
      </c>
      <c r="FJ169" s="62">
        <f ca="1">AVERAGE(OFFSET($FI$3,0,0,'Données projet'!$E$16+1,1))-AVERAGE(OFFSET($H$3,0,0,'Données projet'!$E$16+1,1))</f>
        <v>257.56116197646924</v>
      </c>
      <c r="FK169" s="62">
        <f t="shared" si="156"/>
        <v>269.95556918835888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>
        <f>EXP(-LN(2)/35)*FQ168+(1-EXP(-LN(2)/35))/(LN(2)/35)*FM169*FN169*VLOOKUP('Données projet'!$B$16,Paramètres!$A$1:$I$89,3,0)*0.475*44/12</f>
        <v>0.98647007989330804</v>
      </c>
      <c r="FR169" s="23">
        <f>EXP(-LN(2)/25)*FR168+(1-EXP(-LN(2)/25))/(LN(2)/25)*Calculateur!FM169*Calculateur!FO169*VLOOKUP('Données projet'!$B$16,Paramètres!$A$1:$I$89,3,0)*0.475*44/12</f>
        <v>0.37186305724761032</v>
      </c>
      <c r="FS169" s="23">
        <f>EXP(-LN(2)/2)*FS168+(1-EXP(-LN(2)/2))/(LN(2)/2)*FM169*FP169*VLOOKUP('Données projet'!$B$16,Paramètres!$A$1:$I$89,3,0)*0.475*44/12</f>
        <v>2.8982361967898484E-20</v>
      </c>
      <c r="FT169" s="24">
        <f t="shared" si="184"/>
        <v>1.3583331371409184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-2.8421709430404007E-13</v>
      </c>
      <c r="GA169" s="18">
        <f>FZ169*VLOOKUP('Données projet'!$B$17,Paramètres!$A$1:$I$89,3,0)*VLOOKUP('Données projet'!$B$17,Paramètres!$A$1:$I$89,5,0)</f>
        <v>-1.69961822393816E-13</v>
      </c>
      <c r="GB169" s="14" t="e">
        <f t="shared" si="185"/>
        <v>#NUM!</v>
      </c>
      <c r="GC169" s="22" t="e">
        <f t="shared" si="186"/>
        <v>#NUM!</v>
      </c>
      <c r="GD169" s="62" t="e">
        <f t="shared" si="134"/>
        <v>#NUM!</v>
      </c>
      <c r="GE169" s="62">
        <f ca="1">AVERAGE(OFFSET($GD$3,0,0,'Données projet'!$E$17+1,1))-AVERAGE(OFFSET($H$3,0,0,'Données projet'!$E$17+1,1))</f>
        <v>289.12367833861299</v>
      </c>
      <c r="GF169" s="62">
        <f t="shared" si="158"/>
        <v>229.06617320689003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>
        <f>EXP(-LN(2)/35)*GL168+(1-EXP(-LN(2)/35))/(LN(2)/35)*GH169*GI169*VLOOKUP('Données projet'!$B$17,Paramètres!$A$1:$I$89,3,0)*0.475*44/12</f>
        <v>0</v>
      </c>
      <c r="GM169" s="23">
        <f>EXP(-LN(2)/25)*GM168+(1-EXP(-LN(2)/25))/(LN(2)/25)*Calculateur!GH169*Calculateur!GJ169*VLOOKUP('Données projet'!$B$17,Paramètres!$A$1:$I$89,3,0)*0.475*44/12</f>
        <v>0</v>
      </c>
      <c r="GN169" s="23">
        <f>EXP(-LN(2)/2)*GN168+(1-EXP(-LN(2)/2))/(LN(2)/2)*GH169*GK169*VLOOKUP('Données projet'!$B$17,Paramètres!$A$1:$I$89,3,0)*0.475*44/12</f>
        <v>1.4050023751669652E-20</v>
      </c>
      <c r="GO169" s="23">
        <f t="shared" si="187"/>
        <v>1.4050023751669652E-20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-5.6843418860808015E-14</v>
      </c>
      <c r="GV169" s="18">
        <f>GU169*VLOOKUP('Données projet'!$B$18,Paramètres!$A$1:$I$89,3,0)*VLOOKUP('Données projet'!$B$18,Paramètres!$A$1:$I$89,5,0)</f>
        <v>-2.6602720026858149E-14</v>
      </c>
      <c r="GW169" s="14" t="e">
        <f t="shared" si="188"/>
        <v>#NUM!</v>
      </c>
      <c r="GX169" s="22" t="e">
        <f t="shared" si="189"/>
        <v>#NUM!</v>
      </c>
      <c r="GY169" s="62" t="e">
        <f t="shared" si="137"/>
        <v>#NUM!</v>
      </c>
      <c r="GZ169" s="62">
        <f ca="1">AVERAGE(OFFSET($GY$3,0,0,'Données projet'!$E$18+1,1))-AVERAGE(OFFSET($H$3,0,0,'Données projet'!$E$18+1,1))</f>
        <v>284.88646502866419</v>
      </c>
      <c r="HA169" s="62">
        <f t="shared" si="160"/>
        <v>190.4880882944471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>
        <f>EXP(-LN(2)/35)*HG168+(1-EXP(-LN(2)/35))/(LN(2)/35)*HC169*HD169*VLOOKUP('Données projet'!$B$18,Paramètres!$A$1:$I$89,3,0)*0.475*44/12</f>
        <v>0</v>
      </c>
      <c r="HH169" s="23">
        <f>EXP(-LN(2)/25)*HH168+(1-EXP(-LN(2)/25))/(LN(2)/25)*Calculateur!HC169*Calculateur!HE169*VLOOKUP('Données projet'!$B$18,Paramètres!$A$1:$I$89,3,0)*0.475*44/12</f>
        <v>0</v>
      </c>
      <c r="HI169" s="23">
        <f>EXP(-LN(2)/2)*HI168+(1-EXP(-LN(2)/2))/(LN(2)/2)*HC169*HF169*VLOOKUP('Données projet'!$B$18,Paramètres!$A$1:$I$89,3,0)*0.475*44/12</f>
        <v>0</v>
      </c>
      <c r="HJ169" s="24">
        <f t="shared" si="190"/>
        <v>0</v>
      </c>
    </row>
    <row r="170" spans="1:218" x14ac:dyDescent="0.25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2">
        <f t="shared" si="140"/>
        <v>0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0</v>
      </c>
      <c r="H170" s="70">
        <f t="shared" si="110"/>
        <v>256.66666666666669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-1.1368683772161603E-13</v>
      </c>
      <c r="O170" s="14">
        <f>N170*VLOOKUP('Données projet'!$B$9,Paramètres!$A$1:$I$89,3,0)*VLOOKUP('Données projet'!$B$9,Paramètres!$A$1:$I$89,5,0)</f>
        <v>-1.0818439477588981E-13</v>
      </c>
      <c r="P170" s="14" t="e">
        <f t="shared" si="141"/>
        <v>#NUM!</v>
      </c>
      <c r="Q170" s="22" t="e">
        <f t="shared" si="162"/>
        <v>#NUM!</v>
      </c>
      <c r="R170" s="62" t="e">
        <f t="shared" si="109"/>
        <v>#NUM!</v>
      </c>
      <c r="S170" s="62">
        <f ca="1">AVERAGE(OFFSET($R$3,0,0,'Données projet'!$E$9+1,1))-AVERAGE(OFFSET($H$3,0,0,'Données projet'!$E$9+1,1))</f>
        <v>367.11183928586667</v>
      </c>
      <c r="T170" s="62">
        <f t="shared" si="142"/>
        <v>281.52963027844595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0</v>
      </c>
      <c r="AA170" s="23">
        <f>EXP(-LN(2)/25)*AA169+(1-EXP(-LN(2)/25))/(LN(2)/25)*Calculateur!V170*Calculateur!X170*VLOOKUP('Données projet'!$B$9,Paramètres!$A$1:$I$89,3,0)*0.475*44/12</f>
        <v>0</v>
      </c>
      <c r="AB170" s="23">
        <f>EXP(-LN(2)/2)*AB169+(1-EXP(-LN(2)/2))/(LN(2)/2)*V170*Y170*VLOOKUP('Données projet'!$B$9,Paramètres!$A$1:$I$89,3,0)*0.475*44/12</f>
        <v>0</v>
      </c>
      <c r="AC170" s="24">
        <f t="shared" si="163"/>
        <v>0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-9.6633812063373625E-13</v>
      </c>
      <c r="AJ170" s="14">
        <f>AI170*VLOOKUP('Données projet'!$B$10,Paramètres!$A$1:$I$89,3,0)*VLOOKUP('Données projet'!$B$10,Paramètres!$A$1:$I$89,5,0)</f>
        <v>-8.7434273154940449E-13</v>
      </c>
      <c r="AK170" s="14" t="e">
        <f t="shared" si="164"/>
        <v>#NUM!</v>
      </c>
      <c r="AL170" s="22" t="e">
        <f t="shared" si="165"/>
        <v>#NUM!</v>
      </c>
      <c r="AM170" s="62" t="e">
        <f t="shared" si="113"/>
        <v>#NUM!</v>
      </c>
      <c r="AN170" s="62">
        <f ca="1">AVERAGE(OFFSET($AM$3,0,0,'Données projet'!$E$10+1,1))-AVERAGE(OFFSET($H$3,0,0,'Données projet'!$E$10+1,1))</f>
        <v>428.8489304403459</v>
      </c>
      <c r="AO170" s="62">
        <f t="shared" si="144"/>
        <v>247.01165577562966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0</v>
      </c>
      <c r="AV170" s="23">
        <f>EXP(-LN(2)/25)*AV169+(1-EXP(-LN(2)/25))/(LN(2)/25)*Calculateur!AQ170*Calculateur!AS170*VLOOKUP('Données projet'!$B$10,Paramètres!$A$1:$I$89,3,0)*0.475*44/12</f>
        <v>0</v>
      </c>
      <c r="AW170" s="23">
        <f>EXP(-LN(2)/2)*AW169+(1-EXP(-LN(2)/2))/(LN(2)/2)*AQ170*AT170*VLOOKUP('Données projet'!$B$10,Paramètres!$A$1:$I$89,3,0)*0.475*44/12</f>
        <v>0</v>
      </c>
      <c r="AX170" s="23">
        <f t="shared" si="166"/>
        <v>0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-9.6633812063373625E-13</v>
      </c>
      <c r="BE170" s="14">
        <f>BD170*VLOOKUP('Données projet'!$B$11,Paramètres!$A$1:$I$89,3,0)*VLOOKUP('Données projet'!$B$11,Paramètres!$A$1:$I$89,5,0)</f>
        <v>-9.7986685432260874E-13</v>
      </c>
      <c r="BF170" s="14" t="e">
        <f t="shared" si="167"/>
        <v>#NUM!</v>
      </c>
      <c r="BG170" s="22" t="e">
        <f t="shared" si="168"/>
        <v>#NUM!</v>
      </c>
      <c r="BH170" s="62" t="e">
        <f t="shared" si="116"/>
        <v>#NUM!</v>
      </c>
      <c r="BI170" s="62">
        <f ca="1">AVERAGE(OFFSET($BH$3,0,0,'Données projet'!$E$11+1,1))-AVERAGE(OFFSET($H$3,0,0,'Données projet'!$E$11+1,1))</f>
        <v>475.47920969424894</v>
      </c>
      <c r="BJ170" s="62">
        <f t="shared" si="146"/>
        <v>271.73544012419364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>
        <f>EXP(-LN(2)/35)*BP169+(1-EXP(-LN(2)/35))/(LN(2)/35)*BL170*BM170*VLOOKUP('Données projet'!$B$11,Paramètres!$A$1:$I$89,3,0)*0.475*44/12</f>
        <v>0</v>
      </c>
      <c r="BQ170" s="23">
        <f>EXP(-LN(2)/25)*BQ169+(1-EXP(-LN(2)/25))/(LN(2)/25)*Calculateur!BL170*Calculateur!BN170*VLOOKUP('Données projet'!$B$11,Paramètres!$A$1:$I$89,3,0)*0.475*44/12</f>
        <v>0</v>
      </c>
      <c r="BR170" s="23">
        <f>EXP(-LN(2)/2)*BR169+(1-EXP(-LN(2)/2))/(LN(2)/2)*BL170*BO170*VLOOKUP('Données projet'!$B$11,Paramètres!$A$1:$I$89,3,0)*0.475*44/12</f>
        <v>0</v>
      </c>
      <c r="BS170" s="24">
        <f t="shared" si="169"/>
        <v>0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2.2737367544323206E-13</v>
      </c>
      <c r="BZ170" s="14">
        <f>BY170*VLOOKUP('Données projet'!$B$12,Paramètres!$A$1:$I$89,3,0)*VLOOKUP('Données projet'!$B$12,Paramètres!$A$1:$I$89,5,0)</f>
        <v>1.2710188457276673E-13</v>
      </c>
      <c r="CA170" s="14">
        <f t="shared" si="170"/>
        <v>1.856866851063998E-12</v>
      </c>
      <c r="CB170" s="22">
        <f t="shared" si="171"/>
        <v>3.4554122145673649E-12</v>
      </c>
      <c r="CC170" s="62">
        <f t="shared" si="119"/>
        <v>293.33333333333678</v>
      </c>
      <c r="CD170" s="62">
        <f ca="1">AVERAGE(OFFSET($CC$3,0,0,'Données projet'!$E$12+1,1))-AVERAGE(OFFSET($H$3,0,0,'Données projet'!$E$12+1,1))</f>
        <v>323.98185264074681</v>
      </c>
      <c r="CE170" s="62">
        <f t="shared" si="148"/>
        <v>301.22207291854005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>
        <f>EXP(-LN(2)/35)*CK169+(1-EXP(-LN(2)/35))/(LN(2)/35)*CG170*CH170*VLOOKUP('Données projet'!$B$12,Paramètres!$A$1:$I$89,3,0)*0.475*44/12</f>
        <v>0.29596707391883531</v>
      </c>
      <c r="CL170" s="23">
        <f>EXP(-LN(2)/25)*CL169+(1-EXP(-LN(2)/25))/(LN(2)/25)*Calculateur!CG170*Calculateur!CI170*VLOOKUP('Données projet'!$B$12,Paramètres!$A$1:$I$89,3,0)*0.475*44/12</f>
        <v>0.18478529066075361</v>
      </c>
      <c r="CM170" s="23">
        <f>EXP(-LN(2)/2)*CM169+(1-EXP(-LN(2)/2))/(LN(2)/2)*CG170*CJ170*VLOOKUP('Données projet'!$B$12,Paramètres!$A$1:$I$89,3,0)*0.475*44/12</f>
        <v>1.4584991672728265E-20</v>
      </c>
      <c r="CN170" s="24">
        <f t="shared" si="172"/>
        <v>0.48075236457958892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>
        <f>CT170*VLOOKUP('Données projet'!$B$13,Paramètres!$A$1:$I$89,3,0)*VLOOKUP('Données projet'!$B$13,Paramètres!$A$1:$I$89,5,0)</f>
        <v>0</v>
      </c>
      <c r="CV170" s="14" t="e">
        <f t="shared" si="173"/>
        <v>#NUM!</v>
      </c>
      <c r="CW170" s="22" t="e">
        <f t="shared" si="174"/>
        <v>#NUM!</v>
      </c>
      <c r="CX170" s="62" t="e">
        <f t="shared" si="122"/>
        <v>#NUM!</v>
      </c>
      <c r="CY170" s="62">
        <f ca="1">AVERAGE(OFFSET($CX$3,0,0,'Données projet'!$E$13+1,1))-AVERAGE(OFFSET($H$3,0,0,'Données projet'!$E$13+1,1))</f>
        <v>399.78832690250164</v>
      </c>
      <c r="CZ170" s="62">
        <f t="shared" si="150"/>
        <v>174.32967064896343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>
        <f>EXP(-LN(2)/35)*DF169+(1-EXP(-LN(2)/35))/(LN(2)/35)*DB170*DC170*VLOOKUP('Données projet'!$B$13,Paramètres!$A$1:$I$89,3,0)*0.475*44/12</f>
        <v>0</v>
      </c>
      <c r="DG170" s="23">
        <f>EXP(-LN(2)/25)*DG169+(1-EXP(-LN(2)/25))/(LN(2)/25)*Calculateur!DB170*Calculateur!DD170*VLOOKUP('Données projet'!$B$13,Paramètres!$A$1:$I$89,3,0)*0.475*44/12</f>
        <v>0</v>
      </c>
      <c r="DH170" s="23">
        <f>EXP(-LN(2)/2)*DH169+(1-EXP(-LN(2)/2))/(LN(2)/2)*DB170*DE170*VLOOKUP('Données projet'!$B$13,Paramètres!$A$1:$I$89,3,0)*0.475*44/12</f>
        <v>0</v>
      </c>
      <c r="DI170" s="24">
        <f t="shared" si="175"/>
        <v>0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-9.6633812063373625E-13</v>
      </c>
      <c r="DP170" s="18">
        <f>DO170*VLOOKUP('Données projet'!$B$14,Paramètres!$A$1:$I$89,3,0)*VLOOKUP('Données projet'!$B$14,Paramètres!$A$1:$I$89,5,0)</f>
        <v>-8.1404323282185943E-13</v>
      </c>
      <c r="DQ170" s="14" t="e">
        <f t="shared" si="176"/>
        <v>#NUM!</v>
      </c>
      <c r="DR170" s="22" t="e">
        <f t="shared" si="177"/>
        <v>#NUM!</v>
      </c>
      <c r="DS170" s="62" t="e">
        <f t="shared" si="125"/>
        <v>#NUM!</v>
      </c>
      <c r="DT170" s="62">
        <f ca="1">AVERAGE(OFFSET($DS$3,0,0,'Données projet'!$E$14+1,1))-AVERAGE(OFFSET($H$3,0,0,'Données projet'!$E$14+1,1))</f>
        <v>402.15128814037058</v>
      </c>
      <c r="DU170" s="62">
        <f t="shared" si="152"/>
        <v>232.85411068442738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>
        <f>EXP(-LN(2)/35)*EA169+(1-EXP(-LN(2)/35))/(LN(2)/35)*DW170*DX170*VLOOKUP('Données projet'!$B$14,Paramètres!$A$1:$I$89,3,0)*0.475*44/12</f>
        <v>0</v>
      </c>
      <c r="EB170" s="23">
        <f>EXP(-LN(2)/25)*EB169+(1-EXP(-LN(2)/25))/(LN(2)/25)*Calculateur!DW170*Calculateur!DY170*VLOOKUP('Données projet'!$B$14,Paramètres!$A$1:$I$89,3,0)*0.475*44/12</f>
        <v>0</v>
      </c>
      <c r="EC170" s="23">
        <f>EXP(-LN(2)/2)*EC169+(1-EXP(-LN(2)/2))/(LN(2)/2)*DW170*DZ170*VLOOKUP('Données projet'!$B$14,Paramètres!$A$1:$I$89,3,0)*0.475*44/12</f>
        <v>0</v>
      </c>
      <c r="ED170" s="24">
        <f t="shared" si="178"/>
        <v>0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6.2527760746888816E-13</v>
      </c>
      <c r="EK170" s="18">
        <f>EJ170*VLOOKUP('Données projet'!$B$15,Paramètres!$A$1:$I$89,3,0)*VLOOKUP('Données projet'!$B$15,Paramètres!$A$1:$I$89,5,0)</f>
        <v>6.5354015532648198E-13</v>
      </c>
      <c r="EL170" s="14">
        <f t="shared" si="179"/>
        <v>7.8909019831354483E-12</v>
      </c>
      <c r="EM170" s="22">
        <f t="shared" si="180"/>
        <v>1.4881570057821194E-11</v>
      </c>
      <c r="EN170" s="62">
        <f t="shared" si="128"/>
        <v>293.33333333334821</v>
      </c>
      <c r="EO170" s="62">
        <f ca="1">AVERAGE(OFFSET($EN$3,0,0,'Données projet'!$E$15+1,1))-AVERAGE(OFFSET($H$3,0,0,'Données projet'!$E$15+1,1))</f>
        <v>595.89992279024398</v>
      </c>
      <c r="EP170" s="62">
        <f t="shared" si="154"/>
        <v>378.16197659288338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>
        <f>EXP(-LN(2)/35)*EV169+(1-EXP(-LN(2)/35))/(LN(2)/35)*ER170*ES170*VLOOKUP('Données projet'!$B$15,Paramètres!$A$1:$I$89,3,0)*0.475*44/12</f>
        <v>0</v>
      </c>
      <c r="EW170" s="23">
        <f>EXP(-LN(2)/25)*EW169+(1-EXP(-LN(2)/25))/(LN(2)/25)*Calculateur!ER170*Calculateur!ET170*VLOOKUP('Données projet'!$B$15,Paramètres!$A$1:$I$89,3,0)*0.475*44/12</f>
        <v>0</v>
      </c>
      <c r="EX170" s="23">
        <f>EXP(-LN(2)/2)*EX169+(1-EXP(-LN(2)/2))/(LN(2)/2)*ER170*EU170*VLOOKUP('Données projet'!$B$15,Paramètres!$A$1:$I$89,3,0)*0.475*44/12</f>
        <v>0</v>
      </c>
      <c r="EY170" s="24">
        <f t="shared" si="181"/>
        <v>0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-2.2737367544323206E-13</v>
      </c>
      <c r="FF170" s="18">
        <f>FE170*VLOOKUP('Données projet'!$B$16,Paramètres!$A$1:$I$89,3,0)*VLOOKUP('Données projet'!$B$16,Paramètres!$A$1:$I$89,5,0)</f>
        <v>-1.3596945791505279E-13</v>
      </c>
      <c r="FG170" s="14" t="e">
        <f t="shared" si="182"/>
        <v>#NUM!</v>
      </c>
      <c r="FH170" s="22" t="e">
        <f t="shared" si="183"/>
        <v>#NUM!</v>
      </c>
      <c r="FI170" s="62" t="e">
        <f t="shared" si="131"/>
        <v>#NUM!</v>
      </c>
      <c r="FJ170" s="62">
        <f ca="1">AVERAGE(OFFSET($FI$3,0,0,'Données projet'!$E$16+1,1))-AVERAGE(OFFSET($H$3,0,0,'Données projet'!$E$16+1,1))</f>
        <v>257.56116197646924</v>
      </c>
      <c r="FK170" s="62">
        <f t="shared" si="156"/>
        <v>269.95556918835888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>
        <f>EXP(-LN(2)/35)*FQ169+(1-EXP(-LN(2)/35))/(LN(2)/35)*FM170*FN170*VLOOKUP('Données projet'!$B$16,Paramètres!$A$1:$I$89,3,0)*0.475*44/12</f>
        <v>0.96712600331393728</v>
      </c>
      <c r="FR170" s="23">
        <f>EXP(-LN(2)/25)*FR169+(1-EXP(-LN(2)/25))/(LN(2)/25)*Calculateur!FM170*Calculateur!FO170*VLOOKUP('Données projet'!$B$16,Paramètres!$A$1:$I$89,3,0)*0.475*44/12</f>
        <v>0.36169444239174614</v>
      </c>
      <c r="FS170" s="23">
        <f>EXP(-LN(2)/2)*FS169+(1-EXP(-LN(2)/2))/(LN(2)/2)*FM170*FP170*VLOOKUP('Données projet'!$B$16,Paramètres!$A$1:$I$89,3,0)*0.475*44/12</f>
        <v>2.049362468230411E-20</v>
      </c>
      <c r="FT170" s="24">
        <f t="shared" si="184"/>
        <v>1.3288204457056834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-2.8421709430404007E-13</v>
      </c>
      <c r="GA170" s="18">
        <f>FZ170*VLOOKUP('Données projet'!$B$17,Paramètres!$A$1:$I$89,3,0)*VLOOKUP('Données projet'!$B$17,Paramètres!$A$1:$I$89,5,0)</f>
        <v>-1.69961822393816E-13</v>
      </c>
      <c r="GB170" s="14" t="e">
        <f t="shared" si="185"/>
        <v>#NUM!</v>
      </c>
      <c r="GC170" s="22" t="e">
        <f t="shared" si="186"/>
        <v>#NUM!</v>
      </c>
      <c r="GD170" s="62" t="e">
        <f t="shared" si="134"/>
        <v>#NUM!</v>
      </c>
      <c r="GE170" s="62">
        <f ca="1">AVERAGE(OFFSET($GD$3,0,0,'Données projet'!$E$17+1,1))-AVERAGE(OFFSET($H$3,0,0,'Données projet'!$E$17+1,1))</f>
        <v>289.12367833861299</v>
      </c>
      <c r="GF170" s="62">
        <f t="shared" si="158"/>
        <v>229.06617320689003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>
        <f>EXP(-LN(2)/35)*GL169+(1-EXP(-LN(2)/35))/(LN(2)/35)*GH170*GI170*VLOOKUP('Données projet'!$B$17,Paramètres!$A$1:$I$89,3,0)*0.475*44/12</f>
        <v>0</v>
      </c>
      <c r="GM170" s="23">
        <f>EXP(-LN(2)/25)*GM169+(1-EXP(-LN(2)/25))/(LN(2)/25)*Calculateur!GH170*Calculateur!GJ170*VLOOKUP('Données projet'!$B$17,Paramètres!$A$1:$I$89,3,0)*0.475*44/12</f>
        <v>0</v>
      </c>
      <c r="GN170" s="23">
        <f>EXP(-LN(2)/2)*GN169+(1-EXP(-LN(2)/2))/(LN(2)/2)*GH170*GK170*VLOOKUP('Données projet'!$B$17,Paramètres!$A$1:$I$89,3,0)*0.475*44/12</f>
        <v>9.9348670706376683E-21</v>
      </c>
      <c r="GO170" s="23">
        <f t="shared" si="187"/>
        <v>9.9348670706376683E-21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-5.6843418860808015E-14</v>
      </c>
      <c r="GV170" s="18">
        <f>GU170*VLOOKUP('Données projet'!$B$18,Paramètres!$A$1:$I$89,3,0)*VLOOKUP('Données projet'!$B$18,Paramètres!$A$1:$I$89,5,0)</f>
        <v>-2.6602720026858149E-14</v>
      </c>
      <c r="GW170" s="14" t="e">
        <f t="shared" si="188"/>
        <v>#NUM!</v>
      </c>
      <c r="GX170" s="22" t="e">
        <f t="shared" si="189"/>
        <v>#NUM!</v>
      </c>
      <c r="GY170" s="62" t="e">
        <f t="shared" si="137"/>
        <v>#NUM!</v>
      </c>
      <c r="GZ170" s="62">
        <f ca="1">AVERAGE(OFFSET($GY$3,0,0,'Données projet'!$E$18+1,1))-AVERAGE(OFFSET($H$3,0,0,'Données projet'!$E$18+1,1))</f>
        <v>284.88646502866419</v>
      </c>
      <c r="HA170" s="62">
        <f t="shared" si="160"/>
        <v>190.4880882944471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>
        <f>EXP(-LN(2)/35)*HG169+(1-EXP(-LN(2)/35))/(LN(2)/35)*HC170*HD170*VLOOKUP('Données projet'!$B$18,Paramètres!$A$1:$I$89,3,0)*0.475*44/12</f>
        <v>0</v>
      </c>
      <c r="HH170" s="23">
        <f>EXP(-LN(2)/25)*HH169+(1-EXP(-LN(2)/25))/(LN(2)/25)*Calculateur!HC170*Calculateur!HE170*VLOOKUP('Données projet'!$B$18,Paramètres!$A$1:$I$89,3,0)*0.475*44/12</f>
        <v>0</v>
      </c>
      <c r="HI170" s="23">
        <f>EXP(-LN(2)/2)*HI169+(1-EXP(-LN(2)/2))/(LN(2)/2)*HC170*HF170*VLOOKUP('Données projet'!$B$18,Paramètres!$A$1:$I$89,3,0)*0.475*44/12</f>
        <v>0</v>
      </c>
      <c r="HJ170" s="24">
        <f t="shared" si="190"/>
        <v>0</v>
      </c>
    </row>
    <row r="171" spans="1:218" x14ac:dyDescent="0.25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2">
        <f t="shared" si="140"/>
        <v>0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0</v>
      </c>
      <c r="H171" s="70">
        <f t="shared" si="110"/>
        <v>256.66666666666669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-1.1368683772161603E-13</v>
      </c>
      <c r="O171" s="14">
        <f>N171*VLOOKUP('Données projet'!$B$9,Paramètres!$A$1:$I$89,3,0)*VLOOKUP('Données projet'!$B$9,Paramètres!$A$1:$I$89,5,0)</f>
        <v>-1.0818439477588981E-13</v>
      </c>
      <c r="P171" s="14" t="e">
        <f t="shared" si="141"/>
        <v>#NUM!</v>
      </c>
      <c r="Q171" s="22" t="e">
        <f t="shared" si="162"/>
        <v>#NUM!</v>
      </c>
      <c r="R171" s="62" t="e">
        <f t="shared" si="109"/>
        <v>#NUM!</v>
      </c>
      <c r="S171" s="62">
        <f ca="1">AVERAGE(OFFSET($R$3,0,0,'Données projet'!$E$9+1,1))-AVERAGE(OFFSET($H$3,0,0,'Données projet'!$E$9+1,1))</f>
        <v>367.11183928586667</v>
      </c>
      <c r="T171" s="62">
        <f t="shared" si="142"/>
        <v>281.52963027844595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0</v>
      </c>
      <c r="AA171" s="23">
        <f>EXP(-LN(2)/25)*AA170+(1-EXP(-LN(2)/25))/(LN(2)/25)*Calculateur!V171*Calculateur!X171*VLOOKUP('Données projet'!$B$9,Paramètres!$A$1:$I$89,3,0)*0.475*44/12</f>
        <v>0</v>
      </c>
      <c r="AB171" s="23">
        <f>EXP(-LN(2)/2)*AB170+(1-EXP(-LN(2)/2))/(LN(2)/2)*V171*Y171*VLOOKUP('Données projet'!$B$9,Paramètres!$A$1:$I$89,3,0)*0.475*44/12</f>
        <v>0</v>
      </c>
      <c r="AC171" s="24">
        <f t="shared" si="163"/>
        <v>0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-9.6633812063373625E-13</v>
      </c>
      <c r="AJ171" s="14">
        <f>AI171*VLOOKUP('Données projet'!$B$10,Paramètres!$A$1:$I$89,3,0)*VLOOKUP('Données projet'!$B$10,Paramètres!$A$1:$I$89,5,0)</f>
        <v>-8.7434273154940449E-13</v>
      </c>
      <c r="AK171" s="14" t="e">
        <f t="shared" si="164"/>
        <v>#NUM!</v>
      </c>
      <c r="AL171" s="22" t="e">
        <f t="shared" si="165"/>
        <v>#NUM!</v>
      </c>
      <c r="AM171" s="62" t="e">
        <f t="shared" si="113"/>
        <v>#NUM!</v>
      </c>
      <c r="AN171" s="62">
        <f ca="1">AVERAGE(OFFSET($AM$3,0,0,'Données projet'!$E$10+1,1))-AVERAGE(OFFSET($H$3,0,0,'Données projet'!$E$10+1,1))</f>
        <v>428.8489304403459</v>
      </c>
      <c r="AO171" s="62">
        <f t="shared" si="144"/>
        <v>247.01165577562966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0</v>
      </c>
      <c r="AV171" s="23">
        <f>EXP(-LN(2)/25)*AV170+(1-EXP(-LN(2)/25))/(LN(2)/25)*Calculateur!AQ171*Calculateur!AS171*VLOOKUP('Données projet'!$B$10,Paramètres!$A$1:$I$89,3,0)*0.475*44/12</f>
        <v>0</v>
      </c>
      <c r="AW171" s="23">
        <f>EXP(-LN(2)/2)*AW170+(1-EXP(-LN(2)/2))/(LN(2)/2)*AQ171*AT171*VLOOKUP('Données projet'!$B$10,Paramètres!$A$1:$I$89,3,0)*0.475*44/12</f>
        <v>0</v>
      </c>
      <c r="AX171" s="23">
        <f t="shared" si="166"/>
        <v>0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-9.6633812063373625E-13</v>
      </c>
      <c r="BE171" s="14">
        <f>BD171*VLOOKUP('Données projet'!$B$11,Paramètres!$A$1:$I$89,3,0)*VLOOKUP('Données projet'!$B$11,Paramètres!$A$1:$I$89,5,0)</f>
        <v>-9.7986685432260874E-13</v>
      </c>
      <c r="BF171" s="14" t="e">
        <f t="shared" si="167"/>
        <v>#NUM!</v>
      </c>
      <c r="BG171" s="22" t="e">
        <f t="shared" si="168"/>
        <v>#NUM!</v>
      </c>
      <c r="BH171" s="62" t="e">
        <f t="shared" si="116"/>
        <v>#NUM!</v>
      </c>
      <c r="BI171" s="62">
        <f ca="1">AVERAGE(OFFSET($BH$3,0,0,'Données projet'!$E$11+1,1))-AVERAGE(OFFSET($H$3,0,0,'Données projet'!$E$11+1,1))</f>
        <v>475.47920969424894</v>
      </c>
      <c r="BJ171" s="62">
        <f t="shared" si="146"/>
        <v>271.73544012419364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>
        <f>EXP(-LN(2)/35)*BP170+(1-EXP(-LN(2)/35))/(LN(2)/35)*BL171*BM171*VLOOKUP('Données projet'!$B$11,Paramètres!$A$1:$I$89,3,0)*0.475*44/12</f>
        <v>0</v>
      </c>
      <c r="BQ171" s="23">
        <f>EXP(-LN(2)/25)*BQ170+(1-EXP(-LN(2)/25))/(LN(2)/25)*Calculateur!BL171*Calculateur!BN171*VLOOKUP('Données projet'!$B$11,Paramètres!$A$1:$I$89,3,0)*0.475*44/12</f>
        <v>0</v>
      </c>
      <c r="BR171" s="23">
        <f>EXP(-LN(2)/2)*BR170+(1-EXP(-LN(2)/2))/(LN(2)/2)*BL171*BO171*VLOOKUP('Données projet'!$B$11,Paramètres!$A$1:$I$89,3,0)*0.475*44/12</f>
        <v>0</v>
      </c>
      <c r="BS171" s="24">
        <f t="shared" si="169"/>
        <v>0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2.2737367544323206E-13</v>
      </c>
      <c r="BZ171" s="14">
        <f>BY171*VLOOKUP('Données projet'!$B$12,Paramètres!$A$1:$I$89,3,0)*VLOOKUP('Données projet'!$B$12,Paramètres!$A$1:$I$89,5,0)</f>
        <v>1.2710188457276673E-13</v>
      </c>
      <c r="CA171" s="14">
        <f t="shared" si="170"/>
        <v>1.856866851063998E-12</v>
      </c>
      <c r="CB171" s="22">
        <f t="shared" si="171"/>
        <v>3.4554122145673649E-12</v>
      </c>
      <c r="CC171" s="62">
        <f t="shared" si="119"/>
        <v>293.33333333333678</v>
      </c>
      <c r="CD171" s="62">
        <f ca="1">AVERAGE(OFFSET($CC$3,0,0,'Données projet'!$E$12+1,1))-AVERAGE(OFFSET($H$3,0,0,'Données projet'!$E$12+1,1))</f>
        <v>323.98185264074681</v>
      </c>
      <c r="CE171" s="62">
        <f t="shared" si="148"/>
        <v>301.22207291854005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>
        <f>EXP(-LN(2)/35)*CK170+(1-EXP(-LN(2)/35))/(LN(2)/35)*CG171*CH171*VLOOKUP('Données projet'!$B$12,Paramètres!$A$1:$I$89,3,0)*0.475*44/12</f>
        <v>0.29016334012137696</v>
      </c>
      <c r="CL171" s="23">
        <f>EXP(-LN(2)/25)*CL170+(1-EXP(-LN(2)/25))/(LN(2)/25)*Calculateur!CG171*Calculateur!CI171*VLOOKUP('Données projet'!$B$12,Paramètres!$A$1:$I$89,3,0)*0.475*44/12</f>
        <v>0.17973232717019919</v>
      </c>
      <c r="CM171" s="23">
        <f>EXP(-LN(2)/2)*CM170+(1-EXP(-LN(2)/2))/(LN(2)/2)*CG171*CJ171*VLOOKUP('Données projet'!$B$12,Paramètres!$A$1:$I$89,3,0)*0.475*44/12</f>
        <v>1.0313146515335484E-20</v>
      </c>
      <c r="CN171" s="24">
        <f t="shared" si="172"/>
        <v>0.46989566729157617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>
        <f>CT171*VLOOKUP('Données projet'!$B$13,Paramètres!$A$1:$I$89,3,0)*VLOOKUP('Données projet'!$B$13,Paramètres!$A$1:$I$89,5,0)</f>
        <v>0</v>
      </c>
      <c r="CV171" s="14" t="e">
        <f t="shared" si="173"/>
        <v>#NUM!</v>
      </c>
      <c r="CW171" s="22" t="e">
        <f t="shared" si="174"/>
        <v>#NUM!</v>
      </c>
      <c r="CX171" s="62" t="e">
        <f t="shared" si="122"/>
        <v>#NUM!</v>
      </c>
      <c r="CY171" s="62">
        <f ca="1">AVERAGE(OFFSET($CX$3,0,0,'Données projet'!$E$13+1,1))-AVERAGE(OFFSET($H$3,0,0,'Données projet'!$E$13+1,1))</f>
        <v>399.78832690250164</v>
      </c>
      <c r="CZ171" s="62">
        <f t="shared" si="150"/>
        <v>174.32967064896343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>
        <f>EXP(-LN(2)/35)*DF170+(1-EXP(-LN(2)/35))/(LN(2)/35)*DB171*DC171*VLOOKUP('Données projet'!$B$13,Paramètres!$A$1:$I$89,3,0)*0.475*44/12</f>
        <v>0</v>
      </c>
      <c r="DG171" s="23">
        <f>EXP(-LN(2)/25)*DG170+(1-EXP(-LN(2)/25))/(LN(2)/25)*Calculateur!DB171*Calculateur!DD171*VLOOKUP('Données projet'!$B$13,Paramètres!$A$1:$I$89,3,0)*0.475*44/12</f>
        <v>0</v>
      </c>
      <c r="DH171" s="23">
        <f>EXP(-LN(2)/2)*DH170+(1-EXP(-LN(2)/2))/(LN(2)/2)*DB171*DE171*VLOOKUP('Données projet'!$B$13,Paramètres!$A$1:$I$89,3,0)*0.475*44/12</f>
        <v>0</v>
      </c>
      <c r="DI171" s="24">
        <f t="shared" si="175"/>
        <v>0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-9.6633812063373625E-13</v>
      </c>
      <c r="DP171" s="18">
        <f>DO171*VLOOKUP('Données projet'!$B$14,Paramètres!$A$1:$I$89,3,0)*VLOOKUP('Données projet'!$B$14,Paramètres!$A$1:$I$89,5,0)</f>
        <v>-8.1404323282185943E-13</v>
      </c>
      <c r="DQ171" s="14" t="e">
        <f t="shared" si="176"/>
        <v>#NUM!</v>
      </c>
      <c r="DR171" s="22" t="e">
        <f t="shared" si="177"/>
        <v>#NUM!</v>
      </c>
      <c r="DS171" s="62" t="e">
        <f t="shared" si="125"/>
        <v>#NUM!</v>
      </c>
      <c r="DT171" s="62">
        <f ca="1">AVERAGE(OFFSET($DS$3,0,0,'Données projet'!$E$14+1,1))-AVERAGE(OFFSET($H$3,0,0,'Données projet'!$E$14+1,1))</f>
        <v>402.15128814037058</v>
      </c>
      <c r="DU171" s="62">
        <f t="shared" si="152"/>
        <v>232.85411068442738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>
        <f>EXP(-LN(2)/35)*EA170+(1-EXP(-LN(2)/35))/(LN(2)/35)*DW171*DX171*VLOOKUP('Données projet'!$B$14,Paramètres!$A$1:$I$89,3,0)*0.475*44/12</f>
        <v>0</v>
      </c>
      <c r="EB171" s="23">
        <f>EXP(-LN(2)/25)*EB170+(1-EXP(-LN(2)/25))/(LN(2)/25)*Calculateur!DW171*Calculateur!DY171*VLOOKUP('Données projet'!$B$14,Paramètres!$A$1:$I$89,3,0)*0.475*44/12</f>
        <v>0</v>
      </c>
      <c r="EC171" s="23">
        <f>EXP(-LN(2)/2)*EC170+(1-EXP(-LN(2)/2))/(LN(2)/2)*DW171*DZ171*VLOOKUP('Données projet'!$B$14,Paramètres!$A$1:$I$89,3,0)*0.475*44/12</f>
        <v>0</v>
      </c>
      <c r="ED171" s="24">
        <f t="shared" si="178"/>
        <v>0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6.2527760746888816E-13</v>
      </c>
      <c r="EK171" s="18">
        <f>EJ171*VLOOKUP('Données projet'!$B$15,Paramètres!$A$1:$I$89,3,0)*VLOOKUP('Données projet'!$B$15,Paramètres!$A$1:$I$89,5,0)</f>
        <v>6.5354015532648198E-13</v>
      </c>
      <c r="EL171" s="14">
        <f t="shared" si="179"/>
        <v>7.8909019831354483E-12</v>
      </c>
      <c r="EM171" s="22">
        <f t="shared" si="180"/>
        <v>1.4881570057821194E-11</v>
      </c>
      <c r="EN171" s="62">
        <f t="shared" si="128"/>
        <v>293.33333333334821</v>
      </c>
      <c r="EO171" s="62">
        <f ca="1">AVERAGE(OFFSET($EN$3,0,0,'Données projet'!$E$15+1,1))-AVERAGE(OFFSET($H$3,0,0,'Données projet'!$E$15+1,1))</f>
        <v>595.89992279024398</v>
      </c>
      <c r="EP171" s="62">
        <f t="shared" si="154"/>
        <v>378.16197659288338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>
        <f>EXP(-LN(2)/35)*EV170+(1-EXP(-LN(2)/35))/(LN(2)/35)*ER171*ES171*VLOOKUP('Données projet'!$B$15,Paramètres!$A$1:$I$89,3,0)*0.475*44/12</f>
        <v>0</v>
      </c>
      <c r="EW171" s="23">
        <f>EXP(-LN(2)/25)*EW170+(1-EXP(-LN(2)/25))/(LN(2)/25)*Calculateur!ER171*Calculateur!ET171*VLOOKUP('Données projet'!$B$15,Paramètres!$A$1:$I$89,3,0)*0.475*44/12</f>
        <v>0</v>
      </c>
      <c r="EX171" s="23">
        <f>EXP(-LN(2)/2)*EX170+(1-EXP(-LN(2)/2))/(LN(2)/2)*ER171*EU171*VLOOKUP('Données projet'!$B$15,Paramètres!$A$1:$I$89,3,0)*0.475*44/12</f>
        <v>0</v>
      </c>
      <c r="EY171" s="24">
        <f t="shared" si="181"/>
        <v>0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-2.2737367544323206E-13</v>
      </c>
      <c r="FF171" s="18">
        <f>FE171*VLOOKUP('Données projet'!$B$16,Paramètres!$A$1:$I$89,3,0)*VLOOKUP('Données projet'!$B$16,Paramètres!$A$1:$I$89,5,0)</f>
        <v>-1.3596945791505279E-13</v>
      </c>
      <c r="FG171" s="14" t="e">
        <f t="shared" si="182"/>
        <v>#NUM!</v>
      </c>
      <c r="FH171" s="22" t="e">
        <f t="shared" si="183"/>
        <v>#NUM!</v>
      </c>
      <c r="FI171" s="62" t="e">
        <f t="shared" si="131"/>
        <v>#NUM!</v>
      </c>
      <c r="FJ171" s="62">
        <f ca="1">AVERAGE(OFFSET($FI$3,0,0,'Données projet'!$E$16+1,1))-AVERAGE(OFFSET($H$3,0,0,'Données projet'!$E$16+1,1))</f>
        <v>257.56116197646924</v>
      </c>
      <c r="FK171" s="62">
        <f t="shared" si="156"/>
        <v>269.95556918835888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>
        <f>EXP(-LN(2)/35)*FQ170+(1-EXP(-LN(2)/35))/(LN(2)/35)*FM171*FN171*VLOOKUP('Données projet'!$B$16,Paramètres!$A$1:$I$89,3,0)*0.475*44/12</f>
        <v>0.94816125227756631</v>
      </c>
      <c r="FR171" s="23">
        <f>EXP(-LN(2)/25)*FR170+(1-EXP(-LN(2)/25))/(LN(2)/25)*Calculateur!FM171*Calculateur!FO171*VLOOKUP('Données projet'!$B$16,Paramètres!$A$1:$I$89,3,0)*0.475*44/12</f>
        <v>0.35180388884385977</v>
      </c>
      <c r="FS171" s="23">
        <f>EXP(-LN(2)/2)*FS170+(1-EXP(-LN(2)/2))/(LN(2)/2)*FM171*FP171*VLOOKUP('Données projet'!$B$16,Paramètres!$A$1:$I$89,3,0)*0.475*44/12</f>
        <v>1.4491180983949242E-20</v>
      </c>
      <c r="FT171" s="24">
        <f t="shared" si="184"/>
        <v>1.2999651411214261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-2.8421709430404007E-13</v>
      </c>
      <c r="GA171" s="18">
        <f>FZ171*VLOOKUP('Données projet'!$B$17,Paramètres!$A$1:$I$89,3,0)*VLOOKUP('Données projet'!$B$17,Paramètres!$A$1:$I$89,5,0)</f>
        <v>-1.69961822393816E-13</v>
      </c>
      <c r="GB171" s="14" t="e">
        <f t="shared" si="185"/>
        <v>#NUM!</v>
      </c>
      <c r="GC171" s="22" t="e">
        <f t="shared" si="186"/>
        <v>#NUM!</v>
      </c>
      <c r="GD171" s="62" t="e">
        <f t="shared" si="134"/>
        <v>#NUM!</v>
      </c>
      <c r="GE171" s="62">
        <f ca="1">AVERAGE(OFFSET($GD$3,0,0,'Données projet'!$E$17+1,1))-AVERAGE(OFFSET($H$3,0,0,'Données projet'!$E$17+1,1))</f>
        <v>289.12367833861299</v>
      </c>
      <c r="GF171" s="62">
        <f t="shared" si="158"/>
        <v>229.06617320689003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>
        <f>EXP(-LN(2)/35)*GL170+(1-EXP(-LN(2)/35))/(LN(2)/35)*GH171*GI171*VLOOKUP('Données projet'!$B$17,Paramètres!$A$1:$I$89,3,0)*0.475*44/12</f>
        <v>0</v>
      </c>
      <c r="GM171" s="23">
        <f>EXP(-LN(2)/25)*GM170+(1-EXP(-LN(2)/25))/(LN(2)/25)*Calculateur!GH171*Calculateur!GJ171*VLOOKUP('Données projet'!$B$17,Paramètres!$A$1:$I$89,3,0)*0.475*44/12</f>
        <v>0</v>
      </c>
      <c r="GN171" s="23">
        <f>EXP(-LN(2)/2)*GN170+(1-EXP(-LN(2)/2))/(LN(2)/2)*GH171*GK171*VLOOKUP('Données projet'!$B$17,Paramètres!$A$1:$I$89,3,0)*0.475*44/12</f>
        <v>7.025011875834826E-21</v>
      </c>
      <c r="GO171" s="23">
        <f t="shared" si="187"/>
        <v>7.025011875834826E-21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-5.6843418860808015E-14</v>
      </c>
      <c r="GV171" s="18">
        <f>GU171*VLOOKUP('Données projet'!$B$18,Paramètres!$A$1:$I$89,3,0)*VLOOKUP('Données projet'!$B$18,Paramètres!$A$1:$I$89,5,0)</f>
        <v>-2.6602720026858149E-14</v>
      </c>
      <c r="GW171" s="14" t="e">
        <f t="shared" si="188"/>
        <v>#NUM!</v>
      </c>
      <c r="GX171" s="22" t="e">
        <f t="shared" si="189"/>
        <v>#NUM!</v>
      </c>
      <c r="GY171" s="62" t="e">
        <f t="shared" si="137"/>
        <v>#NUM!</v>
      </c>
      <c r="GZ171" s="62">
        <f ca="1">AVERAGE(OFFSET($GY$3,0,0,'Données projet'!$E$18+1,1))-AVERAGE(OFFSET($H$3,0,0,'Données projet'!$E$18+1,1))</f>
        <v>284.88646502866419</v>
      </c>
      <c r="HA171" s="62">
        <f t="shared" si="160"/>
        <v>190.4880882944471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>
        <f>EXP(-LN(2)/35)*HG170+(1-EXP(-LN(2)/35))/(LN(2)/35)*HC171*HD171*VLOOKUP('Données projet'!$B$18,Paramètres!$A$1:$I$89,3,0)*0.475*44/12</f>
        <v>0</v>
      </c>
      <c r="HH171" s="23">
        <f>EXP(-LN(2)/25)*HH170+(1-EXP(-LN(2)/25))/(LN(2)/25)*Calculateur!HC171*Calculateur!HE171*VLOOKUP('Données projet'!$B$18,Paramètres!$A$1:$I$89,3,0)*0.475*44/12</f>
        <v>0</v>
      </c>
      <c r="HI171" s="23">
        <f>EXP(-LN(2)/2)*HI170+(1-EXP(-LN(2)/2))/(LN(2)/2)*HC171*HF171*VLOOKUP('Données projet'!$B$18,Paramètres!$A$1:$I$89,3,0)*0.475*44/12</f>
        <v>0</v>
      </c>
      <c r="HJ171" s="24">
        <f t="shared" si="190"/>
        <v>0</v>
      </c>
    </row>
    <row r="172" spans="1:218" x14ac:dyDescent="0.25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2">
        <f t="shared" si="140"/>
        <v>0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0</v>
      </c>
      <c r="H172" s="70">
        <f t="shared" si="110"/>
        <v>256.66666666666669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-1.1368683772161603E-13</v>
      </c>
      <c r="O172" s="14">
        <f>N172*VLOOKUP('Données projet'!$B$9,Paramètres!$A$1:$I$89,3,0)*VLOOKUP('Données projet'!$B$9,Paramètres!$A$1:$I$89,5,0)</f>
        <v>-1.0818439477588981E-13</v>
      </c>
      <c r="P172" s="14" t="e">
        <f t="shared" si="141"/>
        <v>#NUM!</v>
      </c>
      <c r="Q172" s="22" t="e">
        <f t="shared" si="162"/>
        <v>#NUM!</v>
      </c>
      <c r="R172" s="62" t="e">
        <f t="shared" si="109"/>
        <v>#NUM!</v>
      </c>
      <c r="S172" s="62">
        <f ca="1">AVERAGE(OFFSET($R$3,0,0,'Données projet'!$E$9+1,1))-AVERAGE(OFFSET($H$3,0,0,'Données projet'!$E$9+1,1))</f>
        <v>367.11183928586667</v>
      </c>
      <c r="T172" s="62">
        <f t="shared" si="142"/>
        <v>281.52963027844595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0</v>
      </c>
      <c r="AA172" s="23">
        <f>EXP(-LN(2)/25)*AA171+(1-EXP(-LN(2)/25))/(LN(2)/25)*Calculateur!V172*Calculateur!X172*VLOOKUP('Données projet'!$B$9,Paramètres!$A$1:$I$89,3,0)*0.475*44/12</f>
        <v>0</v>
      </c>
      <c r="AB172" s="23">
        <f>EXP(-LN(2)/2)*AB171+(1-EXP(-LN(2)/2))/(LN(2)/2)*V172*Y172*VLOOKUP('Données projet'!$B$9,Paramètres!$A$1:$I$89,3,0)*0.475*44/12</f>
        <v>0</v>
      </c>
      <c r="AC172" s="24">
        <f t="shared" si="163"/>
        <v>0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-9.6633812063373625E-13</v>
      </c>
      <c r="AJ172" s="14">
        <f>AI172*VLOOKUP('Données projet'!$B$10,Paramètres!$A$1:$I$89,3,0)*VLOOKUP('Données projet'!$B$10,Paramètres!$A$1:$I$89,5,0)</f>
        <v>-8.7434273154940449E-13</v>
      </c>
      <c r="AK172" s="14" t="e">
        <f t="shared" si="164"/>
        <v>#NUM!</v>
      </c>
      <c r="AL172" s="22" t="e">
        <f t="shared" si="165"/>
        <v>#NUM!</v>
      </c>
      <c r="AM172" s="62" t="e">
        <f t="shared" si="113"/>
        <v>#NUM!</v>
      </c>
      <c r="AN172" s="62">
        <f ca="1">AVERAGE(OFFSET($AM$3,0,0,'Données projet'!$E$10+1,1))-AVERAGE(OFFSET($H$3,0,0,'Données projet'!$E$10+1,1))</f>
        <v>428.8489304403459</v>
      </c>
      <c r="AO172" s="62">
        <f t="shared" si="144"/>
        <v>247.01165577562966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0</v>
      </c>
      <c r="AV172" s="23">
        <f>EXP(-LN(2)/25)*AV171+(1-EXP(-LN(2)/25))/(LN(2)/25)*Calculateur!AQ172*Calculateur!AS172*VLOOKUP('Données projet'!$B$10,Paramètres!$A$1:$I$89,3,0)*0.475*44/12</f>
        <v>0</v>
      </c>
      <c r="AW172" s="23">
        <f>EXP(-LN(2)/2)*AW171+(1-EXP(-LN(2)/2))/(LN(2)/2)*AQ172*AT172*VLOOKUP('Données projet'!$B$10,Paramètres!$A$1:$I$89,3,0)*0.475*44/12</f>
        <v>0</v>
      </c>
      <c r="AX172" s="23">
        <f t="shared" si="166"/>
        <v>0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-9.6633812063373625E-13</v>
      </c>
      <c r="BE172" s="14">
        <f>BD172*VLOOKUP('Données projet'!$B$11,Paramètres!$A$1:$I$89,3,0)*VLOOKUP('Données projet'!$B$11,Paramètres!$A$1:$I$89,5,0)</f>
        <v>-9.7986685432260874E-13</v>
      </c>
      <c r="BF172" s="14" t="e">
        <f t="shared" si="167"/>
        <v>#NUM!</v>
      </c>
      <c r="BG172" s="22" t="e">
        <f t="shared" si="168"/>
        <v>#NUM!</v>
      </c>
      <c r="BH172" s="62" t="e">
        <f t="shared" si="116"/>
        <v>#NUM!</v>
      </c>
      <c r="BI172" s="62">
        <f ca="1">AVERAGE(OFFSET($BH$3,0,0,'Données projet'!$E$11+1,1))-AVERAGE(OFFSET($H$3,0,0,'Données projet'!$E$11+1,1))</f>
        <v>475.47920969424894</v>
      </c>
      <c r="BJ172" s="62">
        <f t="shared" si="146"/>
        <v>271.73544012419364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>
        <f>EXP(-LN(2)/35)*BP171+(1-EXP(-LN(2)/35))/(LN(2)/35)*BL172*BM172*VLOOKUP('Données projet'!$B$11,Paramètres!$A$1:$I$89,3,0)*0.475*44/12</f>
        <v>0</v>
      </c>
      <c r="BQ172" s="23">
        <f>EXP(-LN(2)/25)*BQ171+(1-EXP(-LN(2)/25))/(LN(2)/25)*Calculateur!BL172*Calculateur!BN172*VLOOKUP('Données projet'!$B$11,Paramètres!$A$1:$I$89,3,0)*0.475*44/12</f>
        <v>0</v>
      </c>
      <c r="BR172" s="23">
        <f>EXP(-LN(2)/2)*BR171+(1-EXP(-LN(2)/2))/(LN(2)/2)*BL172*BO172*VLOOKUP('Données projet'!$B$11,Paramètres!$A$1:$I$89,3,0)*0.475*44/12</f>
        <v>0</v>
      </c>
      <c r="BS172" s="24">
        <f t="shared" si="169"/>
        <v>0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2.2737367544323206E-13</v>
      </c>
      <c r="BZ172" s="14">
        <f>BY172*VLOOKUP('Données projet'!$B$12,Paramètres!$A$1:$I$89,3,0)*VLOOKUP('Données projet'!$B$12,Paramètres!$A$1:$I$89,5,0)</f>
        <v>1.2710188457276673E-13</v>
      </c>
      <c r="CA172" s="14">
        <f t="shared" si="170"/>
        <v>1.856866851063998E-12</v>
      </c>
      <c r="CB172" s="22">
        <f t="shared" si="171"/>
        <v>3.4554122145673649E-12</v>
      </c>
      <c r="CC172" s="62">
        <f t="shared" si="119"/>
        <v>293.33333333333678</v>
      </c>
      <c r="CD172" s="62">
        <f ca="1">AVERAGE(OFFSET($CC$3,0,0,'Données projet'!$E$12+1,1))-AVERAGE(OFFSET($H$3,0,0,'Données projet'!$E$12+1,1))</f>
        <v>323.98185264074681</v>
      </c>
      <c r="CE172" s="62">
        <f t="shared" si="148"/>
        <v>301.22207291854005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>
        <f>EXP(-LN(2)/35)*CK171+(1-EXP(-LN(2)/35))/(LN(2)/35)*CG172*CH172*VLOOKUP('Données projet'!$B$12,Paramètres!$A$1:$I$89,3,0)*0.475*44/12</f>
        <v>0.2844734140037587</v>
      </c>
      <c r="CL172" s="23">
        <f>EXP(-LN(2)/25)*CL171+(1-EXP(-LN(2)/25))/(LN(2)/25)*Calculateur!CG172*Calculateur!CI172*VLOOKUP('Données projet'!$B$12,Paramètres!$A$1:$I$89,3,0)*0.475*44/12</f>
        <v>0.17481753723201779</v>
      </c>
      <c r="CM172" s="23">
        <f>EXP(-LN(2)/2)*CM171+(1-EXP(-LN(2)/2))/(LN(2)/2)*CG172*CJ172*VLOOKUP('Données projet'!$B$12,Paramètres!$A$1:$I$89,3,0)*0.475*44/12</f>
        <v>7.2924958363641327E-21</v>
      </c>
      <c r="CN172" s="24">
        <f t="shared" si="172"/>
        <v>0.45929095123577646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>
        <f>CT172*VLOOKUP('Données projet'!$B$13,Paramètres!$A$1:$I$89,3,0)*VLOOKUP('Données projet'!$B$13,Paramètres!$A$1:$I$89,5,0)</f>
        <v>0</v>
      </c>
      <c r="CV172" s="14" t="e">
        <f t="shared" si="173"/>
        <v>#NUM!</v>
      </c>
      <c r="CW172" s="22" t="e">
        <f t="shared" si="174"/>
        <v>#NUM!</v>
      </c>
      <c r="CX172" s="62" t="e">
        <f t="shared" si="122"/>
        <v>#NUM!</v>
      </c>
      <c r="CY172" s="62">
        <f ca="1">AVERAGE(OFFSET($CX$3,0,0,'Données projet'!$E$13+1,1))-AVERAGE(OFFSET($H$3,0,0,'Données projet'!$E$13+1,1))</f>
        <v>399.78832690250164</v>
      </c>
      <c r="CZ172" s="62">
        <f t="shared" si="150"/>
        <v>174.32967064896343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>
        <f>EXP(-LN(2)/35)*DF171+(1-EXP(-LN(2)/35))/(LN(2)/35)*DB172*DC172*VLOOKUP('Données projet'!$B$13,Paramètres!$A$1:$I$89,3,0)*0.475*44/12</f>
        <v>0</v>
      </c>
      <c r="DG172" s="23">
        <f>EXP(-LN(2)/25)*DG171+(1-EXP(-LN(2)/25))/(LN(2)/25)*Calculateur!DB172*Calculateur!DD172*VLOOKUP('Données projet'!$B$13,Paramètres!$A$1:$I$89,3,0)*0.475*44/12</f>
        <v>0</v>
      </c>
      <c r="DH172" s="23">
        <f>EXP(-LN(2)/2)*DH171+(1-EXP(-LN(2)/2))/(LN(2)/2)*DB172*DE172*VLOOKUP('Données projet'!$B$13,Paramètres!$A$1:$I$89,3,0)*0.475*44/12</f>
        <v>0</v>
      </c>
      <c r="DI172" s="24">
        <f t="shared" si="175"/>
        <v>0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-9.6633812063373625E-13</v>
      </c>
      <c r="DP172" s="18">
        <f>DO172*VLOOKUP('Données projet'!$B$14,Paramètres!$A$1:$I$89,3,0)*VLOOKUP('Données projet'!$B$14,Paramètres!$A$1:$I$89,5,0)</f>
        <v>-8.1404323282185943E-13</v>
      </c>
      <c r="DQ172" s="14" t="e">
        <f t="shared" si="176"/>
        <v>#NUM!</v>
      </c>
      <c r="DR172" s="22" t="e">
        <f t="shared" si="177"/>
        <v>#NUM!</v>
      </c>
      <c r="DS172" s="62" t="e">
        <f t="shared" si="125"/>
        <v>#NUM!</v>
      </c>
      <c r="DT172" s="62">
        <f ca="1">AVERAGE(OFFSET($DS$3,0,0,'Données projet'!$E$14+1,1))-AVERAGE(OFFSET($H$3,0,0,'Données projet'!$E$14+1,1))</f>
        <v>402.15128814037058</v>
      </c>
      <c r="DU172" s="62">
        <f t="shared" si="152"/>
        <v>232.85411068442738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>
        <f>EXP(-LN(2)/35)*EA171+(1-EXP(-LN(2)/35))/(LN(2)/35)*DW172*DX172*VLOOKUP('Données projet'!$B$14,Paramètres!$A$1:$I$89,3,0)*0.475*44/12</f>
        <v>0</v>
      </c>
      <c r="EB172" s="23">
        <f>EXP(-LN(2)/25)*EB171+(1-EXP(-LN(2)/25))/(LN(2)/25)*Calculateur!DW172*Calculateur!DY172*VLOOKUP('Données projet'!$B$14,Paramètres!$A$1:$I$89,3,0)*0.475*44/12</f>
        <v>0</v>
      </c>
      <c r="EC172" s="23">
        <f>EXP(-LN(2)/2)*EC171+(1-EXP(-LN(2)/2))/(LN(2)/2)*DW172*DZ172*VLOOKUP('Données projet'!$B$14,Paramètres!$A$1:$I$89,3,0)*0.475*44/12</f>
        <v>0</v>
      </c>
      <c r="ED172" s="24">
        <f t="shared" si="178"/>
        <v>0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6.2527760746888816E-13</v>
      </c>
      <c r="EK172" s="18">
        <f>EJ172*VLOOKUP('Données projet'!$B$15,Paramètres!$A$1:$I$89,3,0)*VLOOKUP('Données projet'!$B$15,Paramètres!$A$1:$I$89,5,0)</f>
        <v>6.5354015532648198E-13</v>
      </c>
      <c r="EL172" s="14">
        <f t="shared" si="179"/>
        <v>7.8909019831354483E-12</v>
      </c>
      <c r="EM172" s="22">
        <f t="shared" si="180"/>
        <v>1.4881570057821194E-11</v>
      </c>
      <c r="EN172" s="62">
        <f t="shared" si="128"/>
        <v>293.33333333334821</v>
      </c>
      <c r="EO172" s="62">
        <f ca="1">AVERAGE(OFFSET($EN$3,0,0,'Données projet'!$E$15+1,1))-AVERAGE(OFFSET($H$3,0,0,'Données projet'!$E$15+1,1))</f>
        <v>595.89992279024398</v>
      </c>
      <c r="EP172" s="62">
        <f t="shared" si="154"/>
        <v>378.16197659288338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>
        <f>EXP(-LN(2)/35)*EV171+(1-EXP(-LN(2)/35))/(LN(2)/35)*ER172*ES172*VLOOKUP('Données projet'!$B$15,Paramètres!$A$1:$I$89,3,0)*0.475*44/12</f>
        <v>0</v>
      </c>
      <c r="EW172" s="23">
        <f>EXP(-LN(2)/25)*EW171+(1-EXP(-LN(2)/25))/(LN(2)/25)*Calculateur!ER172*Calculateur!ET172*VLOOKUP('Données projet'!$B$15,Paramètres!$A$1:$I$89,3,0)*0.475*44/12</f>
        <v>0</v>
      </c>
      <c r="EX172" s="23">
        <f>EXP(-LN(2)/2)*EX171+(1-EXP(-LN(2)/2))/(LN(2)/2)*ER172*EU172*VLOOKUP('Données projet'!$B$15,Paramètres!$A$1:$I$89,3,0)*0.475*44/12</f>
        <v>0</v>
      </c>
      <c r="EY172" s="24">
        <f t="shared" si="181"/>
        <v>0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-2.2737367544323206E-13</v>
      </c>
      <c r="FF172" s="18">
        <f>FE172*VLOOKUP('Données projet'!$B$16,Paramètres!$A$1:$I$89,3,0)*VLOOKUP('Données projet'!$B$16,Paramètres!$A$1:$I$89,5,0)</f>
        <v>-1.3596945791505279E-13</v>
      </c>
      <c r="FG172" s="14" t="e">
        <f t="shared" si="182"/>
        <v>#NUM!</v>
      </c>
      <c r="FH172" s="22" t="e">
        <f t="shared" si="183"/>
        <v>#NUM!</v>
      </c>
      <c r="FI172" s="62" t="e">
        <f t="shared" si="131"/>
        <v>#NUM!</v>
      </c>
      <c r="FJ172" s="62">
        <f ca="1">AVERAGE(OFFSET($FI$3,0,0,'Données projet'!$E$16+1,1))-AVERAGE(OFFSET($H$3,0,0,'Données projet'!$E$16+1,1))</f>
        <v>257.56116197646924</v>
      </c>
      <c r="FK172" s="62">
        <f t="shared" si="156"/>
        <v>269.95556918835888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>
        <f>EXP(-LN(2)/35)*FQ171+(1-EXP(-LN(2)/35))/(LN(2)/35)*FM172*FN172*VLOOKUP('Données projet'!$B$16,Paramètres!$A$1:$I$89,3,0)*0.475*44/12</f>
        <v>0.92956838844166267</v>
      </c>
      <c r="FR172" s="23">
        <f>EXP(-LN(2)/25)*FR171+(1-EXP(-LN(2)/25))/(LN(2)/25)*Calculateur!FM172*Calculateur!FO172*VLOOKUP('Données projet'!$B$16,Paramètres!$A$1:$I$89,3,0)*0.475*44/12</f>
        <v>0.34218379300286195</v>
      </c>
      <c r="FS172" s="23">
        <f>EXP(-LN(2)/2)*FS171+(1-EXP(-LN(2)/2))/(LN(2)/2)*FM172*FP172*VLOOKUP('Données projet'!$B$16,Paramètres!$A$1:$I$89,3,0)*0.475*44/12</f>
        <v>1.0246812341152055E-20</v>
      </c>
      <c r="FT172" s="24">
        <f t="shared" si="184"/>
        <v>1.2717521814445245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-2.8421709430404007E-13</v>
      </c>
      <c r="GA172" s="18">
        <f>FZ172*VLOOKUP('Données projet'!$B$17,Paramètres!$A$1:$I$89,3,0)*VLOOKUP('Données projet'!$B$17,Paramètres!$A$1:$I$89,5,0)</f>
        <v>-1.69961822393816E-13</v>
      </c>
      <c r="GB172" s="14" t="e">
        <f t="shared" si="185"/>
        <v>#NUM!</v>
      </c>
      <c r="GC172" s="22" t="e">
        <f t="shared" si="186"/>
        <v>#NUM!</v>
      </c>
      <c r="GD172" s="62" t="e">
        <f t="shared" si="134"/>
        <v>#NUM!</v>
      </c>
      <c r="GE172" s="62">
        <f ca="1">AVERAGE(OFFSET($GD$3,0,0,'Données projet'!$E$17+1,1))-AVERAGE(OFFSET($H$3,0,0,'Données projet'!$E$17+1,1))</f>
        <v>289.12367833861299</v>
      </c>
      <c r="GF172" s="62">
        <f t="shared" si="158"/>
        <v>229.06617320689003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>
        <f>EXP(-LN(2)/35)*GL171+(1-EXP(-LN(2)/35))/(LN(2)/35)*GH172*GI172*VLOOKUP('Données projet'!$B$17,Paramètres!$A$1:$I$89,3,0)*0.475*44/12</f>
        <v>0</v>
      </c>
      <c r="GM172" s="23">
        <f>EXP(-LN(2)/25)*GM171+(1-EXP(-LN(2)/25))/(LN(2)/25)*Calculateur!GH172*Calculateur!GJ172*VLOOKUP('Données projet'!$B$17,Paramètres!$A$1:$I$89,3,0)*0.475*44/12</f>
        <v>0</v>
      </c>
      <c r="GN172" s="23">
        <f>EXP(-LN(2)/2)*GN171+(1-EXP(-LN(2)/2))/(LN(2)/2)*GH172*GK172*VLOOKUP('Données projet'!$B$17,Paramètres!$A$1:$I$89,3,0)*0.475*44/12</f>
        <v>4.9674335353188341E-21</v>
      </c>
      <c r="GO172" s="23">
        <f t="shared" si="187"/>
        <v>4.9674335353188341E-21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-5.6843418860808015E-14</v>
      </c>
      <c r="GV172" s="18">
        <f>GU172*VLOOKUP('Données projet'!$B$18,Paramètres!$A$1:$I$89,3,0)*VLOOKUP('Données projet'!$B$18,Paramètres!$A$1:$I$89,5,0)</f>
        <v>-2.6602720026858149E-14</v>
      </c>
      <c r="GW172" s="14" t="e">
        <f t="shared" si="188"/>
        <v>#NUM!</v>
      </c>
      <c r="GX172" s="22" t="e">
        <f t="shared" si="189"/>
        <v>#NUM!</v>
      </c>
      <c r="GY172" s="62" t="e">
        <f t="shared" si="137"/>
        <v>#NUM!</v>
      </c>
      <c r="GZ172" s="62">
        <f ca="1">AVERAGE(OFFSET($GY$3,0,0,'Données projet'!$E$18+1,1))-AVERAGE(OFFSET($H$3,0,0,'Données projet'!$E$18+1,1))</f>
        <v>284.88646502866419</v>
      </c>
      <c r="HA172" s="62">
        <f t="shared" si="160"/>
        <v>190.4880882944471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>
        <f>EXP(-LN(2)/35)*HG171+(1-EXP(-LN(2)/35))/(LN(2)/35)*HC172*HD172*VLOOKUP('Données projet'!$B$18,Paramètres!$A$1:$I$89,3,0)*0.475*44/12</f>
        <v>0</v>
      </c>
      <c r="HH172" s="23">
        <f>EXP(-LN(2)/25)*HH171+(1-EXP(-LN(2)/25))/(LN(2)/25)*Calculateur!HC172*Calculateur!HE172*VLOOKUP('Données projet'!$B$18,Paramètres!$A$1:$I$89,3,0)*0.475*44/12</f>
        <v>0</v>
      </c>
      <c r="HI172" s="23">
        <f>EXP(-LN(2)/2)*HI171+(1-EXP(-LN(2)/2))/(LN(2)/2)*HC172*HF172*VLOOKUP('Données projet'!$B$18,Paramètres!$A$1:$I$89,3,0)*0.475*44/12</f>
        <v>0</v>
      </c>
      <c r="HJ172" s="24">
        <f t="shared" si="190"/>
        <v>0</v>
      </c>
    </row>
    <row r="173" spans="1:218" x14ac:dyDescent="0.25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2">
        <f t="shared" si="140"/>
        <v>0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0</v>
      </c>
      <c r="H173" s="70">
        <f t="shared" si="110"/>
        <v>256.66666666666669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-1.1368683772161603E-13</v>
      </c>
      <c r="O173" s="14">
        <f>N173*VLOOKUP('Données projet'!$B$9,Paramètres!$A$1:$I$89,3,0)*VLOOKUP('Données projet'!$B$9,Paramètres!$A$1:$I$89,5,0)</f>
        <v>-1.0818439477588981E-13</v>
      </c>
      <c r="P173" s="14" t="e">
        <f t="shared" si="141"/>
        <v>#NUM!</v>
      </c>
      <c r="Q173" s="22" t="e">
        <f t="shared" si="162"/>
        <v>#NUM!</v>
      </c>
      <c r="R173" s="62" t="e">
        <f t="shared" si="109"/>
        <v>#NUM!</v>
      </c>
      <c r="S173" s="62">
        <f ca="1">AVERAGE(OFFSET($R$3,0,0,'Données projet'!$E$9+1,1))-AVERAGE(OFFSET($H$3,0,0,'Données projet'!$E$9+1,1))</f>
        <v>367.11183928586667</v>
      </c>
      <c r="T173" s="62">
        <f t="shared" si="142"/>
        <v>281.52963027844595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0</v>
      </c>
      <c r="AA173" s="23">
        <f>EXP(-LN(2)/25)*AA172+(1-EXP(-LN(2)/25))/(LN(2)/25)*Calculateur!V173*Calculateur!X173*VLOOKUP('Données projet'!$B$9,Paramètres!$A$1:$I$89,3,0)*0.475*44/12</f>
        <v>0</v>
      </c>
      <c r="AB173" s="23">
        <f>EXP(-LN(2)/2)*AB172+(1-EXP(-LN(2)/2))/(LN(2)/2)*V173*Y173*VLOOKUP('Données projet'!$B$9,Paramètres!$A$1:$I$89,3,0)*0.475*44/12</f>
        <v>0</v>
      </c>
      <c r="AC173" s="24">
        <f t="shared" si="163"/>
        <v>0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-9.6633812063373625E-13</v>
      </c>
      <c r="AJ173" s="14">
        <f>AI173*VLOOKUP('Données projet'!$B$10,Paramètres!$A$1:$I$89,3,0)*VLOOKUP('Données projet'!$B$10,Paramètres!$A$1:$I$89,5,0)</f>
        <v>-8.7434273154940449E-13</v>
      </c>
      <c r="AK173" s="14" t="e">
        <f t="shared" si="164"/>
        <v>#NUM!</v>
      </c>
      <c r="AL173" s="22" t="e">
        <f t="shared" si="165"/>
        <v>#NUM!</v>
      </c>
      <c r="AM173" s="62" t="e">
        <f t="shared" si="113"/>
        <v>#NUM!</v>
      </c>
      <c r="AN173" s="62">
        <f ca="1">AVERAGE(OFFSET($AM$3,0,0,'Données projet'!$E$10+1,1))-AVERAGE(OFFSET($H$3,0,0,'Données projet'!$E$10+1,1))</f>
        <v>428.8489304403459</v>
      </c>
      <c r="AO173" s="62">
        <f t="shared" si="144"/>
        <v>247.01165577562966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0</v>
      </c>
      <c r="AV173" s="23">
        <f>EXP(-LN(2)/25)*AV172+(1-EXP(-LN(2)/25))/(LN(2)/25)*Calculateur!AQ173*Calculateur!AS173*VLOOKUP('Données projet'!$B$10,Paramètres!$A$1:$I$89,3,0)*0.475*44/12</f>
        <v>0</v>
      </c>
      <c r="AW173" s="23">
        <f>EXP(-LN(2)/2)*AW172+(1-EXP(-LN(2)/2))/(LN(2)/2)*AQ173*AT173*VLOOKUP('Données projet'!$B$10,Paramètres!$A$1:$I$89,3,0)*0.475*44/12</f>
        <v>0</v>
      </c>
      <c r="AX173" s="23">
        <f t="shared" si="166"/>
        <v>0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-9.6633812063373625E-13</v>
      </c>
      <c r="BE173" s="14">
        <f>BD173*VLOOKUP('Données projet'!$B$11,Paramètres!$A$1:$I$89,3,0)*VLOOKUP('Données projet'!$B$11,Paramètres!$A$1:$I$89,5,0)</f>
        <v>-9.7986685432260874E-13</v>
      </c>
      <c r="BF173" s="14" t="e">
        <f t="shared" si="167"/>
        <v>#NUM!</v>
      </c>
      <c r="BG173" s="22" t="e">
        <f t="shared" si="168"/>
        <v>#NUM!</v>
      </c>
      <c r="BH173" s="62" t="e">
        <f t="shared" si="116"/>
        <v>#NUM!</v>
      </c>
      <c r="BI173" s="62">
        <f ca="1">AVERAGE(OFFSET($BH$3,0,0,'Données projet'!$E$11+1,1))-AVERAGE(OFFSET($H$3,0,0,'Données projet'!$E$11+1,1))</f>
        <v>475.47920969424894</v>
      </c>
      <c r="BJ173" s="62">
        <f t="shared" si="146"/>
        <v>271.73544012419364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>
        <f>EXP(-LN(2)/35)*BP172+(1-EXP(-LN(2)/35))/(LN(2)/35)*BL173*BM173*VLOOKUP('Données projet'!$B$11,Paramètres!$A$1:$I$89,3,0)*0.475*44/12</f>
        <v>0</v>
      </c>
      <c r="BQ173" s="23">
        <f>EXP(-LN(2)/25)*BQ172+(1-EXP(-LN(2)/25))/(LN(2)/25)*Calculateur!BL173*Calculateur!BN173*VLOOKUP('Données projet'!$B$11,Paramètres!$A$1:$I$89,3,0)*0.475*44/12</f>
        <v>0</v>
      </c>
      <c r="BR173" s="23">
        <f>EXP(-LN(2)/2)*BR172+(1-EXP(-LN(2)/2))/(LN(2)/2)*BL173*BO173*VLOOKUP('Données projet'!$B$11,Paramètres!$A$1:$I$89,3,0)*0.475*44/12</f>
        <v>0</v>
      </c>
      <c r="BS173" s="24">
        <f t="shared" si="169"/>
        <v>0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2.2737367544323206E-13</v>
      </c>
      <c r="BZ173" s="14">
        <f>BY173*VLOOKUP('Données projet'!$B$12,Paramètres!$A$1:$I$89,3,0)*VLOOKUP('Données projet'!$B$12,Paramètres!$A$1:$I$89,5,0)</f>
        <v>1.2710188457276673E-13</v>
      </c>
      <c r="CA173" s="14">
        <f t="shared" si="170"/>
        <v>1.856866851063998E-12</v>
      </c>
      <c r="CB173" s="22">
        <f t="shared" si="171"/>
        <v>3.4554122145673649E-12</v>
      </c>
      <c r="CC173" s="62">
        <f t="shared" si="119"/>
        <v>293.33333333333678</v>
      </c>
      <c r="CD173" s="62">
        <f ca="1">AVERAGE(OFFSET($CC$3,0,0,'Données projet'!$E$12+1,1))-AVERAGE(OFFSET($H$3,0,0,'Données projet'!$E$12+1,1))</f>
        <v>323.98185264074681</v>
      </c>
      <c r="CE173" s="62">
        <f t="shared" si="148"/>
        <v>301.22207291854005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>
        <f>EXP(-LN(2)/35)*CK172+(1-EXP(-LN(2)/35))/(LN(2)/35)*CG173*CH173*VLOOKUP('Données projet'!$B$12,Paramètres!$A$1:$I$89,3,0)*0.475*44/12</f>
        <v>0.27889506386679469</v>
      </c>
      <c r="CL173" s="23">
        <f>EXP(-LN(2)/25)*CL172+(1-EXP(-LN(2)/25))/(LN(2)/25)*Calculateur!CG173*Calculateur!CI173*VLOOKUP('Données projet'!$B$12,Paramètres!$A$1:$I$89,3,0)*0.475*44/12</f>
        <v>0.17003714248315352</v>
      </c>
      <c r="CM173" s="23">
        <f>EXP(-LN(2)/2)*CM172+(1-EXP(-LN(2)/2))/(LN(2)/2)*CG173*CJ173*VLOOKUP('Données projet'!$B$12,Paramètres!$A$1:$I$89,3,0)*0.475*44/12</f>
        <v>5.1565732576677418E-21</v>
      </c>
      <c r="CN173" s="24">
        <f t="shared" si="172"/>
        <v>0.44893220634994824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>
        <f>CT173*VLOOKUP('Données projet'!$B$13,Paramètres!$A$1:$I$89,3,0)*VLOOKUP('Données projet'!$B$13,Paramètres!$A$1:$I$89,5,0)</f>
        <v>0</v>
      </c>
      <c r="CV173" s="14" t="e">
        <f t="shared" si="173"/>
        <v>#NUM!</v>
      </c>
      <c r="CW173" s="22" t="e">
        <f t="shared" si="174"/>
        <v>#NUM!</v>
      </c>
      <c r="CX173" s="62" t="e">
        <f t="shared" si="122"/>
        <v>#NUM!</v>
      </c>
      <c r="CY173" s="62">
        <f ca="1">AVERAGE(OFFSET($CX$3,0,0,'Données projet'!$E$13+1,1))-AVERAGE(OFFSET($H$3,0,0,'Données projet'!$E$13+1,1))</f>
        <v>399.78832690250164</v>
      </c>
      <c r="CZ173" s="62">
        <f t="shared" si="150"/>
        <v>174.32967064896343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>
        <f>EXP(-LN(2)/35)*DF172+(1-EXP(-LN(2)/35))/(LN(2)/35)*DB173*DC173*VLOOKUP('Données projet'!$B$13,Paramètres!$A$1:$I$89,3,0)*0.475*44/12</f>
        <v>0</v>
      </c>
      <c r="DG173" s="23">
        <f>EXP(-LN(2)/25)*DG172+(1-EXP(-LN(2)/25))/(LN(2)/25)*Calculateur!DB173*Calculateur!DD173*VLOOKUP('Données projet'!$B$13,Paramètres!$A$1:$I$89,3,0)*0.475*44/12</f>
        <v>0</v>
      </c>
      <c r="DH173" s="23">
        <f>EXP(-LN(2)/2)*DH172+(1-EXP(-LN(2)/2))/(LN(2)/2)*DB173*DE173*VLOOKUP('Données projet'!$B$13,Paramètres!$A$1:$I$89,3,0)*0.475*44/12</f>
        <v>0</v>
      </c>
      <c r="DI173" s="24">
        <f t="shared" si="175"/>
        <v>0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-9.6633812063373625E-13</v>
      </c>
      <c r="DP173" s="18">
        <f>DO173*VLOOKUP('Données projet'!$B$14,Paramètres!$A$1:$I$89,3,0)*VLOOKUP('Données projet'!$B$14,Paramètres!$A$1:$I$89,5,0)</f>
        <v>-8.1404323282185943E-13</v>
      </c>
      <c r="DQ173" s="14" t="e">
        <f t="shared" si="176"/>
        <v>#NUM!</v>
      </c>
      <c r="DR173" s="22" t="e">
        <f t="shared" si="177"/>
        <v>#NUM!</v>
      </c>
      <c r="DS173" s="62" t="e">
        <f t="shared" si="125"/>
        <v>#NUM!</v>
      </c>
      <c r="DT173" s="62">
        <f ca="1">AVERAGE(OFFSET($DS$3,0,0,'Données projet'!$E$14+1,1))-AVERAGE(OFFSET($H$3,0,0,'Données projet'!$E$14+1,1))</f>
        <v>402.15128814037058</v>
      </c>
      <c r="DU173" s="62">
        <f t="shared" si="152"/>
        <v>232.85411068442738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>
        <f>EXP(-LN(2)/35)*EA172+(1-EXP(-LN(2)/35))/(LN(2)/35)*DW173*DX173*VLOOKUP('Données projet'!$B$14,Paramètres!$A$1:$I$89,3,0)*0.475*44/12</f>
        <v>0</v>
      </c>
      <c r="EB173" s="23">
        <f>EXP(-LN(2)/25)*EB172+(1-EXP(-LN(2)/25))/(LN(2)/25)*Calculateur!DW173*Calculateur!DY173*VLOOKUP('Données projet'!$B$14,Paramètres!$A$1:$I$89,3,0)*0.475*44/12</f>
        <v>0</v>
      </c>
      <c r="EC173" s="23">
        <f>EXP(-LN(2)/2)*EC172+(1-EXP(-LN(2)/2))/(LN(2)/2)*DW173*DZ173*VLOOKUP('Données projet'!$B$14,Paramètres!$A$1:$I$89,3,0)*0.475*44/12</f>
        <v>0</v>
      </c>
      <c r="ED173" s="24">
        <f t="shared" si="178"/>
        <v>0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6.2527760746888816E-13</v>
      </c>
      <c r="EK173" s="18">
        <f>EJ173*VLOOKUP('Données projet'!$B$15,Paramètres!$A$1:$I$89,3,0)*VLOOKUP('Données projet'!$B$15,Paramètres!$A$1:$I$89,5,0)</f>
        <v>6.5354015532648198E-13</v>
      </c>
      <c r="EL173" s="14">
        <f t="shared" si="179"/>
        <v>7.8909019831354483E-12</v>
      </c>
      <c r="EM173" s="22">
        <f t="shared" si="180"/>
        <v>1.4881570057821194E-11</v>
      </c>
      <c r="EN173" s="62">
        <f t="shared" si="128"/>
        <v>293.33333333334821</v>
      </c>
      <c r="EO173" s="62">
        <f ca="1">AVERAGE(OFFSET($EN$3,0,0,'Données projet'!$E$15+1,1))-AVERAGE(OFFSET($H$3,0,0,'Données projet'!$E$15+1,1))</f>
        <v>595.89992279024398</v>
      </c>
      <c r="EP173" s="62">
        <f t="shared" si="154"/>
        <v>378.16197659288338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>
        <f>EXP(-LN(2)/35)*EV172+(1-EXP(-LN(2)/35))/(LN(2)/35)*ER173*ES173*VLOOKUP('Données projet'!$B$15,Paramètres!$A$1:$I$89,3,0)*0.475*44/12</f>
        <v>0</v>
      </c>
      <c r="EW173" s="23">
        <f>EXP(-LN(2)/25)*EW172+(1-EXP(-LN(2)/25))/(LN(2)/25)*Calculateur!ER173*Calculateur!ET173*VLOOKUP('Données projet'!$B$15,Paramètres!$A$1:$I$89,3,0)*0.475*44/12</f>
        <v>0</v>
      </c>
      <c r="EX173" s="23">
        <f>EXP(-LN(2)/2)*EX172+(1-EXP(-LN(2)/2))/(LN(2)/2)*ER173*EU173*VLOOKUP('Données projet'!$B$15,Paramètres!$A$1:$I$89,3,0)*0.475*44/12</f>
        <v>0</v>
      </c>
      <c r="EY173" s="24">
        <f t="shared" si="181"/>
        <v>0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-2.2737367544323206E-13</v>
      </c>
      <c r="FF173" s="18">
        <f>FE173*VLOOKUP('Données projet'!$B$16,Paramètres!$A$1:$I$89,3,0)*VLOOKUP('Données projet'!$B$16,Paramètres!$A$1:$I$89,5,0)</f>
        <v>-1.3596945791505279E-13</v>
      </c>
      <c r="FG173" s="14" t="e">
        <f t="shared" si="182"/>
        <v>#NUM!</v>
      </c>
      <c r="FH173" s="22" t="e">
        <f t="shared" si="183"/>
        <v>#NUM!</v>
      </c>
      <c r="FI173" s="62" t="e">
        <f t="shared" si="131"/>
        <v>#NUM!</v>
      </c>
      <c r="FJ173" s="62">
        <f ca="1">AVERAGE(OFFSET($FI$3,0,0,'Données projet'!$E$16+1,1))-AVERAGE(OFFSET($H$3,0,0,'Données projet'!$E$16+1,1))</f>
        <v>257.56116197646924</v>
      </c>
      <c r="FK173" s="62">
        <f t="shared" si="156"/>
        <v>269.95556918835888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>
        <f>EXP(-LN(2)/35)*FQ172+(1-EXP(-LN(2)/35))/(LN(2)/35)*FM173*FN173*VLOOKUP('Données projet'!$B$16,Paramètres!$A$1:$I$89,3,0)*0.475*44/12</f>
        <v>0.91134011932505388</v>
      </c>
      <c r="FR173" s="23">
        <f>EXP(-LN(2)/25)*FR172+(1-EXP(-LN(2)/25))/(LN(2)/25)*Calculateur!FM173*Calculateur!FO173*VLOOKUP('Données projet'!$B$16,Paramètres!$A$1:$I$89,3,0)*0.475*44/12</f>
        <v>0.3328267591885351</v>
      </c>
      <c r="FS173" s="23">
        <f>EXP(-LN(2)/2)*FS172+(1-EXP(-LN(2)/2))/(LN(2)/2)*FM173*FP173*VLOOKUP('Données projet'!$B$16,Paramètres!$A$1:$I$89,3,0)*0.475*44/12</f>
        <v>7.245590491974621E-21</v>
      </c>
      <c r="FT173" s="24">
        <f t="shared" si="184"/>
        <v>1.2441668785135889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-2.8421709430404007E-13</v>
      </c>
      <c r="GA173" s="18">
        <f>FZ173*VLOOKUP('Données projet'!$B$17,Paramètres!$A$1:$I$89,3,0)*VLOOKUP('Données projet'!$B$17,Paramètres!$A$1:$I$89,5,0)</f>
        <v>-1.69961822393816E-13</v>
      </c>
      <c r="GB173" s="14" t="e">
        <f t="shared" si="185"/>
        <v>#NUM!</v>
      </c>
      <c r="GC173" s="22" t="e">
        <f t="shared" si="186"/>
        <v>#NUM!</v>
      </c>
      <c r="GD173" s="62" t="e">
        <f t="shared" si="134"/>
        <v>#NUM!</v>
      </c>
      <c r="GE173" s="62">
        <f ca="1">AVERAGE(OFFSET($GD$3,0,0,'Données projet'!$E$17+1,1))-AVERAGE(OFFSET($H$3,0,0,'Données projet'!$E$17+1,1))</f>
        <v>289.12367833861299</v>
      </c>
      <c r="GF173" s="62">
        <f t="shared" si="158"/>
        <v>229.06617320689003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>
        <f>EXP(-LN(2)/35)*GL172+(1-EXP(-LN(2)/35))/(LN(2)/35)*GH173*GI173*VLOOKUP('Données projet'!$B$17,Paramètres!$A$1:$I$89,3,0)*0.475*44/12</f>
        <v>0</v>
      </c>
      <c r="GM173" s="23">
        <f>EXP(-LN(2)/25)*GM172+(1-EXP(-LN(2)/25))/(LN(2)/25)*Calculateur!GH173*Calculateur!GJ173*VLOOKUP('Données projet'!$B$17,Paramètres!$A$1:$I$89,3,0)*0.475*44/12</f>
        <v>0</v>
      </c>
      <c r="GN173" s="23">
        <f>EXP(-LN(2)/2)*GN172+(1-EXP(-LN(2)/2))/(LN(2)/2)*GH173*GK173*VLOOKUP('Données projet'!$B$17,Paramètres!$A$1:$I$89,3,0)*0.475*44/12</f>
        <v>3.512505937917413E-21</v>
      </c>
      <c r="GO173" s="23">
        <f t="shared" si="187"/>
        <v>3.512505937917413E-21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-5.6843418860808015E-14</v>
      </c>
      <c r="GV173" s="18">
        <f>GU173*VLOOKUP('Données projet'!$B$18,Paramètres!$A$1:$I$89,3,0)*VLOOKUP('Données projet'!$B$18,Paramètres!$A$1:$I$89,5,0)</f>
        <v>-2.6602720026858149E-14</v>
      </c>
      <c r="GW173" s="14" t="e">
        <f t="shared" si="188"/>
        <v>#NUM!</v>
      </c>
      <c r="GX173" s="22" t="e">
        <f t="shared" si="189"/>
        <v>#NUM!</v>
      </c>
      <c r="GY173" s="62" t="e">
        <f t="shared" si="137"/>
        <v>#NUM!</v>
      </c>
      <c r="GZ173" s="62">
        <f ca="1">AVERAGE(OFFSET($GY$3,0,0,'Données projet'!$E$18+1,1))-AVERAGE(OFFSET($H$3,0,0,'Données projet'!$E$18+1,1))</f>
        <v>284.88646502866419</v>
      </c>
      <c r="HA173" s="62">
        <f t="shared" si="160"/>
        <v>190.4880882944471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>
        <f>EXP(-LN(2)/35)*HG172+(1-EXP(-LN(2)/35))/(LN(2)/35)*HC173*HD173*VLOOKUP('Données projet'!$B$18,Paramètres!$A$1:$I$89,3,0)*0.475*44/12</f>
        <v>0</v>
      </c>
      <c r="HH173" s="23">
        <f>EXP(-LN(2)/25)*HH172+(1-EXP(-LN(2)/25))/(LN(2)/25)*Calculateur!HC173*Calculateur!HE173*VLOOKUP('Données projet'!$B$18,Paramètres!$A$1:$I$89,3,0)*0.475*44/12</f>
        <v>0</v>
      </c>
      <c r="HI173" s="23">
        <f>EXP(-LN(2)/2)*HI172+(1-EXP(-LN(2)/2))/(LN(2)/2)*HC173*HF173*VLOOKUP('Données projet'!$B$18,Paramètres!$A$1:$I$89,3,0)*0.475*44/12</f>
        <v>0</v>
      </c>
      <c r="HJ173" s="24">
        <f t="shared" si="190"/>
        <v>0</v>
      </c>
    </row>
    <row r="174" spans="1:218" x14ac:dyDescent="0.25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2">
        <f t="shared" si="140"/>
        <v>0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0</v>
      </c>
      <c r="H174" s="70">
        <f t="shared" si="110"/>
        <v>256.66666666666669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-1.1368683772161603E-13</v>
      </c>
      <c r="O174" s="14">
        <f>N174*VLOOKUP('Données projet'!$B$9,Paramètres!$A$1:$I$89,3,0)*VLOOKUP('Données projet'!$B$9,Paramètres!$A$1:$I$89,5,0)</f>
        <v>-1.0818439477588981E-13</v>
      </c>
      <c r="P174" s="14" t="e">
        <f t="shared" si="141"/>
        <v>#NUM!</v>
      </c>
      <c r="Q174" s="22" t="e">
        <f t="shared" si="162"/>
        <v>#NUM!</v>
      </c>
      <c r="R174" s="62" t="e">
        <f t="shared" si="109"/>
        <v>#NUM!</v>
      </c>
      <c r="S174" s="62">
        <f ca="1">AVERAGE(OFFSET($R$3,0,0,'Données projet'!$E$9+1,1))-AVERAGE(OFFSET($H$3,0,0,'Données projet'!$E$9+1,1))</f>
        <v>367.11183928586667</v>
      </c>
      <c r="T174" s="62">
        <f t="shared" si="142"/>
        <v>281.52963027844595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0</v>
      </c>
      <c r="AA174" s="23">
        <f>EXP(-LN(2)/25)*AA173+(1-EXP(-LN(2)/25))/(LN(2)/25)*Calculateur!V174*Calculateur!X174*VLOOKUP('Données projet'!$B$9,Paramètres!$A$1:$I$89,3,0)*0.475*44/12</f>
        <v>0</v>
      </c>
      <c r="AB174" s="23">
        <f>EXP(-LN(2)/2)*AB173+(1-EXP(-LN(2)/2))/(LN(2)/2)*V174*Y174*VLOOKUP('Données projet'!$B$9,Paramètres!$A$1:$I$89,3,0)*0.475*44/12</f>
        <v>0</v>
      </c>
      <c r="AC174" s="24">
        <f t="shared" si="163"/>
        <v>0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-9.6633812063373625E-13</v>
      </c>
      <c r="AJ174" s="14">
        <f>AI174*VLOOKUP('Données projet'!$B$10,Paramètres!$A$1:$I$89,3,0)*VLOOKUP('Données projet'!$B$10,Paramètres!$A$1:$I$89,5,0)</f>
        <v>-8.7434273154940449E-13</v>
      </c>
      <c r="AK174" s="14" t="e">
        <f t="shared" si="164"/>
        <v>#NUM!</v>
      </c>
      <c r="AL174" s="22" t="e">
        <f t="shared" si="165"/>
        <v>#NUM!</v>
      </c>
      <c r="AM174" s="62" t="e">
        <f t="shared" si="113"/>
        <v>#NUM!</v>
      </c>
      <c r="AN174" s="62">
        <f ca="1">AVERAGE(OFFSET($AM$3,0,0,'Données projet'!$E$10+1,1))-AVERAGE(OFFSET($H$3,0,0,'Données projet'!$E$10+1,1))</f>
        <v>428.8489304403459</v>
      </c>
      <c r="AO174" s="62">
        <f t="shared" si="144"/>
        <v>247.01165577562966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0</v>
      </c>
      <c r="AV174" s="23">
        <f>EXP(-LN(2)/25)*AV173+(1-EXP(-LN(2)/25))/(LN(2)/25)*Calculateur!AQ174*Calculateur!AS174*VLOOKUP('Données projet'!$B$10,Paramètres!$A$1:$I$89,3,0)*0.475*44/12</f>
        <v>0</v>
      </c>
      <c r="AW174" s="23">
        <f>EXP(-LN(2)/2)*AW173+(1-EXP(-LN(2)/2))/(LN(2)/2)*AQ174*AT174*VLOOKUP('Données projet'!$B$10,Paramètres!$A$1:$I$89,3,0)*0.475*44/12</f>
        <v>0</v>
      </c>
      <c r="AX174" s="23">
        <f t="shared" si="166"/>
        <v>0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-9.6633812063373625E-13</v>
      </c>
      <c r="BE174" s="14">
        <f>BD174*VLOOKUP('Données projet'!$B$11,Paramètres!$A$1:$I$89,3,0)*VLOOKUP('Données projet'!$B$11,Paramètres!$A$1:$I$89,5,0)</f>
        <v>-9.7986685432260874E-13</v>
      </c>
      <c r="BF174" s="14" t="e">
        <f t="shared" si="167"/>
        <v>#NUM!</v>
      </c>
      <c r="BG174" s="22" t="e">
        <f t="shared" si="168"/>
        <v>#NUM!</v>
      </c>
      <c r="BH174" s="62" t="e">
        <f t="shared" si="116"/>
        <v>#NUM!</v>
      </c>
      <c r="BI174" s="62">
        <f ca="1">AVERAGE(OFFSET($BH$3,0,0,'Données projet'!$E$11+1,1))-AVERAGE(OFFSET($H$3,0,0,'Données projet'!$E$11+1,1))</f>
        <v>475.47920969424894</v>
      </c>
      <c r="BJ174" s="62">
        <f t="shared" si="146"/>
        <v>271.73544012419364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>
        <f>EXP(-LN(2)/35)*BP173+(1-EXP(-LN(2)/35))/(LN(2)/35)*BL174*BM174*VLOOKUP('Données projet'!$B$11,Paramètres!$A$1:$I$89,3,0)*0.475*44/12</f>
        <v>0</v>
      </c>
      <c r="BQ174" s="23">
        <f>EXP(-LN(2)/25)*BQ173+(1-EXP(-LN(2)/25))/(LN(2)/25)*Calculateur!BL174*Calculateur!BN174*VLOOKUP('Données projet'!$B$11,Paramètres!$A$1:$I$89,3,0)*0.475*44/12</f>
        <v>0</v>
      </c>
      <c r="BR174" s="23">
        <f>EXP(-LN(2)/2)*BR173+(1-EXP(-LN(2)/2))/(LN(2)/2)*BL174*BO174*VLOOKUP('Données projet'!$B$11,Paramètres!$A$1:$I$89,3,0)*0.475*44/12</f>
        <v>0</v>
      </c>
      <c r="BS174" s="24">
        <f t="shared" si="169"/>
        <v>0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2.2737367544323206E-13</v>
      </c>
      <c r="BZ174" s="14">
        <f>BY174*VLOOKUP('Données projet'!$B$12,Paramètres!$A$1:$I$89,3,0)*VLOOKUP('Données projet'!$B$12,Paramètres!$A$1:$I$89,5,0)</f>
        <v>1.2710188457276673E-13</v>
      </c>
      <c r="CA174" s="14">
        <f t="shared" si="170"/>
        <v>1.856866851063998E-12</v>
      </c>
      <c r="CB174" s="22">
        <f t="shared" si="171"/>
        <v>3.4554122145673649E-12</v>
      </c>
      <c r="CC174" s="62">
        <f t="shared" si="119"/>
        <v>293.33333333333678</v>
      </c>
      <c r="CD174" s="62">
        <f ca="1">AVERAGE(OFFSET($CC$3,0,0,'Données projet'!$E$12+1,1))-AVERAGE(OFFSET($H$3,0,0,'Données projet'!$E$12+1,1))</f>
        <v>323.98185264074681</v>
      </c>
      <c r="CE174" s="62">
        <f t="shared" si="148"/>
        <v>301.22207291854005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>
        <f>EXP(-LN(2)/35)*CK173+(1-EXP(-LN(2)/35))/(LN(2)/35)*CG174*CH174*VLOOKUP('Données projet'!$B$12,Paramètres!$A$1:$I$89,3,0)*0.475*44/12</f>
        <v>0.27342610177355892</v>
      </c>
      <c r="CL174" s="23">
        <f>EXP(-LN(2)/25)*CL173+(1-EXP(-LN(2)/25))/(LN(2)/25)*Calculateur!CG174*Calculateur!CI174*VLOOKUP('Données projet'!$B$12,Paramètres!$A$1:$I$89,3,0)*0.475*44/12</f>
        <v>0.16538746788008699</v>
      </c>
      <c r="CM174" s="23">
        <f>EXP(-LN(2)/2)*CM173+(1-EXP(-LN(2)/2))/(LN(2)/2)*CG174*CJ174*VLOOKUP('Données projet'!$B$12,Paramètres!$A$1:$I$89,3,0)*0.475*44/12</f>
        <v>3.6462479181820664E-21</v>
      </c>
      <c r="CN174" s="24">
        <f t="shared" si="172"/>
        <v>0.43881356965364593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>
        <f>CT174*VLOOKUP('Données projet'!$B$13,Paramètres!$A$1:$I$89,3,0)*VLOOKUP('Données projet'!$B$13,Paramètres!$A$1:$I$89,5,0)</f>
        <v>0</v>
      </c>
      <c r="CV174" s="14" t="e">
        <f t="shared" si="173"/>
        <v>#NUM!</v>
      </c>
      <c r="CW174" s="22" t="e">
        <f t="shared" si="174"/>
        <v>#NUM!</v>
      </c>
      <c r="CX174" s="62" t="e">
        <f t="shared" si="122"/>
        <v>#NUM!</v>
      </c>
      <c r="CY174" s="62">
        <f ca="1">AVERAGE(OFFSET($CX$3,0,0,'Données projet'!$E$13+1,1))-AVERAGE(OFFSET($H$3,0,0,'Données projet'!$E$13+1,1))</f>
        <v>399.78832690250164</v>
      </c>
      <c r="CZ174" s="62">
        <f t="shared" si="150"/>
        <v>174.32967064896343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>
        <f>EXP(-LN(2)/35)*DF173+(1-EXP(-LN(2)/35))/(LN(2)/35)*DB174*DC174*VLOOKUP('Données projet'!$B$13,Paramètres!$A$1:$I$89,3,0)*0.475*44/12</f>
        <v>0</v>
      </c>
      <c r="DG174" s="23">
        <f>EXP(-LN(2)/25)*DG173+(1-EXP(-LN(2)/25))/(LN(2)/25)*Calculateur!DB174*Calculateur!DD174*VLOOKUP('Données projet'!$B$13,Paramètres!$A$1:$I$89,3,0)*0.475*44/12</f>
        <v>0</v>
      </c>
      <c r="DH174" s="23">
        <f>EXP(-LN(2)/2)*DH173+(1-EXP(-LN(2)/2))/(LN(2)/2)*DB174*DE174*VLOOKUP('Données projet'!$B$13,Paramètres!$A$1:$I$89,3,0)*0.475*44/12</f>
        <v>0</v>
      </c>
      <c r="DI174" s="24">
        <f t="shared" si="175"/>
        <v>0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-9.6633812063373625E-13</v>
      </c>
      <c r="DP174" s="18">
        <f>DO174*VLOOKUP('Données projet'!$B$14,Paramètres!$A$1:$I$89,3,0)*VLOOKUP('Données projet'!$B$14,Paramètres!$A$1:$I$89,5,0)</f>
        <v>-8.1404323282185943E-13</v>
      </c>
      <c r="DQ174" s="14" t="e">
        <f t="shared" si="176"/>
        <v>#NUM!</v>
      </c>
      <c r="DR174" s="22" t="e">
        <f t="shared" si="177"/>
        <v>#NUM!</v>
      </c>
      <c r="DS174" s="62" t="e">
        <f t="shared" si="125"/>
        <v>#NUM!</v>
      </c>
      <c r="DT174" s="62">
        <f ca="1">AVERAGE(OFFSET($DS$3,0,0,'Données projet'!$E$14+1,1))-AVERAGE(OFFSET($H$3,0,0,'Données projet'!$E$14+1,1))</f>
        <v>402.15128814037058</v>
      </c>
      <c r="DU174" s="62">
        <f t="shared" si="152"/>
        <v>232.85411068442738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>
        <f>EXP(-LN(2)/35)*EA173+(1-EXP(-LN(2)/35))/(LN(2)/35)*DW174*DX174*VLOOKUP('Données projet'!$B$14,Paramètres!$A$1:$I$89,3,0)*0.475*44/12</f>
        <v>0</v>
      </c>
      <c r="EB174" s="23">
        <f>EXP(-LN(2)/25)*EB173+(1-EXP(-LN(2)/25))/(LN(2)/25)*Calculateur!DW174*Calculateur!DY174*VLOOKUP('Données projet'!$B$14,Paramètres!$A$1:$I$89,3,0)*0.475*44/12</f>
        <v>0</v>
      </c>
      <c r="EC174" s="23">
        <f>EXP(-LN(2)/2)*EC173+(1-EXP(-LN(2)/2))/(LN(2)/2)*DW174*DZ174*VLOOKUP('Données projet'!$B$14,Paramètres!$A$1:$I$89,3,0)*0.475*44/12</f>
        <v>0</v>
      </c>
      <c r="ED174" s="24">
        <f t="shared" si="178"/>
        <v>0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6.2527760746888816E-13</v>
      </c>
      <c r="EK174" s="18">
        <f>EJ174*VLOOKUP('Données projet'!$B$15,Paramètres!$A$1:$I$89,3,0)*VLOOKUP('Données projet'!$B$15,Paramètres!$A$1:$I$89,5,0)</f>
        <v>6.5354015532648198E-13</v>
      </c>
      <c r="EL174" s="14">
        <f t="shared" si="179"/>
        <v>7.8909019831354483E-12</v>
      </c>
      <c r="EM174" s="22">
        <f t="shared" si="180"/>
        <v>1.4881570057821194E-11</v>
      </c>
      <c r="EN174" s="62">
        <f t="shared" si="128"/>
        <v>293.33333333334821</v>
      </c>
      <c r="EO174" s="62">
        <f ca="1">AVERAGE(OFFSET($EN$3,0,0,'Données projet'!$E$15+1,1))-AVERAGE(OFFSET($H$3,0,0,'Données projet'!$E$15+1,1))</f>
        <v>595.89992279024398</v>
      </c>
      <c r="EP174" s="62">
        <f t="shared" si="154"/>
        <v>378.16197659288338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>
        <f>EXP(-LN(2)/35)*EV173+(1-EXP(-LN(2)/35))/(LN(2)/35)*ER174*ES174*VLOOKUP('Données projet'!$B$15,Paramètres!$A$1:$I$89,3,0)*0.475*44/12</f>
        <v>0</v>
      </c>
      <c r="EW174" s="23">
        <f>EXP(-LN(2)/25)*EW173+(1-EXP(-LN(2)/25))/(LN(2)/25)*Calculateur!ER174*Calculateur!ET174*VLOOKUP('Données projet'!$B$15,Paramètres!$A$1:$I$89,3,0)*0.475*44/12</f>
        <v>0</v>
      </c>
      <c r="EX174" s="23">
        <f>EXP(-LN(2)/2)*EX173+(1-EXP(-LN(2)/2))/(LN(2)/2)*ER174*EU174*VLOOKUP('Données projet'!$B$15,Paramètres!$A$1:$I$89,3,0)*0.475*44/12</f>
        <v>0</v>
      </c>
      <c r="EY174" s="24">
        <f t="shared" si="181"/>
        <v>0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-2.2737367544323206E-13</v>
      </c>
      <c r="FF174" s="18">
        <f>FE174*VLOOKUP('Données projet'!$B$16,Paramètres!$A$1:$I$89,3,0)*VLOOKUP('Données projet'!$B$16,Paramètres!$A$1:$I$89,5,0)</f>
        <v>-1.3596945791505279E-13</v>
      </c>
      <c r="FG174" s="14" t="e">
        <f t="shared" si="182"/>
        <v>#NUM!</v>
      </c>
      <c r="FH174" s="22" t="e">
        <f t="shared" si="183"/>
        <v>#NUM!</v>
      </c>
      <c r="FI174" s="62" t="e">
        <f t="shared" si="131"/>
        <v>#NUM!</v>
      </c>
      <c r="FJ174" s="62">
        <f ca="1">AVERAGE(OFFSET($FI$3,0,0,'Données projet'!$E$16+1,1))-AVERAGE(OFFSET($H$3,0,0,'Données projet'!$E$16+1,1))</f>
        <v>257.56116197646924</v>
      </c>
      <c r="FK174" s="62">
        <f t="shared" si="156"/>
        <v>269.95556918835888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>
        <f>EXP(-LN(2)/35)*FQ173+(1-EXP(-LN(2)/35))/(LN(2)/35)*FM174*FN174*VLOOKUP('Données projet'!$B$16,Paramètres!$A$1:$I$89,3,0)*0.475*44/12</f>
        <v>0.8934692954476755</v>
      </c>
      <c r="FR174" s="23">
        <f>EXP(-LN(2)/25)*FR173+(1-EXP(-LN(2)/25))/(LN(2)/25)*Calculateur!FM174*Calculateur!FO174*VLOOKUP('Données projet'!$B$16,Paramètres!$A$1:$I$89,3,0)*0.475*44/12</f>
        <v>0.32372559395592604</v>
      </c>
      <c r="FS174" s="23">
        <f>EXP(-LN(2)/2)*FS173+(1-EXP(-LN(2)/2))/(LN(2)/2)*FM174*FP174*VLOOKUP('Données projet'!$B$16,Paramètres!$A$1:$I$89,3,0)*0.475*44/12</f>
        <v>5.1234061705760276E-21</v>
      </c>
      <c r="FT174" s="24">
        <f t="shared" si="184"/>
        <v>1.2171948894036015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-2.8421709430404007E-13</v>
      </c>
      <c r="GA174" s="18">
        <f>FZ174*VLOOKUP('Données projet'!$B$17,Paramètres!$A$1:$I$89,3,0)*VLOOKUP('Données projet'!$B$17,Paramètres!$A$1:$I$89,5,0)</f>
        <v>-1.69961822393816E-13</v>
      </c>
      <c r="GB174" s="14" t="e">
        <f t="shared" si="185"/>
        <v>#NUM!</v>
      </c>
      <c r="GC174" s="22" t="e">
        <f t="shared" si="186"/>
        <v>#NUM!</v>
      </c>
      <c r="GD174" s="62" t="e">
        <f t="shared" si="134"/>
        <v>#NUM!</v>
      </c>
      <c r="GE174" s="62">
        <f ca="1">AVERAGE(OFFSET($GD$3,0,0,'Données projet'!$E$17+1,1))-AVERAGE(OFFSET($H$3,0,0,'Données projet'!$E$17+1,1))</f>
        <v>289.12367833861299</v>
      </c>
      <c r="GF174" s="62">
        <f t="shared" si="158"/>
        <v>229.06617320689003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>
        <f>EXP(-LN(2)/35)*GL173+(1-EXP(-LN(2)/35))/(LN(2)/35)*GH174*GI174*VLOOKUP('Données projet'!$B$17,Paramètres!$A$1:$I$89,3,0)*0.475*44/12</f>
        <v>0</v>
      </c>
      <c r="GM174" s="23">
        <f>EXP(-LN(2)/25)*GM173+(1-EXP(-LN(2)/25))/(LN(2)/25)*Calculateur!GH174*Calculateur!GJ174*VLOOKUP('Données projet'!$B$17,Paramètres!$A$1:$I$89,3,0)*0.475*44/12</f>
        <v>0</v>
      </c>
      <c r="GN174" s="23">
        <f>EXP(-LN(2)/2)*GN173+(1-EXP(-LN(2)/2))/(LN(2)/2)*GH174*GK174*VLOOKUP('Données projet'!$B$17,Paramètres!$A$1:$I$89,3,0)*0.475*44/12</f>
        <v>2.4837167676594171E-21</v>
      </c>
      <c r="GO174" s="23">
        <f t="shared" si="187"/>
        <v>2.4837167676594171E-21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-5.6843418860808015E-14</v>
      </c>
      <c r="GV174" s="18">
        <f>GU174*VLOOKUP('Données projet'!$B$18,Paramètres!$A$1:$I$89,3,0)*VLOOKUP('Données projet'!$B$18,Paramètres!$A$1:$I$89,5,0)</f>
        <v>-2.6602720026858149E-14</v>
      </c>
      <c r="GW174" s="14" t="e">
        <f t="shared" si="188"/>
        <v>#NUM!</v>
      </c>
      <c r="GX174" s="22" t="e">
        <f t="shared" si="189"/>
        <v>#NUM!</v>
      </c>
      <c r="GY174" s="62" t="e">
        <f t="shared" si="137"/>
        <v>#NUM!</v>
      </c>
      <c r="GZ174" s="62">
        <f ca="1">AVERAGE(OFFSET($GY$3,0,0,'Données projet'!$E$18+1,1))-AVERAGE(OFFSET($H$3,0,0,'Données projet'!$E$18+1,1))</f>
        <v>284.88646502866419</v>
      </c>
      <c r="HA174" s="62">
        <f t="shared" si="160"/>
        <v>190.4880882944471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>
        <f>EXP(-LN(2)/35)*HG173+(1-EXP(-LN(2)/35))/(LN(2)/35)*HC174*HD174*VLOOKUP('Données projet'!$B$18,Paramètres!$A$1:$I$89,3,0)*0.475*44/12</f>
        <v>0</v>
      </c>
      <c r="HH174" s="23">
        <f>EXP(-LN(2)/25)*HH173+(1-EXP(-LN(2)/25))/(LN(2)/25)*Calculateur!HC174*Calculateur!HE174*VLOOKUP('Données projet'!$B$18,Paramètres!$A$1:$I$89,3,0)*0.475*44/12</f>
        <v>0</v>
      </c>
      <c r="HI174" s="23">
        <f>EXP(-LN(2)/2)*HI173+(1-EXP(-LN(2)/2))/(LN(2)/2)*HC174*HF174*VLOOKUP('Données projet'!$B$18,Paramètres!$A$1:$I$89,3,0)*0.475*44/12</f>
        <v>0</v>
      </c>
      <c r="HJ174" s="24">
        <f t="shared" si="190"/>
        <v>0</v>
      </c>
    </row>
    <row r="175" spans="1:218" x14ac:dyDescent="0.25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2">
        <f t="shared" si="140"/>
        <v>0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0</v>
      </c>
      <c r="H175" s="70">
        <f t="shared" si="110"/>
        <v>256.66666666666669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-1.1368683772161603E-13</v>
      </c>
      <c r="O175" s="14">
        <f>N175*VLOOKUP('Données projet'!$B$9,Paramètres!$A$1:$I$89,3,0)*VLOOKUP('Données projet'!$B$9,Paramètres!$A$1:$I$89,5,0)</f>
        <v>-1.0818439477588981E-13</v>
      </c>
      <c r="P175" s="14" t="e">
        <f t="shared" si="141"/>
        <v>#NUM!</v>
      </c>
      <c r="Q175" s="22" t="e">
        <f t="shared" si="162"/>
        <v>#NUM!</v>
      </c>
      <c r="R175" s="62" t="e">
        <f t="shared" si="109"/>
        <v>#NUM!</v>
      </c>
      <c r="S175" s="62">
        <f ca="1">AVERAGE(OFFSET($R$3,0,0,'Données projet'!$E$9+1,1))-AVERAGE(OFFSET($H$3,0,0,'Données projet'!$E$9+1,1))</f>
        <v>367.11183928586667</v>
      </c>
      <c r="T175" s="62">
        <f t="shared" si="142"/>
        <v>281.52963027844595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0</v>
      </c>
      <c r="AA175" s="23">
        <f>EXP(-LN(2)/25)*AA174+(1-EXP(-LN(2)/25))/(LN(2)/25)*Calculateur!V175*Calculateur!X175*VLOOKUP('Données projet'!$B$9,Paramètres!$A$1:$I$89,3,0)*0.475*44/12</f>
        <v>0</v>
      </c>
      <c r="AB175" s="23">
        <f>EXP(-LN(2)/2)*AB174+(1-EXP(-LN(2)/2))/(LN(2)/2)*V175*Y175*VLOOKUP('Données projet'!$B$9,Paramètres!$A$1:$I$89,3,0)*0.475*44/12</f>
        <v>0</v>
      </c>
      <c r="AC175" s="24">
        <f t="shared" si="163"/>
        <v>0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-9.6633812063373625E-13</v>
      </c>
      <c r="AJ175" s="14">
        <f>AI175*VLOOKUP('Données projet'!$B$10,Paramètres!$A$1:$I$89,3,0)*VLOOKUP('Données projet'!$B$10,Paramètres!$A$1:$I$89,5,0)</f>
        <v>-8.7434273154940449E-13</v>
      </c>
      <c r="AK175" s="14" t="e">
        <f t="shared" si="164"/>
        <v>#NUM!</v>
      </c>
      <c r="AL175" s="22" t="e">
        <f t="shared" si="165"/>
        <v>#NUM!</v>
      </c>
      <c r="AM175" s="62" t="e">
        <f t="shared" si="113"/>
        <v>#NUM!</v>
      </c>
      <c r="AN175" s="62">
        <f ca="1">AVERAGE(OFFSET($AM$3,0,0,'Données projet'!$E$10+1,1))-AVERAGE(OFFSET($H$3,0,0,'Données projet'!$E$10+1,1))</f>
        <v>428.8489304403459</v>
      </c>
      <c r="AO175" s="62">
        <f t="shared" si="144"/>
        <v>247.01165577562966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0</v>
      </c>
      <c r="AV175" s="23">
        <f>EXP(-LN(2)/25)*AV174+(1-EXP(-LN(2)/25))/(LN(2)/25)*Calculateur!AQ175*Calculateur!AS175*VLOOKUP('Données projet'!$B$10,Paramètres!$A$1:$I$89,3,0)*0.475*44/12</f>
        <v>0</v>
      </c>
      <c r="AW175" s="23">
        <f>EXP(-LN(2)/2)*AW174+(1-EXP(-LN(2)/2))/(LN(2)/2)*AQ175*AT175*VLOOKUP('Données projet'!$B$10,Paramètres!$A$1:$I$89,3,0)*0.475*44/12</f>
        <v>0</v>
      </c>
      <c r="AX175" s="23">
        <f t="shared" si="166"/>
        <v>0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-9.6633812063373625E-13</v>
      </c>
      <c r="BE175" s="14">
        <f>BD175*VLOOKUP('Données projet'!$B$11,Paramètres!$A$1:$I$89,3,0)*VLOOKUP('Données projet'!$B$11,Paramètres!$A$1:$I$89,5,0)</f>
        <v>-9.7986685432260874E-13</v>
      </c>
      <c r="BF175" s="14" t="e">
        <f t="shared" si="167"/>
        <v>#NUM!</v>
      </c>
      <c r="BG175" s="22" t="e">
        <f t="shared" si="168"/>
        <v>#NUM!</v>
      </c>
      <c r="BH175" s="62" t="e">
        <f t="shared" si="116"/>
        <v>#NUM!</v>
      </c>
      <c r="BI175" s="62">
        <f ca="1">AVERAGE(OFFSET($BH$3,0,0,'Données projet'!$E$11+1,1))-AVERAGE(OFFSET($H$3,0,0,'Données projet'!$E$11+1,1))</f>
        <v>475.47920969424894</v>
      </c>
      <c r="BJ175" s="62">
        <f t="shared" si="146"/>
        <v>271.73544012419364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>
        <f>EXP(-LN(2)/35)*BP174+(1-EXP(-LN(2)/35))/(LN(2)/35)*BL175*BM175*VLOOKUP('Données projet'!$B$11,Paramètres!$A$1:$I$89,3,0)*0.475*44/12</f>
        <v>0</v>
      </c>
      <c r="BQ175" s="23">
        <f>EXP(-LN(2)/25)*BQ174+(1-EXP(-LN(2)/25))/(LN(2)/25)*Calculateur!BL175*Calculateur!BN175*VLOOKUP('Données projet'!$B$11,Paramètres!$A$1:$I$89,3,0)*0.475*44/12</f>
        <v>0</v>
      </c>
      <c r="BR175" s="23">
        <f>EXP(-LN(2)/2)*BR174+(1-EXP(-LN(2)/2))/(LN(2)/2)*BL175*BO175*VLOOKUP('Données projet'!$B$11,Paramètres!$A$1:$I$89,3,0)*0.475*44/12</f>
        <v>0</v>
      </c>
      <c r="BS175" s="24">
        <f t="shared" si="169"/>
        <v>0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2.2737367544323206E-13</v>
      </c>
      <c r="BZ175" s="14">
        <f>BY175*VLOOKUP('Données projet'!$B$12,Paramètres!$A$1:$I$89,3,0)*VLOOKUP('Données projet'!$B$12,Paramètres!$A$1:$I$89,5,0)</f>
        <v>1.2710188457276673E-13</v>
      </c>
      <c r="CA175" s="14">
        <f t="shared" si="170"/>
        <v>1.856866851063998E-12</v>
      </c>
      <c r="CB175" s="22">
        <f t="shared" si="171"/>
        <v>3.4554122145673649E-12</v>
      </c>
      <c r="CC175" s="62">
        <f t="shared" si="119"/>
        <v>293.33333333333678</v>
      </c>
      <c r="CD175" s="62">
        <f ca="1">AVERAGE(OFFSET($CC$3,0,0,'Données projet'!$E$12+1,1))-AVERAGE(OFFSET($H$3,0,0,'Données projet'!$E$12+1,1))</f>
        <v>323.98185264074681</v>
      </c>
      <c r="CE175" s="62">
        <f t="shared" si="148"/>
        <v>301.22207291854005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>
        <f>EXP(-LN(2)/35)*CK174+(1-EXP(-LN(2)/35))/(LN(2)/35)*CG175*CH175*VLOOKUP('Données projet'!$B$12,Paramètres!$A$1:$I$89,3,0)*0.475*44/12</f>
        <v>0.268064382691234</v>
      </c>
      <c r="CL175" s="23">
        <f>EXP(-LN(2)/25)*CL174+(1-EXP(-LN(2)/25))/(LN(2)/25)*Calculateur!CG175*Calculateur!CI175*VLOOKUP('Données projet'!$B$12,Paramètres!$A$1:$I$89,3,0)*0.475*44/12</f>
        <v>0.16086493887355707</v>
      </c>
      <c r="CM175" s="23">
        <f>EXP(-LN(2)/2)*CM174+(1-EXP(-LN(2)/2))/(LN(2)/2)*CG175*CJ175*VLOOKUP('Données projet'!$B$12,Paramètres!$A$1:$I$89,3,0)*0.475*44/12</f>
        <v>2.5782866288338709E-21</v>
      </c>
      <c r="CN175" s="24">
        <f t="shared" si="172"/>
        <v>0.42892932156479108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>
        <f>CT175*VLOOKUP('Données projet'!$B$13,Paramètres!$A$1:$I$89,3,0)*VLOOKUP('Données projet'!$B$13,Paramètres!$A$1:$I$89,5,0)</f>
        <v>0</v>
      </c>
      <c r="CV175" s="14" t="e">
        <f t="shared" si="173"/>
        <v>#NUM!</v>
      </c>
      <c r="CW175" s="22" t="e">
        <f t="shared" si="174"/>
        <v>#NUM!</v>
      </c>
      <c r="CX175" s="62" t="e">
        <f t="shared" si="122"/>
        <v>#NUM!</v>
      </c>
      <c r="CY175" s="62">
        <f ca="1">AVERAGE(OFFSET($CX$3,0,0,'Données projet'!$E$13+1,1))-AVERAGE(OFFSET($H$3,0,0,'Données projet'!$E$13+1,1))</f>
        <v>399.78832690250164</v>
      </c>
      <c r="CZ175" s="62">
        <f t="shared" si="150"/>
        <v>174.32967064896343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>
        <f>EXP(-LN(2)/35)*DF174+(1-EXP(-LN(2)/35))/(LN(2)/35)*DB175*DC175*VLOOKUP('Données projet'!$B$13,Paramètres!$A$1:$I$89,3,0)*0.475*44/12</f>
        <v>0</v>
      </c>
      <c r="DG175" s="23">
        <f>EXP(-LN(2)/25)*DG174+(1-EXP(-LN(2)/25))/(LN(2)/25)*Calculateur!DB175*Calculateur!DD175*VLOOKUP('Données projet'!$B$13,Paramètres!$A$1:$I$89,3,0)*0.475*44/12</f>
        <v>0</v>
      </c>
      <c r="DH175" s="23">
        <f>EXP(-LN(2)/2)*DH174+(1-EXP(-LN(2)/2))/(LN(2)/2)*DB175*DE175*VLOOKUP('Données projet'!$B$13,Paramètres!$A$1:$I$89,3,0)*0.475*44/12</f>
        <v>0</v>
      </c>
      <c r="DI175" s="24">
        <f t="shared" si="175"/>
        <v>0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-9.6633812063373625E-13</v>
      </c>
      <c r="DP175" s="18">
        <f>DO175*VLOOKUP('Données projet'!$B$14,Paramètres!$A$1:$I$89,3,0)*VLOOKUP('Données projet'!$B$14,Paramètres!$A$1:$I$89,5,0)</f>
        <v>-8.1404323282185943E-13</v>
      </c>
      <c r="DQ175" s="14" t="e">
        <f t="shared" si="176"/>
        <v>#NUM!</v>
      </c>
      <c r="DR175" s="22" t="e">
        <f t="shared" si="177"/>
        <v>#NUM!</v>
      </c>
      <c r="DS175" s="62" t="e">
        <f t="shared" si="125"/>
        <v>#NUM!</v>
      </c>
      <c r="DT175" s="62">
        <f ca="1">AVERAGE(OFFSET($DS$3,0,0,'Données projet'!$E$14+1,1))-AVERAGE(OFFSET($H$3,0,0,'Données projet'!$E$14+1,1))</f>
        <v>402.15128814037058</v>
      </c>
      <c r="DU175" s="62">
        <f t="shared" si="152"/>
        <v>232.85411068442738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>
        <f>EXP(-LN(2)/35)*EA174+(1-EXP(-LN(2)/35))/(LN(2)/35)*DW175*DX175*VLOOKUP('Données projet'!$B$14,Paramètres!$A$1:$I$89,3,0)*0.475*44/12</f>
        <v>0</v>
      </c>
      <c r="EB175" s="23">
        <f>EXP(-LN(2)/25)*EB174+(1-EXP(-LN(2)/25))/(LN(2)/25)*Calculateur!DW175*Calculateur!DY175*VLOOKUP('Données projet'!$B$14,Paramètres!$A$1:$I$89,3,0)*0.475*44/12</f>
        <v>0</v>
      </c>
      <c r="EC175" s="23">
        <f>EXP(-LN(2)/2)*EC174+(1-EXP(-LN(2)/2))/(LN(2)/2)*DW175*DZ175*VLOOKUP('Données projet'!$B$14,Paramètres!$A$1:$I$89,3,0)*0.475*44/12</f>
        <v>0</v>
      </c>
      <c r="ED175" s="24">
        <f t="shared" si="178"/>
        <v>0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6.2527760746888816E-13</v>
      </c>
      <c r="EK175" s="18">
        <f>EJ175*VLOOKUP('Données projet'!$B$15,Paramètres!$A$1:$I$89,3,0)*VLOOKUP('Données projet'!$B$15,Paramètres!$A$1:$I$89,5,0)</f>
        <v>6.5354015532648198E-13</v>
      </c>
      <c r="EL175" s="14">
        <f t="shared" si="179"/>
        <v>7.8909019831354483E-12</v>
      </c>
      <c r="EM175" s="22">
        <f t="shared" si="180"/>
        <v>1.4881570057821194E-11</v>
      </c>
      <c r="EN175" s="62">
        <f t="shared" si="128"/>
        <v>293.33333333334821</v>
      </c>
      <c r="EO175" s="62">
        <f ca="1">AVERAGE(OFFSET($EN$3,0,0,'Données projet'!$E$15+1,1))-AVERAGE(OFFSET($H$3,0,0,'Données projet'!$E$15+1,1))</f>
        <v>595.89992279024398</v>
      </c>
      <c r="EP175" s="62">
        <f t="shared" si="154"/>
        <v>378.16197659288338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>
        <f>EXP(-LN(2)/35)*EV174+(1-EXP(-LN(2)/35))/(LN(2)/35)*ER175*ES175*VLOOKUP('Données projet'!$B$15,Paramètres!$A$1:$I$89,3,0)*0.475*44/12</f>
        <v>0</v>
      </c>
      <c r="EW175" s="23">
        <f>EXP(-LN(2)/25)*EW174+(1-EXP(-LN(2)/25))/(LN(2)/25)*Calculateur!ER175*Calculateur!ET175*VLOOKUP('Données projet'!$B$15,Paramètres!$A$1:$I$89,3,0)*0.475*44/12</f>
        <v>0</v>
      </c>
      <c r="EX175" s="23">
        <f>EXP(-LN(2)/2)*EX174+(1-EXP(-LN(2)/2))/(LN(2)/2)*ER175*EU175*VLOOKUP('Données projet'!$B$15,Paramètres!$A$1:$I$89,3,0)*0.475*44/12</f>
        <v>0</v>
      </c>
      <c r="EY175" s="24">
        <f t="shared" si="181"/>
        <v>0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-2.2737367544323206E-13</v>
      </c>
      <c r="FF175" s="18">
        <f>FE175*VLOOKUP('Données projet'!$B$16,Paramètres!$A$1:$I$89,3,0)*VLOOKUP('Données projet'!$B$16,Paramètres!$A$1:$I$89,5,0)</f>
        <v>-1.3596945791505279E-13</v>
      </c>
      <c r="FG175" s="14" t="e">
        <f t="shared" si="182"/>
        <v>#NUM!</v>
      </c>
      <c r="FH175" s="22" t="e">
        <f t="shared" si="183"/>
        <v>#NUM!</v>
      </c>
      <c r="FI175" s="62" t="e">
        <f t="shared" si="131"/>
        <v>#NUM!</v>
      </c>
      <c r="FJ175" s="62">
        <f ca="1">AVERAGE(OFFSET($FI$3,0,0,'Données projet'!$E$16+1,1))-AVERAGE(OFFSET($H$3,0,0,'Données projet'!$E$16+1,1))</f>
        <v>257.56116197646924</v>
      </c>
      <c r="FK175" s="62">
        <f t="shared" si="156"/>
        <v>269.95556918835888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>
        <f>EXP(-LN(2)/35)*FQ174+(1-EXP(-LN(2)/35))/(LN(2)/35)*FM175*FN175*VLOOKUP('Données projet'!$B$16,Paramètres!$A$1:$I$89,3,0)*0.475*44/12</f>
        <v>0.8759489075264062</v>
      </c>
      <c r="FR175" s="23">
        <f>EXP(-LN(2)/25)*FR174+(1-EXP(-LN(2)/25))/(LN(2)/25)*Calculateur!FM175*Calculateur!FO175*VLOOKUP('Données projet'!$B$16,Paramètres!$A$1:$I$89,3,0)*0.475*44/12</f>
        <v>0.31487330056521212</v>
      </c>
      <c r="FS175" s="23">
        <f>EXP(-LN(2)/2)*FS174+(1-EXP(-LN(2)/2))/(LN(2)/2)*FM175*FP175*VLOOKUP('Données projet'!$B$16,Paramètres!$A$1:$I$89,3,0)*0.475*44/12</f>
        <v>3.6227952459873105E-21</v>
      </c>
      <c r="FT175" s="24">
        <f t="shared" si="184"/>
        <v>1.1908222080916184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-2.8421709430404007E-13</v>
      </c>
      <c r="GA175" s="18">
        <f>FZ175*VLOOKUP('Données projet'!$B$17,Paramètres!$A$1:$I$89,3,0)*VLOOKUP('Données projet'!$B$17,Paramètres!$A$1:$I$89,5,0)</f>
        <v>-1.69961822393816E-13</v>
      </c>
      <c r="GB175" s="14" t="e">
        <f t="shared" si="185"/>
        <v>#NUM!</v>
      </c>
      <c r="GC175" s="22" t="e">
        <f t="shared" si="186"/>
        <v>#NUM!</v>
      </c>
      <c r="GD175" s="62" t="e">
        <f t="shared" si="134"/>
        <v>#NUM!</v>
      </c>
      <c r="GE175" s="62">
        <f ca="1">AVERAGE(OFFSET($GD$3,0,0,'Données projet'!$E$17+1,1))-AVERAGE(OFFSET($H$3,0,0,'Données projet'!$E$17+1,1))</f>
        <v>289.12367833861299</v>
      </c>
      <c r="GF175" s="62">
        <f t="shared" si="158"/>
        <v>229.06617320689003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>
        <f>EXP(-LN(2)/35)*GL174+(1-EXP(-LN(2)/35))/(LN(2)/35)*GH175*GI175*VLOOKUP('Données projet'!$B$17,Paramètres!$A$1:$I$89,3,0)*0.475*44/12</f>
        <v>0</v>
      </c>
      <c r="GM175" s="23">
        <f>EXP(-LN(2)/25)*GM174+(1-EXP(-LN(2)/25))/(LN(2)/25)*Calculateur!GH175*Calculateur!GJ175*VLOOKUP('Données projet'!$B$17,Paramètres!$A$1:$I$89,3,0)*0.475*44/12</f>
        <v>0</v>
      </c>
      <c r="GN175" s="23">
        <f>EXP(-LN(2)/2)*GN174+(1-EXP(-LN(2)/2))/(LN(2)/2)*GH175*GK175*VLOOKUP('Données projet'!$B$17,Paramètres!$A$1:$I$89,3,0)*0.475*44/12</f>
        <v>1.7562529689587065E-21</v>
      </c>
      <c r="GO175" s="23">
        <f t="shared" si="187"/>
        <v>1.7562529689587065E-21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-5.6843418860808015E-14</v>
      </c>
      <c r="GV175" s="18">
        <f>GU175*VLOOKUP('Données projet'!$B$18,Paramètres!$A$1:$I$89,3,0)*VLOOKUP('Données projet'!$B$18,Paramètres!$A$1:$I$89,5,0)</f>
        <v>-2.6602720026858149E-14</v>
      </c>
      <c r="GW175" s="14" t="e">
        <f t="shared" si="188"/>
        <v>#NUM!</v>
      </c>
      <c r="GX175" s="22" t="e">
        <f t="shared" si="189"/>
        <v>#NUM!</v>
      </c>
      <c r="GY175" s="62" t="e">
        <f t="shared" si="137"/>
        <v>#NUM!</v>
      </c>
      <c r="GZ175" s="62">
        <f ca="1">AVERAGE(OFFSET($GY$3,0,0,'Données projet'!$E$18+1,1))-AVERAGE(OFFSET($H$3,0,0,'Données projet'!$E$18+1,1))</f>
        <v>284.88646502866419</v>
      </c>
      <c r="HA175" s="62">
        <f t="shared" si="160"/>
        <v>190.4880882944471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>
        <f>EXP(-LN(2)/35)*HG174+(1-EXP(-LN(2)/35))/(LN(2)/35)*HC175*HD175*VLOOKUP('Données projet'!$B$18,Paramètres!$A$1:$I$89,3,0)*0.475*44/12</f>
        <v>0</v>
      </c>
      <c r="HH175" s="23">
        <f>EXP(-LN(2)/25)*HH174+(1-EXP(-LN(2)/25))/(LN(2)/25)*Calculateur!HC175*Calculateur!HE175*VLOOKUP('Données projet'!$B$18,Paramètres!$A$1:$I$89,3,0)*0.475*44/12</f>
        <v>0</v>
      </c>
      <c r="HI175" s="23">
        <f>EXP(-LN(2)/2)*HI174+(1-EXP(-LN(2)/2))/(LN(2)/2)*HC175*HF175*VLOOKUP('Données projet'!$B$18,Paramètres!$A$1:$I$89,3,0)*0.475*44/12</f>
        <v>0</v>
      </c>
      <c r="HJ175" s="24">
        <f t="shared" si="190"/>
        <v>0</v>
      </c>
    </row>
    <row r="176" spans="1:218" x14ac:dyDescent="0.25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2">
        <f t="shared" si="140"/>
        <v>0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0</v>
      </c>
      <c r="H176" s="70">
        <f t="shared" si="110"/>
        <v>256.66666666666669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-1.1368683772161603E-13</v>
      </c>
      <c r="O176" s="14">
        <f>N176*VLOOKUP('Données projet'!$B$9,Paramètres!$A$1:$I$89,3,0)*VLOOKUP('Données projet'!$B$9,Paramètres!$A$1:$I$89,5,0)</f>
        <v>-1.0818439477588981E-13</v>
      </c>
      <c r="P176" s="14" t="e">
        <f t="shared" si="141"/>
        <v>#NUM!</v>
      </c>
      <c r="Q176" s="22" t="e">
        <f t="shared" si="162"/>
        <v>#NUM!</v>
      </c>
      <c r="R176" s="62" t="e">
        <f t="shared" si="109"/>
        <v>#NUM!</v>
      </c>
      <c r="S176" s="62">
        <f ca="1">AVERAGE(OFFSET($R$3,0,0,'Données projet'!$E$9+1,1))-AVERAGE(OFFSET($H$3,0,0,'Données projet'!$E$9+1,1))</f>
        <v>367.11183928586667</v>
      </c>
      <c r="T176" s="62">
        <f t="shared" si="142"/>
        <v>281.52963027844595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0</v>
      </c>
      <c r="AA176" s="23">
        <f>EXP(-LN(2)/25)*AA175+(1-EXP(-LN(2)/25))/(LN(2)/25)*Calculateur!V176*Calculateur!X176*VLOOKUP('Données projet'!$B$9,Paramètres!$A$1:$I$89,3,0)*0.475*44/12</f>
        <v>0</v>
      </c>
      <c r="AB176" s="23">
        <f>EXP(-LN(2)/2)*AB175+(1-EXP(-LN(2)/2))/(LN(2)/2)*V176*Y176*VLOOKUP('Données projet'!$B$9,Paramètres!$A$1:$I$89,3,0)*0.475*44/12</f>
        <v>0</v>
      </c>
      <c r="AC176" s="24">
        <f t="shared" si="163"/>
        <v>0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-9.6633812063373625E-13</v>
      </c>
      <c r="AJ176" s="14">
        <f>AI176*VLOOKUP('Données projet'!$B$10,Paramètres!$A$1:$I$89,3,0)*VLOOKUP('Données projet'!$B$10,Paramètres!$A$1:$I$89,5,0)</f>
        <v>-8.7434273154940449E-13</v>
      </c>
      <c r="AK176" s="14" t="e">
        <f t="shared" si="164"/>
        <v>#NUM!</v>
      </c>
      <c r="AL176" s="22" t="e">
        <f t="shared" si="165"/>
        <v>#NUM!</v>
      </c>
      <c r="AM176" s="62" t="e">
        <f t="shared" si="113"/>
        <v>#NUM!</v>
      </c>
      <c r="AN176" s="62">
        <f ca="1">AVERAGE(OFFSET($AM$3,0,0,'Données projet'!$E$10+1,1))-AVERAGE(OFFSET($H$3,0,0,'Données projet'!$E$10+1,1))</f>
        <v>428.8489304403459</v>
      </c>
      <c r="AO176" s="62">
        <f t="shared" si="144"/>
        <v>247.01165577562966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0</v>
      </c>
      <c r="AV176" s="23">
        <f>EXP(-LN(2)/25)*AV175+(1-EXP(-LN(2)/25))/(LN(2)/25)*Calculateur!AQ176*Calculateur!AS176*VLOOKUP('Données projet'!$B$10,Paramètres!$A$1:$I$89,3,0)*0.475*44/12</f>
        <v>0</v>
      </c>
      <c r="AW176" s="23">
        <f>EXP(-LN(2)/2)*AW175+(1-EXP(-LN(2)/2))/(LN(2)/2)*AQ176*AT176*VLOOKUP('Données projet'!$B$10,Paramètres!$A$1:$I$89,3,0)*0.475*44/12</f>
        <v>0</v>
      </c>
      <c r="AX176" s="23">
        <f t="shared" si="166"/>
        <v>0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-9.6633812063373625E-13</v>
      </c>
      <c r="BE176" s="14">
        <f>BD176*VLOOKUP('Données projet'!$B$11,Paramètres!$A$1:$I$89,3,0)*VLOOKUP('Données projet'!$B$11,Paramètres!$A$1:$I$89,5,0)</f>
        <v>-9.7986685432260874E-13</v>
      </c>
      <c r="BF176" s="14" t="e">
        <f t="shared" si="167"/>
        <v>#NUM!</v>
      </c>
      <c r="BG176" s="22" t="e">
        <f t="shared" si="168"/>
        <v>#NUM!</v>
      </c>
      <c r="BH176" s="62" t="e">
        <f t="shared" si="116"/>
        <v>#NUM!</v>
      </c>
      <c r="BI176" s="62">
        <f ca="1">AVERAGE(OFFSET($BH$3,0,0,'Données projet'!$E$11+1,1))-AVERAGE(OFFSET($H$3,0,0,'Données projet'!$E$11+1,1))</f>
        <v>475.47920969424894</v>
      </c>
      <c r="BJ176" s="62">
        <f t="shared" si="146"/>
        <v>271.73544012419364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>
        <f>EXP(-LN(2)/35)*BP175+(1-EXP(-LN(2)/35))/(LN(2)/35)*BL176*BM176*VLOOKUP('Données projet'!$B$11,Paramètres!$A$1:$I$89,3,0)*0.475*44/12</f>
        <v>0</v>
      </c>
      <c r="BQ176" s="23">
        <f>EXP(-LN(2)/25)*BQ175+(1-EXP(-LN(2)/25))/(LN(2)/25)*Calculateur!BL176*Calculateur!BN176*VLOOKUP('Données projet'!$B$11,Paramètres!$A$1:$I$89,3,0)*0.475*44/12</f>
        <v>0</v>
      </c>
      <c r="BR176" s="23">
        <f>EXP(-LN(2)/2)*BR175+(1-EXP(-LN(2)/2))/(LN(2)/2)*BL176*BO176*VLOOKUP('Données projet'!$B$11,Paramètres!$A$1:$I$89,3,0)*0.475*44/12</f>
        <v>0</v>
      </c>
      <c r="BS176" s="24">
        <f t="shared" si="169"/>
        <v>0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2.2737367544323206E-13</v>
      </c>
      <c r="BZ176" s="14">
        <f>BY176*VLOOKUP('Données projet'!$B$12,Paramètres!$A$1:$I$89,3,0)*VLOOKUP('Données projet'!$B$12,Paramètres!$A$1:$I$89,5,0)</f>
        <v>1.2710188457276673E-13</v>
      </c>
      <c r="CA176" s="14">
        <f t="shared" si="170"/>
        <v>1.856866851063998E-12</v>
      </c>
      <c r="CB176" s="22">
        <f t="shared" si="171"/>
        <v>3.4554122145673649E-12</v>
      </c>
      <c r="CC176" s="62">
        <f t="shared" si="119"/>
        <v>293.33333333333678</v>
      </c>
      <c r="CD176" s="62">
        <f ca="1">AVERAGE(OFFSET($CC$3,0,0,'Données projet'!$E$12+1,1))-AVERAGE(OFFSET($H$3,0,0,'Données projet'!$E$12+1,1))</f>
        <v>323.98185264074681</v>
      </c>
      <c r="CE176" s="62">
        <f t="shared" si="148"/>
        <v>301.22207291854005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>
        <f>EXP(-LN(2)/35)*CK175+(1-EXP(-LN(2)/35))/(LN(2)/35)*CG176*CH176*VLOOKUP('Données projet'!$B$12,Paramètres!$A$1:$I$89,3,0)*0.475*44/12</f>
        <v>0.26280780364978773</v>
      </c>
      <c r="CL176" s="23">
        <f>EXP(-LN(2)/25)*CL175+(1-EXP(-LN(2)/25))/(LN(2)/25)*Calculateur!CG176*Calculateur!CI176*VLOOKUP('Données projet'!$B$12,Paramètres!$A$1:$I$89,3,0)*0.475*44/12</f>
        <v>0.15646607866054019</v>
      </c>
      <c r="CM176" s="23">
        <f>EXP(-LN(2)/2)*CM175+(1-EXP(-LN(2)/2))/(LN(2)/2)*CG176*CJ176*VLOOKUP('Données projet'!$B$12,Paramètres!$A$1:$I$89,3,0)*0.475*44/12</f>
        <v>1.8231239590910332E-21</v>
      </c>
      <c r="CN176" s="24">
        <f t="shared" si="172"/>
        <v>0.41927388231032792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>
        <f>CT176*VLOOKUP('Données projet'!$B$13,Paramètres!$A$1:$I$89,3,0)*VLOOKUP('Données projet'!$B$13,Paramètres!$A$1:$I$89,5,0)</f>
        <v>0</v>
      </c>
      <c r="CV176" s="14" t="e">
        <f t="shared" si="173"/>
        <v>#NUM!</v>
      </c>
      <c r="CW176" s="22" t="e">
        <f t="shared" si="174"/>
        <v>#NUM!</v>
      </c>
      <c r="CX176" s="62" t="e">
        <f t="shared" si="122"/>
        <v>#NUM!</v>
      </c>
      <c r="CY176" s="62">
        <f ca="1">AVERAGE(OFFSET($CX$3,0,0,'Données projet'!$E$13+1,1))-AVERAGE(OFFSET($H$3,0,0,'Données projet'!$E$13+1,1))</f>
        <v>399.78832690250164</v>
      </c>
      <c r="CZ176" s="62">
        <f t="shared" si="150"/>
        <v>174.32967064896343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>
        <f>EXP(-LN(2)/35)*DF175+(1-EXP(-LN(2)/35))/(LN(2)/35)*DB176*DC176*VLOOKUP('Données projet'!$B$13,Paramètres!$A$1:$I$89,3,0)*0.475*44/12</f>
        <v>0</v>
      </c>
      <c r="DG176" s="23">
        <f>EXP(-LN(2)/25)*DG175+(1-EXP(-LN(2)/25))/(LN(2)/25)*Calculateur!DB176*Calculateur!DD176*VLOOKUP('Données projet'!$B$13,Paramètres!$A$1:$I$89,3,0)*0.475*44/12</f>
        <v>0</v>
      </c>
      <c r="DH176" s="23">
        <f>EXP(-LN(2)/2)*DH175+(1-EXP(-LN(2)/2))/(LN(2)/2)*DB176*DE176*VLOOKUP('Données projet'!$B$13,Paramètres!$A$1:$I$89,3,0)*0.475*44/12</f>
        <v>0</v>
      </c>
      <c r="DI176" s="24">
        <f t="shared" si="175"/>
        <v>0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-9.6633812063373625E-13</v>
      </c>
      <c r="DP176" s="18">
        <f>DO176*VLOOKUP('Données projet'!$B$14,Paramètres!$A$1:$I$89,3,0)*VLOOKUP('Données projet'!$B$14,Paramètres!$A$1:$I$89,5,0)</f>
        <v>-8.1404323282185943E-13</v>
      </c>
      <c r="DQ176" s="14" t="e">
        <f t="shared" si="176"/>
        <v>#NUM!</v>
      </c>
      <c r="DR176" s="22" t="e">
        <f t="shared" si="177"/>
        <v>#NUM!</v>
      </c>
      <c r="DS176" s="62" t="e">
        <f t="shared" si="125"/>
        <v>#NUM!</v>
      </c>
      <c r="DT176" s="62">
        <f ca="1">AVERAGE(OFFSET($DS$3,0,0,'Données projet'!$E$14+1,1))-AVERAGE(OFFSET($H$3,0,0,'Données projet'!$E$14+1,1))</f>
        <v>402.15128814037058</v>
      </c>
      <c r="DU176" s="62">
        <f t="shared" si="152"/>
        <v>232.85411068442738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>
        <f>EXP(-LN(2)/35)*EA175+(1-EXP(-LN(2)/35))/(LN(2)/35)*DW176*DX176*VLOOKUP('Données projet'!$B$14,Paramètres!$A$1:$I$89,3,0)*0.475*44/12</f>
        <v>0</v>
      </c>
      <c r="EB176" s="23">
        <f>EXP(-LN(2)/25)*EB175+(1-EXP(-LN(2)/25))/(LN(2)/25)*Calculateur!DW176*Calculateur!DY176*VLOOKUP('Données projet'!$B$14,Paramètres!$A$1:$I$89,3,0)*0.475*44/12</f>
        <v>0</v>
      </c>
      <c r="EC176" s="23">
        <f>EXP(-LN(2)/2)*EC175+(1-EXP(-LN(2)/2))/(LN(2)/2)*DW176*DZ176*VLOOKUP('Données projet'!$B$14,Paramètres!$A$1:$I$89,3,0)*0.475*44/12</f>
        <v>0</v>
      </c>
      <c r="ED176" s="24">
        <f t="shared" si="178"/>
        <v>0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6.2527760746888816E-13</v>
      </c>
      <c r="EK176" s="18">
        <f>EJ176*VLOOKUP('Données projet'!$B$15,Paramètres!$A$1:$I$89,3,0)*VLOOKUP('Données projet'!$B$15,Paramètres!$A$1:$I$89,5,0)</f>
        <v>6.5354015532648198E-13</v>
      </c>
      <c r="EL176" s="14">
        <f t="shared" si="179"/>
        <v>7.8909019831354483E-12</v>
      </c>
      <c r="EM176" s="22">
        <f t="shared" si="180"/>
        <v>1.4881570057821194E-11</v>
      </c>
      <c r="EN176" s="62">
        <f t="shared" si="128"/>
        <v>293.33333333334821</v>
      </c>
      <c r="EO176" s="62">
        <f ca="1">AVERAGE(OFFSET($EN$3,0,0,'Données projet'!$E$15+1,1))-AVERAGE(OFFSET($H$3,0,0,'Données projet'!$E$15+1,1))</f>
        <v>595.89992279024398</v>
      </c>
      <c r="EP176" s="62">
        <f t="shared" si="154"/>
        <v>378.16197659288338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>
        <f>EXP(-LN(2)/35)*EV175+(1-EXP(-LN(2)/35))/(LN(2)/35)*ER176*ES176*VLOOKUP('Données projet'!$B$15,Paramètres!$A$1:$I$89,3,0)*0.475*44/12</f>
        <v>0</v>
      </c>
      <c r="EW176" s="23">
        <f>EXP(-LN(2)/25)*EW175+(1-EXP(-LN(2)/25))/(LN(2)/25)*Calculateur!ER176*Calculateur!ET176*VLOOKUP('Données projet'!$B$15,Paramètres!$A$1:$I$89,3,0)*0.475*44/12</f>
        <v>0</v>
      </c>
      <c r="EX176" s="23">
        <f>EXP(-LN(2)/2)*EX175+(1-EXP(-LN(2)/2))/(LN(2)/2)*ER176*EU176*VLOOKUP('Données projet'!$B$15,Paramètres!$A$1:$I$89,3,0)*0.475*44/12</f>
        <v>0</v>
      </c>
      <c r="EY176" s="24">
        <f t="shared" si="181"/>
        <v>0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-2.2737367544323206E-13</v>
      </c>
      <c r="FF176" s="18">
        <f>FE176*VLOOKUP('Données projet'!$B$16,Paramètres!$A$1:$I$89,3,0)*VLOOKUP('Données projet'!$B$16,Paramètres!$A$1:$I$89,5,0)</f>
        <v>-1.3596945791505279E-13</v>
      </c>
      <c r="FG176" s="14" t="e">
        <f t="shared" si="182"/>
        <v>#NUM!</v>
      </c>
      <c r="FH176" s="22" t="e">
        <f t="shared" si="183"/>
        <v>#NUM!</v>
      </c>
      <c r="FI176" s="62" t="e">
        <f t="shared" si="131"/>
        <v>#NUM!</v>
      </c>
      <c r="FJ176" s="62">
        <f ca="1">AVERAGE(OFFSET($FI$3,0,0,'Données projet'!$E$16+1,1))-AVERAGE(OFFSET($H$3,0,0,'Données projet'!$E$16+1,1))</f>
        <v>257.56116197646924</v>
      </c>
      <c r="FK176" s="62">
        <f t="shared" si="156"/>
        <v>269.95556918835888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>
        <f>EXP(-LN(2)/35)*FQ175+(1-EXP(-LN(2)/35))/(LN(2)/35)*FM176*FN176*VLOOKUP('Données projet'!$B$16,Paramètres!$A$1:$I$89,3,0)*0.475*44/12</f>
        <v>0.85877208372589153</v>
      </c>
      <c r="FR176" s="23">
        <f>EXP(-LN(2)/25)*FR175+(1-EXP(-LN(2)/25))/(LN(2)/25)*Calculateur!FM176*Calculateur!FO176*VLOOKUP('Données projet'!$B$16,Paramètres!$A$1:$I$89,3,0)*0.475*44/12</f>
        <v>0.30626307360278915</v>
      </c>
      <c r="FS176" s="23">
        <f>EXP(-LN(2)/2)*FS175+(1-EXP(-LN(2)/2))/(LN(2)/2)*FM176*FP176*VLOOKUP('Données projet'!$B$16,Paramètres!$A$1:$I$89,3,0)*0.475*44/12</f>
        <v>2.5617030852880138E-21</v>
      </c>
      <c r="FT176" s="24">
        <f t="shared" si="184"/>
        <v>1.1650351573286808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-2.8421709430404007E-13</v>
      </c>
      <c r="GA176" s="18">
        <f>FZ176*VLOOKUP('Données projet'!$B$17,Paramètres!$A$1:$I$89,3,0)*VLOOKUP('Données projet'!$B$17,Paramètres!$A$1:$I$89,5,0)</f>
        <v>-1.69961822393816E-13</v>
      </c>
      <c r="GB176" s="14" t="e">
        <f t="shared" si="185"/>
        <v>#NUM!</v>
      </c>
      <c r="GC176" s="22" t="e">
        <f t="shared" si="186"/>
        <v>#NUM!</v>
      </c>
      <c r="GD176" s="62" t="e">
        <f t="shared" si="134"/>
        <v>#NUM!</v>
      </c>
      <c r="GE176" s="62">
        <f ca="1">AVERAGE(OFFSET($GD$3,0,0,'Données projet'!$E$17+1,1))-AVERAGE(OFFSET($H$3,0,0,'Données projet'!$E$17+1,1))</f>
        <v>289.12367833861299</v>
      </c>
      <c r="GF176" s="62">
        <f t="shared" si="158"/>
        <v>229.06617320689003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>
        <f>EXP(-LN(2)/35)*GL175+(1-EXP(-LN(2)/35))/(LN(2)/35)*GH176*GI176*VLOOKUP('Données projet'!$B$17,Paramètres!$A$1:$I$89,3,0)*0.475*44/12</f>
        <v>0</v>
      </c>
      <c r="GM176" s="23">
        <f>EXP(-LN(2)/25)*GM175+(1-EXP(-LN(2)/25))/(LN(2)/25)*Calculateur!GH176*Calculateur!GJ176*VLOOKUP('Données projet'!$B$17,Paramètres!$A$1:$I$89,3,0)*0.475*44/12</f>
        <v>0</v>
      </c>
      <c r="GN176" s="23">
        <f>EXP(-LN(2)/2)*GN175+(1-EXP(-LN(2)/2))/(LN(2)/2)*GH176*GK176*VLOOKUP('Données projet'!$B$17,Paramètres!$A$1:$I$89,3,0)*0.475*44/12</f>
        <v>1.2418583838297085E-21</v>
      </c>
      <c r="GO176" s="23">
        <f t="shared" si="187"/>
        <v>1.2418583838297085E-21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-5.6843418860808015E-14</v>
      </c>
      <c r="GV176" s="18">
        <f>GU176*VLOOKUP('Données projet'!$B$18,Paramètres!$A$1:$I$89,3,0)*VLOOKUP('Données projet'!$B$18,Paramètres!$A$1:$I$89,5,0)</f>
        <v>-2.6602720026858149E-14</v>
      </c>
      <c r="GW176" s="14" t="e">
        <f t="shared" si="188"/>
        <v>#NUM!</v>
      </c>
      <c r="GX176" s="22" t="e">
        <f t="shared" si="189"/>
        <v>#NUM!</v>
      </c>
      <c r="GY176" s="62" t="e">
        <f t="shared" si="137"/>
        <v>#NUM!</v>
      </c>
      <c r="GZ176" s="62">
        <f ca="1">AVERAGE(OFFSET($GY$3,0,0,'Données projet'!$E$18+1,1))-AVERAGE(OFFSET($H$3,0,0,'Données projet'!$E$18+1,1))</f>
        <v>284.88646502866419</v>
      </c>
      <c r="HA176" s="62">
        <f t="shared" si="160"/>
        <v>190.4880882944471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>
        <f>EXP(-LN(2)/35)*HG175+(1-EXP(-LN(2)/35))/(LN(2)/35)*HC176*HD176*VLOOKUP('Données projet'!$B$18,Paramètres!$A$1:$I$89,3,0)*0.475*44/12</f>
        <v>0</v>
      </c>
      <c r="HH176" s="23">
        <f>EXP(-LN(2)/25)*HH175+(1-EXP(-LN(2)/25))/(LN(2)/25)*Calculateur!HC176*Calculateur!HE176*VLOOKUP('Données projet'!$B$18,Paramètres!$A$1:$I$89,3,0)*0.475*44/12</f>
        <v>0</v>
      </c>
      <c r="HI176" s="23">
        <f>EXP(-LN(2)/2)*HI175+(1-EXP(-LN(2)/2))/(LN(2)/2)*HC176*HF176*VLOOKUP('Données projet'!$B$18,Paramètres!$A$1:$I$89,3,0)*0.475*44/12</f>
        <v>0</v>
      </c>
      <c r="HJ176" s="24">
        <f t="shared" si="190"/>
        <v>0</v>
      </c>
    </row>
    <row r="177" spans="1:218" x14ac:dyDescent="0.25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2">
        <f t="shared" si="140"/>
        <v>0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0</v>
      </c>
      <c r="H177" s="70">
        <f t="shared" si="110"/>
        <v>256.66666666666669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-1.1368683772161603E-13</v>
      </c>
      <c r="O177" s="14">
        <f>N177*VLOOKUP('Données projet'!$B$9,Paramètres!$A$1:$I$89,3,0)*VLOOKUP('Données projet'!$B$9,Paramètres!$A$1:$I$89,5,0)</f>
        <v>-1.0818439477588981E-13</v>
      </c>
      <c r="P177" s="14" t="e">
        <f t="shared" si="141"/>
        <v>#NUM!</v>
      </c>
      <c r="Q177" s="22" t="e">
        <f t="shared" si="162"/>
        <v>#NUM!</v>
      </c>
      <c r="R177" s="62" t="e">
        <f t="shared" si="109"/>
        <v>#NUM!</v>
      </c>
      <c r="S177" s="62">
        <f ca="1">AVERAGE(OFFSET($R$3,0,0,'Données projet'!$E$9+1,1))-AVERAGE(OFFSET($H$3,0,0,'Données projet'!$E$9+1,1))</f>
        <v>367.11183928586667</v>
      </c>
      <c r="T177" s="62">
        <f t="shared" si="142"/>
        <v>281.52963027844595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0</v>
      </c>
      <c r="AA177" s="23">
        <f>EXP(-LN(2)/25)*AA176+(1-EXP(-LN(2)/25))/(LN(2)/25)*Calculateur!V177*Calculateur!X177*VLOOKUP('Données projet'!$B$9,Paramètres!$A$1:$I$89,3,0)*0.475*44/12</f>
        <v>0</v>
      </c>
      <c r="AB177" s="23">
        <f>EXP(-LN(2)/2)*AB176+(1-EXP(-LN(2)/2))/(LN(2)/2)*V177*Y177*VLOOKUP('Données projet'!$B$9,Paramètres!$A$1:$I$89,3,0)*0.475*44/12</f>
        <v>0</v>
      </c>
      <c r="AC177" s="24">
        <f t="shared" si="163"/>
        <v>0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-9.6633812063373625E-13</v>
      </c>
      <c r="AJ177" s="14">
        <f>AI177*VLOOKUP('Données projet'!$B$10,Paramètres!$A$1:$I$89,3,0)*VLOOKUP('Données projet'!$B$10,Paramètres!$A$1:$I$89,5,0)</f>
        <v>-8.7434273154940449E-13</v>
      </c>
      <c r="AK177" s="14" t="e">
        <f t="shared" si="164"/>
        <v>#NUM!</v>
      </c>
      <c r="AL177" s="22" t="e">
        <f t="shared" si="165"/>
        <v>#NUM!</v>
      </c>
      <c r="AM177" s="62" t="e">
        <f t="shared" si="113"/>
        <v>#NUM!</v>
      </c>
      <c r="AN177" s="62">
        <f ca="1">AVERAGE(OFFSET($AM$3,0,0,'Données projet'!$E$10+1,1))-AVERAGE(OFFSET($H$3,0,0,'Données projet'!$E$10+1,1))</f>
        <v>428.8489304403459</v>
      </c>
      <c r="AO177" s="62">
        <f t="shared" si="144"/>
        <v>247.01165577562966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0</v>
      </c>
      <c r="AV177" s="23">
        <f>EXP(-LN(2)/25)*AV176+(1-EXP(-LN(2)/25))/(LN(2)/25)*Calculateur!AQ177*Calculateur!AS177*VLOOKUP('Données projet'!$B$10,Paramètres!$A$1:$I$89,3,0)*0.475*44/12</f>
        <v>0</v>
      </c>
      <c r="AW177" s="23">
        <f>EXP(-LN(2)/2)*AW176+(1-EXP(-LN(2)/2))/(LN(2)/2)*AQ177*AT177*VLOOKUP('Données projet'!$B$10,Paramètres!$A$1:$I$89,3,0)*0.475*44/12</f>
        <v>0</v>
      </c>
      <c r="AX177" s="23">
        <f t="shared" si="166"/>
        <v>0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-9.6633812063373625E-13</v>
      </c>
      <c r="BE177" s="14">
        <f>BD177*VLOOKUP('Données projet'!$B$11,Paramètres!$A$1:$I$89,3,0)*VLOOKUP('Données projet'!$B$11,Paramètres!$A$1:$I$89,5,0)</f>
        <v>-9.7986685432260874E-13</v>
      </c>
      <c r="BF177" s="14" t="e">
        <f t="shared" si="167"/>
        <v>#NUM!</v>
      </c>
      <c r="BG177" s="22" t="e">
        <f t="shared" si="168"/>
        <v>#NUM!</v>
      </c>
      <c r="BH177" s="62" t="e">
        <f t="shared" si="116"/>
        <v>#NUM!</v>
      </c>
      <c r="BI177" s="62">
        <f ca="1">AVERAGE(OFFSET($BH$3,0,0,'Données projet'!$E$11+1,1))-AVERAGE(OFFSET($H$3,0,0,'Données projet'!$E$11+1,1))</f>
        <v>475.47920969424894</v>
      </c>
      <c r="BJ177" s="62">
        <f t="shared" si="146"/>
        <v>271.73544012419364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>
        <f>EXP(-LN(2)/35)*BP176+(1-EXP(-LN(2)/35))/(LN(2)/35)*BL177*BM177*VLOOKUP('Données projet'!$B$11,Paramètres!$A$1:$I$89,3,0)*0.475*44/12</f>
        <v>0</v>
      </c>
      <c r="BQ177" s="23">
        <f>EXP(-LN(2)/25)*BQ176+(1-EXP(-LN(2)/25))/(LN(2)/25)*Calculateur!BL177*Calculateur!BN177*VLOOKUP('Données projet'!$B$11,Paramètres!$A$1:$I$89,3,0)*0.475*44/12</f>
        <v>0</v>
      </c>
      <c r="BR177" s="23">
        <f>EXP(-LN(2)/2)*BR176+(1-EXP(-LN(2)/2))/(LN(2)/2)*BL177*BO177*VLOOKUP('Données projet'!$B$11,Paramètres!$A$1:$I$89,3,0)*0.475*44/12</f>
        <v>0</v>
      </c>
      <c r="BS177" s="24">
        <f t="shared" si="169"/>
        <v>0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2.2737367544323206E-13</v>
      </c>
      <c r="BZ177" s="14">
        <f>BY177*VLOOKUP('Données projet'!$B$12,Paramètres!$A$1:$I$89,3,0)*VLOOKUP('Données projet'!$B$12,Paramètres!$A$1:$I$89,5,0)</f>
        <v>1.2710188457276673E-13</v>
      </c>
      <c r="CA177" s="14">
        <f t="shared" si="170"/>
        <v>1.856866851063998E-12</v>
      </c>
      <c r="CB177" s="22">
        <f t="shared" si="171"/>
        <v>3.4554122145673649E-12</v>
      </c>
      <c r="CC177" s="62">
        <f t="shared" si="119"/>
        <v>293.33333333333678</v>
      </c>
      <c r="CD177" s="62">
        <f ca="1">AVERAGE(OFFSET($CC$3,0,0,'Données projet'!$E$12+1,1))-AVERAGE(OFFSET($H$3,0,0,'Données projet'!$E$12+1,1))</f>
        <v>323.98185264074681</v>
      </c>
      <c r="CE177" s="62">
        <f t="shared" si="148"/>
        <v>301.22207291854005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>
        <f>EXP(-LN(2)/35)*CK176+(1-EXP(-LN(2)/35))/(LN(2)/35)*CG177*CH177*VLOOKUP('Données projet'!$B$12,Paramètres!$A$1:$I$89,3,0)*0.475*44/12</f>
        <v>0.25765430291714764</v>
      </c>
      <c r="CL177" s="23">
        <f>EXP(-LN(2)/25)*CL176+(1-EXP(-LN(2)/25))/(LN(2)/25)*Calculateur!CG177*Calculateur!CI177*VLOOKUP('Données projet'!$B$12,Paramètres!$A$1:$I$89,3,0)*0.475*44/12</f>
        <v>0.15218750551137425</v>
      </c>
      <c r="CM177" s="23">
        <f>EXP(-LN(2)/2)*CM176+(1-EXP(-LN(2)/2))/(LN(2)/2)*CG177*CJ177*VLOOKUP('Données projet'!$B$12,Paramètres!$A$1:$I$89,3,0)*0.475*44/12</f>
        <v>1.2891433144169354E-21</v>
      </c>
      <c r="CN177" s="24">
        <f t="shared" si="172"/>
        <v>0.40984180842852191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>
        <f>CT177*VLOOKUP('Données projet'!$B$13,Paramètres!$A$1:$I$89,3,0)*VLOOKUP('Données projet'!$B$13,Paramètres!$A$1:$I$89,5,0)</f>
        <v>0</v>
      </c>
      <c r="CV177" s="14" t="e">
        <f t="shared" si="173"/>
        <v>#NUM!</v>
      </c>
      <c r="CW177" s="22" t="e">
        <f t="shared" si="174"/>
        <v>#NUM!</v>
      </c>
      <c r="CX177" s="62" t="e">
        <f t="shared" si="122"/>
        <v>#NUM!</v>
      </c>
      <c r="CY177" s="62">
        <f ca="1">AVERAGE(OFFSET($CX$3,0,0,'Données projet'!$E$13+1,1))-AVERAGE(OFFSET($H$3,0,0,'Données projet'!$E$13+1,1))</f>
        <v>399.78832690250164</v>
      </c>
      <c r="CZ177" s="62">
        <f t="shared" si="150"/>
        <v>174.32967064896343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>
        <f>EXP(-LN(2)/35)*DF176+(1-EXP(-LN(2)/35))/(LN(2)/35)*DB177*DC177*VLOOKUP('Données projet'!$B$13,Paramètres!$A$1:$I$89,3,0)*0.475*44/12</f>
        <v>0</v>
      </c>
      <c r="DG177" s="23">
        <f>EXP(-LN(2)/25)*DG176+(1-EXP(-LN(2)/25))/(LN(2)/25)*Calculateur!DB177*Calculateur!DD177*VLOOKUP('Données projet'!$B$13,Paramètres!$A$1:$I$89,3,0)*0.475*44/12</f>
        <v>0</v>
      </c>
      <c r="DH177" s="23">
        <f>EXP(-LN(2)/2)*DH176+(1-EXP(-LN(2)/2))/(LN(2)/2)*DB177*DE177*VLOOKUP('Données projet'!$B$13,Paramètres!$A$1:$I$89,3,0)*0.475*44/12</f>
        <v>0</v>
      </c>
      <c r="DI177" s="24">
        <f t="shared" si="175"/>
        <v>0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-9.6633812063373625E-13</v>
      </c>
      <c r="DP177" s="18">
        <f>DO177*VLOOKUP('Données projet'!$B$14,Paramètres!$A$1:$I$89,3,0)*VLOOKUP('Données projet'!$B$14,Paramètres!$A$1:$I$89,5,0)</f>
        <v>-8.1404323282185943E-13</v>
      </c>
      <c r="DQ177" s="14" t="e">
        <f t="shared" si="176"/>
        <v>#NUM!</v>
      </c>
      <c r="DR177" s="22" t="e">
        <f t="shared" si="177"/>
        <v>#NUM!</v>
      </c>
      <c r="DS177" s="62" t="e">
        <f t="shared" si="125"/>
        <v>#NUM!</v>
      </c>
      <c r="DT177" s="62">
        <f ca="1">AVERAGE(OFFSET($DS$3,0,0,'Données projet'!$E$14+1,1))-AVERAGE(OFFSET($H$3,0,0,'Données projet'!$E$14+1,1))</f>
        <v>402.15128814037058</v>
      </c>
      <c r="DU177" s="62">
        <f t="shared" si="152"/>
        <v>232.85411068442738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>
        <f>EXP(-LN(2)/35)*EA176+(1-EXP(-LN(2)/35))/(LN(2)/35)*DW177*DX177*VLOOKUP('Données projet'!$B$14,Paramètres!$A$1:$I$89,3,0)*0.475*44/12</f>
        <v>0</v>
      </c>
      <c r="EB177" s="23">
        <f>EXP(-LN(2)/25)*EB176+(1-EXP(-LN(2)/25))/(LN(2)/25)*Calculateur!DW177*Calculateur!DY177*VLOOKUP('Données projet'!$B$14,Paramètres!$A$1:$I$89,3,0)*0.475*44/12</f>
        <v>0</v>
      </c>
      <c r="EC177" s="23">
        <f>EXP(-LN(2)/2)*EC176+(1-EXP(-LN(2)/2))/(LN(2)/2)*DW177*DZ177*VLOOKUP('Données projet'!$B$14,Paramètres!$A$1:$I$89,3,0)*0.475*44/12</f>
        <v>0</v>
      </c>
      <c r="ED177" s="24">
        <f t="shared" si="178"/>
        <v>0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6.2527760746888816E-13</v>
      </c>
      <c r="EK177" s="18">
        <f>EJ177*VLOOKUP('Données projet'!$B$15,Paramètres!$A$1:$I$89,3,0)*VLOOKUP('Données projet'!$B$15,Paramètres!$A$1:$I$89,5,0)</f>
        <v>6.5354015532648198E-13</v>
      </c>
      <c r="EL177" s="14">
        <f t="shared" si="179"/>
        <v>7.8909019831354483E-12</v>
      </c>
      <c r="EM177" s="22">
        <f t="shared" si="180"/>
        <v>1.4881570057821194E-11</v>
      </c>
      <c r="EN177" s="62">
        <f t="shared" si="128"/>
        <v>293.33333333334821</v>
      </c>
      <c r="EO177" s="62">
        <f ca="1">AVERAGE(OFFSET($EN$3,0,0,'Données projet'!$E$15+1,1))-AVERAGE(OFFSET($H$3,0,0,'Données projet'!$E$15+1,1))</f>
        <v>595.89992279024398</v>
      </c>
      <c r="EP177" s="62">
        <f t="shared" si="154"/>
        <v>378.16197659288338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>
        <f>EXP(-LN(2)/35)*EV176+(1-EXP(-LN(2)/35))/(LN(2)/35)*ER177*ES177*VLOOKUP('Données projet'!$B$15,Paramètres!$A$1:$I$89,3,0)*0.475*44/12</f>
        <v>0</v>
      </c>
      <c r="EW177" s="23">
        <f>EXP(-LN(2)/25)*EW176+(1-EXP(-LN(2)/25))/(LN(2)/25)*Calculateur!ER177*Calculateur!ET177*VLOOKUP('Données projet'!$B$15,Paramètres!$A$1:$I$89,3,0)*0.475*44/12</f>
        <v>0</v>
      </c>
      <c r="EX177" s="23">
        <f>EXP(-LN(2)/2)*EX176+(1-EXP(-LN(2)/2))/(LN(2)/2)*ER177*EU177*VLOOKUP('Données projet'!$B$15,Paramètres!$A$1:$I$89,3,0)*0.475*44/12</f>
        <v>0</v>
      </c>
      <c r="EY177" s="24">
        <f t="shared" si="181"/>
        <v>0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-2.2737367544323206E-13</v>
      </c>
      <c r="FF177" s="18">
        <f>FE177*VLOOKUP('Données projet'!$B$16,Paramètres!$A$1:$I$89,3,0)*VLOOKUP('Données projet'!$B$16,Paramètres!$A$1:$I$89,5,0)</f>
        <v>-1.3596945791505279E-13</v>
      </c>
      <c r="FG177" s="14" t="e">
        <f t="shared" si="182"/>
        <v>#NUM!</v>
      </c>
      <c r="FH177" s="22" t="e">
        <f t="shared" si="183"/>
        <v>#NUM!</v>
      </c>
      <c r="FI177" s="62" t="e">
        <f t="shared" si="131"/>
        <v>#NUM!</v>
      </c>
      <c r="FJ177" s="62">
        <f ca="1">AVERAGE(OFFSET($FI$3,0,0,'Données projet'!$E$16+1,1))-AVERAGE(OFFSET($H$3,0,0,'Données projet'!$E$16+1,1))</f>
        <v>257.56116197646924</v>
      </c>
      <c r="FK177" s="62">
        <f t="shared" si="156"/>
        <v>269.95556918835888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>
        <f>EXP(-LN(2)/35)*FQ176+(1-EXP(-LN(2)/35))/(LN(2)/35)*FM177*FN177*VLOOKUP('Données projet'!$B$16,Paramètres!$A$1:$I$89,3,0)*0.475*44/12</f>
        <v>0.84193208696327704</v>
      </c>
      <c r="FR177" s="23">
        <f>EXP(-LN(2)/25)*FR176+(1-EXP(-LN(2)/25))/(LN(2)/25)*Calculateur!FM177*Calculateur!FO177*VLOOKUP('Données projet'!$B$16,Paramètres!$A$1:$I$89,3,0)*0.475*44/12</f>
        <v>0.29788829374944581</v>
      </c>
      <c r="FS177" s="23">
        <f>EXP(-LN(2)/2)*FS176+(1-EXP(-LN(2)/2))/(LN(2)/2)*FM177*FP177*VLOOKUP('Données projet'!$B$16,Paramètres!$A$1:$I$89,3,0)*0.475*44/12</f>
        <v>1.8113976229936552E-21</v>
      </c>
      <c r="FT177" s="24">
        <f t="shared" si="184"/>
        <v>1.139820380712723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-2.8421709430404007E-13</v>
      </c>
      <c r="GA177" s="18">
        <f>FZ177*VLOOKUP('Données projet'!$B$17,Paramètres!$A$1:$I$89,3,0)*VLOOKUP('Données projet'!$B$17,Paramètres!$A$1:$I$89,5,0)</f>
        <v>-1.69961822393816E-13</v>
      </c>
      <c r="GB177" s="14" t="e">
        <f t="shared" si="185"/>
        <v>#NUM!</v>
      </c>
      <c r="GC177" s="22" t="e">
        <f t="shared" si="186"/>
        <v>#NUM!</v>
      </c>
      <c r="GD177" s="62" t="e">
        <f t="shared" si="134"/>
        <v>#NUM!</v>
      </c>
      <c r="GE177" s="62">
        <f ca="1">AVERAGE(OFFSET($GD$3,0,0,'Données projet'!$E$17+1,1))-AVERAGE(OFFSET($H$3,0,0,'Données projet'!$E$17+1,1))</f>
        <v>289.12367833861299</v>
      </c>
      <c r="GF177" s="62">
        <f t="shared" si="158"/>
        <v>229.06617320689003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>
        <f>EXP(-LN(2)/35)*GL176+(1-EXP(-LN(2)/35))/(LN(2)/35)*GH177*GI177*VLOOKUP('Données projet'!$B$17,Paramètres!$A$1:$I$89,3,0)*0.475*44/12</f>
        <v>0</v>
      </c>
      <c r="GM177" s="23">
        <f>EXP(-LN(2)/25)*GM176+(1-EXP(-LN(2)/25))/(LN(2)/25)*Calculateur!GH177*Calculateur!GJ177*VLOOKUP('Données projet'!$B$17,Paramètres!$A$1:$I$89,3,0)*0.475*44/12</f>
        <v>0</v>
      </c>
      <c r="GN177" s="23">
        <f>EXP(-LN(2)/2)*GN176+(1-EXP(-LN(2)/2))/(LN(2)/2)*GH177*GK177*VLOOKUP('Données projet'!$B$17,Paramètres!$A$1:$I$89,3,0)*0.475*44/12</f>
        <v>8.7812648447935325E-22</v>
      </c>
      <c r="GO177" s="23">
        <f t="shared" si="187"/>
        <v>8.7812648447935325E-22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-5.6843418860808015E-14</v>
      </c>
      <c r="GV177" s="18">
        <f>GU177*VLOOKUP('Données projet'!$B$18,Paramètres!$A$1:$I$89,3,0)*VLOOKUP('Données projet'!$B$18,Paramètres!$A$1:$I$89,5,0)</f>
        <v>-2.6602720026858149E-14</v>
      </c>
      <c r="GW177" s="14" t="e">
        <f t="shared" si="188"/>
        <v>#NUM!</v>
      </c>
      <c r="GX177" s="22" t="e">
        <f t="shared" si="189"/>
        <v>#NUM!</v>
      </c>
      <c r="GY177" s="62" t="e">
        <f t="shared" si="137"/>
        <v>#NUM!</v>
      </c>
      <c r="GZ177" s="62">
        <f ca="1">AVERAGE(OFFSET($GY$3,0,0,'Données projet'!$E$18+1,1))-AVERAGE(OFFSET($H$3,0,0,'Données projet'!$E$18+1,1))</f>
        <v>284.88646502866419</v>
      </c>
      <c r="HA177" s="62">
        <f t="shared" si="160"/>
        <v>190.4880882944471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>
        <f>EXP(-LN(2)/35)*HG176+(1-EXP(-LN(2)/35))/(LN(2)/35)*HC177*HD177*VLOOKUP('Données projet'!$B$18,Paramètres!$A$1:$I$89,3,0)*0.475*44/12</f>
        <v>0</v>
      </c>
      <c r="HH177" s="23">
        <f>EXP(-LN(2)/25)*HH176+(1-EXP(-LN(2)/25))/(LN(2)/25)*Calculateur!HC177*Calculateur!HE177*VLOOKUP('Données projet'!$B$18,Paramètres!$A$1:$I$89,3,0)*0.475*44/12</f>
        <v>0</v>
      </c>
      <c r="HI177" s="23">
        <f>EXP(-LN(2)/2)*HI176+(1-EXP(-LN(2)/2))/(LN(2)/2)*HC177*HF177*VLOOKUP('Données projet'!$B$18,Paramètres!$A$1:$I$89,3,0)*0.475*44/12</f>
        <v>0</v>
      </c>
      <c r="HJ177" s="24">
        <f t="shared" si="190"/>
        <v>0</v>
      </c>
    </row>
    <row r="178" spans="1:218" x14ac:dyDescent="0.25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2">
        <f t="shared" si="140"/>
        <v>0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0</v>
      </c>
      <c r="H178" s="70">
        <f t="shared" si="110"/>
        <v>256.66666666666669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-1.1368683772161603E-13</v>
      </c>
      <c r="O178" s="14">
        <f>N178*VLOOKUP('Données projet'!$B$9,Paramètres!$A$1:$I$89,3,0)*VLOOKUP('Données projet'!$B$9,Paramètres!$A$1:$I$89,5,0)</f>
        <v>-1.0818439477588981E-13</v>
      </c>
      <c r="P178" s="14" t="e">
        <f t="shared" si="141"/>
        <v>#NUM!</v>
      </c>
      <c r="Q178" s="22" t="e">
        <f t="shared" si="162"/>
        <v>#NUM!</v>
      </c>
      <c r="R178" s="62" t="e">
        <f t="shared" si="109"/>
        <v>#NUM!</v>
      </c>
      <c r="S178" s="62">
        <f ca="1">AVERAGE(OFFSET($R$3,0,0,'Données projet'!$E$9+1,1))-AVERAGE(OFFSET($H$3,0,0,'Données projet'!$E$9+1,1))</f>
        <v>367.11183928586667</v>
      </c>
      <c r="T178" s="62">
        <f t="shared" si="142"/>
        <v>281.52963027844595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0</v>
      </c>
      <c r="AA178" s="23">
        <f>EXP(-LN(2)/25)*AA177+(1-EXP(-LN(2)/25))/(LN(2)/25)*Calculateur!V178*Calculateur!X178*VLOOKUP('Données projet'!$B$9,Paramètres!$A$1:$I$89,3,0)*0.475*44/12</f>
        <v>0</v>
      </c>
      <c r="AB178" s="23">
        <f>EXP(-LN(2)/2)*AB177+(1-EXP(-LN(2)/2))/(LN(2)/2)*V178*Y178*VLOOKUP('Données projet'!$B$9,Paramètres!$A$1:$I$89,3,0)*0.475*44/12</f>
        <v>0</v>
      </c>
      <c r="AC178" s="24">
        <f t="shared" si="163"/>
        <v>0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-9.6633812063373625E-13</v>
      </c>
      <c r="AJ178" s="14">
        <f>AI178*VLOOKUP('Données projet'!$B$10,Paramètres!$A$1:$I$89,3,0)*VLOOKUP('Données projet'!$B$10,Paramètres!$A$1:$I$89,5,0)</f>
        <v>-8.7434273154940449E-13</v>
      </c>
      <c r="AK178" s="14" t="e">
        <f t="shared" si="164"/>
        <v>#NUM!</v>
      </c>
      <c r="AL178" s="22" t="e">
        <f t="shared" si="165"/>
        <v>#NUM!</v>
      </c>
      <c r="AM178" s="62" t="e">
        <f t="shared" si="113"/>
        <v>#NUM!</v>
      </c>
      <c r="AN178" s="62">
        <f ca="1">AVERAGE(OFFSET($AM$3,0,0,'Données projet'!$E$10+1,1))-AVERAGE(OFFSET($H$3,0,0,'Données projet'!$E$10+1,1))</f>
        <v>428.8489304403459</v>
      </c>
      <c r="AO178" s="62">
        <f t="shared" si="144"/>
        <v>247.01165577562966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0</v>
      </c>
      <c r="AV178" s="23">
        <f>EXP(-LN(2)/25)*AV177+(1-EXP(-LN(2)/25))/(LN(2)/25)*Calculateur!AQ178*Calculateur!AS178*VLOOKUP('Données projet'!$B$10,Paramètres!$A$1:$I$89,3,0)*0.475*44/12</f>
        <v>0</v>
      </c>
      <c r="AW178" s="23">
        <f>EXP(-LN(2)/2)*AW177+(1-EXP(-LN(2)/2))/(LN(2)/2)*AQ178*AT178*VLOOKUP('Données projet'!$B$10,Paramètres!$A$1:$I$89,3,0)*0.475*44/12</f>
        <v>0</v>
      </c>
      <c r="AX178" s="23">
        <f t="shared" si="166"/>
        <v>0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-9.6633812063373625E-13</v>
      </c>
      <c r="BE178" s="14">
        <f>BD178*VLOOKUP('Données projet'!$B$11,Paramètres!$A$1:$I$89,3,0)*VLOOKUP('Données projet'!$B$11,Paramètres!$A$1:$I$89,5,0)</f>
        <v>-9.7986685432260874E-13</v>
      </c>
      <c r="BF178" s="14" t="e">
        <f t="shared" si="167"/>
        <v>#NUM!</v>
      </c>
      <c r="BG178" s="22" t="e">
        <f t="shared" si="168"/>
        <v>#NUM!</v>
      </c>
      <c r="BH178" s="62" t="e">
        <f t="shared" si="116"/>
        <v>#NUM!</v>
      </c>
      <c r="BI178" s="62">
        <f ca="1">AVERAGE(OFFSET($BH$3,0,0,'Données projet'!$E$11+1,1))-AVERAGE(OFFSET($H$3,0,0,'Données projet'!$E$11+1,1))</f>
        <v>475.47920969424894</v>
      </c>
      <c r="BJ178" s="62">
        <f t="shared" si="146"/>
        <v>271.73544012419364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>
        <f>EXP(-LN(2)/35)*BP177+(1-EXP(-LN(2)/35))/(LN(2)/35)*BL178*BM178*VLOOKUP('Données projet'!$B$11,Paramètres!$A$1:$I$89,3,0)*0.475*44/12</f>
        <v>0</v>
      </c>
      <c r="BQ178" s="23">
        <f>EXP(-LN(2)/25)*BQ177+(1-EXP(-LN(2)/25))/(LN(2)/25)*Calculateur!BL178*Calculateur!BN178*VLOOKUP('Données projet'!$B$11,Paramètres!$A$1:$I$89,3,0)*0.475*44/12</f>
        <v>0</v>
      </c>
      <c r="BR178" s="23">
        <f>EXP(-LN(2)/2)*BR177+(1-EXP(-LN(2)/2))/(LN(2)/2)*BL178*BO178*VLOOKUP('Données projet'!$B$11,Paramètres!$A$1:$I$89,3,0)*0.475*44/12</f>
        <v>0</v>
      </c>
      <c r="BS178" s="24">
        <f t="shared" si="169"/>
        <v>0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2.2737367544323206E-13</v>
      </c>
      <c r="BZ178" s="14">
        <f>BY178*VLOOKUP('Données projet'!$B$12,Paramètres!$A$1:$I$89,3,0)*VLOOKUP('Données projet'!$B$12,Paramètres!$A$1:$I$89,5,0)</f>
        <v>1.2710188457276673E-13</v>
      </c>
      <c r="CA178" s="14">
        <f t="shared" si="170"/>
        <v>1.856866851063998E-12</v>
      </c>
      <c r="CB178" s="22">
        <f t="shared" si="171"/>
        <v>3.4554122145673649E-12</v>
      </c>
      <c r="CC178" s="62">
        <f t="shared" si="119"/>
        <v>293.33333333333678</v>
      </c>
      <c r="CD178" s="62">
        <f ca="1">AVERAGE(OFFSET($CC$3,0,0,'Données projet'!$E$12+1,1))-AVERAGE(OFFSET($H$3,0,0,'Données projet'!$E$12+1,1))</f>
        <v>323.98185264074681</v>
      </c>
      <c r="CE178" s="62">
        <f t="shared" si="148"/>
        <v>301.22207291854005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>
        <f>EXP(-LN(2)/35)*CK177+(1-EXP(-LN(2)/35))/(LN(2)/35)*CG178*CH178*VLOOKUP('Données projet'!$B$12,Paramètres!$A$1:$I$89,3,0)*0.475*44/12</f>
        <v>0.2526018591905495</v>
      </c>
      <c r="CL178" s="23">
        <f>EXP(-LN(2)/25)*CL177+(1-EXP(-LN(2)/25))/(LN(2)/25)*Calculateur!CG178*Calculateur!CI178*VLOOKUP('Données projet'!$B$12,Paramètres!$A$1:$I$89,3,0)*0.475*44/12</f>
        <v>0.14802593016997265</v>
      </c>
      <c r="CM178" s="23">
        <f>EXP(-LN(2)/2)*CM177+(1-EXP(-LN(2)/2))/(LN(2)/2)*CG178*CJ178*VLOOKUP('Données projet'!$B$12,Paramètres!$A$1:$I$89,3,0)*0.475*44/12</f>
        <v>9.1156197954551659E-22</v>
      </c>
      <c r="CN178" s="24">
        <f t="shared" si="172"/>
        <v>0.40062778936052212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>
        <f>CT178*VLOOKUP('Données projet'!$B$13,Paramètres!$A$1:$I$89,3,0)*VLOOKUP('Données projet'!$B$13,Paramètres!$A$1:$I$89,5,0)</f>
        <v>0</v>
      </c>
      <c r="CV178" s="14" t="e">
        <f t="shared" si="173"/>
        <v>#NUM!</v>
      </c>
      <c r="CW178" s="22" t="e">
        <f t="shared" si="174"/>
        <v>#NUM!</v>
      </c>
      <c r="CX178" s="62" t="e">
        <f t="shared" si="122"/>
        <v>#NUM!</v>
      </c>
      <c r="CY178" s="62">
        <f ca="1">AVERAGE(OFFSET($CX$3,0,0,'Données projet'!$E$13+1,1))-AVERAGE(OFFSET($H$3,0,0,'Données projet'!$E$13+1,1))</f>
        <v>399.78832690250164</v>
      </c>
      <c r="CZ178" s="62">
        <f t="shared" si="150"/>
        <v>174.32967064896343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>
        <f>EXP(-LN(2)/35)*DF177+(1-EXP(-LN(2)/35))/(LN(2)/35)*DB178*DC178*VLOOKUP('Données projet'!$B$13,Paramètres!$A$1:$I$89,3,0)*0.475*44/12</f>
        <v>0</v>
      </c>
      <c r="DG178" s="23">
        <f>EXP(-LN(2)/25)*DG177+(1-EXP(-LN(2)/25))/(LN(2)/25)*Calculateur!DB178*Calculateur!DD178*VLOOKUP('Données projet'!$B$13,Paramètres!$A$1:$I$89,3,0)*0.475*44/12</f>
        <v>0</v>
      </c>
      <c r="DH178" s="23">
        <f>EXP(-LN(2)/2)*DH177+(1-EXP(-LN(2)/2))/(LN(2)/2)*DB178*DE178*VLOOKUP('Données projet'!$B$13,Paramètres!$A$1:$I$89,3,0)*0.475*44/12</f>
        <v>0</v>
      </c>
      <c r="DI178" s="24">
        <f t="shared" si="175"/>
        <v>0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-9.6633812063373625E-13</v>
      </c>
      <c r="DP178" s="18">
        <f>DO178*VLOOKUP('Données projet'!$B$14,Paramètres!$A$1:$I$89,3,0)*VLOOKUP('Données projet'!$B$14,Paramètres!$A$1:$I$89,5,0)</f>
        <v>-8.1404323282185943E-13</v>
      </c>
      <c r="DQ178" s="14" t="e">
        <f t="shared" si="176"/>
        <v>#NUM!</v>
      </c>
      <c r="DR178" s="22" t="e">
        <f t="shared" si="177"/>
        <v>#NUM!</v>
      </c>
      <c r="DS178" s="62" t="e">
        <f t="shared" si="125"/>
        <v>#NUM!</v>
      </c>
      <c r="DT178" s="62">
        <f ca="1">AVERAGE(OFFSET($DS$3,0,0,'Données projet'!$E$14+1,1))-AVERAGE(OFFSET($H$3,0,0,'Données projet'!$E$14+1,1))</f>
        <v>402.15128814037058</v>
      </c>
      <c r="DU178" s="62">
        <f t="shared" si="152"/>
        <v>232.85411068442738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>
        <f>EXP(-LN(2)/35)*EA177+(1-EXP(-LN(2)/35))/(LN(2)/35)*DW178*DX178*VLOOKUP('Données projet'!$B$14,Paramètres!$A$1:$I$89,3,0)*0.475*44/12</f>
        <v>0</v>
      </c>
      <c r="EB178" s="23">
        <f>EXP(-LN(2)/25)*EB177+(1-EXP(-LN(2)/25))/(LN(2)/25)*Calculateur!DW178*Calculateur!DY178*VLOOKUP('Données projet'!$B$14,Paramètres!$A$1:$I$89,3,0)*0.475*44/12</f>
        <v>0</v>
      </c>
      <c r="EC178" s="23">
        <f>EXP(-LN(2)/2)*EC177+(1-EXP(-LN(2)/2))/(LN(2)/2)*DW178*DZ178*VLOOKUP('Données projet'!$B$14,Paramètres!$A$1:$I$89,3,0)*0.475*44/12</f>
        <v>0</v>
      </c>
      <c r="ED178" s="24">
        <f t="shared" si="178"/>
        <v>0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6.2527760746888816E-13</v>
      </c>
      <c r="EK178" s="18">
        <f>EJ178*VLOOKUP('Données projet'!$B$15,Paramètres!$A$1:$I$89,3,0)*VLOOKUP('Données projet'!$B$15,Paramètres!$A$1:$I$89,5,0)</f>
        <v>6.5354015532648198E-13</v>
      </c>
      <c r="EL178" s="14">
        <f t="shared" si="179"/>
        <v>7.8909019831354483E-12</v>
      </c>
      <c r="EM178" s="22">
        <f t="shared" si="180"/>
        <v>1.4881570057821194E-11</v>
      </c>
      <c r="EN178" s="62">
        <f t="shared" si="128"/>
        <v>293.33333333334821</v>
      </c>
      <c r="EO178" s="62">
        <f ca="1">AVERAGE(OFFSET($EN$3,0,0,'Données projet'!$E$15+1,1))-AVERAGE(OFFSET($H$3,0,0,'Données projet'!$E$15+1,1))</f>
        <v>595.89992279024398</v>
      </c>
      <c r="EP178" s="62">
        <f t="shared" si="154"/>
        <v>378.16197659288338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>
        <f>EXP(-LN(2)/35)*EV177+(1-EXP(-LN(2)/35))/(LN(2)/35)*ER178*ES178*VLOOKUP('Données projet'!$B$15,Paramètres!$A$1:$I$89,3,0)*0.475*44/12</f>
        <v>0</v>
      </c>
      <c r="EW178" s="23">
        <f>EXP(-LN(2)/25)*EW177+(1-EXP(-LN(2)/25))/(LN(2)/25)*Calculateur!ER178*Calculateur!ET178*VLOOKUP('Données projet'!$B$15,Paramètres!$A$1:$I$89,3,0)*0.475*44/12</f>
        <v>0</v>
      </c>
      <c r="EX178" s="23">
        <f>EXP(-LN(2)/2)*EX177+(1-EXP(-LN(2)/2))/(LN(2)/2)*ER178*EU178*VLOOKUP('Données projet'!$B$15,Paramètres!$A$1:$I$89,3,0)*0.475*44/12</f>
        <v>0</v>
      </c>
      <c r="EY178" s="24">
        <f t="shared" si="181"/>
        <v>0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-2.2737367544323206E-13</v>
      </c>
      <c r="FF178" s="18">
        <f>FE178*VLOOKUP('Données projet'!$B$16,Paramètres!$A$1:$I$89,3,0)*VLOOKUP('Données projet'!$B$16,Paramètres!$A$1:$I$89,5,0)</f>
        <v>-1.3596945791505279E-13</v>
      </c>
      <c r="FG178" s="14" t="e">
        <f t="shared" si="182"/>
        <v>#NUM!</v>
      </c>
      <c r="FH178" s="22" t="e">
        <f t="shared" si="183"/>
        <v>#NUM!</v>
      </c>
      <c r="FI178" s="62" t="e">
        <f t="shared" si="131"/>
        <v>#NUM!</v>
      </c>
      <c r="FJ178" s="62">
        <f ca="1">AVERAGE(OFFSET($FI$3,0,0,'Données projet'!$E$16+1,1))-AVERAGE(OFFSET($H$3,0,0,'Données projet'!$E$16+1,1))</f>
        <v>257.56116197646924</v>
      </c>
      <c r="FK178" s="62">
        <f t="shared" si="156"/>
        <v>269.95556918835888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>
        <f>EXP(-LN(2)/35)*FQ177+(1-EXP(-LN(2)/35))/(LN(2)/35)*FM178*FN178*VLOOKUP('Données projet'!$B$16,Paramètres!$A$1:$I$89,3,0)*0.475*44/12</f>
        <v>0.82542231226579355</v>
      </c>
      <c r="FR178" s="23">
        <f>EXP(-LN(2)/25)*FR177+(1-EXP(-LN(2)/25))/(LN(2)/25)*Calculateur!FM178*Calculateur!FO178*VLOOKUP('Données projet'!$B$16,Paramètres!$A$1:$I$89,3,0)*0.475*44/12</f>
        <v>0.28974252269160267</v>
      </c>
      <c r="FS178" s="23">
        <f>EXP(-LN(2)/2)*FS177+(1-EXP(-LN(2)/2))/(LN(2)/2)*FM178*FP178*VLOOKUP('Données projet'!$B$16,Paramètres!$A$1:$I$89,3,0)*0.475*44/12</f>
        <v>1.2808515426440069E-21</v>
      </c>
      <c r="FT178" s="24">
        <f t="shared" si="184"/>
        <v>1.1151648349573962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-2.8421709430404007E-13</v>
      </c>
      <c r="GA178" s="18">
        <f>FZ178*VLOOKUP('Données projet'!$B$17,Paramètres!$A$1:$I$89,3,0)*VLOOKUP('Données projet'!$B$17,Paramètres!$A$1:$I$89,5,0)</f>
        <v>-1.69961822393816E-13</v>
      </c>
      <c r="GB178" s="14" t="e">
        <f t="shared" si="185"/>
        <v>#NUM!</v>
      </c>
      <c r="GC178" s="22" t="e">
        <f t="shared" si="186"/>
        <v>#NUM!</v>
      </c>
      <c r="GD178" s="62" t="e">
        <f t="shared" si="134"/>
        <v>#NUM!</v>
      </c>
      <c r="GE178" s="62">
        <f ca="1">AVERAGE(OFFSET($GD$3,0,0,'Données projet'!$E$17+1,1))-AVERAGE(OFFSET($H$3,0,0,'Données projet'!$E$17+1,1))</f>
        <v>289.12367833861299</v>
      </c>
      <c r="GF178" s="62">
        <f t="shared" si="158"/>
        <v>229.06617320689003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>
        <f>EXP(-LN(2)/35)*GL177+(1-EXP(-LN(2)/35))/(LN(2)/35)*GH178*GI178*VLOOKUP('Données projet'!$B$17,Paramètres!$A$1:$I$89,3,0)*0.475*44/12</f>
        <v>0</v>
      </c>
      <c r="GM178" s="23">
        <f>EXP(-LN(2)/25)*GM177+(1-EXP(-LN(2)/25))/(LN(2)/25)*Calculateur!GH178*Calculateur!GJ178*VLOOKUP('Données projet'!$B$17,Paramètres!$A$1:$I$89,3,0)*0.475*44/12</f>
        <v>0</v>
      </c>
      <c r="GN178" s="23">
        <f>EXP(-LN(2)/2)*GN177+(1-EXP(-LN(2)/2))/(LN(2)/2)*GH178*GK178*VLOOKUP('Données projet'!$B$17,Paramètres!$A$1:$I$89,3,0)*0.475*44/12</f>
        <v>6.2092919191485427E-22</v>
      </c>
      <c r="GO178" s="23">
        <f t="shared" si="187"/>
        <v>6.2092919191485427E-22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-5.6843418860808015E-14</v>
      </c>
      <c r="GV178" s="18">
        <f>GU178*VLOOKUP('Données projet'!$B$18,Paramètres!$A$1:$I$89,3,0)*VLOOKUP('Données projet'!$B$18,Paramètres!$A$1:$I$89,5,0)</f>
        <v>-2.6602720026858149E-14</v>
      </c>
      <c r="GW178" s="14" t="e">
        <f t="shared" si="188"/>
        <v>#NUM!</v>
      </c>
      <c r="GX178" s="22" t="e">
        <f t="shared" si="189"/>
        <v>#NUM!</v>
      </c>
      <c r="GY178" s="62" t="e">
        <f t="shared" si="137"/>
        <v>#NUM!</v>
      </c>
      <c r="GZ178" s="62">
        <f ca="1">AVERAGE(OFFSET($GY$3,0,0,'Données projet'!$E$18+1,1))-AVERAGE(OFFSET($H$3,0,0,'Données projet'!$E$18+1,1))</f>
        <v>284.88646502866419</v>
      </c>
      <c r="HA178" s="62">
        <f t="shared" si="160"/>
        <v>190.4880882944471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>
        <f>EXP(-LN(2)/35)*HG177+(1-EXP(-LN(2)/35))/(LN(2)/35)*HC178*HD178*VLOOKUP('Données projet'!$B$18,Paramètres!$A$1:$I$89,3,0)*0.475*44/12</f>
        <v>0</v>
      </c>
      <c r="HH178" s="23">
        <f>EXP(-LN(2)/25)*HH177+(1-EXP(-LN(2)/25))/(LN(2)/25)*Calculateur!HC178*Calculateur!HE178*VLOOKUP('Données projet'!$B$18,Paramètres!$A$1:$I$89,3,0)*0.475*44/12</f>
        <v>0</v>
      </c>
      <c r="HI178" s="23">
        <f>EXP(-LN(2)/2)*HI177+(1-EXP(-LN(2)/2))/(LN(2)/2)*HC178*HF178*VLOOKUP('Données projet'!$B$18,Paramètres!$A$1:$I$89,3,0)*0.475*44/12</f>
        <v>0</v>
      </c>
      <c r="HJ178" s="24">
        <f t="shared" si="190"/>
        <v>0</v>
      </c>
    </row>
    <row r="179" spans="1:218" x14ac:dyDescent="0.25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2">
        <f t="shared" si="140"/>
        <v>0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0</v>
      </c>
      <c r="H179" s="70">
        <f t="shared" si="110"/>
        <v>256.66666666666669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-1.1368683772161603E-13</v>
      </c>
      <c r="O179" s="14">
        <f>N179*VLOOKUP('Données projet'!$B$9,Paramètres!$A$1:$I$89,3,0)*VLOOKUP('Données projet'!$B$9,Paramètres!$A$1:$I$89,5,0)</f>
        <v>-1.0818439477588981E-13</v>
      </c>
      <c r="P179" s="14" t="e">
        <f t="shared" si="141"/>
        <v>#NUM!</v>
      </c>
      <c r="Q179" s="22" t="e">
        <f t="shared" si="162"/>
        <v>#NUM!</v>
      </c>
      <c r="R179" s="62" t="e">
        <f t="shared" si="109"/>
        <v>#NUM!</v>
      </c>
      <c r="S179" s="62">
        <f ca="1">AVERAGE(OFFSET($R$3,0,0,'Données projet'!$E$9+1,1))-AVERAGE(OFFSET($H$3,0,0,'Données projet'!$E$9+1,1))</f>
        <v>367.11183928586667</v>
      </c>
      <c r="T179" s="62">
        <f t="shared" si="142"/>
        <v>281.52963027844595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0</v>
      </c>
      <c r="AA179" s="23">
        <f>EXP(-LN(2)/25)*AA178+(1-EXP(-LN(2)/25))/(LN(2)/25)*Calculateur!V179*Calculateur!X179*VLOOKUP('Données projet'!$B$9,Paramètres!$A$1:$I$89,3,0)*0.475*44/12</f>
        <v>0</v>
      </c>
      <c r="AB179" s="23">
        <f>EXP(-LN(2)/2)*AB178+(1-EXP(-LN(2)/2))/(LN(2)/2)*V179*Y179*VLOOKUP('Données projet'!$B$9,Paramètres!$A$1:$I$89,3,0)*0.475*44/12</f>
        <v>0</v>
      </c>
      <c r="AC179" s="24">
        <f t="shared" si="163"/>
        <v>0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-9.6633812063373625E-13</v>
      </c>
      <c r="AJ179" s="14">
        <f>AI179*VLOOKUP('Données projet'!$B$10,Paramètres!$A$1:$I$89,3,0)*VLOOKUP('Données projet'!$B$10,Paramètres!$A$1:$I$89,5,0)</f>
        <v>-8.7434273154940449E-13</v>
      </c>
      <c r="AK179" s="14" t="e">
        <f t="shared" si="164"/>
        <v>#NUM!</v>
      </c>
      <c r="AL179" s="22" t="e">
        <f t="shared" si="165"/>
        <v>#NUM!</v>
      </c>
      <c r="AM179" s="62" t="e">
        <f t="shared" si="113"/>
        <v>#NUM!</v>
      </c>
      <c r="AN179" s="62">
        <f ca="1">AVERAGE(OFFSET($AM$3,0,0,'Données projet'!$E$10+1,1))-AVERAGE(OFFSET($H$3,0,0,'Données projet'!$E$10+1,1))</f>
        <v>428.8489304403459</v>
      </c>
      <c r="AO179" s="62">
        <f t="shared" si="144"/>
        <v>247.01165577562966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0</v>
      </c>
      <c r="AV179" s="23">
        <f>EXP(-LN(2)/25)*AV178+(1-EXP(-LN(2)/25))/(LN(2)/25)*Calculateur!AQ179*Calculateur!AS179*VLOOKUP('Données projet'!$B$10,Paramètres!$A$1:$I$89,3,0)*0.475*44/12</f>
        <v>0</v>
      </c>
      <c r="AW179" s="23">
        <f>EXP(-LN(2)/2)*AW178+(1-EXP(-LN(2)/2))/(LN(2)/2)*AQ179*AT179*VLOOKUP('Données projet'!$B$10,Paramètres!$A$1:$I$89,3,0)*0.475*44/12</f>
        <v>0</v>
      </c>
      <c r="AX179" s="23">
        <f t="shared" si="166"/>
        <v>0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-9.6633812063373625E-13</v>
      </c>
      <c r="BE179" s="14">
        <f>BD179*VLOOKUP('Données projet'!$B$11,Paramètres!$A$1:$I$89,3,0)*VLOOKUP('Données projet'!$B$11,Paramètres!$A$1:$I$89,5,0)</f>
        <v>-9.7986685432260874E-13</v>
      </c>
      <c r="BF179" s="14" t="e">
        <f t="shared" si="167"/>
        <v>#NUM!</v>
      </c>
      <c r="BG179" s="22" t="e">
        <f t="shared" si="168"/>
        <v>#NUM!</v>
      </c>
      <c r="BH179" s="62" t="e">
        <f t="shared" si="116"/>
        <v>#NUM!</v>
      </c>
      <c r="BI179" s="62">
        <f ca="1">AVERAGE(OFFSET($BH$3,0,0,'Données projet'!$E$11+1,1))-AVERAGE(OFFSET($H$3,0,0,'Données projet'!$E$11+1,1))</f>
        <v>475.47920969424894</v>
      </c>
      <c r="BJ179" s="62">
        <f t="shared" si="146"/>
        <v>271.73544012419364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>
        <f>EXP(-LN(2)/35)*BP178+(1-EXP(-LN(2)/35))/(LN(2)/35)*BL179*BM179*VLOOKUP('Données projet'!$B$11,Paramètres!$A$1:$I$89,3,0)*0.475*44/12</f>
        <v>0</v>
      </c>
      <c r="BQ179" s="23">
        <f>EXP(-LN(2)/25)*BQ178+(1-EXP(-LN(2)/25))/(LN(2)/25)*Calculateur!BL179*Calculateur!BN179*VLOOKUP('Données projet'!$B$11,Paramètres!$A$1:$I$89,3,0)*0.475*44/12</f>
        <v>0</v>
      </c>
      <c r="BR179" s="23">
        <f>EXP(-LN(2)/2)*BR178+(1-EXP(-LN(2)/2))/(LN(2)/2)*BL179*BO179*VLOOKUP('Données projet'!$B$11,Paramètres!$A$1:$I$89,3,0)*0.475*44/12</f>
        <v>0</v>
      </c>
      <c r="BS179" s="24">
        <f t="shared" si="169"/>
        <v>0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2.2737367544323206E-13</v>
      </c>
      <c r="BZ179" s="14">
        <f>BY179*VLOOKUP('Données projet'!$B$12,Paramètres!$A$1:$I$89,3,0)*VLOOKUP('Données projet'!$B$12,Paramètres!$A$1:$I$89,5,0)</f>
        <v>1.2710188457276673E-13</v>
      </c>
      <c r="CA179" s="14">
        <f t="shared" si="170"/>
        <v>1.856866851063998E-12</v>
      </c>
      <c r="CB179" s="22">
        <f t="shared" si="171"/>
        <v>3.4554122145673649E-12</v>
      </c>
      <c r="CC179" s="62">
        <f t="shared" si="119"/>
        <v>293.33333333333678</v>
      </c>
      <c r="CD179" s="62">
        <f ca="1">AVERAGE(OFFSET($CC$3,0,0,'Données projet'!$E$12+1,1))-AVERAGE(OFFSET($H$3,0,0,'Données projet'!$E$12+1,1))</f>
        <v>323.98185264074681</v>
      </c>
      <c r="CE179" s="62">
        <f t="shared" si="148"/>
        <v>301.22207291854005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>
        <f>EXP(-LN(2)/35)*CK178+(1-EXP(-LN(2)/35))/(LN(2)/35)*CG179*CH179*VLOOKUP('Données projet'!$B$12,Paramètres!$A$1:$I$89,3,0)*0.475*44/12</f>
        <v>0.2476484908037436</v>
      </c>
      <c r="CL179" s="23">
        <f>EXP(-LN(2)/25)*CL178+(1-EXP(-LN(2)/25))/(LN(2)/25)*Calculateur!CG179*Calculateur!CI179*VLOOKUP('Données projet'!$B$12,Paramètres!$A$1:$I$89,3,0)*0.475*44/12</f>
        <v>0.14397815332512939</v>
      </c>
      <c r="CM179" s="23">
        <f>EXP(-LN(2)/2)*CM178+(1-EXP(-LN(2)/2))/(LN(2)/2)*CG179*CJ179*VLOOKUP('Données projet'!$B$12,Paramètres!$A$1:$I$89,3,0)*0.475*44/12</f>
        <v>6.4457165720846772E-22</v>
      </c>
      <c r="CN179" s="24">
        <f t="shared" si="172"/>
        <v>0.39162664412887299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>
        <f>CT179*VLOOKUP('Données projet'!$B$13,Paramètres!$A$1:$I$89,3,0)*VLOOKUP('Données projet'!$B$13,Paramètres!$A$1:$I$89,5,0)</f>
        <v>0</v>
      </c>
      <c r="CV179" s="14" t="e">
        <f t="shared" si="173"/>
        <v>#NUM!</v>
      </c>
      <c r="CW179" s="22" t="e">
        <f t="shared" si="174"/>
        <v>#NUM!</v>
      </c>
      <c r="CX179" s="62" t="e">
        <f t="shared" si="122"/>
        <v>#NUM!</v>
      </c>
      <c r="CY179" s="62">
        <f ca="1">AVERAGE(OFFSET($CX$3,0,0,'Données projet'!$E$13+1,1))-AVERAGE(OFFSET($H$3,0,0,'Données projet'!$E$13+1,1))</f>
        <v>399.78832690250164</v>
      </c>
      <c r="CZ179" s="62">
        <f t="shared" si="150"/>
        <v>174.32967064896343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>
        <f>EXP(-LN(2)/35)*DF178+(1-EXP(-LN(2)/35))/(LN(2)/35)*DB179*DC179*VLOOKUP('Données projet'!$B$13,Paramètres!$A$1:$I$89,3,0)*0.475*44/12</f>
        <v>0</v>
      </c>
      <c r="DG179" s="23">
        <f>EXP(-LN(2)/25)*DG178+(1-EXP(-LN(2)/25))/(LN(2)/25)*Calculateur!DB179*Calculateur!DD179*VLOOKUP('Données projet'!$B$13,Paramètres!$A$1:$I$89,3,0)*0.475*44/12</f>
        <v>0</v>
      </c>
      <c r="DH179" s="23">
        <f>EXP(-LN(2)/2)*DH178+(1-EXP(-LN(2)/2))/(LN(2)/2)*DB179*DE179*VLOOKUP('Données projet'!$B$13,Paramètres!$A$1:$I$89,3,0)*0.475*44/12</f>
        <v>0</v>
      </c>
      <c r="DI179" s="24">
        <f t="shared" si="175"/>
        <v>0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-9.6633812063373625E-13</v>
      </c>
      <c r="DP179" s="18">
        <f>DO179*VLOOKUP('Données projet'!$B$14,Paramètres!$A$1:$I$89,3,0)*VLOOKUP('Données projet'!$B$14,Paramètres!$A$1:$I$89,5,0)</f>
        <v>-8.1404323282185943E-13</v>
      </c>
      <c r="DQ179" s="14" t="e">
        <f t="shared" si="176"/>
        <v>#NUM!</v>
      </c>
      <c r="DR179" s="22" t="e">
        <f t="shared" si="177"/>
        <v>#NUM!</v>
      </c>
      <c r="DS179" s="62" t="e">
        <f t="shared" si="125"/>
        <v>#NUM!</v>
      </c>
      <c r="DT179" s="62">
        <f ca="1">AVERAGE(OFFSET($DS$3,0,0,'Données projet'!$E$14+1,1))-AVERAGE(OFFSET($H$3,0,0,'Données projet'!$E$14+1,1))</f>
        <v>402.15128814037058</v>
      </c>
      <c r="DU179" s="62">
        <f t="shared" si="152"/>
        <v>232.85411068442738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>
        <f>EXP(-LN(2)/35)*EA178+(1-EXP(-LN(2)/35))/(LN(2)/35)*DW179*DX179*VLOOKUP('Données projet'!$B$14,Paramètres!$A$1:$I$89,3,0)*0.475*44/12</f>
        <v>0</v>
      </c>
      <c r="EB179" s="23">
        <f>EXP(-LN(2)/25)*EB178+(1-EXP(-LN(2)/25))/(LN(2)/25)*Calculateur!DW179*Calculateur!DY179*VLOOKUP('Données projet'!$B$14,Paramètres!$A$1:$I$89,3,0)*0.475*44/12</f>
        <v>0</v>
      </c>
      <c r="EC179" s="23">
        <f>EXP(-LN(2)/2)*EC178+(1-EXP(-LN(2)/2))/(LN(2)/2)*DW179*DZ179*VLOOKUP('Données projet'!$B$14,Paramètres!$A$1:$I$89,3,0)*0.475*44/12</f>
        <v>0</v>
      </c>
      <c r="ED179" s="24">
        <f t="shared" si="178"/>
        <v>0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6.2527760746888816E-13</v>
      </c>
      <c r="EK179" s="18">
        <f>EJ179*VLOOKUP('Données projet'!$B$15,Paramètres!$A$1:$I$89,3,0)*VLOOKUP('Données projet'!$B$15,Paramètres!$A$1:$I$89,5,0)</f>
        <v>6.5354015532648198E-13</v>
      </c>
      <c r="EL179" s="14">
        <f t="shared" si="179"/>
        <v>7.8909019831354483E-12</v>
      </c>
      <c r="EM179" s="22">
        <f t="shared" si="180"/>
        <v>1.4881570057821194E-11</v>
      </c>
      <c r="EN179" s="62">
        <f t="shared" si="128"/>
        <v>293.33333333334821</v>
      </c>
      <c r="EO179" s="62">
        <f ca="1">AVERAGE(OFFSET($EN$3,0,0,'Données projet'!$E$15+1,1))-AVERAGE(OFFSET($H$3,0,0,'Données projet'!$E$15+1,1))</f>
        <v>595.89992279024398</v>
      </c>
      <c r="EP179" s="62">
        <f t="shared" si="154"/>
        <v>378.16197659288338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>
        <f>EXP(-LN(2)/35)*EV178+(1-EXP(-LN(2)/35))/(LN(2)/35)*ER179*ES179*VLOOKUP('Données projet'!$B$15,Paramètres!$A$1:$I$89,3,0)*0.475*44/12</f>
        <v>0</v>
      </c>
      <c r="EW179" s="23">
        <f>EXP(-LN(2)/25)*EW178+(1-EXP(-LN(2)/25))/(LN(2)/25)*Calculateur!ER179*Calculateur!ET179*VLOOKUP('Données projet'!$B$15,Paramètres!$A$1:$I$89,3,0)*0.475*44/12</f>
        <v>0</v>
      </c>
      <c r="EX179" s="23">
        <f>EXP(-LN(2)/2)*EX178+(1-EXP(-LN(2)/2))/(LN(2)/2)*ER179*EU179*VLOOKUP('Données projet'!$B$15,Paramètres!$A$1:$I$89,3,0)*0.475*44/12</f>
        <v>0</v>
      </c>
      <c r="EY179" s="24">
        <f t="shared" si="181"/>
        <v>0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-2.2737367544323206E-13</v>
      </c>
      <c r="FF179" s="18">
        <f>FE179*VLOOKUP('Données projet'!$B$16,Paramètres!$A$1:$I$89,3,0)*VLOOKUP('Données projet'!$B$16,Paramètres!$A$1:$I$89,5,0)</f>
        <v>-1.3596945791505279E-13</v>
      </c>
      <c r="FG179" s="14" t="e">
        <f t="shared" si="182"/>
        <v>#NUM!</v>
      </c>
      <c r="FH179" s="22" t="e">
        <f t="shared" si="183"/>
        <v>#NUM!</v>
      </c>
      <c r="FI179" s="62" t="e">
        <f t="shared" si="131"/>
        <v>#NUM!</v>
      </c>
      <c r="FJ179" s="62">
        <f ca="1">AVERAGE(OFFSET($FI$3,0,0,'Données projet'!$E$16+1,1))-AVERAGE(OFFSET($H$3,0,0,'Données projet'!$E$16+1,1))</f>
        <v>257.56116197646924</v>
      </c>
      <c r="FK179" s="62">
        <f t="shared" si="156"/>
        <v>269.95556918835888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>
        <f>EXP(-LN(2)/35)*FQ178+(1-EXP(-LN(2)/35))/(LN(2)/35)*FM179*FN179*VLOOKUP('Données projet'!$B$16,Paramètres!$A$1:$I$89,3,0)*0.475*44/12</f>
        <v>0.80923628418015947</v>
      </c>
      <c r="FR179" s="23">
        <f>EXP(-LN(2)/25)*FR178+(1-EXP(-LN(2)/25))/(LN(2)/25)*Calculateur!FM179*Calculateur!FO179*VLOOKUP('Données projet'!$B$16,Paramètres!$A$1:$I$89,3,0)*0.475*44/12</f>
        <v>0.28181949817170376</v>
      </c>
      <c r="FS179" s="23">
        <f>EXP(-LN(2)/2)*FS178+(1-EXP(-LN(2)/2))/(LN(2)/2)*FM179*FP179*VLOOKUP('Données projet'!$B$16,Paramètres!$A$1:$I$89,3,0)*0.475*44/12</f>
        <v>9.0569881149682762E-22</v>
      </c>
      <c r="FT179" s="24">
        <f t="shared" si="184"/>
        <v>1.0910557823518632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-2.8421709430404007E-13</v>
      </c>
      <c r="GA179" s="18">
        <f>FZ179*VLOOKUP('Données projet'!$B$17,Paramètres!$A$1:$I$89,3,0)*VLOOKUP('Données projet'!$B$17,Paramètres!$A$1:$I$89,5,0)</f>
        <v>-1.69961822393816E-13</v>
      </c>
      <c r="GB179" s="14" t="e">
        <f t="shared" si="185"/>
        <v>#NUM!</v>
      </c>
      <c r="GC179" s="22" t="e">
        <f t="shared" si="186"/>
        <v>#NUM!</v>
      </c>
      <c r="GD179" s="62" t="e">
        <f t="shared" si="134"/>
        <v>#NUM!</v>
      </c>
      <c r="GE179" s="62">
        <f ca="1">AVERAGE(OFFSET($GD$3,0,0,'Données projet'!$E$17+1,1))-AVERAGE(OFFSET($H$3,0,0,'Données projet'!$E$17+1,1))</f>
        <v>289.12367833861299</v>
      </c>
      <c r="GF179" s="62">
        <f t="shared" si="158"/>
        <v>229.06617320689003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>
        <f>EXP(-LN(2)/35)*GL178+(1-EXP(-LN(2)/35))/(LN(2)/35)*GH179*GI179*VLOOKUP('Données projet'!$B$17,Paramètres!$A$1:$I$89,3,0)*0.475*44/12</f>
        <v>0</v>
      </c>
      <c r="GM179" s="23">
        <f>EXP(-LN(2)/25)*GM178+(1-EXP(-LN(2)/25))/(LN(2)/25)*Calculateur!GH179*Calculateur!GJ179*VLOOKUP('Données projet'!$B$17,Paramètres!$A$1:$I$89,3,0)*0.475*44/12</f>
        <v>0</v>
      </c>
      <c r="GN179" s="23">
        <f>EXP(-LN(2)/2)*GN178+(1-EXP(-LN(2)/2))/(LN(2)/2)*GH179*GK179*VLOOKUP('Données projet'!$B$17,Paramètres!$A$1:$I$89,3,0)*0.475*44/12</f>
        <v>4.3906324223967662E-22</v>
      </c>
      <c r="GO179" s="23">
        <f t="shared" si="187"/>
        <v>4.3906324223967662E-22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-5.6843418860808015E-14</v>
      </c>
      <c r="GV179" s="18">
        <f>GU179*VLOOKUP('Données projet'!$B$18,Paramètres!$A$1:$I$89,3,0)*VLOOKUP('Données projet'!$B$18,Paramètres!$A$1:$I$89,5,0)</f>
        <v>-2.6602720026858149E-14</v>
      </c>
      <c r="GW179" s="14" t="e">
        <f t="shared" si="188"/>
        <v>#NUM!</v>
      </c>
      <c r="GX179" s="22" t="e">
        <f t="shared" si="189"/>
        <v>#NUM!</v>
      </c>
      <c r="GY179" s="62" t="e">
        <f t="shared" si="137"/>
        <v>#NUM!</v>
      </c>
      <c r="GZ179" s="62">
        <f ca="1">AVERAGE(OFFSET($GY$3,0,0,'Données projet'!$E$18+1,1))-AVERAGE(OFFSET($H$3,0,0,'Données projet'!$E$18+1,1))</f>
        <v>284.88646502866419</v>
      </c>
      <c r="HA179" s="62">
        <f t="shared" si="160"/>
        <v>190.4880882944471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>
        <f>EXP(-LN(2)/35)*HG178+(1-EXP(-LN(2)/35))/(LN(2)/35)*HC179*HD179*VLOOKUP('Données projet'!$B$18,Paramètres!$A$1:$I$89,3,0)*0.475*44/12</f>
        <v>0</v>
      </c>
      <c r="HH179" s="23">
        <f>EXP(-LN(2)/25)*HH178+(1-EXP(-LN(2)/25))/(LN(2)/25)*Calculateur!HC179*Calculateur!HE179*VLOOKUP('Données projet'!$B$18,Paramètres!$A$1:$I$89,3,0)*0.475*44/12</f>
        <v>0</v>
      </c>
      <c r="HI179" s="23">
        <f>EXP(-LN(2)/2)*HI178+(1-EXP(-LN(2)/2))/(LN(2)/2)*HC179*HF179*VLOOKUP('Données projet'!$B$18,Paramètres!$A$1:$I$89,3,0)*0.475*44/12</f>
        <v>0</v>
      </c>
      <c r="HJ179" s="24">
        <f t="shared" si="190"/>
        <v>0</v>
      </c>
    </row>
    <row r="180" spans="1:218" x14ac:dyDescent="0.25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2">
        <f t="shared" si="140"/>
        <v>0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0</v>
      </c>
      <c r="H180" s="70">
        <f t="shared" si="110"/>
        <v>256.66666666666669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-1.1368683772161603E-13</v>
      </c>
      <c r="O180" s="14">
        <f>N180*VLOOKUP('Données projet'!$B$9,Paramètres!$A$1:$I$89,3,0)*VLOOKUP('Données projet'!$B$9,Paramètres!$A$1:$I$89,5,0)</f>
        <v>-1.0818439477588981E-13</v>
      </c>
      <c r="P180" s="14" t="e">
        <f t="shared" si="141"/>
        <v>#NUM!</v>
      </c>
      <c r="Q180" s="22" t="e">
        <f t="shared" si="162"/>
        <v>#NUM!</v>
      </c>
      <c r="R180" s="62" t="e">
        <f t="shared" si="109"/>
        <v>#NUM!</v>
      </c>
      <c r="S180" s="62">
        <f ca="1">AVERAGE(OFFSET($R$3,0,0,'Données projet'!$E$9+1,1))-AVERAGE(OFFSET($H$3,0,0,'Données projet'!$E$9+1,1))</f>
        <v>367.11183928586667</v>
      </c>
      <c r="T180" s="62">
        <f t="shared" si="142"/>
        <v>281.52963027844595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0</v>
      </c>
      <c r="AA180" s="23">
        <f>EXP(-LN(2)/25)*AA179+(1-EXP(-LN(2)/25))/(LN(2)/25)*Calculateur!V180*Calculateur!X180*VLOOKUP('Données projet'!$B$9,Paramètres!$A$1:$I$89,3,0)*0.475*44/12</f>
        <v>0</v>
      </c>
      <c r="AB180" s="23">
        <f>EXP(-LN(2)/2)*AB179+(1-EXP(-LN(2)/2))/(LN(2)/2)*V180*Y180*VLOOKUP('Données projet'!$B$9,Paramètres!$A$1:$I$89,3,0)*0.475*44/12</f>
        <v>0</v>
      </c>
      <c r="AC180" s="24">
        <f t="shared" si="163"/>
        <v>0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-9.6633812063373625E-13</v>
      </c>
      <c r="AJ180" s="14">
        <f>AI180*VLOOKUP('Données projet'!$B$10,Paramètres!$A$1:$I$89,3,0)*VLOOKUP('Données projet'!$B$10,Paramètres!$A$1:$I$89,5,0)</f>
        <v>-8.7434273154940449E-13</v>
      </c>
      <c r="AK180" s="14" t="e">
        <f t="shared" si="164"/>
        <v>#NUM!</v>
      </c>
      <c r="AL180" s="22" t="e">
        <f t="shared" si="165"/>
        <v>#NUM!</v>
      </c>
      <c r="AM180" s="62" t="e">
        <f t="shared" si="113"/>
        <v>#NUM!</v>
      </c>
      <c r="AN180" s="62">
        <f ca="1">AVERAGE(OFFSET($AM$3,0,0,'Données projet'!$E$10+1,1))-AVERAGE(OFFSET($H$3,0,0,'Données projet'!$E$10+1,1))</f>
        <v>428.8489304403459</v>
      </c>
      <c r="AO180" s="62">
        <f t="shared" si="144"/>
        <v>247.01165577562966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0</v>
      </c>
      <c r="AV180" s="23">
        <f>EXP(-LN(2)/25)*AV179+(1-EXP(-LN(2)/25))/(LN(2)/25)*Calculateur!AQ180*Calculateur!AS180*VLOOKUP('Données projet'!$B$10,Paramètres!$A$1:$I$89,3,0)*0.475*44/12</f>
        <v>0</v>
      </c>
      <c r="AW180" s="23">
        <f>EXP(-LN(2)/2)*AW179+(1-EXP(-LN(2)/2))/(LN(2)/2)*AQ180*AT180*VLOOKUP('Données projet'!$B$10,Paramètres!$A$1:$I$89,3,0)*0.475*44/12</f>
        <v>0</v>
      </c>
      <c r="AX180" s="23">
        <f t="shared" si="166"/>
        <v>0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-9.6633812063373625E-13</v>
      </c>
      <c r="BE180" s="14">
        <f>BD180*VLOOKUP('Données projet'!$B$11,Paramètres!$A$1:$I$89,3,0)*VLOOKUP('Données projet'!$B$11,Paramètres!$A$1:$I$89,5,0)</f>
        <v>-9.7986685432260874E-13</v>
      </c>
      <c r="BF180" s="14" t="e">
        <f t="shared" si="167"/>
        <v>#NUM!</v>
      </c>
      <c r="BG180" s="22" t="e">
        <f t="shared" si="168"/>
        <v>#NUM!</v>
      </c>
      <c r="BH180" s="62" t="e">
        <f t="shared" si="116"/>
        <v>#NUM!</v>
      </c>
      <c r="BI180" s="62">
        <f ca="1">AVERAGE(OFFSET($BH$3,0,0,'Données projet'!$E$11+1,1))-AVERAGE(OFFSET($H$3,0,0,'Données projet'!$E$11+1,1))</f>
        <v>475.47920969424894</v>
      </c>
      <c r="BJ180" s="62">
        <f t="shared" si="146"/>
        <v>271.73544012419364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>
        <f>EXP(-LN(2)/35)*BP179+(1-EXP(-LN(2)/35))/(LN(2)/35)*BL180*BM180*VLOOKUP('Données projet'!$B$11,Paramètres!$A$1:$I$89,3,0)*0.475*44/12</f>
        <v>0</v>
      </c>
      <c r="BQ180" s="23">
        <f>EXP(-LN(2)/25)*BQ179+(1-EXP(-LN(2)/25))/(LN(2)/25)*Calculateur!BL180*Calculateur!BN180*VLOOKUP('Données projet'!$B$11,Paramètres!$A$1:$I$89,3,0)*0.475*44/12</f>
        <v>0</v>
      </c>
      <c r="BR180" s="23">
        <f>EXP(-LN(2)/2)*BR179+(1-EXP(-LN(2)/2))/(LN(2)/2)*BL180*BO180*VLOOKUP('Données projet'!$B$11,Paramètres!$A$1:$I$89,3,0)*0.475*44/12</f>
        <v>0</v>
      </c>
      <c r="BS180" s="24">
        <f t="shared" si="169"/>
        <v>0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2.2737367544323206E-13</v>
      </c>
      <c r="BZ180" s="14">
        <f>BY180*VLOOKUP('Données projet'!$B$12,Paramètres!$A$1:$I$89,3,0)*VLOOKUP('Données projet'!$B$12,Paramètres!$A$1:$I$89,5,0)</f>
        <v>1.2710188457276673E-13</v>
      </c>
      <c r="CA180" s="14">
        <f t="shared" si="170"/>
        <v>1.856866851063998E-12</v>
      </c>
      <c r="CB180" s="22">
        <f t="shared" si="171"/>
        <v>3.4554122145673649E-12</v>
      </c>
      <c r="CC180" s="62">
        <f t="shared" si="119"/>
        <v>293.33333333333678</v>
      </c>
      <c r="CD180" s="62">
        <f ca="1">AVERAGE(OFFSET($CC$3,0,0,'Données projet'!$E$12+1,1))-AVERAGE(OFFSET($H$3,0,0,'Données projet'!$E$12+1,1))</f>
        <v>323.98185264074681</v>
      </c>
      <c r="CE180" s="62">
        <f t="shared" si="148"/>
        <v>301.22207291854005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>
        <f>EXP(-LN(2)/35)*CK179+(1-EXP(-LN(2)/35))/(LN(2)/35)*CG180*CH180*VLOOKUP('Données projet'!$B$12,Paramètres!$A$1:$I$89,3,0)*0.475*44/12</f>
        <v>0.24279225494974657</v>
      </c>
      <c r="CL180" s="23">
        <f>EXP(-LN(2)/25)*CL179+(1-EXP(-LN(2)/25))/(LN(2)/25)*Calculateur!CG180*Calculateur!CI180*VLOOKUP('Données projet'!$B$12,Paramètres!$A$1:$I$89,3,0)*0.475*44/12</f>
        <v>0.1400410631509717</v>
      </c>
      <c r="CM180" s="23">
        <f>EXP(-LN(2)/2)*CM179+(1-EXP(-LN(2)/2))/(LN(2)/2)*CG180*CJ180*VLOOKUP('Données projet'!$B$12,Paramètres!$A$1:$I$89,3,0)*0.475*44/12</f>
        <v>4.557809897727583E-22</v>
      </c>
      <c r="CN180" s="24">
        <f t="shared" si="172"/>
        <v>0.3828333181007183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>
        <f>CT180*VLOOKUP('Données projet'!$B$13,Paramètres!$A$1:$I$89,3,0)*VLOOKUP('Données projet'!$B$13,Paramètres!$A$1:$I$89,5,0)</f>
        <v>0</v>
      </c>
      <c r="CV180" s="14" t="e">
        <f t="shared" si="173"/>
        <v>#NUM!</v>
      </c>
      <c r="CW180" s="22" t="e">
        <f t="shared" si="174"/>
        <v>#NUM!</v>
      </c>
      <c r="CX180" s="62" t="e">
        <f t="shared" si="122"/>
        <v>#NUM!</v>
      </c>
      <c r="CY180" s="62">
        <f ca="1">AVERAGE(OFFSET($CX$3,0,0,'Données projet'!$E$13+1,1))-AVERAGE(OFFSET($H$3,0,0,'Données projet'!$E$13+1,1))</f>
        <v>399.78832690250164</v>
      </c>
      <c r="CZ180" s="62">
        <f t="shared" si="150"/>
        <v>174.32967064896343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>
        <f>EXP(-LN(2)/35)*DF179+(1-EXP(-LN(2)/35))/(LN(2)/35)*DB180*DC180*VLOOKUP('Données projet'!$B$13,Paramètres!$A$1:$I$89,3,0)*0.475*44/12</f>
        <v>0</v>
      </c>
      <c r="DG180" s="23">
        <f>EXP(-LN(2)/25)*DG179+(1-EXP(-LN(2)/25))/(LN(2)/25)*Calculateur!DB180*Calculateur!DD180*VLOOKUP('Données projet'!$B$13,Paramètres!$A$1:$I$89,3,0)*0.475*44/12</f>
        <v>0</v>
      </c>
      <c r="DH180" s="23">
        <f>EXP(-LN(2)/2)*DH179+(1-EXP(-LN(2)/2))/(LN(2)/2)*DB180*DE180*VLOOKUP('Données projet'!$B$13,Paramètres!$A$1:$I$89,3,0)*0.475*44/12</f>
        <v>0</v>
      </c>
      <c r="DI180" s="24">
        <f t="shared" si="175"/>
        <v>0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-9.6633812063373625E-13</v>
      </c>
      <c r="DP180" s="18">
        <f>DO180*VLOOKUP('Données projet'!$B$14,Paramètres!$A$1:$I$89,3,0)*VLOOKUP('Données projet'!$B$14,Paramètres!$A$1:$I$89,5,0)</f>
        <v>-8.1404323282185943E-13</v>
      </c>
      <c r="DQ180" s="14" t="e">
        <f t="shared" si="176"/>
        <v>#NUM!</v>
      </c>
      <c r="DR180" s="22" t="e">
        <f t="shared" si="177"/>
        <v>#NUM!</v>
      </c>
      <c r="DS180" s="62" t="e">
        <f t="shared" si="125"/>
        <v>#NUM!</v>
      </c>
      <c r="DT180" s="62">
        <f ca="1">AVERAGE(OFFSET($DS$3,0,0,'Données projet'!$E$14+1,1))-AVERAGE(OFFSET($H$3,0,0,'Données projet'!$E$14+1,1))</f>
        <v>402.15128814037058</v>
      </c>
      <c r="DU180" s="62">
        <f t="shared" si="152"/>
        <v>232.85411068442738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>
        <f>EXP(-LN(2)/35)*EA179+(1-EXP(-LN(2)/35))/(LN(2)/35)*DW180*DX180*VLOOKUP('Données projet'!$B$14,Paramètres!$A$1:$I$89,3,0)*0.475*44/12</f>
        <v>0</v>
      </c>
      <c r="EB180" s="23">
        <f>EXP(-LN(2)/25)*EB179+(1-EXP(-LN(2)/25))/(LN(2)/25)*Calculateur!DW180*Calculateur!DY180*VLOOKUP('Données projet'!$B$14,Paramètres!$A$1:$I$89,3,0)*0.475*44/12</f>
        <v>0</v>
      </c>
      <c r="EC180" s="23">
        <f>EXP(-LN(2)/2)*EC179+(1-EXP(-LN(2)/2))/(LN(2)/2)*DW180*DZ180*VLOOKUP('Données projet'!$B$14,Paramètres!$A$1:$I$89,3,0)*0.475*44/12</f>
        <v>0</v>
      </c>
      <c r="ED180" s="24">
        <f t="shared" si="178"/>
        <v>0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6.2527760746888816E-13</v>
      </c>
      <c r="EK180" s="18">
        <f>EJ180*VLOOKUP('Données projet'!$B$15,Paramètres!$A$1:$I$89,3,0)*VLOOKUP('Données projet'!$B$15,Paramètres!$A$1:$I$89,5,0)</f>
        <v>6.5354015532648198E-13</v>
      </c>
      <c r="EL180" s="14">
        <f t="shared" si="179"/>
        <v>7.8909019831354483E-12</v>
      </c>
      <c r="EM180" s="22">
        <f t="shared" si="180"/>
        <v>1.4881570057821194E-11</v>
      </c>
      <c r="EN180" s="62">
        <f t="shared" si="128"/>
        <v>293.33333333334821</v>
      </c>
      <c r="EO180" s="62">
        <f ca="1">AVERAGE(OFFSET($EN$3,0,0,'Données projet'!$E$15+1,1))-AVERAGE(OFFSET($H$3,0,0,'Données projet'!$E$15+1,1))</f>
        <v>595.89992279024398</v>
      </c>
      <c r="EP180" s="62">
        <f t="shared" si="154"/>
        <v>378.16197659288338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>
        <f>EXP(-LN(2)/35)*EV179+(1-EXP(-LN(2)/35))/(LN(2)/35)*ER180*ES180*VLOOKUP('Données projet'!$B$15,Paramètres!$A$1:$I$89,3,0)*0.475*44/12</f>
        <v>0</v>
      </c>
      <c r="EW180" s="23">
        <f>EXP(-LN(2)/25)*EW179+(1-EXP(-LN(2)/25))/(LN(2)/25)*Calculateur!ER180*Calculateur!ET180*VLOOKUP('Données projet'!$B$15,Paramètres!$A$1:$I$89,3,0)*0.475*44/12</f>
        <v>0</v>
      </c>
      <c r="EX180" s="23">
        <f>EXP(-LN(2)/2)*EX179+(1-EXP(-LN(2)/2))/(LN(2)/2)*ER180*EU180*VLOOKUP('Données projet'!$B$15,Paramètres!$A$1:$I$89,3,0)*0.475*44/12</f>
        <v>0</v>
      </c>
      <c r="EY180" s="24">
        <f t="shared" si="181"/>
        <v>0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-2.2737367544323206E-13</v>
      </c>
      <c r="FF180" s="18">
        <f>FE180*VLOOKUP('Données projet'!$B$16,Paramètres!$A$1:$I$89,3,0)*VLOOKUP('Données projet'!$B$16,Paramètres!$A$1:$I$89,5,0)</f>
        <v>-1.3596945791505279E-13</v>
      </c>
      <c r="FG180" s="14" t="e">
        <f t="shared" si="182"/>
        <v>#NUM!</v>
      </c>
      <c r="FH180" s="22" t="e">
        <f t="shared" si="183"/>
        <v>#NUM!</v>
      </c>
      <c r="FI180" s="62" t="e">
        <f t="shared" si="131"/>
        <v>#NUM!</v>
      </c>
      <c r="FJ180" s="62">
        <f ca="1">AVERAGE(OFFSET($FI$3,0,0,'Données projet'!$E$16+1,1))-AVERAGE(OFFSET($H$3,0,0,'Données projet'!$E$16+1,1))</f>
        <v>257.56116197646924</v>
      </c>
      <c r="FK180" s="62">
        <f t="shared" si="156"/>
        <v>269.95556918835888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>
        <f>EXP(-LN(2)/35)*FQ179+(1-EXP(-LN(2)/35))/(LN(2)/35)*FM180*FN180*VLOOKUP('Données projet'!$B$16,Paramètres!$A$1:$I$89,3,0)*0.475*44/12</f>
        <v>0.79336765423278244</v>
      </c>
      <c r="FR180" s="23">
        <f>EXP(-LN(2)/25)*FR179+(1-EXP(-LN(2)/25))/(LN(2)/25)*Calculateur!FM180*Calculateur!FO180*VLOOKUP('Données projet'!$B$16,Paramètres!$A$1:$I$89,3,0)*0.475*44/12</f>
        <v>0.27411312917395525</v>
      </c>
      <c r="FS180" s="23">
        <f>EXP(-LN(2)/2)*FS179+(1-EXP(-LN(2)/2))/(LN(2)/2)*FM180*FP180*VLOOKUP('Données projet'!$B$16,Paramètres!$A$1:$I$89,3,0)*0.475*44/12</f>
        <v>6.4042577132200345E-22</v>
      </c>
      <c r="FT180" s="24">
        <f t="shared" si="184"/>
        <v>1.0674807834067377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-2.8421709430404007E-13</v>
      </c>
      <c r="GA180" s="18">
        <f>FZ180*VLOOKUP('Données projet'!$B$17,Paramètres!$A$1:$I$89,3,0)*VLOOKUP('Données projet'!$B$17,Paramètres!$A$1:$I$89,5,0)</f>
        <v>-1.69961822393816E-13</v>
      </c>
      <c r="GB180" s="14" t="e">
        <f t="shared" si="185"/>
        <v>#NUM!</v>
      </c>
      <c r="GC180" s="22" t="e">
        <f t="shared" si="186"/>
        <v>#NUM!</v>
      </c>
      <c r="GD180" s="62" t="e">
        <f t="shared" si="134"/>
        <v>#NUM!</v>
      </c>
      <c r="GE180" s="62">
        <f ca="1">AVERAGE(OFFSET($GD$3,0,0,'Données projet'!$E$17+1,1))-AVERAGE(OFFSET($H$3,0,0,'Données projet'!$E$17+1,1))</f>
        <v>289.12367833861299</v>
      </c>
      <c r="GF180" s="62">
        <f t="shared" si="158"/>
        <v>229.06617320689003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>
        <f>EXP(-LN(2)/35)*GL179+(1-EXP(-LN(2)/35))/(LN(2)/35)*GH180*GI180*VLOOKUP('Données projet'!$B$17,Paramètres!$A$1:$I$89,3,0)*0.475*44/12</f>
        <v>0</v>
      </c>
      <c r="GM180" s="23">
        <f>EXP(-LN(2)/25)*GM179+(1-EXP(-LN(2)/25))/(LN(2)/25)*Calculateur!GH180*Calculateur!GJ180*VLOOKUP('Données projet'!$B$17,Paramètres!$A$1:$I$89,3,0)*0.475*44/12</f>
        <v>0</v>
      </c>
      <c r="GN180" s="23">
        <f>EXP(-LN(2)/2)*GN179+(1-EXP(-LN(2)/2))/(LN(2)/2)*GH180*GK180*VLOOKUP('Données projet'!$B$17,Paramètres!$A$1:$I$89,3,0)*0.475*44/12</f>
        <v>3.1046459595742713E-22</v>
      </c>
      <c r="GO180" s="23">
        <f t="shared" si="187"/>
        <v>3.1046459595742713E-22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-5.6843418860808015E-14</v>
      </c>
      <c r="GV180" s="18">
        <f>GU180*VLOOKUP('Données projet'!$B$18,Paramètres!$A$1:$I$89,3,0)*VLOOKUP('Données projet'!$B$18,Paramètres!$A$1:$I$89,5,0)</f>
        <v>-2.6602720026858149E-14</v>
      </c>
      <c r="GW180" s="14" t="e">
        <f t="shared" si="188"/>
        <v>#NUM!</v>
      </c>
      <c r="GX180" s="22" t="e">
        <f t="shared" si="189"/>
        <v>#NUM!</v>
      </c>
      <c r="GY180" s="62" t="e">
        <f t="shared" si="137"/>
        <v>#NUM!</v>
      </c>
      <c r="GZ180" s="62">
        <f ca="1">AVERAGE(OFFSET($GY$3,0,0,'Données projet'!$E$18+1,1))-AVERAGE(OFFSET($H$3,0,0,'Données projet'!$E$18+1,1))</f>
        <v>284.88646502866419</v>
      </c>
      <c r="HA180" s="62">
        <f t="shared" si="160"/>
        <v>190.4880882944471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>
        <f>EXP(-LN(2)/35)*HG179+(1-EXP(-LN(2)/35))/(LN(2)/35)*HC180*HD180*VLOOKUP('Données projet'!$B$18,Paramètres!$A$1:$I$89,3,0)*0.475*44/12</f>
        <v>0</v>
      </c>
      <c r="HH180" s="23">
        <f>EXP(-LN(2)/25)*HH179+(1-EXP(-LN(2)/25))/(LN(2)/25)*Calculateur!HC180*Calculateur!HE180*VLOOKUP('Données projet'!$B$18,Paramètres!$A$1:$I$89,3,0)*0.475*44/12</f>
        <v>0</v>
      </c>
      <c r="HI180" s="23">
        <f>EXP(-LN(2)/2)*HI179+(1-EXP(-LN(2)/2))/(LN(2)/2)*HC180*HF180*VLOOKUP('Données projet'!$B$18,Paramètres!$A$1:$I$89,3,0)*0.475*44/12</f>
        <v>0</v>
      </c>
      <c r="HJ180" s="24">
        <f t="shared" si="190"/>
        <v>0</v>
      </c>
    </row>
    <row r="181" spans="1:218" x14ac:dyDescent="0.25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2">
        <f t="shared" si="140"/>
        <v>0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0</v>
      </c>
      <c r="H181" s="70">
        <f t="shared" si="110"/>
        <v>256.66666666666669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-1.1368683772161603E-13</v>
      </c>
      <c r="O181" s="14">
        <f>N181*VLOOKUP('Données projet'!$B$9,Paramètres!$A$1:$I$89,3,0)*VLOOKUP('Données projet'!$B$9,Paramètres!$A$1:$I$89,5,0)</f>
        <v>-1.0818439477588981E-13</v>
      </c>
      <c r="P181" s="14" t="e">
        <f t="shared" si="141"/>
        <v>#NUM!</v>
      </c>
      <c r="Q181" s="22" t="e">
        <f t="shared" si="162"/>
        <v>#NUM!</v>
      </c>
      <c r="R181" s="62" t="e">
        <f t="shared" si="109"/>
        <v>#NUM!</v>
      </c>
      <c r="S181" s="62">
        <f ca="1">AVERAGE(OFFSET($R$3,0,0,'Données projet'!$E$9+1,1))-AVERAGE(OFFSET($H$3,0,0,'Données projet'!$E$9+1,1))</f>
        <v>367.11183928586667</v>
      </c>
      <c r="T181" s="62">
        <f t="shared" si="142"/>
        <v>281.52963027844595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0</v>
      </c>
      <c r="AA181" s="23">
        <f>EXP(-LN(2)/25)*AA180+(1-EXP(-LN(2)/25))/(LN(2)/25)*Calculateur!V181*Calculateur!X181*VLOOKUP('Données projet'!$B$9,Paramètres!$A$1:$I$89,3,0)*0.475*44/12</f>
        <v>0</v>
      </c>
      <c r="AB181" s="23">
        <f>EXP(-LN(2)/2)*AB180+(1-EXP(-LN(2)/2))/(LN(2)/2)*V181*Y181*VLOOKUP('Données projet'!$B$9,Paramètres!$A$1:$I$89,3,0)*0.475*44/12</f>
        <v>0</v>
      </c>
      <c r="AC181" s="24">
        <f t="shared" si="163"/>
        <v>0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-9.6633812063373625E-13</v>
      </c>
      <c r="AJ181" s="14">
        <f>AI181*VLOOKUP('Données projet'!$B$10,Paramètres!$A$1:$I$89,3,0)*VLOOKUP('Données projet'!$B$10,Paramètres!$A$1:$I$89,5,0)</f>
        <v>-8.7434273154940449E-13</v>
      </c>
      <c r="AK181" s="14" t="e">
        <f t="shared" si="164"/>
        <v>#NUM!</v>
      </c>
      <c r="AL181" s="22" t="e">
        <f t="shared" si="165"/>
        <v>#NUM!</v>
      </c>
      <c r="AM181" s="62" t="e">
        <f t="shared" si="113"/>
        <v>#NUM!</v>
      </c>
      <c r="AN181" s="62">
        <f ca="1">AVERAGE(OFFSET($AM$3,0,0,'Données projet'!$E$10+1,1))-AVERAGE(OFFSET($H$3,0,0,'Données projet'!$E$10+1,1))</f>
        <v>428.8489304403459</v>
      </c>
      <c r="AO181" s="62">
        <f t="shared" si="144"/>
        <v>247.01165577562966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0</v>
      </c>
      <c r="AV181" s="23">
        <f>EXP(-LN(2)/25)*AV180+(1-EXP(-LN(2)/25))/(LN(2)/25)*Calculateur!AQ181*Calculateur!AS181*VLOOKUP('Données projet'!$B$10,Paramètres!$A$1:$I$89,3,0)*0.475*44/12</f>
        <v>0</v>
      </c>
      <c r="AW181" s="23">
        <f>EXP(-LN(2)/2)*AW180+(1-EXP(-LN(2)/2))/(LN(2)/2)*AQ181*AT181*VLOOKUP('Données projet'!$B$10,Paramètres!$A$1:$I$89,3,0)*0.475*44/12</f>
        <v>0</v>
      </c>
      <c r="AX181" s="23">
        <f t="shared" si="166"/>
        <v>0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-9.6633812063373625E-13</v>
      </c>
      <c r="BE181" s="14">
        <f>BD181*VLOOKUP('Données projet'!$B$11,Paramètres!$A$1:$I$89,3,0)*VLOOKUP('Données projet'!$B$11,Paramètres!$A$1:$I$89,5,0)</f>
        <v>-9.7986685432260874E-13</v>
      </c>
      <c r="BF181" s="14" t="e">
        <f t="shared" si="167"/>
        <v>#NUM!</v>
      </c>
      <c r="BG181" s="22" t="e">
        <f t="shared" si="168"/>
        <v>#NUM!</v>
      </c>
      <c r="BH181" s="62" t="e">
        <f t="shared" si="116"/>
        <v>#NUM!</v>
      </c>
      <c r="BI181" s="62">
        <f ca="1">AVERAGE(OFFSET($BH$3,0,0,'Données projet'!$E$11+1,1))-AVERAGE(OFFSET($H$3,0,0,'Données projet'!$E$11+1,1))</f>
        <v>475.47920969424894</v>
      </c>
      <c r="BJ181" s="62">
        <f t="shared" si="146"/>
        <v>271.73544012419364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>
        <f>EXP(-LN(2)/35)*BP180+(1-EXP(-LN(2)/35))/(LN(2)/35)*BL181*BM181*VLOOKUP('Données projet'!$B$11,Paramètres!$A$1:$I$89,3,0)*0.475*44/12</f>
        <v>0</v>
      </c>
      <c r="BQ181" s="23">
        <f>EXP(-LN(2)/25)*BQ180+(1-EXP(-LN(2)/25))/(LN(2)/25)*Calculateur!BL181*Calculateur!BN181*VLOOKUP('Données projet'!$B$11,Paramètres!$A$1:$I$89,3,0)*0.475*44/12</f>
        <v>0</v>
      </c>
      <c r="BR181" s="23">
        <f>EXP(-LN(2)/2)*BR180+(1-EXP(-LN(2)/2))/(LN(2)/2)*BL181*BO181*VLOOKUP('Données projet'!$B$11,Paramètres!$A$1:$I$89,3,0)*0.475*44/12</f>
        <v>0</v>
      </c>
      <c r="BS181" s="24">
        <f t="shared" si="169"/>
        <v>0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2.2737367544323206E-13</v>
      </c>
      <c r="BZ181" s="14">
        <f>BY181*VLOOKUP('Données projet'!$B$12,Paramètres!$A$1:$I$89,3,0)*VLOOKUP('Données projet'!$B$12,Paramètres!$A$1:$I$89,5,0)</f>
        <v>1.2710188457276673E-13</v>
      </c>
      <c r="CA181" s="14">
        <f t="shared" si="170"/>
        <v>1.856866851063998E-12</v>
      </c>
      <c r="CB181" s="22">
        <f t="shared" si="171"/>
        <v>3.4554122145673649E-12</v>
      </c>
      <c r="CC181" s="62">
        <f t="shared" si="119"/>
        <v>293.33333333333678</v>
      </c>
      <c r="CD181" s="62">
        <f ca="1">AVERAGE(OFFSET($CC$3,0,0,'Données projet'!$E$12+1,1))-AVERAGE(OFFSET($H$3,0,0,'Données projet'!$E$12+1,1))</f>
        <v>323.98185264074681</v>
      </c>
      <c r="CE181" s="62">
        <f t="shared" si="148"/>
        <v>301.22207291854005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>
        <f>EXP(-LN(2)/35)*CK180+(1-EXP(-LN(2)/35))/(LN(2)/35)*CG181*CH181*VLOOKUP('Données projet'!$B$12,Paramètres!$A$1:$I$89,3,0)*0.475*44/12</f>
        <v>0.23803124691883501</v>
      </c>
      <c r="CL181" s="23">
        <f>EXP(-LN(2)/25)*CL180+(1-EXP(-LN(2)/25))/(LN(2)/25)*Calculateur!CG181*Calculateur!CI181*VLOOKUP('Données projet'!$B$12,Paramètres!$A$1:$I$89,3,0)*0.475*44/12</f>
        <v>0.13621163291466892</v>
      </c>
      <c r="CM181" s="23">
        <f>EXP(-LN(2)/2)*CM180+(1-EXP(-LN(2)/2))/(LN(2)/2)*CG181*CJ181*VLOOKUP('Données projet'!$B$12,Paramètres!$A$1:$I$89,3,0)*0.475*44/12</f>
        <v>3.2228582860423386E-22</v>
      </c>
      <c r="CN181" s="24">
        <f t="shared" si="172"/>
        <v>0.37424287983350391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>
        <f>CT181*VLOOKUP('Données projet'!$B$13,Paramètres!$A$1:$I$89,3,0)*VLOOKUP('Données projet'!$B$13,Paramètres!$A$1:$I$89,5,0)</f>
        <v>0</v>
      </c>
      <c r="CV181" s="14" t="e">
        <f t="shared" si="173"/>
        <v>#NUM!</v>
      </c>
      <c r="CW181" s="22" t="e">
        <f t="shared" si="174"/>
        <v>#NUM!</v>
      </c>
      <c r="CX181" s="62" t="e">
        <f t="shared" si="122"/>
        <v>#NUM!</v>
      </c>
      <c r="CY181" s="62">
        <f ca="1">AVERAGE(OFFSET($CX$3,0,0,'Données projet'!$E$13+1,1))-AVERAGE(OFFSET($H$3,0,0,'Données projet'!$E$13+1,1))</f>
        <v>399.78832690250164</v>
      </c>
      <c r="CZ181" s="62">
        <f t="shared" si="150"/>
        <v>174.32967064896343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>
        <f>EXP(-LN(2)/35)*DF180+(1-EXP(-LN(2)/35))/(LN(2)/35)*DB181*DC181*VLOOKUP('Données projet'!$B$13,Paramètres!$A$1:$I$89,3,0)*0.475*44/12</f>
        <v>0</v>
      </c>
      <c r="DG181" s="23">
        <f>EXP(-LN(2)/25)*DG180+(1-EXP(-LN(2)/25))/(LN(2)/25)*Calculateur!DB181*Calculateur!DD181*VLOOKUP('Données projet'!$B$13,Paramètres!$A$1:$I$89,3,0)*0.475*44/12</f>
        <v>0</v>
      </c>
      <c r="DH181" s="23">
        <f>EXP(-LN(2)/2)*DH180+(1-EXP(-LN(2)/2))/(LN(2)/2)*DB181*DE181*VLOOKUP('Données projet'!$B$13,Paramètres!$A$1:$I$89,3,0)*0.475*44/12</f>
        <v>0</v>
      </c>
      <c r="DI181" s="24">
        <f t="shared" si="175"/>
        <v>0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-9.6633812063373625E-13</v>
      </c>
      <c r="DP181" s="18">
        <f>DO181*VLOOKUP('Données projet'!$B$14,Paramètres!$A$1:$I$89,3,0)*VLOOKUP('Données projet'!$B$14,Paramètres!$A$1:$I$89,5,0)</f>
        <v>-8.1404323282185943E-13</v>
      </c>
      <c r="DQ181" s="14" t="e">
        <f t="shared" si="176"/>
        <v>#NUM!</v>
      </c>
      <c r="DR181" s="22" t="e">
        <f t="shared" si="177"/>
        <v>#NUM!</v>
      </c>
      <c r="DS181" s="62" t="e">
        <f t="shared" si="125"/>
        <v>#NUM!</v>
      </c>
      <c r="DT181" s="62">
        <f ca="1">AVERAGE(OFFSET($DS$3,0,0,'Données projet'!$E$14+1,1))-AVERAGE(OFFSET($H$3,0,0,'Données projet'!$E$14+1,1))</f>
        <v>402.15128814037058</v>
      </c>
      <c r="DU181" s="62">
        <f t="shared" si="152"/>
        <v>232.85411068442738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>
        <f>EXP(-LN(2)/35)*EA180+(1-EXP(-LN(2)/35))/(LN(2)/35)*DW181*DX181*VLOOKUP('Données projet'!$B$14,Paramètres!$A$1:$I$89,3,0)*0.475*44/12</f>
        <v>0</v>
      </c>
      <c r="EB181" s="23">
        <f>EXP(-LN(2)/25)*EB180+(1-EXP(-LN(2)/25))/(LN(2)/25)*Calculateur!DW181*Calculateur!DY181*VLOOKUP('Données projet'!$B$14,Paramètres!$A$1:$I$89,3,0)*0.475*44/12</f>
        <v>0</v>
      </c>
      <c r="EC181" s="23">
        <f>EXP(-LN(2)/2)*EC180+(1-EXP(-LN(2)/2))/(LN(2)/2)*DW181*DZ181*VLOOKUP('Données projet'!$B$14,Paramètres!$A$1:$I$89,3,0)*0.475*44/12</f>
        <v>0</v>
      </c>
      <c r="ED181" s="24">
        <f t="shared" si="178"/>
        <v>0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6.2527760746888816E-13</v>
      </c>
      <c r="EK181" s="18">
        <f>EJ181*VLOOKUP('Données projet'!$B$15,Paramètres!$A$1:$I$89,3,0)*VLOOKUP('Données projet'!$B$15,Paramètres!$A$1:$I$89,5,0)</f>
        <v>6.5354015532648198E-13</v>
      </c>
      <c r="EL181" s="14">
        <f t="shared" si="179"/>
        <v>7.8909019831354483E-12</v>
      </c>
      <c r="EM181" s="22">
        <f t="shared" si="180"/>
        <v>1.4881570057821194E-11</v>
      </c>
      <c r="EN181" s="62">
        <f t="shared" si="128"/>
        <v>293.33333333334821</v>
      </c>
      <c r="EO181" s="62">
        <f ca="1">AVERAGE(OFFSET($EN$3,0,0,'Données projet'!$E$15+1,1))-AVERAGE(OFFSET($H$3,0,0,'Données projet'!$E$15+1,1))</f>
        <v>595.89992279024398</v>
      </c>
      <c r="EP181" s="62">
        <f t="shared" si="154"/>
        <v>378.16197659288338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>
        <f>EXP(-LN(2)/35)*EV180+(1-EXP(-LN(2)/35))/(LN(2)/35)*ER181*ES181*VLOOKUP('Données projet'!$B$15,Paramètres!$A$1:$I$89,3,0)*0.475*44/12</f>
        <v>0</v>
      </c>
      <c r="EW181" s="23">
        <f>EXP(-LN(2)/25)*EW180+(1-EXP(-LN(2)/25))/(LN(2)/25)*Calculateur!ER181*Calculateur!ET181*VLOOKUP('Données projet'!$B$15,Paramètres!$A$1:$I$89,3,0)*0.475*44/12</f>
        <v>0</v>
      </c>
      <c r="EX181" s="23">
        <f>EXP(-LN(2)/2)*EX180+(1-EXP(-LN(2)/2))/(LN(2)/2)*ER181*EU181*VLOOKUP('Données projet'!$B$15,Paramètres!$A$1:$I$89,3,0)*0.475*44/12</f>
        <v>0</v>
      </c>
      <c r="EY181" s="24">
        <f t="shared" si="181"/>
        <v>0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-2.2737367544323206E-13</v>
      </c>
      <c r="FF181" s="18">
        <f>FE181*VLOOKUP('Données projet'!$B$16,Paramètres!$A$1:$I$89,3,0)*VLOOKUP('Données projet'!$B$16,Paramètres!$A$1:$I$89,5,0)</f>
        <v>-1.3596945791505279E-13</v>
      </c>
      <c r="FG181" s="14" t="e">
        <f t="shared" si="182"/>
        <v>#NUM!</v>
      </c>
      <c r="FH181" s="22" t="e">
        <f t="shared" si="183"/>
        <v>#NUM!</v>
      </c>
      <c r="FI181" s="62" t="e">
        <f t="shared" si="131"/>
        <v>#NUM!</v>
      </c>
      <c r="FJ181" s="62">
        <f ca="1">AVERAGE(OFFSET($FI$3,0,0,'Données projet'!$E$16+1,1))-AVERAGE(OFFSET($H$3,0,0,'Données projet'!$E$16+1,1))</f>
        <v>257.56116197646924</v>
      </c>
      <c r="FK181" s="62">
        <f t="shared" si="156"/>
        <v>269.95556918835888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>
        <f>EXP(-LN(2)/35)*FQ180+(1-EXP(-LN(2)/35))/(LN(2)/35)*FM181*FN181*VLOOKUP('Données projet'!$B$16,Paramètres!$A$1:$I$89,3,0)*0.475*44/12</f>
        <v>0.77781019843976484</v>
      </c>
      <c r="FR181" s="23">
        <f>EXP(-LN(2)/25)*FR180+(1-EXP(-LN(2)/25))/(LN(2)/25)*Calculateur!FM181*Calculateur!FO181*VLOOKUP('Données projet'!$B$16,Paramètres!$A$1:$I$89,3,0)*0.475*44/12</f>
        <v>0.26661749124171047</v>
      </c>
      <c r="FS181" s="23">
        <f>EXP(-LN(2)/2)*FS180+(1-EXP(-LN(2)/2))/(LN(2)/2)*FM181*FP181*VLOOKUP('Données projet'!$B$16,Paramètres!$A$1:$I$89,3,0)*0.475*44/12</f>
        <v>4.5284940574841381E-22</v>
      </c>
      <c r="FT181" s="24">
        <f t="shared" si="184"/>
        <v>1.0444276896814753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-2.8421709430404007E-13</v>
      </c>
      <c r="GA181" s="18">
        <f>FZ181*VLOOKUP('Données projet'!$B$17,Paramètres!$A$1:$I$89,3,0)*VLOOKUP('Données projet'!$B$17,Paramètres!$A$1:$I$89,5,0)</f>
        <v>-1.69961822393816E-13</v>
      </c>
      <c r="GB181" s="14" t="e">
        <f t="shared" si="185"/>
        <v>#NUM!</v>
      </c>
      <c r="GC181" s="22" t="e">
        <f t="shared" si="186"/>
        <v>#NUM!</v>
      </c>
      <c r="GD181" s="62" t="e">
        <f t="shared" si="134"/>
        <v>#NUM!</v>
      </c>
      <c r="GE181" s="62">
        <f ca="1">AVERAGE(OFFSET($GD$3,0,0,'Données projet'!$E$17+1,1))-AVERAGE(OFFSET($H$3,0,0,'Données projet'!$E$17+1,1))</f>
        <v>289.12367833861299</v>
      </c>
      <c r="GF181" s="62">
        <f t="shared" si="158"/>
        <v>229.06617320689003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>
        <f>EXP(-LN(2)/35)*GL180+(1-EXP(-LN(2)/35))/(LN(2)/35)*GH181*GI181*VLOOKUP('Données projet'!$B$17,Paramètres!$A$1:$I$89,3,0)*0.475*44/12</f>
        <v>0</v>
      </c>
      <c r="GM181" s="23">
        <f>EXP(-LN(2)/25)*GM180+(1-EXP(-LN(2)/25))/(LN(2)/25)*Calculateur!GH181*Calculateur!GJ181*VLOOKUP('Données projet'!$B$17,Paramètres!$A$1:$I$89,3,0)*0.475*44/12</f>
        <v>0</v>
      </c>
      <c r="GN181" s="23">
        <f>EXP(-LN(2)/2)*GN180+(1-EXP(-LN(2)/2))/(LN(2)/2)*GH181*GK181*VLOOKUP('Données projet'!$B$17,Paramètres!$A$1:$I$89,3,0)*0.475*44/12</f>
        <v>2.1953162111983831E-22</v>
      </c>
      <c r="GO181" s="23">
        <f t="shared" si="187"/>
        <v>2.1953162111983831E-22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-5.6843418860808015E-14</v>
      </c>
      <c r="GV181" s="18">
        <f>GU181*VLOOKUP('Données projet'!$B$18,Paramètres!$A$1:$I$89,3,0)*VLOOKUP('Données projet'!$B$18,Paramètres!$A$1:$I$89,5,0)</f>
        <v>-2.6602720026858149E-14</v>
      </c>
      <c r="GW181" s="14" t="e">
        <f t="shared" si="188"/>
        <v>#NUM!</v>
      </c>
      <c r="GX181" s="22" t="e">
        <f t="shared" si="189"/>
        <v>#NUM!</v>
      </c>
      <c r="GY181" s="62" t="e">
        <f t="shared" si="137"/>
        <v>#NUM!</v>
      </c>
      <c r="GZ181" s="62">
        <f ca="1">AVERAGE(OFFSET($GY$3,0,0,'Données projet'!$E$18+1,1))-AVERAGE(OFFSET($H$3,0,0,'Données projet'!$E$18+1,1))</f>
        <v>284.88646502866419</v>
      </c>
      <c r="HA181" s="62">
        <f t="shared" si="160"/>
        <v>190.4880882944471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>
        <f>EXP(-LN(2)/35)*HG180+(1-EXP(-LN(2)/35))/(LN(2)/35)*HC181*HD181*VLOOKUP('Données projet'!$B$18,Paramètres!$A$1:$I$89,3,0)*0.475*44/12</f>
        <v>0</v>
      </c>
      <c r="HH181" s="23">
        <f>EXP(-LN(2)/25)*HH180+(1-EXP(-LN(2)/25))/(LN(2)/25)*Calculateur!HC181*Calculateur!HE181*VLOOKUP('Données projet'!$B$18,Paramètres!$A$1:$I$89,3,0)*0.475*44/12</f>
        <v>0</v>
      </c>
      <c r="HI181" s="23">
        <f>EXP(-LN(2)/2)*HI180+(1-EXP(-LN(2)/2))/(LN(2)/2)*HC181*HF181*VLOOKUP('Données projet'!$B$18,Paramètres!$A$1:$I$89,3,0)*0.475*44/12</f>
        <v>0</v>
      </c>
      <c r="HJ181" s="24">
        <f t="shared" si="190"/>
        <v>0</v>
      </c>
    </row>
    <row r="182" spans="1:218" x14ac:dyDescent="0.25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2">
        <f t="shared" si="140"/>
        <v>0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0</v>
      </c>
      <c r="H182" s="70">
        <f t="shared" si="110"/>
        <v>256.66666666666669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-1.1368683772161603E-13</v>
      </c>
      <c r="O182" s="14">
        <f>N182*VLOOKUP('Données projet'!$B$9,Paramètres!$A$1:$I$89,3,0)*VLOOKUP('Données projet'!$B$9,Paramètres!$A$1:$I$89,5,0)</f>
        <v>-1.0818439477588981E-13</v>
      </c>
      <c r="P182" s="14" t="e">
        <f t="shared" si="141"/>
        <v>#NUM!</v>
      </c>
      <c r="Q182" s="22" t="e">
        <f t="shared" si="162"/>
        <v>#NUM!</v>
      </c>
      <c r="R182" s="62" t="e">
        <f t="shared" si="109"/>
        <v>#NUM!</v>
      </c>
      <c r="S182" s="62">
        <f ca="1">AVERAGE(OFFSET($R$3,0,0,'Données projet'!$E$9+1,1))-AVERAGE(OFFSET($H$3,0,0,'Données projet'!$E$9+1,1))</f>
        <v>367.11183928586667</v>
      </c>
      <c r="T182" s="62">
        <f t="shared" si="142"/>
        <v>281.52963027844595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0</v>
      </c>
      <c r="AA182" s="23">
        <f>EXP(-LN(2)/25)*AA181+(1-EXP(-LN(2)/25))/(LN(2)/25)*Calculateur!V182*Calculateur!X182*VLOOKUP('Données projet'!$B$9,Paramètres!$A$1:$I$89,3,0)*0.475*44/12</f>
        <v>0</v>
      </c>
      <c r="AB182" s="23">
        <f>EXP(-LN(2)/2)*AB181+(1-EXP(-LN(2)/2))/(LN(2)/2)*V182*Y182*VLOOKUP('Données projet'!$B$9,Paramètres!$A$1:$I$89,3,0)*0.475*44/12</f>
        <v>0</v>
      </c>
      <c r="AC182" s="24">
        <f t="shared" si="163"/>
        <v>0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-9.6633812063373625E-13</v>
      </c>
      <c r="AJ182" s="14">
        <f>AI182*VLOOKUP('Données projet'!$B$10,Paramètres!$A$1:$I$89,3,0)*VLOOKUP('Données projet'!$B$10,Paramètres!$A$1:$I$89,5,0)</f>
        <v>-8.7434273154940449E-13</v>
      </c>
      <c r="AK182" s="14" t="e">
        <f t="shared" si="164"/>
        <v>#NUM!</v>
      </c>
      <c r="AL182" s="22" t="e">
        <f t="shared" si="165"/>
        <v>#NUM!</v>
      </c>
      <c r="AM182" s="62" t="e">
        <f t="shared" si="113"/>
        <v>#NUM!</v>
      </c>
      <c r="AN182" s="62">
        <f ca="1">AVERAGE(OFFSET($AM$3,0,0,'Données projet'!$E$10+1,1))-AVERAGE(OFFSET($H$3,0,0,'Données projet'!$E$10+1,1))</f>
        <v>428.8489304403459</v>
      </c>
      <c r="AO182" s="62">
        <f t="shared" si="144"/>
        <v>247.01165577562966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0</v>
      </c>
      <c r="AV182" s="23">
        <f>EXP(-LN(2)/25)*AV181+(1-EXP(-LN(2)/25))/(LN(2)/25)*Calculateur!AQ182*Calculateur!AS182*VLOOKUP('Données projet'!$B$10,Paramètres!$A$1:$I$89,3,0)*0.475*44/12</f>
        <v>0</v>
      </c>
      <c r="AW182" s="23">
        <f>EXP(-LN(2)/2)*AW181+(1-EXP(-LN(2)/2))/(LN(2)/2)*AQ182*AT182*VLOOKUP('Données projet'!$B$10,Paramètres!$A$1:$I$89,3,0)*0.475*44/12</f>
        <v>0</v>
      </c>
      <c r="AX182" s="23">
        <f t="shared" si="166"/>
        <v>0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-9.6633812063373625E-13</v>
      </c>
      <c r="BE182" s="14">
        <f>BD182*VLOOKUP('Données projet'!$B$11,Paramètres!$A$1:$I$89,3,0)*VLOOKUP('Données projet'!$B$11,Paramètres!$A$1:$I$89,5,0)</f>
        <v>-9.7986685432260874E-13</v>
      </c>
      <c r="BF182" s="14" t="e">
        <f t="shared" si="167"/>
        <v>#NUM!</v>
      </c>
      <c r="BG182" s="22" t="e">
        <f t="shared" si="168"/>
        <v>#NUM!</v>
      </c>
      <c r="BH182" s="62" t="e">
        <f t="shared" si="116"/>
        <v>#NUM!</v>
      </c>
      <c r="BI182" s="62">
        <f ca="1">AVERAGE(OFFSET($BH$3,0,0,'Données projet'!$E$11+1,1))-AVERAGE(OFFSET($H$3,0,0,'Données projet'!$E$11+1,1))</f>
        <v>475.47920969424894</v>
      </c>
      <c r="BJ182" s="62">
        <f t="shared" si="146"/>
        <v>271.73544012419364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>
        <f>EXP(-LN(2)/35)*BP181+(1-EXP(-LN(2)/35))/(LN(2)/35)*BL182*BM182*VLOOKUP('Données projet'!$B$11,Paramètres!$A$1:$I$89,3,0)*0.475*44/12</f>
        <v>0</v>
      </c>
      <c r="BQ182" s="23">
        <f>EXP(-LN(2)/25)*BQ181+(1-EXP(-LN(2)/25))/(LN(2)/25)*Calculateur!BL182*Calculateur!BN182*VLOOKUP('Données projet'!$B$11,Paramètres!$A$1:$I$89,3,0)*0.475*44/12</f>
        <v>0</v>
      </c>
      <c r="BR182" s="23">
        <f>EXP(-LN(2)/2)*BR181+(1-EXP(-LN(2)/2))/(LN(2)/2)*BL182*BO182*VLOOKUP('Données projet'!$B$11,Paramètres!$A$1:$I$89,3,0)*0.475*44/12</f>
        <v>0</v>
      </c>
      <c r="BS182" s="24">
        <f t="shared" si="169"/>
        <v>0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2.2737367544323206E-13</v>
      </c>
      <c r="BZ182" s="14">
        <f>BY182*VLOOKUP('Données projet'!$B$12,Paramètres!$A$1:$I$89,3,0)*VLOOKUP('Données projet'!$B$12,Paramètres!$A$1:$I$89,5,0)</f>
        <v>1.2710188457276673E-13</v>
      </c>
      <c r="CA182" s="14">
        <f t="shared" si="170"/>
        <v>1.856866851063998E-12</v>
      </c>
      <c r="CB182" s="22">
        <f t="shared" si="171"/>
        <v>3.4554122145673649E-12</v>
      </c>
      <c r="CC182" s="62">
        <f t="shared" si="119"/>
        <v>293.33333333333678</v>
      </c>
      <c r="CD182" s="62">
        <f ca="1">AVERAGE(OFFSET($CC$3,0,0,'Données projet'!$E$12+1,1))-AVERAGE(OFFSET($H$3,0,0,'Données projet'!$E$12+1,1))</f>
        <v>323.98185264074681</v>
      </c>
      <c r="CE182" s="62">
        <f t="shared" si="148"/>
        <v>301.22207291854005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>
        <f>EXP(-LN(2)/35)*CK181+(1-EXP(-LN(2)/35))/(LN(2)/35)*CG182*CH182*VLOOKUP('Données projet'!$B$12,Paramètres!$A$1:$I$89,3,0)*0.475*44/12</f>
        <v>0.23336359935148149</v>
      </c>
      <c r="CL182" s="23">
        <f>EXP(-LN(2)/25)*CL181+(1-EXP(-LN(2)/25))/(LN(2)/25)*Calculateur!CG182*Calculateur!CI182*VLOOKUP('Données projet'!$B$12,Paramètres!$A$1:$I$89,3,0)*0.475*44/12</f>
        <v>0.13248691864955883</v>
      </c>
      <c r="CM182" s="23">
        <f>EXP(-LN(2)/2)*CM181+(1-EXP(-LN(2)/2))/(LN(2)/2)*CG182*CJ182*VLOOKUP('Données projet'!$B$12,Paramètres!$A$1:$I$89,3,0)*0.475*44/12</f>
        <v>2.2789049488637915E-22</v>
      </c>
      <c r="CN182" s="24">
        <f t="shared" si="172"/>
        <v>0.36585051800104029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>
        <f>CT182*VLOOKUP('Données projet'!$B$13,Paramètres!$A$1:$I$89,3,0)*VLOOKUP('Données projet'!$B$13,Paramètres!$A$1:$I$89,5,0)</f>
        <v>0</v>
      </c>
      <c r="CV182" s="14" t="e">
        <f t="shared" si="173"/>
        <v>#NUM!</v>
      </c>
      <c r="CW182" s="22" t="e">
        <f t="shared" si="174"/>
        <v>#NUM!</v>
      </c>
      <c r="CX182" s="62" t="e">
        <f t="shared" si="122"/>
        <v>#NUM!</v>
      </c>
      <c r="CY182" s="62">
        <f ca="1">AVERAGE(OFFSET($CX$3,0,0,'Données projet'!$E$13+1,1))-AVERAGE(OFFSET($H$3,0,0,'Données projet'!$E$13+1,1))</f>
        <v>399.78832690250164</v>
      </c>
      <c r="CZ182" s="62">
        <f t="shared" si="150"/>
        <v>174.32967064896343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>
        <f>EXP(-LN(2)/35)*DF181+(1-EXP(-LN(2)/35))/(LN(2)/35)*DB182*DC182*VLOOKUP('Données projet'!$B$13,Paramètres!$A$1:$I$89,3,0)*0.475*44/12</f>
        <v>0</v>
      </c>
      <c r="DG182" s="23">
        <f>EXP(-LN(2)/25)*DG181+(1-EXP(-LN(2)/25))/(LN(2)/25)*Calculateur!DB182*Calculateur!DD182*VLOOKUP('Données projet'!$B$13,Paramètres!$A$1:$I$89,3,0)*0.475*44/12</f>
        <v>0</v>
      </c>
      <c r="DH182" s="23">
        <f>EXP(-LN(2)/2)*DH181+(1-EXP(-LN(2)/2))/(LN(2)/2)*DB182*DE182*VLOOKUP('Données projet'!$B$13,Paramètres!$A$1:$I$89,3,0)*0.475*44/12</f>
        <v>0</v>
      </c>
      <c r="DI182" s="24">
        <f t="shared" si="175"/>
        <v>0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-9.6633812063373625E-13</v>
      </c>
      <c r="DP182" s="18">
        <f>DO182*VLOOKUP('Données projet'!$B$14,Paramètres!$A$1:$I$89,3,0)*VLOOKUP('Données projet'!$B$14,Paramètres!$A$1:$I$89,5,0)</f>
        <v>-8.1404323282185943E-13</v>
      </c>
      <c r="DQ182" s="14" t="e">
        <f t="shared" si="176"/>
        <v>#NUM!</v>
      </c>
      <c r="DR182" s="22" t="e">
        <f t="shared" si="177"/>
        <v>#NUM!</v>
      </c>
      <c r="DS182" s="62" t="e">
        <f t="shared" si="125"/>
        <v>#NUM!</v>
      </c>
      <c r="DT182" s="62">
        <f ca="1">AVERAGE(OFFSET($DS$3,0,0,'Données projet'!$E$14+1,1))-AVERAGE(OFFSET($H$3,0,0,'Données projet'!$E$14+1,1))</f>
        <v>402.15128814037058</v>
      </c>
      <c r="DU182" s="62">
        <f t="shared" si="152"/>
        <v>232.85411068442738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>
        <f>EXP(-LN(2)/35)*EA181+(1-EXP(-LN(2)/35))/(LN(2)/35)*DW182*DX182*VLOOKUP('Données projet'!$B$14,Paramètres!$A$1:$I$89,3,0)*0.475*44/12</f>
        <v>0</v>
      </c>
      <c r="EB182" s="23">
        <f>EXP(-LN(2)/25)*EB181+(1-EXP(-LN(2)/25))/(LN(2)/25)*Calculateur!DW182*Calculateur!DY182*VLOOKUP('Données projet'!$B$14,Paramètres!$A$1:$I$89,3,0)*0.475*44/12</f>
        <v>0</v>
      </c>
      <c r="EC182" s="23">
        <f>EXP(-LN(2)/2)*EC181+(1-EXP(-LN(2)/2))/(LN(2)/2)*DW182*DZ182*VLOOKUP('Données projet'!$B$14,Paramètres!$A$1:$I$89,3,0)*0.475*44/12</f>
        <v>0</v>
      </c>
      <c r="ED182" s="24">
        <f t="shared" si="178"/>
        <v>0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6.2527760746888816E-13</v>
      </c>
      <c r="EK182" s="18">
        <f>EJ182*VLOOKUP('Données projet'!$B$15,Paramètres!$A$1:$I$89,3,0)*VLOOKUP('Données projet'!$B$15,Paramètres!$A$1:$I$89,5,0)</f>
        <v>6.5354015532648198E-13</v>
      </c>
      <c r="EL182" s="14">
        <f t="shared" si="179"/>
        <v>7.8909019831354483E-12</v>
      </c>
      <c r="EM182" s="22">
        <f t="shared" si="180"/>
        <v>1.4881570057821194E-11</v>
      </c>
      <c r="EN182" s="62">
        <f t="shared" si="128"/>
        <v>293.33333333334821</v>
      </c>
      <c r="EO182" s="62">
        <f ca="1">AVERAGE(OFFSET($EN$3,0,0,'Données projet'!$E$15+1,1))-AVERAGE(OFFSET($H$3,0,0,'Données projet'!$E$15+1,1))</f>
        <v>595.89992279024398</v>
      </c>
      <c r="EP182" s="62">
        <f t="shared" si="154"/>
        <v>378.16197659288338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>
        <f>EXP(-LN(2)/35)*EV181+(1-EXP(-LN(2)/35))/(LN(2)/35)*ER182*ES182*VLOOKUP('Données projet'!$B$15,Paramètres!$A$1:$I$89,3,0)*0.475*44/12</f>
        <v>0</v>
      </c>
      <c r="EW182" s="23">
        <f>EXP(-LN(2)/25)*EW181+(1-EXP(-LN(2)/25))/(LN(2)/25)*Calculateur!ER182*Calculateur!ET182*VLOOKUP('Données projet'!$B$15,Paramètres!$A$1:$I$89,3,0)*0.475*44/12</f>
        <v>0</v>
      </c>
      <c r="EX182" s="23">
        <f>EXP(-LN(2)/2)*EX181+(1-EXP(-LN(2)/2))/(LN(2)/2)*ER182*EU182*VLOOKUP('Données projet'!$B$15,Paramètres!$A$1:$I$89,3,0)*0.475*44/12</f>
        <v>0</v>
      </c>
      <c r="EY182" s="24">
        <f t="shared" si="181"/>
        <v>0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-2.2737367544323206E-13</v>
      </c>
      <c r="FF182" s="18">
        <f>FE182*VLOOKUP('Données projet'!$B$16,Paramètres!$A$1:$I$89,3,0)*VLOOKUP('Données projet'!$B$16,Paramètres!$A$1:$I$89,5,0)</f>
        <v>-1.3596945791505279E-13</v>
      </c>
      <c r="FG182" s="14" t="e">
        <f t="shared" si="182"/>
        <v>#NUM!</v>
      </c>
      <c r="FH182" s="22" t="e">
        <f t="shared" si="183"/>
        <v>#NUM!</v>
      </c>
      <c r="FI182" s="62" t="e">
        <f t="shared" si="131"/>
        <v>#NUM!</v>
      </c>
      <c r="FJ182" s="62">
        <f ca="1">AVERAGE(OFFSET($FI$3,0,0,'Données projet'!$E$16+1,1))-AVERAGE(OFFSET($H$3,0,0,'Données projet'!$E$16+1,1))</f>
        <v>257.56116197646924</v>
      </c>
      <c r="FK182" s="62">
        <f t="shared" si="156"/>
        <v>269.95556918835888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>
        <f>EXP(-LN(2)/35)*FQ181+(1-EXP(-LN(2)/35))/(LN(2)/35)*FM182*FN182*VLOOKUP('Données projet'!$B$16,Paramètres!$A$1:$I$89,3,0)*0.475*44/12</f>
        <v>0.76255781486573726</v>
      </c>
      <c r="FR182" s="23">
        <f>EXP(-LN(2)/25)*FR181+(1-EXP(-LN(2)/25))/(LN(2)/25)*Calculateur!FM182*Calculateur!FO182*VLOOKUP('Données projet'!$B$16,Paramètres!$A$1:$I$89,3,0)*0.475*44/12</f>
        <v>0.25932682192290141</v>
      </c>
      <c r="FS182" s="23">
        <f>EXP(-LN(2)/2)*FS181+(1-EXP(-LN(2)/2))/(LN(2)/2)*FM182*FP182*VLOOKUP('Données projet'!$B$16,Paramètres!$A$1:$I$89,3,0)*0.475*44/12</f>
        <v>3.2021288566100173E-22</v>
      </c>
      <c r="FT182" s="24">
        <f t="shared" si="184"/>
        <v>1.0218846367886387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-2.8421709430404007E-13</v>
      </c>
      <c r="GA182" s="18">
        <f>FZ182*VLOOKUP('Données projet'!$B$17,Paramètres!$A$1:$I$89,3,0)*VLOOKUP('Données projet'!$B$17,Paramètres!$A$1:$I$89,5,0)</f>
        <v>-1.69961822393816E-13</v>
      </c>
      <c r="GB182" s="14" t="e">
        <f t="shared" si="185"/>
        <v>#NUM!</v>
      </c>
      <c r="GC182" s="22" t="e">
        <f t="shared" si="186"/>
        <v>#NUM!</v>
      </c>
      <c r="GD182" s="62" t="e">
        <f t="shared" si="134"/>
        <v>#NUM!</v>
      </c>
      <c r="GE182" s="62">
        <f ca="1">AVERAGE(OFFSET($GD$3,0,0,'Données projet'!$E$17+1,1))-AVERAGE(OFFSET($H$3,0,0,'Données projet'!$E$17+1,1))</f>
        <v>289.12367833861299</v>
      </c>
      <c r="GF182" s="62">
        <f t="shared" si="158"/>
        <v>229.06617320689003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>
        <f>EXP(-LN(2)/35)*GL181+(1-EXP(-LN(2)/35))/(LN(2)/35)*GH182*GI182*VLOOKUP('Données projet'!$B$17,Paramètres!$A$1:$I$89,3,0)*0.475*44/12</f>
        <v>0</v>
      </c>
      <c r="GM182" s="23">
        <f>EXP(-LN(2)/25)*GM181+(1-EXP(-LN(2)/25))/(LN(2)/25)*Calculateur!GH182*Calculateur!GJ182*VLOOKUP('Données projet'!$B$17,Paramètres!$A$1:$I$89,3,0)*0.475*44/12</f>
        <v>0</v>
      </c>
      <c r="GN182" s="23">
        <f>EXP(-LN(2)/2)*GN181+(1-EXP(-LN(2)/2))/(LN(2)/2)*GH182*GK182*VLOOKUP('Données projet'!$B$17,Paramètres!$A$1:$I$89,3,0)*0.475*44/12</f>
        <v>1.5523229797871357E-22</v>
      </c>
      <c r="GO182" s="23">
        <f t="shared" si="187"/>
        <v>1.5523229797871357E-22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-5.6843418860808015E-14</v>
      </c>
      <c r="GV182" s="18">
        <f>GU182*VLOOKUP('Données projet'!$B$18,Paramètres!$A$1:$I$89,3,0)*VLOOKUP('Données projet'!$B$18,Paramètres!$A$1:$I$89,5,0)</f>
        <v>-2.6602720026858149E-14</v>
      </c>
      <c r="GW182" s="14" t="e">
        <f t="shared" si="188"/>
        <v>#NUM!</v>
      </c>
      <c r="GX182" s="22" t="e">
        <f t="shared" si="189"/>
        <v>#NUM!</v>
      </c>
      <c r="GY182" s="62" t="e">
        <f t="shared" si="137"/>
        <v>#NUM!</v>
      </c>
      <c r="GZ182" s="62">
        <f ca="1">AVERAGE(OFFSET($GY$3,0,0,'Données projet'!$E$18+1,1))-AVERAGE(OFFSET($H$3,0,0,'Données projet'!$E$18+1,1))</f>
        <v>284.88646502866419</v>
      </c>
      <c r="HA182" s="62">
        <f t="shared" si="160"/>
        <v>190.4880882944471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>
        <f>EXP(-LN(2)/35)*HG181+(1-EXP(-LN(2)/35))/(LN(2)/35)*HC182*HD182*VLOOKUP('Données projet'!$B$18,Paramètres!$A$1:$I$89,3,0)*0.475*44/12</f>
        <v>0</v>
      </c>
      <c r="HH182" s="23">
        <f>EXP(-LN(2)/25)*HH181+(1-EXP(-LN(2)/25))/(LN(2)/25)*Calculateur!HC182*Calculateur!HE182*VLOOKUP('Données projet'!$B$18,Paramètres!$A$1:$I$89,3,0)*0.475*44/12</f>
        <v>0</v>
      </c>
      <c r="HI182" s="23">
        <f>EXP(-LN(2)/2)*HI181+(1-EXP(-LN(2)/2))/(LN(2)/2)*HC182*HF182*VLOOKUP('Données projet'!$B$18,Paramètres!$A$1:$I$89,3,0)*0.475*44/12</f>
        <v>0</v>
      </c>
      <c r="HJ182" s="24">
        <f t="shared" si="190"/>
        <v>0</v>
      </c>
    </row>
    <row r="183" spans="1:218" x14ac:dyDescent="0.25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2">
        <f t="shared" si="140"/>
        <v>0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0</v>
      </c>
      <c r="H183" s="70">
        <f t="shared" si="110"/>
        <v>256.66666666666669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-1.1368683772161603E-13</v>
      </c>
      <c r="O183" s="14">
        <f>N183*VLOOKUP('Données projet'!$B$9,Paramètres!$A$1:$I$89,3,0)*VLOOKUP('Données projet'!$B$9,Paramètres!$A$1:$I$89,5,0)</f>
        <v>-1.0818439477588981E-13</v>
      </c>
      <c r="P183" s="14" t="e">
        <f t="shared" si="141"/>
        <v>#NUM!</v>
      </c>
      <c r="Q183" s="22" t="e">
        <f t="shared" si="162"/>
        <v>#NUM!</v>
      </c>
      <c r="R183" s="62" t="e">
        <f t="shared" si="109"/>
        <v>#NUM!</v>
      </c>
      <c r="S183" s="62">
        <f ca="1">AVERAGE(OFFSET($R$3,0,0,'Données projet'!$E$9+1,1))-AVERAGE(OFFSET($H$3,0,0,'Données projet'!$E$9+1,1))</f>
        <v>367.11183928586667</v>
      </c>
      <c r="T183" s="62">
        <f t="shared" si="142"/>
        <v>281.52963027844595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0</v>
      </c>
      <c r="AA183" s="23">
        <f>EXP(-LN(2)/25)*AA182+(1-EXP(-LN(2)/25))/(LN(2)/25)*Calculateur!V183*Calculateur!X183*VLOOKUP('Données projet'!$B$9,Paramètres!$A$1:$I$89,3,0)*0.475*44/12</f>
        <v>0</v>
      </c>
      <c r="AB183" s="23">
        <f>EXP(-LN(2)/2)*AB182+(1-EXP(-LN(2)/2))/(LN(2)/2)*V183*Y183*VLOOKUP('Données projet'!$B$9,Paramètres!$A$1:$I$89,3,0)*0.475*44/12</f>
        <v>0</v>
      </c>
      <c r="AC183" s="24">
        <f t="shared" si="163"/>
        <v>0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-9.6633812063373625E-13</v>
      </c>
      <c r="AJ183" s="14">
        <f>AI183*VLOOKUP('Données projet'!$B$10,Paramètres!$A$1:$I$89,3,0)*VLOOKUP('Données projet'!$B$10,Paramètres!$A$1:$I$89,5,0)</f>
        <v>-8.7434273154940449E-13</v>
      </c>
      <c r="AK183" s="14" t="e">
        <f t="shared" si="164"/>
        <v>#NUM!</v>
      </c>
      <c r="AL183" s="22" t="e">
        <f t="shared" si="165"/>
        <v>#NUM!</v>
      </c>
      <c r="AM183" s="62" t="e">
        <f t="shared" si="113"/>
        <v>#NUM!</v>
      </c>
      <c r="AN183" s="62">
        <f ca="1">AVERAGE(OFFSET($AM$3,0,0,'Données projet'!$E$10+1,1))-AVERAGE(OFFSET($H$3,0,0,'Données projet'!$E$10+1,1))</f>
        <v>428.8489304403459</v>
      </c>
      <c r="AO183" s="62">
        <f t="shared" si="144"/>
        <v>247.01165577562966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0</v>
      </c>
      <c r="AV183" s="23">
        <f>EXP(-LN(2)/25)*AV182+(1-EXP(-LN(2)/25))/(LN(2)/25)*Calculateur!AQ183*Calculateur!AS183*VLOOKUP('Données projet'!$B$10,Paramètres!$A$1:$I$89,3,0)*0.475*44/12</f>
        <v>0</v>
      </c>
      <c r="AW183" s="23">
        <f>EXP(-LN(2)/2)*AW182+(1-EXP(-LN(2)/2))/(LN(2)/2)*AQ183*AT183*VLOOKUP('Données projet'!$B$10,Paramètres!$A$1:$I$89,3,0)*0.475*44/12</f>
        <v>0</v>
      </c>
      <c r="AX183" s="23">
        <f t="shared" si="166"/>
        <v>0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-9.6633812063373625E-13</v>
      </c>
      <c r="BE183" s="14">
        <f>BD183*VLOOKUP('Données projet'!$B$11,Paramètres!$A$1:$I$89,3,0)*VLOOKUP('Données projet'!$B$11,Paramètres!$A$1:$I$89,5,0)</f>
        <v>-9.7986685432260874E-13</v>
      </c>
      <c r="BF183" s="14" t="e">
        <f t="shared" si="167"/>
        <v>#NUM!</v>
      </c>
      <c r="BG183" s="22" t="e">
        <f t="shared" si="168"/>
        <v>#NUM!</v>
      </c>
      <c r="BH183" s="62" t="e">
        <f t="shared" si="116"/>
        <v>#NUM!</v>
      </c>
      <c r="BI183" s="62">
        <f ca="1">AVERAGE(OFFSET($BH$3,0,0,'Données projet'!$E$11+1,1))-AVERAGE(OFFSET($H$3,0,0,'Données projet'!$E$11+1,1))</f>
        <v>475.47920969424894</v>
      </c>
      <c r="BJ183" s="62">
        <f t="shared" si="146"/>
        <v>271.73544012419364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>
        <f>EXP(-LN(2)/35)*BP182+(1-EXP(-LN(2)/35))/(LN(2)/35)*BL183*BM183*VLOOKUP('Données projet'!$B$11,Paramètres!$A$1:$I$89,3,0)*0.475*44/12</f>
        <v>0</v>
      </c>
      <c r="BQ183" s="23">
        <f>EXP(-LN(2)/25)*BQ182+(1-EXP(-LN(2)/25))/(LN(2)/25)*Calculateur!BL183*Calculateur!BN183*VLOOKUP('Données projet'!$B$11,Paramètres!$A$1:$I$89,3,0)*0.475*44/12</f>
        <v>0</v>
      </c>
      <c r="BR183" s="23">
        <f>EXP(-LN(2)/2)*BR182+(1-EXP(-LN(2)/2))/(LN(2)/2)*BL183*BO183*VLOOKUP('Données projet'!$B$11,Paramètres!$A$1:$I$89,3,0)*0.475*44/12</f>
        <v>0</v>
      </c>
      <c r="BS183" s="24">
        <f t="shared" si="169"/>
        <v>0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2.2737367544323206E-13</v>
      </c>
      <c r="BZ183" s="14">
        <f>BY183*VLOOKUP('Données projet'!$B$12,Paramètres!$A$1:$I$89,3,0)*VLOOKUP('Données projet'!$B$12,Paramètres!$A$1:$I$89,5,0)</f>
        <v>1.2710188457276673E-13</v>
      </c>
      <c r="CA183" s="14">
        <f t="shared" si="170"/>
        <v>1.856866851063998E-12</v>
      </c>
      <c r="CB183" s="22">
        <f t="shared" si="171"/>
        <v>3.4554122145673649E-12</v>
      </c>
      <c r="CC183" s="62">
        <f t="shared" si="119"/>
        <v>293.33333333333678</v>
      </c>
      <c r="CD183" s="62">
        <f ca="1">AVERAGE(OFFSET($CC$3,0,0,'Données projet'!$E$12+1,1))-AVERAGE(OFFSET($H$3,0,0,'Données projet'!$E$12+1,1))</f>
        <v>323.98185264074681</v>
      </c>
      <c r="CE183" s="62">
        <f t="shared" si="148"/>
        <v>301.22207291854005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>
        <f>EXP(-LN(2)/35)*CK182+(1-EXP(-LN(2)/35))/(LN(2)/35)*CG183*CH183*VLOOKUP('Données projet'!$B$12,Paramètres!$A$1:$I$89,3,0)*0.475*44/12</f>
        <v>0.22878748150593986</v>
      </c>
      <c r="CL183" s="23">
        <f>EXP(-LN(2)/25)*CL182+(1-EXP(-LN(2)/25))/(LN(2)/25)*Calculateur!CG183*Calculateur!CI183*VLOOKUP('Données projet'!$B$12,Paramètres!$A$1:$I$89,3,0)*0.475*44/12</f>
        <v>0.12886405689190239</v>
      </c>
      <c r="CM183" s="23">
        <f>EXP(-LN(2)/2)*CM182+(1-EXP(-LN(2)/2))/(LN(2)/2)*CG183*CJ183*VLOOKUP('Données projet'!$B$12,Paramètres!$A$1:$I$89,3,0)*0.475*44/12</f>
        <v>1.6114291430211693E-22</v>
      </c>
      <c r="CN183" s="24">
        <f t="shared" si="172"/>
        <v>0.35765153839784225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>
        <f>CT183*VLOOKUP('Données projet'!$B$13,Paramètres!$A$1:$I$89,3,0)*VLOOKUP('Données projet'!$B$13,Paramètres!$A$1:$I$89,5,0)</f>
        <v>0</v>
      </c>
      <c r="CV183" s="14" t="e">
        <f t="shared" si="173"/>
        <v>#NUM!</v>
      </c>
      <c r="CW183" s="22" t="e">
        <f t="shared" si="174"/>
        <v>#NUM!</v>
      </c>
      <c r="CX183" s="62" t="e">
        <f t="shared" si="122"/>
        <v>#NUM!</v>
      </c>
      <c r="CY183" s="62">
        <f ca="1">AVERAGE(OFFSET($CX$3,0,0,'Données projet'!$E$13+1,1))-AVERAGE(OFFSET($H$3,0,0,'Données projet'!$E$13+1,1))</f>
        <v>399.78832690250164</v>
      </c>
      <c r="CZ183" s="62">
        <f t="shared" si="150"/>
        <v>174.32967064896343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>
        <f>EXP(-LN(2)/35)*DF182+(1-EXP(-LN(2)/35))/(LN(2)/35)*DB183*DC183*VLOOKUP('Données projet'!$B$13,Paramètres!$A$1:$I$89,3,0)*0.475*44/12</f>
        <v>0</v>
      </c>
      <c r="DG183" s="23">
        <f>EXP(-LN(2)/25)*DG182+(1-EXP(-LN(2)/25))/(LN(2)/25)*Calculateur!DB183*Calculateur!DD183*VLOOKUP('Données projet'!$B$13,Paramètres!$A$1:$I$89,3,0)*0.475*44/12</f>
        <v>0</v>
      </c>
      <c r="DH183" s="23">
        <f>EXP(-LN(2)/2)*DH182+(1-EXP(-LN(2)/2))/(LN(2)/2)*DB183*DE183*VLOOKUP('Données projet'!$B$13,Paramètres!$A$1:$I$89,3,0)*0.475*44/12</f>
        <v>0</v>
      </c>
      <c r="DI183" s="24">
        <f t="shared" si="175"/>
        <v>0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-9.6633812063373625E-13</v>
      </c>
      <c r="DP183" s="18">
        <f>DO183*VLOOKUP('Données projet'!$B$14,Paramètres!$A$1:$I$89,3,0)*VLOOKUP('Données projet'!$B$14,Paramètres!$A$1:$I$89,5,0)</f>
        <v>-8.1404323282185943E-13</v>
      </c>
      <c r="DQ183" s="14" t="e">
        <f t="shared" si="176"/>
        <v>#NUM!</v>
      </c>
      <c r="DR183" s="22" t="e">
        <f t="shared" si="177"/>
        <v>#NUM!</v>
      </c>
      <c r="DS183" s="62" t="e">
        <f t="shared" si="125"/>
        <v>#NUM!</v>
      </c>
      <c r="DT183" s="62">
        <f ca="1">AVERAGE(OFFSET($DS$3,0,0,'Données projet'!$E$14+1,1))-AVERAGE(OFFSET($H$3,0,0,'Données projet'!$E$14+1,1))</f>
        <v>402.15128814037058</v>
      </c>
      <c r="DU183" s="62">
        <f t="shared" si="152"/>
        <v>232.85411068442738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>
        <f>EXP(-LN(2)/35)*EA182+(1-EXP(-LN(2)/35))/(LN(2)/35)*DW183*DX183*VLOOKUP('Données projet'!$B$14,Paramètres!$A$1:$I$89,3,0)*0.475*44/12</f>
        <v>0</v>
      </c>
      <c r="EB183" s="23">
        <f>EXP(-LN(2)/25)*EB182+(1-EXP(-LN(2)/25))/(LN(2)/25)*Calculateur!DW183*Calculateur!DY183*VLOOKUP('Données projet'!$B$14,Paramètres!$A$1:$I$89,3,0)*0.475*44/12</f>
        <v>0</v>
      </c>
      <c r="EC183" s="23">
        <f>EXP(-LN(2)/2)*EC182+(1-EXP(-LN(2)/2))/(LN(2)/2)*DW183*DZ183*VLOOKUP('Données projet'!$B$14,Paramètres!$A$1:$I$89,3,0)*0.475*44/12</f>
        <v>0</v>
      </c>
      <c r="ED183" s="24">
        <f t="shared" si="178"/>
        <v>0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6.2527760746888816E-13</v>
      </c>
      <c r="EK183" s="18">
        <f>EJ183*VLOOKUP('Données projet'!$B$15,Paramètres!$A$1:$I$89,3,0)*VLOOKUP('Données projet'!$B$15,Paramètres!$A$1:$I$89,5,0)</f>
        <v>6.5354015532648198E-13</v>
      </c>
      <c r="EL183" s="14">
        <f t="shared" si="179"/>
        <v>7.8909019831354483E-12</v>
      </c>
      <c r="EM183" s="22">
        <f t="shared" si="180"/>
        <v>1.4881570057821194E-11</v>
      </c>
      <c r="EN183" s="62">
        <f t="shared" si="128"/>
        <v>293.33333333334821</v>
      </c>
      <c r="EO183" s="62">
        <f ca="1">AVERAGE(OFFSET($EN$3,0,0,'Données projet'!$E$15+1,1))-AVERAGE(OFFSET($H$3,0,0,'Données projet'!$E$15+1,1))</f>
        <v>595.89992279024398</v>
      </c>
      <c r="EP183" s="62">
        <f t="shared" si="154"/>
        <v>378.16197659288338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>
        <f>EXP(-LN(2)/35)*EV182+(1-EXP(-LN(2)/35))/(LN(2)/35)*ER183*ES183*VLOOKUP('Données projet'!$B$15,Paramètres!$A$1:$I$89,3,0)*0.475*44/12</f>
        <v>0</v>
      </c>
      <c r="EW183" s="23">
        <f>EXP(-LN(2)/25)*EW182+(1-EXP(-LN(2)/25))/(LN(2)/25)*Calculateur!ER183*Calculateur!ET183*VLOOKUP('Données projet'!$B$15,Paramètres!$A$1:$I$89,3,0)*0.475*44/12</f>
        <v>0</v>
      </c>
      <c r="EX183" s="23">
        <f>EXP(-LN(2)/2)*EX182+(1-EXP(-LN(2)/2))/(LN(2)/2)*ER183*EU183*VLOOKUP('Données projet'!$B$15,Paramètres!$A$1:$I$89,3,0)*0.475*44/12</f>
        <v>0</v>
      </c>
      <c r="EY183" s="24">
        <f t="shared" si="181"/>
        <v>0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-2.2737367544323206E-13</v>
      </c>
      <c r="FF183" s="18">
        <f>FE183*VLOOKUP('Données projet'!$B$16,Paramètres!$A$1:$I$89,3,0)*VLOOKUP('Données projet'!$B$16,Paramètres!$A$1:$I$89,5,0)</f>
        <v>-1.3596945791505279E-13</v>
      </c>
      <c r="FG183" s="14" t="e">
        <f t="shared" si="182"/>
        <v>#NUM!</v>
      </c>
      <c r="FH183" s="22" t="e">
        <f t="shared" si="183"/>
        <v>#NUM!</v>
      </c>
      <c r="FI183" s="62" t="e">
        <f t="shared" si="131"/>
        <v>#NUM!</v>
      </c>
      <c r="FJ183" s="62">
        <f ca="1">AVERAGE(OFFSET($FI$3,0,0,'Données projet'!$E$16+1,1))-AVERAGE(OFFSET($H$3,0,0,'Données projet'!$E$16+1,1))</f>
        <v>257.56116197646924</v>
      </c>
      <c r="FK183" s="62">
        <f t="shared" si="156"/>
        <v>269.95556918835888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>
        <f>EXP(-LN(2)/35)*FQ182+(1-EXP(-LN(2)/35))/(LN(2)/35)*FM183*FN183*VLOOKUP('Données projet'!$B$16,Paramètres!$A$1:$I$89,3,0)*0.475*44/12</f>
        <v>0.74760452123056098</v>
      </c>
      <c r="FR183" s="23">
        <f>EXP(-LN(2)/25)*FR182+(1-EXP(-LN(2)/25))/(LN(2)/25)*Calculateur!FM183*Calculateur!FO183*VLOOKUP('Données projet'!$B$16,Paramètres!$A$1:$I$89,3,0)*0.475*44/12</f>
        <v>0.25223551634001479</v>
      </c>
      <c r="FS183" s="23">
        <f>EXP(-LN(2)/2)*FS182+(1-EXP(-LN(2)/2))/(LN(2)/2)*FM183*FP183*VLOOKUP('Données projet'!$B$16,Paramètres!$A$1:$I$89,3,0)*0.475*44/12</f>
        <v>2.2642470287420691E-22</v>
      </c>
      <c r="FT183" s="24">
        <f t="shared" si="184"/>
        <v>0.99984003757057582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-2.8421709430404007E-13</v>
      </c>
      <c r="GA183" s="18">
        <f>FZ183*VLOOKUP('Données projet'!$B$17,Paramètres!$A$1:$I$89,3,0)*VLOOKUP('Données projet'!$B$17,Paramètres!$A$1:$I$89,5,0)</f>
        <v>-1.69961822393816E-13</v>
      </c>
      <c r="GB183" s="14" t="e">
        <f t="shared" si="185"/>
        <v>#NUM!</v>
      </c>
      <c r="GC183" s="22" t="e">
        <f t="shared" si="186"/>
        <v>#NUM!</v>
      </c>
      <c r="GD183" s="62" t="e">
        <f t="shared" si="134"/>
        <v>#NUM!</v>
      </c>
      <c r="GE183" s="62">
        <f ca="1">AVERAGE(OFFSET($GD$3,0,0,'Données projet'!$E$17+1,1))-AVERAGE(OFFSET($H$3,0,0,'Données projet'!$E$17+1,1))</f>
        <v>289.12367833861299</v>
      </c>
      <c r="GF183" s="62">
        <f t="shared" si="158"/>
        <v>229.06617320689003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>
        <f>EXP(-LN(2)/35)*GL182+(1-EXP(-LN(2)/35))/(LN(2)/35)*GH183*GI183*VLOOKUP('Données projet'!$B$17,Paramètres!$A$1:$I$89,3,0)*0.475*44/12</f>
        <v>0</v>
      </c>
      <c r="GM183" s="23">
        <f>EXP(-LN(2)/25)*GM182+(1-EXP(-LN(2)/25))/(LN(2)/25)*Calculateur!GH183*Calculateur!GJ183*VLOOKUP('Données projet'!$B$17,Paramètres!$A$1:$I$89,3,0)*0.475*44/12</f>
        <v>0</v>
      </c>
      <c r="GN183" s="23">
        <f>EXP(-LN(2)/2)*GN182+(1-EXP(-LN(2)/2))/(LN(2)/2)*GH183*GK183*VLOOKUP('Données projet'!$B$17,Paramètres!$A$1:$I$89,3,0)*0.475*44/12</f>
        <v>1.0976581055991916E-22</v>
      </c>
      <c r="GO183" s="23">
        <f t="shared" si="187"/>
        <v>1.0976581055991916E-22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-5.6843418860808015E-14</v>
      </c>
      <c r="GV183" s="18">
        <f>GU183*VLOOKUP('Données projet'!$B$18,Paramètres!$A$1:$I$89,3,0)*VLOOKUP('Données projet'!$B$18,Paramètres!$A$1:$I$89,5,0)</f>
        <v>-2.6602720026858149E-14</v>
      </c>
      <c r="GW183" s="14" t="e">
        <f t="shared" si="188"/>
        <v>#NUM!</v>
      </c>
      <c r="GX183" s="22" t="e">
        <f t="shared" si="189"/>
        <v>#NUM!</v>
      </c>
      <c r="GY183" s="62" t="e">
        <f t="shared" si="137"/>
        <v>#NUM!</v>
      </c>
      <c r="GZ183" s="62">
        <f ca="1">AVERAGE(OFFSET($GY$3,0,0,'Données projet'!$E$18+1,1))-AVERAGE(OFFSET($H$3,0,0,'Données projet'!$E$18+1,1))</f>
        <v>284.88646502866419</v>
      </c>
      <c r="HA183" s="62">
        <f t="shared" si="160"/>
        <v>190.4880882944471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>
        <f>EXP(-LN(2)/35)*HG182+(1-EXP(-LN(2)/35))/(LN(2)/35)*HC183*HD183*VLOOKUP('Données projet'!$B$18,Paramètres!$A$1:$I$89,3,0)*0.475*44/12</f>
        <v>0</v>
      </c>
      <c r="HH183" s="23">
        <f>EXP(-LN(2)/25)*HH182+(1-EXP(-LN(2)/25))/(LN(2)/25)*Calculateur!HC183*Calculateur!HE183*VLOOKUP('Données projet'!$B$18,Paramètres!$A$1:$I$89,3,0)*0.475*44/12</f>
        <v>0</v>
      </c>
      <c r="HI183" s="23">
        <f>EXP(-LN(2)/2)*HI182+(1-EXP(-LN(2)/2))/(LN(2)/2)*HC183*HF183*VLOOKUP('Données projet'!$B$18,Paramètres!$A$1:$I$89,3,0)*0.475*44/12</f>
        <v>0</v>
      </c>
      <c r="HJ183" s="24">
        <f t="shared" si="190"/>
        <v>0</v>
      </c>
    </row>
    <row r="184" spans="1:218" x14ac:dyDescent="0.25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2">
        <f t="shared" si="140"/>
        <v>0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0</v>
      </c>
      <c r="H184" s="70">
        <f t="shared" si="110"/>
        <v>256.66666666666669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-1.1368683772161603E-13</v>
      </c>
      <c r="O184" s="14">
        <f>N184*VLOOKUP('Données projet'!$B$9,Paramètres!$A$1:$I$89,3,0)*VLOOKUP('Données projet'!$B$9,Paramètres!$A$1:$I$89,5,0)</f>
        <v>-1.0818439477588981E-13</v>
      </c>
      <c r="P184" s="14" t="e">
        <f t="shared" si="141"/>
        <v>#NUM!</v>
      </c>
      <c r="Q184" s="22" t="e">
        <f t="shared" si="162"/>
        <v>#NUM!</v>
      </c>
      <c r="R184" s="62" t="e">
        <f t="shared" si="109"/>
        <v>#NUM!</v>
      </c>
      <c r="S184" s="62">
        <f ca="1">AVERAGE(OFFSET($R$3,0,0,'Données projet'!$E$9+1,1))-AVERAGE(OFFSET($H$3,0,0,'Données projet'!$E$9+1,1))</f>
        <v>367.11183928586667</v>
      </c>
      <c r="T184" s="62">
        <f t="shared" si="142"/>
        <v>281.52963027844595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0</v>
      </c>
      <c r="AA184" s="23">
        <f>EXP(-LN(2)/25)*AA183+(1-EXP(-LN(2)/25))/(LN(2)/25)*Calculateur!V184*Calculateur!X184*VLOOKUP('Données projet'!$B$9,Paramètres!$A$1:$I$89,3,0)*0.475*44/12</f>
        <v>0</v>
      </c>
      <c r="AB184" s="23">
        <f>EXP(-LN(2)/2)*AB183+(1-EXP(-LN(2)/2))/(LN(2)/2)*V184*Y184*VLOOKUP('Données projet'!$B$9,Paramètres!$A$1:$I$89,3,0)*0.475*44/12</f>
        <v>0</v>
      </c>
      <c r="AC184" s="24">
        <f t="shared" si="163"/>
        <v>0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-9.6633812063373625E-13</v>
      </c>
      <c r="AJ184" s="14">
        <f>AI184*VLOOKUP('Données projet'!$B$10,Paramètres!$A$1:$I$89,3,0)*VLOOKUP('Données projet'!$B$10,Paramètres!$A$1:$I$89,5,0)</f>
        <v>-8.7434273154940449E-13</v>
      </c>
      <c r="AK184" s="14" t="e">
        <f t="shared" si="164"/>
        <v>#NUM!</v>
      </c>
      <c r="AL184" s="22" t="e">
        <f t="shared" si="165"/>
        <v>#NUM!</v>
      </c>
      <c r="AM184" s="62" t="e">
        <f t="shared" si="113"/>
        <v>#NUM!</v>
      </c>
      <c r="AN184" s="62">
        <f ca="1">AVERAGE(OFFSET($AM$3,0,0,'Données projet'!$E$10+1,1))-AVERAGE(OFFSET($H$3,0,0,'Données projet'!$E$10+1,1))</f>
        <v>428.8489304403459</v>
      </c>
      <c r="AO184" s="62">
        <f t="shared" si="144"/>
        <v>247.01165577562966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0</v>
      </c>
      <c r="AV184" s="23">
        <f>EXP(-LN(2)/25)*AV183+(1-EXP(-LN(2)/25))/(LN(2)/25)*Calculateur!AQ184*Calculateur!AS184*VLOOKUP('Données projet'!$B$10,Paramètres!$A$1:$I$89,3,0)*0.475*44/12</f>
        <v>0</v>
      </c>
      <c r="AW184" s="23">
        <f>EXP(-LN(2)/2)*AW183+(1-EXP(-LN(2)/2))/(LN(2)/2)*AQ184*AT184*VLOOKUP('Données projet'!$B$10,Paramètres!$A$1:$I$89,3,0)*0.475*44/12</f>
        <v>0</v>
      </c>
      <c r="AX184" s="23">
        <f t="shared" si="166"/>
        <v>0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-9.6633812063373625E-13</v>
      </c>
      <c r="BE184" s="14">
        <f>BD184*VLOOKUP('Données projet'!$B$11,Paramètres!$A$1:$I$89,3,0)*VLOOKUP('Données projet'!$B$11,Paramètres!$A$1:$I$89,5,0)</f>
        <v>-9.7986685432260874E-13</v>
      </c>
      <c r="BF184" s="14" t="e">
        <f t="shared" si="167"/>
        <v>#NUM!</v>
      </c>
      <c r="BG184" s="22" t="e">
        <f t="shared" si="168"/>
        <v>#NUM!</v>
      </c>
      <c r="BH184" s="62" t="e">
        <f t="shared" si="116"/>
        <v>#NUM!</v>
      </c>
      <c r="BI184" s="62">
        <f ca="1">AVERAGE(OFFSET($BH$3,0,0,'Données projet'!$E$11+1,1))-AVERAGE(OFFSET($H$3,0,0,'Données projet'!$E$11+1,1))</f>
        <v>475.47920969424894</v>
      </c>
      <c r="BJ184" s="62">
        <f t="shared" si="146"/>
        <v>271.73544012419364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>
        <f>EXP(-LN(2)/35)*BP183+(1-EXP(-LN(2)/35))/(LN(2)/35)*BL184*BM184*VLOOKUP('Données projet'!$B$11,Paramètres!$A$1:$I$89,3,0)*0.475*44/12</f>
        <v>0</v>
      </c>
      <c r="BQ184" s="23">
        <f>EXP(-LN(2)/25)*BQ183+(1-EXP(-LN(2)/25))/(LN(2)/25)*Calculateur!BL184*Calculateur!BN184*VLOOKUP('Données projet'!$B$11,Paramètres!$A$1:$I$89,3,0)*0.475*44/12</f>
        <v>0</v>
      </c>
      <c r="BR184" s="23">
        <f>EXP(-LN(2)/2)*BR183+(1-EXP(-LN(2)/2))/(LN(2)/2)*BL184*BO184*VLOOKUP('Données projet'!$B$11,Paramètres!$A$1:$I$89,3,0)*0.475*44/12</f>
        <v>0</v>
      </c>
      <c r="BS184" s="24">
        <f t="shared" si="169"/>
        <v>0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2.2737367544323206E-13</v>
      </c>
      <c r="BZ184" s="14">
        <f>BY184*VLOOKUP('Données projet'!$B$12,Paramètres!$A$1:$I$89,3,0)*VLOOKUP('Données projet'!$B$12,Paramètres!$A$1:$I$89,5,0)</f>
        <v>1.2710188457276673E-13</v>
      </c>
      <c r="CA184" s="14">
        <f t="shared" si="170"/>
        <v>1.856866851063998E-12</v>
      </c>
      <c r="CB184" s="22">
        <f t="shared" si="171"/>
        <v>3.4554122145673649E-12</v>
      </c>
      <c r="CC184" s="62">
        <f t="shared" si="119"/>
        <v>293.33333333333678</v>
      </c>
      <c r="CD184" s="62">
        <f ca="1">AVERAGE(OFFSET($CC$3,0,0,'Données projet'!$E$12+1,1))-AVERAGE(OFFSET($H$3,0,0,'Données projet'!$E$12+1,1))</f>
        <v>323.98185264074681</v>
      </c>
      <c r="CE184" s="62">
        <f t="shared" si="148"/>
        <v>301.22207291854005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>
        <f>EXP(-LN(2)/35)*CK183+(1-EXP(-LN(2)/35))/(LN(2)/35)*CG184*CH184*VLOOKUP('Données projet'!$B$12,Paramètres!$A$1:$I$89,3,0)*0.475*44/12</f>
        <v>0.22430109854019301</v>
      </c>
      <c r="CL184" s="23">
        <f>EXP(-LN(2)/25)*CL183+(1-EXP(-LN(2)/25))/(LN(2)/25)*Calculateur!CG184*Calculateur!CI184*VLOOKUP('Données projet'!$B$12,Paramètres!$A$1:$I$89,3,0)*0.475*44/12</f>
        <v>0.12534026247952709</v>
      </c>
      <c r="CM184" s="23">
        <f>EXP(-LN(2)/2)*CM183+(1-EXP(-LN(2)/2))/(LN(2)/2)*CG184*CJ184*VLOOKUP('Données projet'!$B$12,Paramètres!$A$1:$I$89,3,0)*0.475*44/12</f>
        <v>1.1394524744318957E-22</v>
      </c>
      <c r="CN184" s="24">
        <f t="shared" si="172"/>
        <v>0.3496413610197201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>
        <f>CT184*VLOOKUP('Données projet'!$B$13,Paramètres!$A$1:$I$89,3,0)*VLOOKUP('Données projet'!$B$13,Paramètres!$A$1:$I$89,5,0)</f>
        <v>0</v>
      </c>
      <c r="CV184" s="14" t="e">
        <f t="shared" si="173"/>
        <v>#NUM!</v>
      </c>
      <c r="CW184" s="22" t="e">
        <f t="shared" si="174"/>
        <v>#NUM!</v>
      </c>
      <c r="CX184" s="62" t="e">
        <f t="shared" si="122"/>
        <v>#NUM!</v>
      </c>
      <c r="CY184" s="62">
        <f ca="1">AVERAGE(OFFSET($CX$3,0,0,'Données projet'!$E$13+1,1))-AVERAGE(OFFSET($H$3,0,0,'Données projet'!$E$13+1,1))</f>
        <v>399.78832690250164</v>
      </c>
      <c r="CZ184" s="62">
        <f t="shared" si="150"/>
        <v>174.32967064896343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>
        <f>EXP(-LN(2)/35)*DF183+(1-EXP(-LN(2)/35))/(LN(2)/35)*DB184*DC184*VLOOKUP('Données projet'!$B$13,Paramètres!$A$1:$I$89,3,0)*0.475*44/12</f>
        <v>0</v>
      </c>
      <c r="DG184" s="23">
        <f>EXP(-LN(2)/25)*DG183+(1-EXP(-LN(2)/25))/(LN(2)/25)*Calculateur!DB184*Calculateur!DD184*VLOOKUP('Données projet'!$B$13,Paramètres!$A$1:$I$89,3,0)*0.475*44/12</f>
        <v>0</v>
      </c>
      <c r="DH184" s="23">
        <f>EXP(-LN(2)/2)*DH183+(1-EXP(-LN(2)/2))/(LN(2)/2)*DB184*DE184*VLOOKUP('Données projet'!$B$13,Paramètres!$A$1:$I$89,3,0)*0.475*44/12</f>
        <v>0</v>
      </c>
      <c r="DI184" s="24">
        <f t="shared" si="175"/>
        <v>0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-9.6633812063373625E-13</v>
      </c>
      <c r="DP184" s="18">
        <f>DO184*VLOOKUP('Données projet'!$B$14,Paramètres!$A$1:$I$89,3,0)*VLOOKUP('Données projet'!$B$14,Paramètres!$A$1:$I$89,5,0)</f>
        <v>-8.1404323282185943E-13</v>
      </c>
      <c r="DQ184" s="14" t="e">
        <f t="shared" si="176"/>
        <v>#NUM!</v>
      </c>
      <c r="DR184" s="22" t="e">
        <f t="shared" si="177"/>
        <v>#NUM!</v>
      </c>
      <c r="DS184" s="62" t="e">
        <f t="shared" si="125"/>
        <v>#NUM!</v>
      </c>
      <c r="DT184" s="62">
        <f ca="1">AVERAGE(OFFSET($DS$3,0,0,'Données projet'!$E$14+1,1))-AVERAGE(OFFSET($H$3,0,0,'Données projet'!$E$14+1,1))</f>
        <v>402.15128814037058</v>
      </c>
      <c r="DU184" s="62">
        <f t="shared" si="152"/>
        <v>232.85411068442738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>
        <f>EXP(-LN(2)/35)*EA183+(1-EXP(-LN(2)/35))/(LN(2)/35)*DW184*DX184*VLOOKUP('Données projet'!$B$14,Paramètres!$A$1:$I$89,3,0)*0.475*44/12</f>
        <v>0</v>
      </c>
      <c r="EB184" s="23">
        <f>EXP(-LN(2)/25)*EB183+(1-EXP(-LN(2)/25))/(LN(2)/25)*Calculateur!DW184*Calculateur!DY184*VLOOKUP('Données projet'!$B$14,Paramètres!$A$1:$I$89,3,0)*0.475*44/12</f>
        <v>0</v>
      </c>
      <c r="EC184" s="23">
        <f>EXP(-LN(2)/2)*EC183+(1-EXP(-LN(2)/2))/(LN(2)/2)*DW184*DZ184*VLOOKUP('Données projet'!$B$14,Paramètres!$A$1:$I$89,3,0)*0.475*44/12</f>
        <v>0</v>
      </c>
      <c r="ED184" s="24">
        <f t="shared" si="178"/>
        <v>0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6.2527760746888816E-13</v>
      </c>
      <c r="EK184" s="18">
        <f>EJ184*VLOOKUP('Données projet'!$B$15,Paramètres!$A$1:$I$89,3,0)*VLOOKUP('Données projet'!$B$15,Paramètres!$A$1:$I$89,5,0)</f>
        <v>6.5354015532648198E-13</v>
      </c>
      <c r="EL184" s="14">
        <f t="shared" si="179"/>
        <v>7.8909019831354483E-12</v>
      </c>
      <c r="EM184" s="22">
        <f t="shared" si="180"/>
        <v>1.4881570057821194E-11</v>
      </c>
      <c r="EN184" s="62">
        <f t="shared" si="128"/>
        <v>293.33333333334821</v>
      </c>
      <c r="EO184" s="62">
        <f ca="1">AVERAGE(OFFSET($EN$3,0,0,'Données projet'!$E$15+1,1))-AVERAGE(OFFSET($H$3,0,0,'Données projet'!$E$15+1,1))</f>
        <v>595.89992279024398</v>
      </c>
      <c r="EP184" s="62">
        <f t="shared" si="154"/>
        <v>378.16197659288338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>
        <f>EXP(-LN(2)/35)*EV183+(1-EXP(-LN(2)/35))/(LN(2)/35)*ER184*ES184*VLOOKUP('Données projet'!$B$15,Paramètres!$A$1:$I$89,3,0)*0.475*44/12</f>
        <v>0</v>
      </c>
      <c r="EW184" s="23">
        <f>EXP(-LN(2)/25)*EW183+(1-EXP(-LN(2)/25))/(LN(2)/25)*Calculateur!ER184*Calculateur!ET184*VLOOKUP('Données projet'!$B$15,Paramètres!$A$1:$I$89,3,0)*0.475*44/12</f>
        <v>0</v>
      </c>
      <c r="EX184" s="23">
        <f>EXP(-LN(2)/2)*EX183+(1-EXP(-LN(2)/2))/(LN(2)/2)*ER184*EU184*VLOOKUP('Données projet'!$B$15,Paramètres!$A$1:$I$89,3,0)*0.475*44/12</f>
        <v>0</v>
      </c>
      <c r="EY184" s="24">
        <f t="shared" si="181"/>
        <v>0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-2.2737367544323206E-13</v>
      </c>
      <c r="FF184" s="18">
        <f>FE184*VLOOKUP('Données projet'!$B$16,Paramètres!$A$1:$I$89,3,0)*VLOOKUP('Données projet'!$B$16,Paramètres!$A$1:$I$89,5,0)</f>
        <v>-1.3596945791505279E-13</v>
      </c>
      <c r="FG184" s="14" t="e">
        <f t="shared" si="182"/>
        <v>#NUM!</v>
      </c>
      <c r="FH184" s="22" t="e">
        <f t="shared" si="183"/>
        <v>#NUM!</v>
      </c>
      <c r="FI184" s="62" t="e">
        <f t="shared" si="131"/>
        <v>#NUM!</v>
      </c>
      <c r="FJ184" s="62">
        <f ca="1">AVERAGE(OFFSET($FI$3,0,0,'Données projet'!$E$16+1,1))-AVERAGE(OFFSET($H$3,0,0,'Données projet'!$E$16+1,1))</f>
        <v>257.56116197646924</v>
      </c>
      <c r="FK184" s="62">
        <f t="shared" si="156"/>
        <v>269.95556918835888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>
        <f>EXP(-LN(2)/35)*FQ183+(1-EXP(-LN(2)/35))/(LN(2)/35)*FM184*FN184*VLOOKUP('Données projet'!$B$16,Paramètres!$A$1:$I$89,3,0)*0.475*44/12</f>
        <v>0.73294445256296203</v>
      </c>
      <c r="FR184" s="23">
        <f>EXP(-LN(2)/25)*FR183+(1-EXP(-LN(2)/25))/(LN(2)/25)*Calculateur!FM184*Calculateur!FO184*VLOOKUP('Données projet'!$B$16,Paramètres!$A$1:$I$89,3,0)*0.475*44/12</f>
        <v>0.24533812288120777</v>
      </c>
      <c r="FS184" s="23">
        <f>EXP(-LN(2)/2)*FS183+(1-EXP(-LN(2)/2))/(LN(2)/2)*FM184*FP184*VLOOKUP('Données projet'!$B$16,Paramètres!$A$1:$I$89,3,0)*0.475*44/12</f>
        <v>1.6010644283050086E-22</v>
      </c>
      <c r="FT184" s="24">
        <f t="shared" si="184"/>
        <v>0.97828257544416974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-2.8421709430404007E-13</v>
      </c>
      <c r="GA184" s="18">
        <f>FZ184*VLOOKUP('Données projet'!$B$17,Paramètres!$A$1:$I$89,3,0)*VLOOKUP('Données projet'!$B$17,Paramètres!$A$1:$I$89,5,0)</f>
        <v>-1.69961822393816E-13</v>
      </c>
      <c r="GB184" s="14" t="e">
        <f t="shared" si="185"/>
        <v>#NUM!</v>
      </c>
      <c r="GC184" s="22" t="e">
        <f t="shared" si="186"/>
        <v>#NUM!</v>
      </c>
      <c r="GD184" s="62" t="e">
        <f t="shared" si="134"/>
        <v>#NUM!</v>
      </c>
      <c r="GE184" s="62">
        <f ca="1">AVERAGE(OFFSET($GD$3,0,0,'Données projet'!$E$17+1,1))-AVERAGE(OFFSET($H$3,0,0,'Données projet'!$E$17+1,1))</f>
        <v>289.12367833861299</v>
      </c>
      <c r="GF184" s="62">
        <f t="shared" si="158"/>
        <v>229.06617320689003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>
        <f>EXP(-LN(2)/35)*GL183+(1-EXP(-LN(2)/35))/(LN(2)/35)*GH184*GI184*VLOOKUP('Données projet'!$B$17,Paramètres!$A$1:$I$89,3,0)*0.475*44/12</f>
        <v>0</v>
      </c>
      <c r="GM184" s="23">
        <f>EXP(-LN(2)/25)*GM183+(1-EXP(-LN(2)/25))/(LN(2)/25)*Calculateur!GH184*Calculateur!GJ184*VLOOKUP('Données projet'!$B$17,Paramètres!$A$1:$I$89,3,0)*0.475*44/12</f>
        <v>0</v>
      </c>
      <c r="GN184" s="23">
        <f>EXP(-LN(2)/2)*GN183+(1-EXP(-LN(2)/2))/(LN(2)/2)*GH184*GK184*VLOOKUP('Données projet'!$B$17,Paramètres!$A$1:$I$89,3,0)*0.475*44/12</f>
        <v>7.7616148989356783E-23</v>
      </c>
      <c r="GO184" s="23">
        <f t="shared" si="187"/>
        <v>7.7616148989356783E-23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-5.6843418860808015E-14</v>
      </c>
      <c r="GV184" s="18">
        <f>GU184*VLOOKUP('Données projet'!$B$18,Paramètres!$A$1:$I$89,3,0)*VLOOKUP('Données projet'!$B$18,Paramètres!$A$1:$I$89,5,0)</f>
        <v>-2.6602720026858149E-14</v>
      </c>
      <c r="GW184" s="14" t="e">
        <f t="shared" si="188"/>
        <v>#NUM!</v>
      </c>
      <c r="GX184" s="22" t="e">
        <f t="shared" si="189"/>
        <v>#NUM!</v>
      </c>
      <c r="GY184" s="62" t="e">
        <f t="shared" si="137"/>
        <v>#NUM!</v>
      </c>
      <c r="GZ184" s="62">
        <f ca="1">AVERAGE(OFFSET($GY$3,0,0,'Données projet'!$E$18+1,1))-AVERAGE(OFFSET($H$3,0,0,'Données projet'!$E$18+1,1))</f>
        <v>284.88646502866419</v>
      </c>
      <c r="HA184" s="62">
        <f t="shared" si="160"/>
        <v>190.4880882944471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>
        <f>EXP(-LN(2)/35)*HG183+(1-EXP(-LN(2)/35))/(LN(2)/35)*HC184*HD184*VLOOKUP('Données projet'!$B$18,Paramètres!$A$1:$I$89,3,0)*0.475*44/12</f>
        <v>0</v>
      </c>
      <c r="HH184" s="23">
        <f>EXP(-LN(2)/25)*HH183+(1-EXP(-LN(2)/25))/(LN(2)/25)*Calculateur!HC184*Calculateur!HE184*VLOOKUP('Données projet'!$B$18,Paramètres!$A$1:$I$89,3,0)*0.475*44/12</f>
        <v>0</v>
      </c>
      <c r="HI184" s="23">
        <f>EXP(-LN(2)/2)*HI183+(1-EXP(-LN(2)/2))/(LN(2)/2)*HC184*HF184*VLOOKUP('Données projet'!$B$18,Paramètres!$A$1:$I$89,3,0)*0.475*44/12</f>
        <v>0</v>
      </c>
      <c r="HJ184" s="24">
        <f t="shared" si="190"/>
        <v>0</v>
      </c>
    </row>
    <row r="185" spans="1:218" x14ac:dyDescent="0.25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2">
        <f t="shared" si="140"/>
        <v>0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0</v>
      </c>
      <c r="H185" s="70">
        <f t="shared" si="110"/>
        <v>256.66666666666669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-1.1368683772161603E-13</v>
      </c>
      <c r="O185" s="14">
        <f>N185*VLOOKUP('Données projet'!$B$9,Paramètres!$A$1:$I$89,3,0)*VLOOKUP('Données projet'!$B$9,Paramètres!$A$1:$I$89,5,0)</f>
        <v>-1.0818439477588981E-13</v>
      </c>
      <c r="P185" s="14" t="e">
        <f t="shared" si="141"/>
        <v>#NUM!</v>
      </c>
      <c r="Q185" s="22" t="e">
        <f t="shared" si="162"/>
        <v>#NUM!</v>
      </c>
      <c r="R185" s="62" t="e">
        <f t="shared" si="109"/>
        <v>#NUM!</v>
      </c>
      <c r="S185" s="62">
        <f ca="1">AVERAGE(OFFSET($R$3,0,0,'Données projet'!$E$9+1,1))-AVERAGE(OFFSET($H$3,0,0,'Données projet'!$E$9+1,1))</f>
        <v>367.11183928586667</v>
      </c>
      <c r="T185" s="62">
        <f t="shared" si="142"/>
        <v>281.52963027844595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0</v>
      </c>
      <c r="AA185" s="23">
        <f>EXP(-LN(2)/25)*AA184+(1-EXP(-LN(2)/25))/(LN(2)/25)*Calculateur!V185*Calculateur!X185*VLOOKUP('Données projet'!$B$9,Paramètres!$A$1:$I$89,3,0)*0.475*44/12</f>
        <v>0</v>
      </c>
      <c r="AB185" s="23">
        <f>EXP(-LN(2)/2)*AB184+(1-EXP(-LN(2)/2))/(LN(2)/2)*V185*Y185*VLOOKUP('Données projet'!$B$9,Paramètres!$A$1:$I$89,3,0)*0.475*44/12</f>
        <v>0</v>
      </c>
      <c r="AC185" s="24">
        <f t="shared" si="163"/>
        <v>0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-9.6633812063373625E-13</v>
      </c>
      <c r="AJ185" s="14">
        <f>AI185*VLOOKUP('Données projet'!$B$10,Paramètres!$A$1:$I$89,3,0)*VLOOKUP('Données projet'!$B$10,Paramètres!$A$1:$I$89,5,0)</f>
        <v>-8.7434273154940449E-13</v>
      </c>
      <c r="AK185" s="14" t="e">
        <f t="shared" si="164"/>
        <v>#NUM!</v>
      </c>
      <c r="AL185" s="22" t="e">
        <f t="shared" si="165"/>
        <v>#NUM!</v>
      </c>
      <c r="AM185" s="62" t="e">
        <f t="shared" si="113"/>
        <v>#NUM!</v>
      </c>
      <c r="AN185" s="62">
        <f ca="1">AVERAGE(OFFSET($AM$3,0,0,'Données projet'!$E$10+1,1))-AVERAGE(OFFSET($H$3,0,0,'Données projet'!$E$10+1,1))</f>
        <v>428.8489304403459</v>
      </c>
      <c r="AO185" s="62">
        <f t="shared" si="144"/>
        <v>247.01165577562966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0</v>
      </c>
      <c r="AV185" s="23">
        <f>EXP(-LN(2)/25)*AV184+(1-EXP(-LN(2)/25))/(LN(2)/25)*Calculateur!AQ185*Calculateur!AS185*VLOOKUP('Données projet'!$B$10,Paramètres!$A$1:$I$89,3,0)*0.475*44/12</f>
        <v>0</v>
      </c>
      <c r="AW185" s="23">
        <f>EXP(-LN(2)/2)*AW184+(1-EXP(-LN(2)/2))/(LN(2)/2)*AQ185*AT185*VLOOKUP('Données projet'!$B$10,Paramètres!$A$1:$I$89,3,0)*0.475*44/12</f>
        <v>0</v>
      </c>
      <c r="AX185" s="23">
        <f t="shared" si="166"/>
        <v>0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-9.6633812063373625E-13</v>
      </c>
      <c r="BE185" s="14">
        <f>BD185*VLOOKUP('Données projet'!$B$11,Paramètres!$A$1:$I$89,3,0)*VLOOKUP('Données projet'!$B$11,Paramètres!$A$1:$I$89,5,0)</f>
        <v>-9.7986685432260874E-13</v>
      </c>
      <c r="BF185" s="14" t="e">
        <f t="shared" si="167"/>
        <v>#NUM!</v>
      </c>
      <c r="BG185" s="22" t="e">
        <f t="shared" si="168"/>
        <v>#NUM!</v>
      </c>
      <c r="BH185" s="62" t="e">
        <f t="shared" si="116"/>
        <v>#NUM!</v>
      </c>
      <c r="BI185" s="62">
        <f ca="1">AVERAGE(OFFSET($BH$3,0,0,'Données projet'!$E$11+1,1))-AVERAGE(OFFSET($H$3,0,0,'Données projet'!$E$11+1,1))</f>
        <v>475.47920969424894</v>
      </c>
      <c r="BJ185" s="62">
        <f t="shared" si="146"/>
        <v>271.73544012419364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>
        <f>EXP(-LN(2)/35)*BP184+(1-EXP(-LN(2)/35))/(LN(2)/35)*BL185*BM185*VLOOKUP('Données projet'!$B$11,Paramètres!$A$1:$I$89,3,0)*0.475*44/12</f>
        <v>0</v>
      </c>
      <c r="BQ185" s="23">
        <f>EXP(-LN(2)/25)*BQ184+(1-EXP(-LN(2)/25))/(LN(2)/25)*Calculateur!BL185*Calculateur!BN185*VLOOKUP('Données projet'!$B$11,Paramètres!$A$1:$I$89,3,0)*0.475*44/12</f>
        <v>0</v>
      </c>
      <c r="BR185" s="23">
        <f>EXP(-LN(2)/2)*BR184+(1-EXP(-LN(2)/2))/(LN(2)/2)*BL185*BO185*VLOOKUP('Données projet'!$B$11,Paramètres!$A$1:$I$89,3,0)*0.475*44/12</f>
        <v>0</v>
      </c>
      <c r="BS185" s="24">
        <f t="shared" si="169"/>
        <v>0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2.2737367544323206E-13</v>
      </c>
      <c r="BZ185" s="14">
        <f>BY185*VLOOKUP('Données projet'!$B$12,Paramètres!$A$1:$I$89,3,0)*VLOOKUP('Données projet'!$B$12,Paramètres!$A$1:$I$89,5,0)</f>
        <v>1.2710188457276673E-13</v>
      </c>
      <c r="CA185" s="14">
        <f t="shared" si="170"/>
        <v>1.856866851063998E-12</v>
      </c>
      <c r="CB185" s="22">
        <f t="shared" si="171"/>
        <v>3.4554122145673649E-12</v>
      </c>
      <c r="CC185" s="62">
        <f t="shared" si="119"/>
        <v>293.33333333333678</v>
      </c>
      <c r="CD185" s="62">
        <f ca="1">AVERAGE(OFFSET($CC$3,0,0,'Données projet'!$E$12+1,1))-AVERAGE(OFFSET($H$3,0,0,'Données projet'!$E$12+1,1))</f>
        <v>323.98185264074681</v>
      </c>
      <c r="CE185" s="62">
        <f t="shared" si="148"/>
        <v>301.22207291854005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>
        <f>EXP(-LN(2)/35)*CK184+(1-EXP(-LN(2)/35))/(LN(2)/35)*CG185*CH185*VLOOKUP('Données projet'!$B$12,Paramètres!$A$1:$I$89,3,0)*0.475*44/12</f>
        <v>0.21990269080798105</v>
      </c>
      <c r="CL185" s="23">
        <f>EXP(-LN(2)/25)*CL184+(1-EXP(-LN(2)/25))/(LN(2)/25)*Calculateur!CG185*Calculateur!CI185*VLOOKUP('Données projet'!$B$12,Paramètres!$A$1:$I$89,3,0)*0.475*44/12</f>
        <v>0.12191282641066649</v>
      </c>
      <c r="CM185" s="23">
        <f>EXP(-LN(2)/2)*CM184+(1-EXP(-LN(2)/2))/(LN(2)/2)*CG185*CJ185*VLOOKUP('Données projet'!$B$12,Paramètres!$A$1:$I$89,3,0)*0.475*44/12</f>
        <v>8.0571457151058466E-23</v>
      </c>
      <c r="CN185" s="24">
        <f t="shared" si="172"/>
        <v>0.34181551721864756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>
        <f>CT185*VLOOKUP('Données projet'!$B$13,Paramètres!$A$1:$I$89,3,0)*VLOOKUP('Données projet'!$B$13,Paramètres!$A$1:$I$89,5,0)</f>
        <v>0</v>
      </c>
      <c r="CV185" s="14" t="e">
        <f t="shared" si="173"/>
        <v>#NUM!</v>
      </c>
      <c r="CW185" s="22" t="e">
        <f t="shared" si="174"/>
        <v>#NUM!</v>
      </c>
      <c r="CX185" s="62" t="e">
        <f t="shared" si="122"/>
        <v>#NUM!</v>
      </c>
      <c r="CY185" s="62">
        <f ca="1">AVERAGE(OFFSET($CX$3,0,0,'Données projet'!$E$13+1,1))-AVERAGE(OFFSET($H$3,0,0,'Données projet'!$E$13+1,1))</f>
        <v>399.78832690250164</v>
      </c>
      <c r="CZ185" s="62">
        <f t="shared" si="150"/>
        <v>174.32967064896343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>
        <f>EXP(-LN(2)/35)*DF184+(1-EXP(-LN(2)/35))/(LN(2)/35)*DB185*DC185*VLOOKUP('Données projet'!$B$13,Paramètres!$A$1:$I$89,3,0)*0.475*44/12</f>
        <v>0</v>
      </c>
      <c r="DG185" s="23">
        <f>EXP(-LN(2)/25)*DG184+(1-EXP(-LN(2)/25))/(LN(2)/25)*Calculateur!DB185*Calculateur!DD185*VLOOKUP('Données projet'!$B$13,Paramètres!$A$1:$I$89,3,0)*0.475*44/12</f>
        <v>0</v>
      </c>
      <c r="DH185" s="23">
        <f>EXP(-LN(2)/2)*DH184+(1-EXP(-LN(2)/2))/(LN(2)/2)*DB185*DE185*VLOOKUP('Données projet'!$B$13,Paramètres!$A$1:$I$89,3,0)*0.475*44/12</f>
        <v>0</v>
      </c>
      <c r="DI185" s="24">
        <f t="shared" si="175"/>
        <v>0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-9.6633812063373625E-13</v>
      </c>
      <c r="DP185" s="18">
        <f>DO185*VLOOKUP('Données projet'!$B$14,Paramètres!$A$1:$I$89,3,0)*VLOOKUP('Données projet'!$B$14,Paramètres!$A$1:$I$89,5,0)</f>
        <v>-8.1404323282185943E-13</v>
      </c>
      <c r="DQ185" s="14" t="e">
        <f t="shared" si="176"/>
        <v>#NUM!</v>
      </c>
      <c r="DR185" s="22" t="e">
        <f t="shared" si="177"/>
        <v>#NUM!</v>
      </c>
      <c r="DS185" s="62" t="e">
        <f t="shared" si="125"/>
        <v>#NUM!</v>
      </c>
      <c r="DT185" s="62">
        <f ca="1">AVERAGE(OFFSET($DS$3,0,0,'Données projet'!$E$14+1,1))-AVERAGE(OFFSET($H$3,0,0,'Données projet'!$E$14+1,1))</f>
        <v>402.15128814037058</v>
      </c>
      <c r="DU185" s="62">
        <f t="shared" si="152"/>
        <v>232.85411068442738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>
        <f>EXP(-LN(2)/35)*EA184+(1-EXP(-LN(2)/35))/(LN(2)/35)*DW185*DX185*VLOOKUP('Données projet'!$B$14,Paramètres!$A$1:$I$89,3,0)*0.475*44/12</f>
        <v>0</v>
      </c>
      <c r="EB185" s="23">
        <f>EXP(-LN(2)/25)*EB184+(1-EXP(-LN(2)/25))/(LN(2)/25)*Calculateur!DW185*Calculateur!DY185*VLOOKUP('Données projet'!$B$14,Paramètres!$A$1:$I$89,3,0)*0.475*44/12</f>
        <v>0</v>
      </c>
      <c r="EC185" s="23">
        <f>EXP(-LN(2)/2)*EC184+(1-EXP(-LN(2)/2))/(LN(2)/2)*DW185*DZ185*VLOOKUP('Données projet'!$B$14,Paramètres!$A$1:$I$89,3,0)*0.475*44/12</f>
        <v>0</v>
      </c>
      <c r="ED185" s="24">
        <f t="shared" si="178"/>
        <v>0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6.2527760746888816E-13</v>
      </c>
      <c r="EK185" s="18">
        <f>EJ185*VLOOKUP('Données projet'!$B$15,Paramètres!$A$1:$I$89,3,0)*VLOOKUP('Données projet'!$B$15,Paramètres!$A$1:$I$89,5,0)</f>
        <v>6.5354015532648198E-13</v>
      </c>
      <c r="EL185" s="14">
        <f t="shared" si="179"/>
        <v>7.8909019831354483E-12</v>
      </c>
      <c r="EM185" s="22">
        <f t="shared" si="180"/>
        <v>1.4881570057821194E-11</v>
      </c>
      <c r="EN185" s="62">
        <f t="shared" si="128"/>
        <v>293.33333333334821</v>
      </c>
      <c r="EO185" s="62">
        <f ca="1">AVERAGE(OFFSET($EN$3,0,0,'Données projet'!$E$15+1,1))-AVERAGE(OFFSET($H$3,0,0,'Données projet'!$E$15+1,1))</f>
        <v>595.89992279024398</v>
      </c>
      <c r="EP185" s="62">
        <f t="shared" si="154"/>
        <v>378.16197659288338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>
        <f>EXP(-LN(2)/35)*EV184+(1-EXP(-LN(2)/35))/(LN(2)/35)*ER185*ES185*VLOOKUP('Données projet'!$B$15,Paramètres!$A$1:$I$89,3,0)*0.475*44/12</f>
        <v>0</v>
      </c>
      <c r="EW185" s="23">
        <f>EXP(-LN(2)/25)*EW184+(1-EXP(-LN(2)/25))/(LN(2)/25)*Calculateur!ER185*Calculateur!ET185*VLOOKUP('Données projet'!$B$15,Paramètres!$A$1:$I$89,3,0)*0.475*44/12</f>
        <v>0</v>
      </c>
      <c r="EX185" s="23">
        <f>EXP(-LN(2)/2)*EX184+(1-EXP(-LN(2)/2))/(LN(2)/2)*ER185*EU185*VLOOKUP('Données projet'!$B$15,Paramètres!$A$1:$I$89,3,0)*0.475*44/12</f>
        <v>0</v>
      </c>
      <c r="EY185" s="24">
        <f t="shared" si="181"/>
        <v>0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-2.2737367544323206E-13</v>
      </c>
      <c r="FF185" s="18">
        <f>FE185*VLOOKUP('Données projet'!$B$16,Paramètres!$A$1:$I$89,3,0)*VLOOKUP('Données projet'!$B$16,Paramètres!$A$1:$I$89,5,0)</f>
        <v>-1.3596945791505279E-13</v>
      </c>
      <c r="FG185" s="14" t="e">
        <f t="shared" si="182"/>
        <v>#NUM!</v>
      </c>
      <c r="FH185" s="22" t="e">
        <f t="shared" si="183"/>
        <v>#NUM!</v>
      </c>
      <c r="FI185" s="62" t="e">
        <f t="shared" si="131"/>
        <v>#NUM!</v>
      </c>
      <c r="FJ185" s="62">
        <f ca="1">AVERAGE(OFFSET($FI$3,0,0,'Données projet'!$E$16+1,1))-AVERAGE(OFFSET($H$3,0,0,'Données projet'!$E$16+1,1))</f>
        <v>257.56116197646924</v>
      </c>
      <c r="FK185" s="62">
        <f t="shared" si="156"/>
        <v>269.95556918835888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>
        <f>EXP(-LN(2)/35)*FQ184+(1-EXP(-LN(2)/35))/(LN(2)/35)*FM185*FN185*VLOOKUP('Données projet'!$B$16,Paramètres!$A$1:$I$89,3,0)*0.475*44/12</f>
        <v>0.71857185890017572</v>
      </c>
      <c r="FR185" s="23">
        <f>EXP(-LN(2)/25)*FR184+(1-EXP(-LN(2)/25))/(LN(2)/25)*Calculateur!FM185*Calculateur!FO185*VLOOKUP('Données projet'!$B$16,Paramètres!$A$1:$I$89,3,0)*0.475*44/12</f>
        <v>0.23862933900924999</v>
      </c>
      <c r="FS185" s="23">
        <f>EXP(-LN(2)/2)*FS184+(1-EXP(-LN(2)/2))/(LN(2)/2)*FM185*FP185*VLOOKUP('Données projet'!$B$16,Paramètres!$A$1:$I$89,3,0)*0.475*44/12</f>
        <v>1.1321235143710345E-22</v>
      </c>
      <c r="FT185" s="24">
        <f t="shared" si="184"/>
        <v>0.95720119790942571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-2.8421709430404007E-13</v>
      </c>
      <c r="GA185" s="18">
        <f>FZ185*VLOOKUP('Données projet'!$B$17,Paramètres!$A$1:$I$89,3,0)*VLOOKUP('Données projet'!$B$17,Paramètres!$A$1:$I$89,5,0)</f>
        <v>-1.69961822393816E-13</v>
      </c>
      <c r="GB185" s="14" t="e">
        <f t="shared" si="185"/>
        <v>#NUM!</v>
      </c>
      <c r="GC185" s="22" t="e">
        <f t="shared" si="186"/>
        <v>#NUM!</v>
      </c>
      <c r="GD185" s="62" t="e">
        <f t="shared" si="134"/>
        <v>#NUM!</v>
      </c>
      <c r="GE185" s="62">
        <f ca="1">AVERAGE(OFFSET($GD$3,0,0,'Données projet'!$E$17+1,1))-AVERAGE(OFFSET($H$3,0,0,'Données projet'!$E$17+1,1))</f>
        <v>289.12367833861299</v>
      </c>
      <c r="GF185" s="62">
        <f t="shared" si="158"/>
        <v>229.06617320689003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>
        <f>EXP(-LN(2)/35)*GL184+(1-EXP(-LN(2)/35))/(LN(2)/35)*GH185*GI185*VLOOKUP('Données projet'!$B$17,Paramètres!$A$1:$I$89,3,0)*0.475*44/12</f>
        <v>0</v>
      </c>
      <c r="GM185" s="23">
        <f>EXP(-LN(2)/25)*GM184+(1-EXP(-LN(2)/25))/(LN(2)/25)*Calculateur!GH185*Calculateur!GJ185*VLOOKUP('Données projet'!$B$17,Paramètres!$A$1:$I$89,3,0)*0.475*44/12</f>
        <v>0</v>
      </c>
      <c r="GN185" s="23">
        <f>EXP(-LN(2)/2)*GN184+(1-EXP(-LN(2)/2))/(LN(2)/2)*GH185*GK185*VLOOKUP('Données projet'!$B$17,Paramètres!$A$1:$I$89,3,0)*0.475*44/12</f>
        <v>5.4882905279959578E-23</v>
      </c>
      <c r="GO185" s="23">
        <f t="shared" si="187"/>
        <v>5.4882905279959578E-23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-5.6843418860808015E-14</v>
      </c>
      <c r="GV185" s="18">
        <f>GU185*VLOOKUP('Données projet'!$B$18,Paramètres!$A$1:$I$89,3,0)*VLOOKUP('Données projet'!$B$18,Paramètres!$A$1:$I$89,5,0)</f>
        <v>-2.6602720026858149E-14</v>
      </c>
      <c r="GW185" s="14" t="e">
        <f t="shared" si="188"/>
        <v>#NUM!</v>
      </c>
      <c r="GX185" s="22" t="e">
        <f t="shared" si="189"/>
        <v>#NUM!</v>
      </c>
      <c r="GY185" s="62" t="e">
        <f t="shared" si="137"/>
        <v>#NUM!</v>
      </c>
      <c r="GZ185" s="62">
        <f ca="1">AVERAGE(OFFSET($GY$3,0,0,'Données projet'!$E$18+1,1))-AVERAGE(OFFSET($H$3,0,0,'Données projet'!$E$18+1,1))</f>
        <v>284.88646502866419</v>
      </c>
      <c r="HA185" s="62">
        <f t="shared" si="160"/>
        <v>190.4880882944471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>
        <f>EXP(-LN(2)/35)*HG184+(1-EXP(-LN(2)/35))/(LN(2)/35)*HC185*HD185*VLOOKUP('Données projet'!$B$18,Paramètres!$A$1:$I$89,3,0)*0.475*44/12</f>
        <v>0</v>
      </c>
      <c r="HH185" s="23">
        <f>EXP(-LN(2)/25)*HH184+(1-EXP(-LN(2)/25))/(LN(2)/25)*Calculateur!HC185*Calculateur!HE185*VLOOKUP('Données projet'!$B$18,Paramètres!$A$1:$I$89,3,0)*0.475*44/12</f>
        <v>0</v>
      </c>
      <c r="HI185" s="23">
        <f>EXP(-LN(2)/2)*HI184+(1-EXP(-LN(2)/2))/(LN(2)/2)*HC185*HF185*VLOOKUP('Données projet'!$B$18,Paramètres!$A$1:$I$89,3,0)*0.475*44/12</f>
        <v>0</v>
      </c>
      <c r="HJ185" s="24">
        <f t="shared" si="190"/>
        <v>0</v>
      </c>
    </row>
    <row r="186" spans="1:218" x14ac:dyDescent="0.25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2">
        <f t="shared" si="140"/>
        <v>0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0</v>
      </c>
      <c r="H186" s="70">
        <f t="shared" si="110"/>
        <v>256.66666666666669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-1.1368683772161603E-13</v>
      </c>
      <c r="O186" s="14">
        <f>N186*VLOOKUP('Données projet'!$B$9,Paramètres!$A$1:$I$89,3,0)*VLOOKUP('Données projet'!$B$9,Paramètres!$A$1:$I$89,5,0)</f>
        <v>-1.0818439477588981E-13</v>
      </c>
      <c r="P186" s="14" t="e">
        <f t="shared" si="141"/>
        <v>#NUM!</v>
      </c>
      <c r="Q186" s="22" t="e">
        <f t="shared" si="162"/>
        <v>#NUM!</v>
      </c>
      <c r="R186" s="62" t="e">
        <f t="shared" si="109"/>
        <v>#NUM!</v>
      </c>
      <c r="S186" s="62">
        <f ca="1">AVERAGE(OFFSET($R$3,0,0,'Données projet'!$E$9+1,1))-AVERAGE(OFFSET($H$3,0,0,'Données projet'!$E$9+1,1))</f>
        <v>367.11183928586667</v>
      </c>
      <c r="T186" s="62">
        <f t="shared" si="142"/>
        <v>281.52963027844595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0</v>
      </c>
      <c r="AA186" s="23">
        <f>EXP(-LN(2)/25)*AA185+(1-EXP(-LN(2)/25))/(LN(2)/25)*Calculateur!V186*Calculateur!X186*VLOOKUP('Données projet'!$B$9,Paramètres!$A$1:$I$89,3,0)*0.475*44/12</f>
        <v>0</v>
      </c>
      <c r="AB186" s="23">
        <f>EXP(-LN(2)/2)*AB185+(1-EXP(-LN(2)/2))/(LN(2)/2)*V186*Y186*VLOOKUP('Données projet'!$B$9,Paramètres!$A$1:$I$89,3,0)*0.475*44/12</f>
        <v>0</v>
      </c>
      <c r="AC186" s="24">
        <f t="shared" si="163"/>
        <v>0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-9.6633812063373625E-13</v>
      </c>
      <c r="AJ186" s="14">
        <f>AI186*VLOOKUP('Données projet'!$B$10,Paramètres!$A$1:$I$89,3,0)*VLOOKUP('Données projet'!$B$10,Paramètres!$A$1:$I$89,5,0)</f>
        <v>-8.7434273154940449E-13</v>
      </c>
      <c r="AK186" s="14" t="e">
        <f t="shared" si="164"/>
        <v>#NUM!</v>
      </c>
      <c r="AL186" s="22" t="e">
        <f t="shared" si="165"/>
        <v>#NUM!</v>
      </c>
      <c r="AM186" s="62" t="e">
        <f t="shared" si="113"/>
        <v>#NUM!</v>
      </c>
      <c r="AN186" s="62">
        <f ca="1">AVERAGE(OFFSET($AM$3,0,0,'Données projet'!$E$10+1,1))-AVERAGE(OFFSET($H$3,0,0,'Données projet'!$E$10+1,1))</f>
        <v>428.8489304403459</v>
      </c>
      <c r="AO186" s="62">
        <f t="shared" si="144"/>
        <v>247.01165577562966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0</v>
      </c>
      <c r="AV186" s="23">
        <f>EXP(-LN(2)/25)*AV185+(1-EXP(-LN(2)/25))/(LN(2)/25)*Calculateur!AQ186*Calculateur!AS186*VLOOKUP('Données projet'!$B$10,Paramètres!$A$1:$I$89,3,0)*0.475*44/12</f>
        <v>0</v>
      </c>
      <c r="AW186" s="23">
        <f>EXP(-LN(2)/2)*AW185+(1-EXP(-LN(2)/2))/(LN(2)/2)*AQ186*AT186*VLOOKUP('Données projet'!$B$10,Paramètres!$A$1:$I$89,3,0)*0.475*44/12</f>
        <v>0</v>
      </c>
      <c r="AX186" s="23">
        <f t="shared" si="166"/>
        <v>0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-9.6633812063373625E-13</v>
      </c>
      <c r="BE186" s="14">
        <f>BD186*VLOOKUP('Données projet'!$B$11,Paramètres!$A$1:$I$89,3,0)*VLOOKUP('Données projet'!$B$11,Paramètres!$A$1:$I$89,5,0)</f>
        <v>-9.7986685432260874E-13</v>
      </c>
      <c r="BF186" s="14" t="e">
        <f t="shared" si="167"/>
        <v>#NUM!</v>
      </c>
      <c r="BG186" s="22" t="e">
        <f t="shared" si="168"/>
        <v>#NUM!</v>
      </c>
      <c r="BH186" s="62" t="e">
        <f t="shared" si="116"/>
        <v>#NUM!</v>
      </c>
      <c r="BI186" s="62">
        <f ca="1">AVERAGE(OFFSET($BH$3,0,0,'Données projet'!$E$11+1,1))-AVERAGE(OFFSET($H$3,0,0,'Données projet'!$E$11+1,1))</f>
        <v>475.47920969424894</v>
      </c>
      <c r="BJ186" s="62">
        <f t="shared" si="146"/>
        <v>271.73544012419364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>
        <f>EXP(-LN(2)/35)*BP185+(1-EXP(-LN(2)/35))/(LN(2)/35)*BL186*BM186*VLOOKUP('Données projet'!$B$11,Paramètres!$A$1:$I$89,3,0)*0.475*44/12</f>
        <v>0</v>
      </c>
      <c r="BQ186" s="23">
        <f>EXP(-LN(2)/25)*BQ185+(1-EXP(-LN(2)/25))/(LN(2)/25)*Calculateur!BL186*Calculateur!BN186*VLOOKUP('Données projet'!$B$11,Paramètres!$A$1:$I$89,3,0)*0.475*44/12</f>
        <v>0</v>
      </c>
      <c r="BR186" s="23">
        <f>EXP(-LN(2)/2)*BR185+(1-EXP(-LN(2)/2))/(LN(2)/2)*BL186*BO186*VLOOKUP('Données projet'!$B$11,Paramètres!$A$1:$I$89,3,0)*0.475*44/12</f>
        <v>0</v>
      </c>
      <c r="BS186" s="24">
        <f t="shared" si="169"/>
        <v>0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2.2737367544323206E-13</v>
      </c>
      <c r="BZ186" s="14">
        <f>BY186*VLOOKUP('Données projet'!$B$12,Paramètres!$A$1:$I$89,3,0)*VLOOKUP('Données projet'!$B$12,Paramètres!$A$1:$I$89,5,0)</f>
        <v>1.2710188457276673E-13</v>
      </c>
      <c r="CA186" s="14">
        <f t="shared" si="170"/>
        <v>1.856866851063998E-12</v>
      </c>
      <c r="CB186" s="22">
        <f t="shared" si="171"/>
        <v>3.4554122145673649E-12</v>
      </c>
      <c r="CC186" s="62">
        <f t="shared" si="119"/>
        <v>293.33333333333678</v>
      </c>
      <c r="CD186" s="62">
        <f ca="1">AVERAGE(OFFSET($CC$3,0,0,'Données projet'!$E$12+1,1))-AVERAGE(OFFSET($H$3,0,0,'Données projet'!$E$12+1,1))</f>
        <v>323.98185264074681</v>
      </c>
      <c r="CE186" s="62">
        <f t="shared" si="148"/>
        <v>301.22207291854005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>
        <f>EXP(-LN(2)/35)*CK185+(1-EXP(-LN(2)/35))/(LN(2)/35)*CG186*CH186*VLOOKUP('Données projet'!$B$12,Paramètres!$A$1:$I$89,3,0)*0.475*44/12</f>
        <v>0.21559053316863397</v>
      </c>
      <c r="CL186" s="23">
        <f>EXP(-LN(2)/25)*CL185+(1-EXP(-LN(2)/25))/(LN(2)/25)*Calculateur!CG186*Calculateur!CI186*VLOOKUP('Données projet'!$B$12,Paramètres!$A$1:$I$89,3,0)*0.475*44/12</f>
        <v>0.11857911376134991</v>
      </c>
      <c r="CM186" s="23">
        <f>EXP(-LN(2)/2)*CM185+(1-EXP(-LN(2)/2))/(LN(2)/2)*CG186*CJ186*VLOOKUP('Données projet'!$B$12,Paramètres!$A$1:$I$89,3,0)*0.475*44/12</f>
        <v>5.6972623721594787E-23</v>
      </c>
      <c r="CN186" s="24">
        <f t="shared" si="172"/>
        <v>0.33416964692998385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>
        <f>CT186*VLOOKUP('Données projet'!$B$13,Paramètres!$A$1:$I$89,3,0)*VLOOKUP('Données projet'!$B$13,Paramètres!$A$1:$I$89,5,0)</f>
        <v>0</v>
      </c>
      <c r="CV186" s="14" t="e">
        <f t="shared" si="173"/>
        <v>#NUM!</v>
      </c>
      <c r="CW186" s="22" t="e">
        <f t="shared" si="174"/>
        <v>#NUM!</v>
      </c>
      <c r="CX186" s="62" t="e">
        <f t="shared" si="122"/>
        <v>#NUM!</v>
      </c>
      <c r="CY186" s="62">
        <f ca="1">AVERAGE(OFFSET($CX$3,0,0,'Données projet'!$E$13+1,1))-AVERAGE(OFFSET($H$3,0,0,'Données projet'!$E$13+1,1))</f>
        <v>399.78832690250164</v>
      </c>
      <c r="CZ186" s="62">
        <f t="shared" si="150"/>
        <v>174.32967064896343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>
        <f>EXP(-LN(2)/35)*DF185+(1-EXP(-LN(2)/35))/(LN(2)/35)*DB186*DC186*VLOOKUP('Données projet'!$B$13,Paramètres!$A$1:$I$89,3,0)*0.475*44/12</f>
        <v>0</v>
      </c>
      <c r="DG186" s="23">
        <f>EXP(-LN(2)/25)*DG185+(1-EXP(-LN(2)/25))/(LN(2)/25)*Calculateur!DB186*Calculateur!DD186*VLOOKUP('Données projet'!$B$13,Paramètres!$A$1:$I$89,3,0)*0.475*44/12</f>
        <v>0</v>
      </c>
      <c r="DH186" s="23">
        <f>EXP(-LN(2)/2)*DH185+(1-EXP(-LN(2)/2))/(LN(2)/2)*DB186*DE186*VLOOKUP('Données projet'!$B$13,Paramètres!$A$1:$I$89,3,0)*0.475*44/12</f>
        <v>0</v>
      </c>
      <c r="DI186" s="24">
        <f t="shared" si="175"/>
        <v>0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-9.6633812063373625E-13</v>
      </c>
      <c r="DP186" s="18">
        <f>DO186*VLOOKUP('Données projet'!$B$14,Paramètres!$A$1:$I$89,3,0)*VLOOKUP('Données projet'!$B$14,Paramètres!$A$1:$I$89,5,0)</f>
        <v>-8.1404323282185943E-13</v>
      </c>
      <c r="DQ186" s="14" t="e">
        <f t="shared" si="176"/>
        <v>#NUM!</v>
      </c>
      <c r="DR186" s="22" t="e">
        <f t="shared" si="177"/>
        <v>#NUM!</v>
      </c>
      <c r="DS186" s="62" t="e">
        <f t="shared" si="125"/>
        <v>#NUM!</v>
      </c>
      <c r="DT186" s="62">
        <f ca="1">AVERAGE(OFFSET($DS$3,0,0,'Données projet'!$E$14+1,1))-AVERAGE(OFFSET($H$3,0,0,'Données projet'!$E$14+1,1))</f>
        <v>402.15128814037058</v>
      </c>
      <c r="DU186" s="62">
        <f t="shared" si="152"/>
        <v>232.85411068442738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>
        <f>EXP(-LN(2)/35)*EA185+(1-EXP(-LN(2)/35))/(LN(2)/35)*DW186*DX186*VLOOKUP('Données projet'!$B$14,Paramètres!$A$1:$I$89,3,0)*0.475*44/12</f>
        <v>0</v>
      </c>
      <c r="EB186" s="23">
        <f>EXP(-LN(2)/25)*EB185+(1-EXP(-LN(2)/25))/(LN(2)/25)*Calculateur!DW186*Calculateur!DY186*VLOOKUP('Données projet'!$B$14,Paramètres!$A$1:$I$89,3,0)*0.475*44/12</f>
        <v>0</v>
      </c>
      <c r="EC186" s="23">
        <f>EXP(-LN(2)/2)*EC185+(1-EXP(-LN(2)/2))/(LN(2)/2)*DW186*DZ186*VLOOKUP('Données projet'!$B$14,Paramètres!$A$1:$I$89,3,0)*0.475*44/12</f>
        <v>0</v>
      </c>
      <c r="ED186" s="24">
        <f t="shared" si="178"/>
        <v>0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6.2527760746888816E-13</v>
      </c>
      <c r="EK186" s="18">
        <f>EJ186*VLOOKUP('Données projet'!$B$15,Paramètres!$A$1:$I$89,3,0)*VLOOKUP('Données projet'!$B$15,Paramètres!$A$1:$I$89,5,0)</f>
        <v>6.5354015532648198E-13</v>
      </c>
      <c r="EL186" s="14">
        <f t="shared" si="179"/>
        <v>7.8909019831354483E-12</v>
      </c>
      <c r="EM186" s="22">
        <f t="shared" si="180"/>
        <v>1.4881570057821194E-11</v>
      </c>
      <c r="EN186" s="62">
        <f t="shared" si="128"/>
        <v>293.33333333334821</v>
      </c>
      <c r="EO186" s="62">
        <f ca="1">AVERAGE(OFFSET($EN$3,0,0,'Données projet'!$E$15+1,1))-AVERAGE(OFFSET($H$3,0,0,'Données projet'!$E$15+1,1))</f>
        <v>595.89992279024398</v>
      </c>
      <c r="EP186" s="62">
        <f t="shared" si="154"/>
        <v>378.16197659288338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>
        <f>EXP(-LN(2)/35)*EV185+(1-EXP(-LN(2)/35))/(LN(2)/35)*ER186*ES186*VLOOKUP('Données projet'!$B$15,Paramètres!$A$1:$I$89,3,0)*0.475*44/12</f>
        <v>0</v>
      </c>
      <c r="EW186" s="23">
        <f>EXP(-LN(2)/25)*EW185+(1-EXP(-LN(2)/25))/(LN(2)/25)*Calculateur!ER186*Calculateur!ET186*VLOOKUP('Données projet'!$B$15,Paramètres!$A$1:$I$89,3,0)*0.475*44/12</f>
        <v>0</v>
      </c>
      <c r="EX186" s="23">
        <f>EXP(-LN(2)/2)*EX185+(1-EXP(-LN(2)/2))/(LN(2)/2)*ER186*EU186*VLOOKUP('Données projet'!$B$15,Paramètres!$A$1:$I$89,3,0)*0.475*44/12</f>
        <v>0</v>
      </c>
      <c r="EY186" s="24">
        <f t="shared" si="181"/>
        <v>0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-2.2737367544323206E-13</v>
      </c>
      <c r="FF186" s="18">
        <f>FE186*VLOOKUP('Données projet'!$B$16,Paramètres!$A$1:$I$89,3,0)*VLOOKUP('Données projet'!$B$16,Paramètres!$A$1:$I$89,5,0)</f>
        <v>-1.3596945791505279E-13</v>
      </c>
      <c r="FG186" s="14" t="e">
        <f t="shared" si="182"/>
        <v>#NUM!</v>
      </c>
      <c r="FH186" s="22" t="e">
        <f t="shared" si="183"/>
        <v>#NUM!</v>
      </c>
      <c r="FI186" s="62" t="e">
        <f t="shared" si="131"/>
        <v>#NUM!</v>
      </c>
      <c r="FJ186" s="62">
        <f ca="1">AVERAGE(OFFSET($FI$3,0,0,'Données projet'!$E$16+1,1))-AVERAGE(OFFSET($H$3,0,0,'Données projet'!$E$16+1,1))</f>
        <v>257.56116197646924</v>
      </c>
      <c r="FK186" s="62">
        <f t="shared" si="156"/>
        <v>269.95556918835888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>
        <f>EXP(-LN(2)/35)*FQ185+(1-EXP(-LN(2)/35))/(LN(2)/35)*FM186*FN186*VLOOKUP('Données projet'!$B$16,Paramètres!$A$1:$I$89,3,0)*0.475*44/12</f>
        <v>0.70448110303270006</v>
      </c>
      <c r="FR186" s="23">
        <f>EXP(-LN(2)/25)*FR185+(1-EXP(-LN(2)/25))/(LN(2)/25)*Calculateur!FM186*Calculateur!FO186*VLOOKUP('Données projet'!$B$16,Paramètres!$A$1:$I$89,3,0)*0.475*44/12</f>
        <v>0.23210400718507049</v>
      </c>
      <c r="FS186" s="23">
        <f>EXP(-LN(2)/2)*FS185+(1-EXP(-LN(2)/2))/(LN(2)/2)*FM186*FP186*VLOOKUP('Données projet'!$B$16,Paramètres!$A$1:$I$89,3,0)*0.475*44/12</f>
        <v>8.0053221415250431E-23</v>
      </c>
      <c r="FT186" s="24">
        <f t="shared" si="184"/>
        <v>0.93658511021777058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-2.8421709430404007E-13</v>
      </c>
      <c r="GA186" s="18">
        <f>FZ186*VLOOKUP('Données projet'!$B$17,Paramètres!$A$1:$I$89,3,0)*VLOOKUP('Données projet'!$B$17,Paramètres!$A$1:$I$89,5,0)</f>
        <v>-1.69961822393816E-13</v>
      </c>
      <c r="GB186" s="14" t="e">
        <f t="shared" si="185"/>
        <v>#NUM!</v>
      </c>
      <c r="GC186" s="22" t="e">
        <f t="shared" si="186"/>
        <v>#NUM!</v>
      </c>
      <c r="GD186" s="62" t="e">
        <f t="shared" si="134"/>
        <v>#NUM!</v>
      </c>
      <c r="GE186" s="62">
        <f ca="1">AVERAGE(OFFSET($GD$3,0,0,'Données projet'!$E$17+1,1))-AVERAGE(OFFSET($H$3,0,0,'Données projet'!$E$17+1,1))</f>
        <v>289.12367833861299</v>
      </c>
      <c r="GF186" s="62">
        <f t="shared" si="158"/>
        <v>229.06617320689003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>
        <f>EXP(-LN(2)/35)*GL185+(1-EXP(-LN(2)/35))/(LN(2)/35)*GH186*GI186*VLOOKUP('Données projet'!$B$17,Paramètres!$A$1:$I$89,3,0)*0.475*44/12</f>
        <v>0</v>
      </c>
      <c r="GM186" s="23">
        <f>EXP(-LN(2)/25)*GM185+(1-EXP(-LN(2)/25))/(LN(2)/25)*Calculateur!GH186*Calculateur!GJ186*VLOOKUP('Données projet'!$B$17,Paramètres!$A$1:$I$89,3,0)*0.475*44/12</f>
        <v>0</v>
      </c>
      <c r="GN186" s="23">
        <f>EXP(-LN(2)/2)*GN185+(1-EXP(-LN(2)/2))/(LN(2)/2)*GH186*GK186*VLOOKUP('Données projet'!$B$17,Paramètres!$A$1:$I$89,3,0)*0.475*44/12</f>
        <v>3.8808074494678392E-23</v>
      </c>
      <c r="GO186" s="23">
        <f t="shared" si="187"/>
        <v>3.8808074494678392E-23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-5.6843418860808015E-14</v>
      </c>
      <c r="GV186" s="18">
        <f>GU186*VLOOKUP('Données projet'!$B$18,Paramètres!$A$1:$I$89,3,0)*VLOOKUP('Données projet'!$B$18,Paramètres!$A$1:$I$89,5,0)</f>
        <v>-2.6602720026858149E-14</v>
      </c>
      <c r="GW186" s="14" t="e">
        <f t="shared" si="188"/>
        <v>#NUM!</v>
      </c>
      <c r="GX186" s="22" t="e">
        <f t="shared" si="189"/>
        <v>#NUM!</v>
      </c>
      <c r="GY186" s="62" t="e">
        <f t="shared" si="137"/>
        <v>#NUM!</v>
      </c>
      <c r="GZ186" s="62">
        <f ca="1">AVERAGE(OFFSET($GY$3,0,0,'Données projet'!$E$18+1,1))-AVERAGE(OFFSET($H$3,0,0,'Données projet'!$E$18+1,1))</f>
        <v>284.88646502866419</v>
      </c>
      <c r="HA186" s="62">
        <f t="shared" si="160"/>
        <v>190.4880882944471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>
        <f>EXP(-LN(2)/35)*HG185+(1-EXP(-LN(2)/35))/(LN(2)/35)*HC186*HD186*VLOOKUP('Données projet'!$B$18,Paramètres!$A$1:$I$89,3,0)*0.475*44/12</f>
        <v>0</v>
      </c>
      <c r="HH186" s="23">
        <f>EXP(-LN(2)/25)*HH185+(1-EXP(-LN(2)/25))/(LN(2)/25)*Calculateur!HC186*Calculateur!HE186*VLOOKUP('Données projet'!$B$18,Paramètres!$A$1:$I$89,3,0)*0.475*44/12</f>
        <v>0</v>
      </c>
      <c r="HI186" s="23">
        <f>EXP(-LN(2)/2)*HI185+(1-EXP(-LN(2)/2))/(LN(2)/2)*HC186*HF186*VLOOKUP('Données projet'!$B$18,Paramètres!$A$1:$I$89,3,0)*0.475*44/12</f>
        <v>0</v>
      </c>
      <c r="HJ186" s="24">
        <f t="shared" si="190"/>
        <v>0</v>
      </c>
    </row>
    <row r="187" spans="1:218" x14ac:dyDescent="0.25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2">
        <f t="shared" si="140"/>
        <v>0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0</v>
      </c>
      <c r="H187" s="70">
        <f t="shared" si="110"/>
        <v>256.66666666666669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-1.1368683772161603E-13</v>
      </c>
      <c r="O187" s="14">
        <f>N187*VLOOKUP('Données projet'!$B$9,Paramètres!$A$1:$I$89,3,0)*VLOOKUP('Données projet'!$B$9,Paramètres!$A$1:$I$89,5,0)</f>
        <v>-1.0818439477588981E-13</v>
      </c>
      <c r="P187" s="14" t="e">
        <f t="shared" si="141"/>
        <v>#NUM!</v>
      </c>
      <c r="Q187" s="22" t="e">
        <f t="shared" si="162"/>
        <v>#NUM!</v>
      </c>
      <c r="R187" s="62" t="e">
        <f t="shared" si="109"/>
        <v>#NUM!</v>
      </c>
      <c r="S187" s="62">
        <f ca="1">AVERAGE(OFFSET($R$3,0,0,'Données projet'!$E$9+1,1))-AVERAGE(OFFSET($H$3,0,0,'Données projet'!$E$9+1,1))</f>
        <v>367.11183928586667</v>
      </c>
      <c r="T187" s="62">
        <f t="shared" si="142"/>
        <v>281.52963027844595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0</v>
      </c>
      <c r="AA187" s="23">
        <f>EXP(-LN(2)/25)*AA186+(1-EXP(-LN(2)/25))/(LN(2)/25)*Calculateur!V187*Calculateur!X187*VLOOKUP('Données projet'!$B$9,Paramètres!$A$1:$I$89,3,0)*0.475*44/12</f>
        <v>0</v>
      </c>
      <c r="AB187" s="23">
        <f>EXP(-LN(2)/2)*AB186+(1-EXP(-LN(2)/2))/(LN(2)/2)*V187*Y187*VLOOKUP('Données projet'!$B$9,Paramètres!$A$1:$I$89,3,0)*0.475*44/12</f>
        <v>0</v>
      </c>
      <c r="AC187" s="24">
        <f t="shared" si="163"/>
        <v>0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-9.6633812063373625E-13</v>
      </c>
      <c r="AJ187" s="14">
        <f>AI187*VLOOKUP('Données projet'!$B$10,Paramètres!$A$1:$I$89,3,0)*VLOOKUP('Données projet'!$B$10,Paramètres!$A$1:$I$89,5,0)</f>
        <v>-8.7434273154940449E-13</v>
      </c>
      <c r="AK187" s="14" t="e">
        <f t="shared" si="164"/>
        <v>#NUM!</v>
      </c>
      <c r="AL187" s="22" t="e">
        <f t="shared" si="165"/>
        <v>#NUM!</v>
      </c>
      <c r="AM187" s="62" t="e">
        <f t="shared" si="113"/>
        <v>#NUM!</v>
      </c>
      <c r="AN187" s="62">
        <f ca="1">AVERAGE(OFFSET($AM$3,0,0,'Données projet'!$E$10+1,1))-AVERAGE(OFFSET($H$3,0,0,'Données projet'!$E$10+1,1))</f>
        <v>428.8489304403459</v>
      </c>
      <c r="AO187" s="62">
        <f t="shared" si="144"/>
        <v>247.01165577562966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0</v>
      </c>
      <c r="AV187" s="23">
        <f>EXP(-LN(2)/25)*AV186+(1-EXP(-LN(2)/25))/(LN(2)/25)*Calculateur!AQ187*Calculateur!AS187*VLOOKUP('Données projet'!$B$10,Paramètres!$A$1:$I$89,3,0)*0.475*44/12</f>
        <v>0</v>
      </c>
      <c r="AW187" s="23">
        <f>EXP(-LN(2)/2)*AW186+(1-EXP(-LN(2)/2))/(LN(2)/2)*AQ187*AT187*VLOOKUP('Données projet'!$B$10,Paramètres!$A$1:$I$89,3,0)*0.475*44/12</f>
        <v>0</v>
      </c>
      <c r="AX187" s="23">
        <f t="shared" si="166"/>
        <v>0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-9.6633812063373625E-13</v>
      </c>
      <c r="BE187" s="14">
        <f>BD187*VLOOKUP('Données projet'!$B$11,Paramètres!$A$1:$I$89,3,0)*VLOOKUP('Données projet'!$B$11,Paramètres!$A$1:$I$89,5,0)</f>
        <v>-9.7986685432260874E-13</v>
      </c>
      <c r="BF187" s="14" t="e">
        <f t="shared" si="167"/>
        <v>#NUM!</v>
      </c>
      <c r="BG187" s="22" t="e">
        <f t="shared" si="168"/>
        <v>#NUM!</v>
      </c>
      <c r="BH187" s="62" t="e">
        <f t="shared" si="116"/>
        <v>#NUM!</v>
      </c>
      <c r="BI187" s="62">
        <f ca="1">AVERAGE(OFFSET($BH$3,0,0,'Données projet'!$E$11+1,1))-AVERAGE(OFFSET($H$3,0,0,'Données projet'!$E$11+1,1))</f>
        <v>475.47920969424894</v>
      </c>
      <c r="BJ187" s="62">
        <f t="shared" si="146"/>
        <v>271.73544012419364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>
        <f>EXP(-LN(2)/35)*BP186+(1-EXP(-LN(2)/35))/(LN(2)/35)*BL187*BM187*VLOOKUP('Données projet'!$B$11,Paramètres!$A$1:$I$89,3,0)*0.475*44/12</f>
        <v>0</v>
      </c>
      <c r="BQ187" s="23">
        <f>EXP(-LN(2)/25)*BQ186+(1-EXP(-LN(2)/25))/(LN(2)/25)*Calculateur!BL187*Calculateur!BN187*VLOOKUP('Données projet'!$B$11,Paramètres!$A$1:$I$89,3,0)*0.475*44/12</f>
        <v>0</v>
      </c>
      <c r="BR187" s="23">
        <f>EXP(-LN(2)/2)*BR186+(1-EXP(-LN(2)/2))/(LN(2)/2)*BL187*BO187*VLOOKUP('Données projet'!$B$11,Paramètres!$A$1:$I$89,3,0)*0.475*44/12</f>
        <v>0</v>
      </c>
      <c r="BS187" s="24">
        <f t="shared" si="169"/>
        <v>0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2.2737367544323206E-13</v>
      </c>
      <c r="BZ187" s="14">
        <f>BY187*VLOOKUP('Données projet'!$B$12,Paramètres!$A$1:$I$89,3,0)*VLOOKUP('Données projet'!$B$12,Paramètres!$A$1:$I$89,5,0)</f>
        <v>1.2710188457276673E-13</v>
      </c>
      <c r="CA187" s="14">
        <f t="shared" si="170"/>
        <v>1.856866851063998E-12</v>
      </c>
      <c r="CB187" s="22">
        <f t="shared" si="171"/>
        <v>3.4554122145673649E-12</v>
      </c>
      <c r="CC187" s="62">
        <f t="shared" si="119"/>
        <v>293.33333333333678</v>
      </c>
      <c r="CD187" s="62">
        <f ca="1">AVERAGE(OFFSET($CC$3,0,0,'Données projet'!$E$12+1,1))-AVERAGE(OFFSET($H$3,0,0,'Données projet'!$E$12+1,1))</f>
        <v>323.98185264074681</v>
      </c>
      <c r="CE187" s="62">
        <f t="shared" si="148"/>
        <v>301.22207291854005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>
        <f>EXP(-LN(2)/35)*CK186+(1-EXP(-LN(2)/35))/(LN(2)/35)*CG187*CH187*VLOOKUP('Données projet'!$B$12,Paramètres!$A$1:$I$89,3,0)*0.475*44/12</f>
        <v>0.21136293431043801</v>
      </c>
      <c r="CL187" s="23">
        <f>EXP(-LN(2)/25)*CL186+(1-EXP(-LN(2)/25))/(LN(2)/25)*Calculateur!CG187*Calculateur!CI187*VLOOKUP('Données projet'!$B$12,Paramètres!$A$1:$I$89,3,0)*0.475*44/12</f>
        <v>0.11533656165974122</v>
      </c>
      <c r="CM187" s="23">
        <f>EXP(-LN(2)/2)*CM186+(1-EXP(-LN(2)/2))/(LN(2)/2)*CG187*CJ187*VLOOKUP('Données projet'!$B$12,Paramètres!$A$1:$I$89,3,0)*0.475*44/12</f>
        <v>4.0285728575529233E-23</v>
      </c>
      <c r="CN187" s="24">
        <f t="shared" si="172"/>
        <v>0.32669949597017922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>
        <f>CT187*VLOOKUP('Données projet'!$B$13,Paramètres!$A$1:$I$89,3,0)*VLOOKUP('Données projet'!$B$13,Paramètres!$A$1:$I$89,5,0)</f>
        <v>0</v>
      </c>
      <c r="CV187" s="14" t="e">
        <f t="shared" si="173"/>
        <v>#NUM!</v>
      </c>
      <c r="CW187" s="22" t="e">
        <f t="shared" si="174"/>
        <v>#NUM!</v>
      </c>
      <c r="CX187" s="62" t="e">
        <f t="shared" si="122"/>
        <v>#NUM!</v>
      </c>
      <c r="CY187" s="62">
        <f ca="1">AVERAGE(OFFSET($CX$3,0,0,'Données projet'!$E$13+1,1))-AVERAGE(OFFSET($H$3,0,0,'Données projet'!$E$13+1,1))</f>
        <v>399.78832690250164</v>
      </c>
      <c r="CZ187" s="62">
        <f t="shared" si="150"/>
        <v>174.32967064896343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>
        <f>EXP(-LN(2)/35)*DF186+(1-EXP(-LN(2)/35))/(LN(2)/35)*DB187*DC187*VLOOKUP('Données projet'!$B$13,Paramètres!$A$1:$I$89,3,0)*0.475*44/12</f>
        <v>0</v>
      </c>
      <c r="DG187" s="23">
        <f>EXP(-LN(2)/25)*DG186+(1-EXP(-LN(2)/25))/(LN(2)/25)*Calculateur!DB187*Calculateur!DD187*VLOOKUP('Données projet'!$B$13,Paramètres!$A$1:$I$89,3,0)*0.475*44/12</f>
        <v>0</v>
      </c>
      <c r="DH187" s="23">
        <f>EXP(-LN(2)/2)*DH186+(1-EXP(-LN(2)/2))/(LN(2)/2)*DB187*DE187*VLOOKUP('Données projet'!$B$13,Paramètres!$A$1:$I$89,3,0)*0.475*44/12</f>
        <v>0</v>
      </c>
      <c r="DI187" s="24">
        <f t="shared" si="175"/>
        <v>0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-9.6633812063373625E-13</v>
      </c>
      <c r="DP187" s="18">
        <f>DO187*VLOOKUP('Données projet'!$B$14,Paramètres!$A$1:$I$89,3,0)*VLOOKUP('Données projet'!$B$14,Paramètres!$A$1:$I$89,5,0)</f>
        <v>-8.1404323282185943E-13</v>
      </c>
      <c r="DQ187" s="14" t="e">
        <f t="shared" si="176"/>
        <v>#NUM!</v>
      </c>
      <c r="DR187" s="22" t="e">
        <f t="shared" si="177"/>
        <v>#NUM!</v>
      </c>
      <c r="DS187" s="62" t="e">
        <f t="shared" si="125"/>
        <v>#NUM!</v>
      </c>
      <c r="DT187" s="62">
        <f ca="1">AVERAGE(OFFSET($DS$3,0,0,'Données projet'!$E$14+1,1))-AVERAGE(OFFSET($H$3,0,0,'Données projet'!$E$14+1,1))</f>
        <v>402.15128814037058</v>
      </c>
      <c r="DU187" s="62">
        <f t="shared" si="152"/>
        <v>232.85411068442738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>
        <f>EXP(-LN(2)/35)*EA186+(1-EXP(-LN(2)/35))/(LN(2)/35)*DW187*DX187*VLOOKUP('Données projet'!$B$14,Paramètres!$A$1:$I$89,3,0)*0.475*44/12</f>
        <v>0</v>
      </c>
      <c r="EB187" s="23">
        <f>EXP(-LN(2)/25)*EB186+(1-EXP(-LN(2)/25))/(LN(2)/25)*Calculateur!DW187*Calculateur!DY187*VLOOKUP('Données projet'!$B$14,Paramètres!$A$1:$I$89,3,0)*0.475*44/12</f>
        <v>0</v>
      </c>
      <c r="EC187" s="23">
        <f>EXP(-LN(2)/2)*EC186+(1-EXP(-LN(2)/2))/(LN(2)/2)*DW187*DZ187*VLOOKUP('Données projet'!$B$14,Paramètres!$A$1:$I$89,3,0)*0.475*44/12</f>
        <v>0</v>
      </c>
      <c r="ED187" s="24">
        <f t="shared" si="178"/>
        <v>0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6.2527760746888816E-13</v>
      </c>
      <c r="EK187" s="18">
        <f>EJ187*VLOOKUP('Données projet'!$B$15,Paramètres!$A$1:$I$89,3,0)*VLOOKUP('Données projet'!$B$15,Paramètres!$A$1:$I$89,5,0)</f>
        <v>6.5354015532648198E-13</v>
      </c>
      <c r="EL187" s="14">
        <f t="shared" si="179"/>
        <v>7.8909019831354483E-12</v>
      </c>
      <c r="EM187" s="22">
        <f t="shared" si="180"/>
        <v>1.4881570057821194E-11</v>
      </c>
      <c r="EN187" s="62">
        <f t="shared" si="128"/>
        <v>293.33333333334821</v>
      </c>
      <c r="EO187" s="62">
        <f ca="1">AVERAGE(OFFSET($EN$3,0,0,'Données projet'!$E$15+1,1))-AVERAGE(OFFSET($H$3,0,0,'Données projet'!$E$15+1,1))</f>
        <v>595.89992279024398</v>
      </c>
      <c r="EP187" s="62">
        <f t="shared" si="154"/>
        <v>378.16197659288338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>
        <f>EXP(-LN(2)/35)*EV186+(1-EXP(-LN(2)/35))/(LN(2)/35)*ER187*ES187*VLOOKUP('Données projet'!$B$15,Paramètres!$A$1:$I$89,3,0)*0.475*44/12</f>
        <v>0</v>
      </c>
      <c r="EW187" s="23">
        <f>EXP(-LN(2)/25)*EW186+(1-EXP(-LN(2)/25))/(LN(2)/25)*Calculateur!ER187*Calculateur!ET187*VLOOKUP('Données projet'!$B$15,Paramètres!$A$1:$I$89,3,0)*0.475*44/12</f>
        <v>0</v>
      </c>
      <c r="EX187" s="23">
        <f>EXP(-LN(2)/2)*EX186+(1-EXP(-LN(2)/2))/(LN(2)/2)*ER187*EU187*VLOOKUP('Données projet'!$B$15,Paramètres!$A$1:$I$89,3,0)*0.475*44/12</f>
        <v>0</v>
      </c>
      <c r="EY187" s="24">
        <f t="shared" si="181"/>
        <v>0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-2.2737367544323206E-13</v>
      </c>
      <c r="FF187" s="18">
        <f>FE187*VLOOKUP('Données projet'!$B$16,Paramètres!$A$1:$I$89,3,0)*VLOOKUP('Données projet'!$B$16,Paramètres!$A$1:$I$89,5,0)</f>
        <v>-1.3596945791505279E-13</v>
      </c>
      <c r="FG187" s="14" t="e">
        <f t="shared" si="182"/>
        <v>#NUM!</v>
      </c>
      <c r="FH187" s="22" t="e">
        <f t="shared" si="183"/>
        <v>#NUM!</v>
      </c>
      <c r="FI187" s="62" t="e">
        <f t="shared" si="131"/>
        <v>#NUM!</v>
      </c>
      <c r="FJ187" s="62">
        <f ca="1">AVERAGE(OFFSET($FI$3,0,0,'Données projet'!$E$16+1,1))-AVERAGE(OFFSET($H$3,0,0,'Données projet'!$E$16+1,1))</f>
        <v>257.56116197646924</v>
      </c>
      <c r="FK187" s="62">
        <f t="shared" si="156"/>
        <v>269.95556918835888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>
        <f>EXP(-LN(2)/35)*FQ186+(1-EXP(-LN(2)/35))/(LN(2)/35)*FM187*FN187*VLOOKUP('Données projet'!$B$16,Paramètres!$A$1:$I$89,3,0)*0.475*44/12</f>
        <v>0.69066665829327323</v>
      </c>
      <c r="FR187" s="23">
        <f>EXP(-LN(2)/25)*FR186+(1-EXP(-LN(2)/25))/(LN(2)/25)*Calculateur!FM187*Calculateur!FO187*VLOOKUP('Données projet'!$B$16,Paramètres!$A$1:$I$89,3,0)*0.475*44/12</f>
        <v>0.22575711090277548</v>
      </c>
      <c r="FS187" s="23">
        <f>EXP(-LN(2)/2)*FS186+(1-EXP(-LN(2)/2))/(LN(2)/2)*FM187*FP187*VLOOKUP('Données projet'!$B$16,Paramètres!$A$1:$I$89,3,0)*0.475*44/12</f>
        <v>5.6606175718551726E-23</v>
      </c>
      <c r="FT187" s="24">
        <f t="shared" si="184"/>
        <v>0.91642376919604873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-2.8421709430404007E-13</v>
      </c>
      <c r="GA187" s="18">
        <f>FZ187*VLOOKUP('Données projet'!$B$17,Paramètres!$A$1:$I$89,3,0)*VLOOKUP('Données projet'!$B$17,Paramètres!$A$1:$I$89,5,0)</f>
        <v>-1.69961822393816E-13</v>
      </c>
      <c r="GB187" s="14" t="e">
        <f t="shared" si="185"/>
        <v>#NUM!</v>
      </c>
      <c r="GC187" s="22" t="e">
        <f t="shared" si="186"/>
        <v>#NUM!</v>
      </c>
      <c r="GD187" s="62" t="e">
        <f t="shared" si="134"/>
        <v>#NUM!</v>
      </c>
      <c r="GE187" s="62">
        <f ca="1">AVERAGE(OFFSET($GD$3,0,0,'Données projet'!$E$17+1,1))-AVERAGE(OFFSET($H$3,0,0,'Données projet'!$E$17+1,1))</f>
        <v>289.12367833861299</v>
      </c>
      <c r="GF187" s="62">
        <f t="shared" si="158"/>
        <v>229.06617320689003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>
        <f>EXP(-LN(2)/35)*GL186+(1-EXP(-LN(2)/35))/(LN(2)/35)*GH187*GI187*VLOOKUP('Données projet'!$B$17,Paramètres!$A$1:$I$89,3,0)*0.475*44/12</f>
        <v>0</v>
      </c>
      <c r="GM187" s="23">
        <f>EXP(-LN(2)/25)*GM186+(1-EXP(-LN(2)/25))/(LN(2)/25)*Calculateur!GH187*Calculateur!GJ187*VLOOKUP('Données projet'!$B$17,Paramètres!$A$1:$I$89,3,0)*0.475*44/12</f>
        <v>0</v>
      </c>
      <c r="GN187" s="23">
        <f>EXP(-LN(2)/2)*GN186+(1-EXP(-LN(2)/2))/(LN(2)/2)*GH187*GK187*VLOOKUP('Données projet'!$B$17,Paramètres!$A$1:$I$89,3,0)*0.475*44/12</f>
        <v>2.7441452639979789E-23</v>
      </c>
      <c r="GO187" s="23">
        <f t="shared" si="187"/>
        <v>2.7441452639979789E-23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-5.6843418860808015E-14</v>
      </c>
      <c r="GV187" s="18">
        <f>GU187*VLOOKUP('Données projet'!$B$18,Paramètres!$A$1:$I$89,3,0)*VLOOKUP('Données projet'!$B$18,Paramètres!$A$1:$I$89,5,0)</f>
        <v>-2.6602720026858149E-14</v>
      </c>
      <c r="GW187" s="14" t="e">
        <f t="shared" si="188"/>
        <v>#NUM!</v>
      </c>
      <c r="GX187" s="22" t="e">
        <f t="shared" si="189"/>
        <v>#NUM!</v>
      </c>
      <c r="GY187" s="62" t="e">
        <f t="shared" si="137"/>
        <v>#NUM!</v>
      </c>
      <c r="GZ187" s="62">
        <f ca="1">AVERAGE(OFFSET($GY$3,0,0,'Données projet'!$E$18+1,1))-AVERAGE(OFFSET($H$3,0,0,'Données projet'!$E$18+1,1))</f>
        <v>284.88646502866419</v>
      </c>
      <c r="HA187" s="62">
        <f t="shared" si="160"/>
        <v>190.4880882944471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>
        <f>EXP(-LN(2)/35)*HG186+(1-EXP(-LN(2)/35))/(LN(2)/35)*HC187*HD187*VLOOKUP('Données projet'!$B$18,Paramètres!$A$1:$I$89,3,0)*0.475*44/12</f>
        <v>0</v>
      </c>
      <c r="HH187" s="23">
        <f>EXP(-LN(2)/25)*HH186+(1-EXP(-LN(2)/25))/(LN(2)/25)*Calculateur!HC187*Calculateur!HE187*VLOOKUP('Données projet'!$B$18,Paramètres!$A$1:$I$89,3,0)*0.475*44/12</f>
        <v>0</v>
      </c>
      <c r="HI187" s="23">
        <f>EXP(-LN(2)/2)*HI186+(1-EXP(-LN(2)/2))/(LN(2)/2)*HC187*HF187*VLOOKUP('Données projet'!$B$18,Paramètres!$A$1:$I$89,3,0)*0.475*44/12</f>
        <v>0</v>
      </c>
      <c r="HJ187" s="24">
        <f t="shared" si="190"/>
        <v>0</v>
      </c>
    </row>
    <row r="188" spans="1:218" x14ac:dyDescent="0.25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2">
        <f t="shared" si="140"/>
        <v>0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0</v>
      </c>
      <c r="H188" s="70">
        <f t="shared" si="110"/>
        <v>256.66666666666669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-1.1368683772161603E-13</v>
      </c>
      <c r="O188" s="14">
        <f>N188*VLOOKUP('Données projet'!$B$9,Paramètres!$A$1:$I$89,3,0)*VLOOKUP('Données projet'!$B$9,Paramètres!$A$1:$I$89,5,0)</f>
        <v>-1.0818439477588981E-13</v>
      </c>
      <c r="P188" s="14" t="e">
        <f t="shared" si="141"/>
        <v>#NUM!</v>
      </c>
      <c r="Q188" s="22" t="e">
        <f t="shared" si="162"/>
        <v>#NUM!</v>
      </c>
      <c r="R188" s="62" t="e">
        <f t="shared" si="109"/>
        <v>#NUM!</v>
      </c>
      <c r="S188" s="62">
        <f ca="1">AVERAGE(OFFSET($R$3,0,0,'Données projet'!$E$9+1,1))-AVERAGE(OFFSET($H$3,0,0,'Données projet'!$E$9+1,1))</f>
        <v>367.11183928586667</v>
      </c>
      <c r="T188" s="62">
        <f t="shared" si="142"/>
        <v>281.52963027844595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0</v>
      </c>
      <c r="AA188" s="23">
        <f>EXP(-LN(2)/25)*AA187+(1-EXP(-LN(2)/25))/(LN(2)/25)*Calculateur!V188*Calculateur!X188*VLOOKUP('Données projet'!$B$9,Paramètres!$A$1:$I$89,3,0)*0.475*44/12</f>
        <v>0</v>
      </c>
      <c r="AB188" s="23">
        <f>EXP(-LN(2)/2)*AB187+(1-EXP(-LN(2)/2))/(LN(2)/2)*V188*Y188*VLOOKUP('Données projet'!$B$9,Paramètres!$A$1:$I$89,3,0)*0.475*44/12</f>
        <v>0</v>
      </c>
      <c r="AC188" s="24">
        <f t="shared" si="163"/>
        <v>0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-9.6633812063373625E-13</v>
      </c>
      <c r="AJ188" s="14">
        <f>AI188*VLOOKUP('Données projet'!$B$10,Paramètres!$A$1:$I$89,3,0)*VLOOKUP('Données projet'!$B$10,Paramètres!$A$1:$I$89,5,0)</f>
        <v>-8.7434273154940449E-13</v>
      </c>
      <c r="AK188" s="14" t="e">
        <f t="shared" si="164"/>
        <v>#NUM!</v>
      </c>
      <c r="AL188" s="22" t="e">
        <f t="shared" si="165"/>
        <v>#NUM!</v>
      </c>
      <c r="AM188" s="62" t="e">
        <f t="shared" si="113"/>
        <v>#NUM!</v>
      </c>
      <c r="AN188" s="62">
        <f ca="1">AVERAGE(OFFSET($AM$3,0,0,'Données projet'!$E$10+1,1))-AVERAGE(OFFSET($H$3,0,0,'Données projet'!$E$10+1,1))</f>
        <v>428.8489304403459</v>
      </c>
      <c r="AO188" s="62">
        <f t="shared" si="144"/>
        <v>247.01165577562966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0</v>
      </c>
      <c r="AV188" s="23">
        <f>EXP(-LN(2)/25)*AV187+(1-EXP(-LN(2)/25))/(LN(2)/25)*Calculateur!AQ188*Calculateur!AS188*VLOOKUP('Données projet'!$B$10,Paramètres!$A$1:$I$89,3,0)*0.475*44/12</f>
        <v>0</v>
      </c>
      <c r="AW188" s="23">
        <f>EXP(-LN(2)/2)*AW187+(1-EXP(-LN(2)/2))/(LN(2)/2)*AQ188*AT188*VLOOKUP('Données projet'!$B$10,Paramètres!$A$1:$I$89,3,0)*0.475*44/12</f>
        <v>0</v>
      </c>
      <c r="AX188" s="23">
        <f t="shared" si="166"/>
        <v>0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-9.6633812063373625E-13</v>
      </c>
      <c r="BE188" s="14">
        <f>BD188*VLOOKUP('Données projet'!$B$11,Paramètres!$A$1:$I$89,3,0)*VLOOKUP('Données projet'!$B$11,Paramètres!$A$1:$I$89,5,0)</f>
        <v>-9.7986685432260874E-13</v>
      </c>
      <c r="BF188" s="14" t="e">
        <f t="shared" si="167"/>
        <v>#NUM!</v>
      </c>
      <c r="BG188" s="22" t="e">
        <f t="shared" si="168"/>
        <v>#NUM!</v>
      </c>
      <c r="BH188" s="62" t="e">
        <f t="shared" si="116"/>
        <v>#NUM!</v>
      </c>
      <c r="BI188" s="62">
        <f ca="1">AVERAGE(OFFSET($BH$3,0,0,'Données projet'!$E$11+1,1))-AVERAGE(OFFSET($H$3,0,0,'Données projet'!$E$11+1,1))</f>
        <v>475.47920969424894</v>
      </c>
      <c r="BJ188" s="62">
        <f t="shared" si="146"/>
        <v>271.73544012419364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>
        <f>EXP(-LN(2)/35)*BP187+(1-EXP(-LN(2)/35))/(LN(2)/35)*BL188*BM188*VLOOKUP('Données projet'!$B$11,Paramètres!$A$1:$I$89,3,0)*0.475*44/12</f>
        <v>0</v>
      </c>
      <c r="BQ188" s="23">
        <f>EXP(-LN(2)/25)*BQ187+(1-EXP(-LN(2)/25))/(LN(2)/25)*Calculateur!BL188*Calculateur!BN188*VLOOKUP('Données projet'!$B$11,Paramètres!$A$1:$I$89,3,0)*0.475*44/12</f>
        <v>0</v>
      </c>
      <c r="BR188" s="23">
        <f>EXP(-LN(2)/2)*BR187+(1-EXP(-LN(2)/2))/(LN(2)/2)*BL188*BO188*VLOOKUP('Données projet'!$B$11,Paramètres!$A$1:$I$89,3,0)*0.475*44/12</f>
        <v>0</v>
      </c>
      <c r="BS188" s="24">
        <f t="shared" si="169"/>
        <v>0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2.2737367544323206E-13</v>
      </c>
      <c r="BZ188" s="14">
        <f>BY188*VLOOKUP('Données projet'!$B$12,Paramètres!$A$1:$I$89,3,0)*VLOOKUP('Données projet'!$B$12,Paramètres!$A$1:$I$89,5,0)</f>
        <v>1.2710188457276673E-13</v>
      </c>
      <c r="CA188" s="14">
        <f t="shared" si="170"/>
        <v>1.856866851063998E-12</v>
      </c>
      <c r="CB188" s="22">
        <f t="shared" si="171"/>
        <v>3.4554122145673649E-12</v>
      </c>
      <c r="CC188" s="62">
        <f t="shared" si="119"/>
        <v>293.33333333333678</v>
      </c>
      <c r="CD188" s="62">
        <f ca="1">AVERAGE(OFFSET($CC$3,0,0,'Données projet'!$E$12+1,1))-AVERAGE(OFFSET($H$3,0,0,'Données projet'!$E$12+1,1))</f>
        <v>323.98185264074681</v>
      </c>
      <c r="CE188" s="62">
        <f t="shared" si="148"/>
        <v>301.22207291854005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>
        <f>EXP(-LN(2)/35)*CK187+(1-EXP(-LN(2)/35))/(LN(2)/35)*CG188*CH188*VLOOKUP('Données projet'!$B$12,Paramètres!$A$1:$I$89,3,0)*0.475*44/12</f>
        <v>0.20721823608727058</v>
      </c>
      <c r="CL188" s="23">
        <f>EXP(-LN(2)/25)*CL187+(1-EXP(-LN(2)/25))/(LN(2)/25)*Calculateur!CG188*Calculateur!CI188*VLOOKUP('Données projet'!$B$12,Paramètres!$A$1:$I$89,3,0)*0.475*44/12</f>
        <v>0.11218267731586942</v>
      </c>
      <c r="CM188" s="23">
        <f>EXP(-LN(2)/2)*CM187+(1-EXP(-LN(2)/2))/(LN(2)/2)*CG188*CJ188*VLOOKUP('Données projet'!$B$12,Paramètres!$A$1:$I$89,3,0)*0.475*44/12</f>
        <v>2.8486311860797394E-23</v>
      </c>
      <c r="CN188" s="24">
        <f t="shared" si="172"/>
        <v>0.31940091340314003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>
        <f>CT188*VLOOKUP('Données projet'!$B$13,Paramètres!$A$1:$I$89,3,0)*VLOOKUP('Données projet'!$B$13,Paramètres!$A$1:$I$89,5,0)</f>
        <v>0</v>
      </c>
      <c r="CV188" s="14" t="e">
        <f t="shared" si="173"/>
        <v>#NUM!</v>
      </c>
      <c r="CW188" s="22" t="e">
        <f t="shared" si="174"/>
        <v>#NUM!</v>
      </c>
      <c r="CX188" s="62" t="e">
        <f t="shared" si="122"/>
        <v>#NUM!</v>
      </c>
      <c r="CY188" s="62">
        <f ca="1">AVERAGE(OFFSET($CX$3,0,0,'Données projet'!$E$13+1,1))-AVERAGE(OFFSET($H$3,0,0,'Données projet'!$E$13+1,1))</f>
        <v>399.78832690250164</v>
      </c>
      <c r="CZ188" s="62">
        <f t="shared" si="150"/>
        <v>174.32967064896343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>
        <f>EXP(-LN(2)/35)*DF187+(1-EXP(-LN(2)/35))/(LN(2)/35)*DB188*DC188*VLOOKUP('Données projet'!$B$13,Paramètres!$A$1:$I$89,3,0)*0.475*44/12</f>
        <v>0</v>
      </c>
      <c r="DG188" s="23">
        <f>EXP(-LN(2)/25)*DG187+(1-EXP(-LN(2)/25))/(LN(2)/25)*Calculateur!DB188*Calculateur!DD188*VLOOKUP('Données projet'!$B$13,Paramètres!$A$1:$I$89,3,0)*0.475*44/12</f>
        <v>0</v>
      </c>
      <c r="DH188" s="23">
        <f>EXP(-LN(2)/2)*DH187+(1-EXP(-LN(2)/2))/(LN(2)/2)*DB188*DE188*VLOOKUP('Données projet'!$B$13,Paramètres!$A$1:$I$89,3,0)*0.475*44/12</f>
        <v>0</v>
      </c>
      <c r="DI188" s="24">
        <f t="shared" si="175"/>
        <v>0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-9.6633812063373625E-13</v>
      </c>
      <c r="DP188" s="18">
        <f>DO188*VLOOKUP('Données projet'!$B$14,Paramètres!$A$1:$I$89,3,0)*VLOOKUP('Données projet'!$B$14,Paramètres!$A$1:$I$89,5,0)</f>
        <v>-8.1404323282185943E-13</v>
      </c>
      <c r="DQ188" s="14" t="e">
        <f t="shared" si="176"/>
        <v>#NUM!</v>
      </c>
      <c r="DR188" s="22" t="e">
        <f t="shared" si="177"/>
        <v>#NUM!</v>
      </c>
      <c r="DS188" s="62" t="e">
        <f t="shared" si="125"/>
        <v>#NUM!</v>
      </c>
      <c r="DT188" s="62">
        <f ca="1">AVERAGE(OFFSET($DS$3,0,0,'Données projet'!$E$14+1,1))-AVERAGE(OFFSET($H$3,0,0,'Données projet'!$E$14+1,1))</f>
        <v>402.15128814037058</v>
      </c>
      <c r="DU188" s="62">
        <f t="shared" si="152"/>
        <v>232.85411068442738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>
        <f>EXP(-LN(2)/35)*EA187+(1-EXP(-LN(2)/35))/(LN(2)/35)*DW188*DX188*VLOOKUP('Données projet'!$B$14,Paramètres!$A$1:$I$89,3,0)*0.475*44/12</f>
        <v>0</v>
      </c>
      <c r="EB188" s="23">
        <f>EXP(-LN(2)/25)*EB187+(1-EXP(-LN(2)/25))/(LN(2)/25)*Calculateur!DW188*Calculateur!DY188*VLOOKUP('Données projet'!$B$14,Paramètres!$A$1:$I$89,3,0)*0.475*44/12</f>
        <v>0</v>
      </c>
      <c r="EC188" s="23">
        <f>EXP(-LN(2)/2)*EC187+(1-EXP(-LN(2)/2))/(LN(2)/2)*DW188*DZ188*VLOOKUP('Données projet'!$B$14,Paramètres!$A$1:$I$89,3,0)*0.475*44/12</f>
        <v>0</v>
      </c>
      <c r="ED188" s="24">
        <f t="shared" si="178"/>
        <v>0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6.2527760746888816E-13</v>
      </c>
      <c r="EK188" s="18">
        <f>EJ188*VLOOKUP('Données projet'!$B$15,Paramètres!$A$1:$I$89,3,0)*VLOOKUP('Données projet'!$B$15,Paramètres!$A$1:$I$89,5,0)</f>
        <v>6.5354015532648198E-13</v>
      </c>
      <c r="EL188" s="14">
        <f t="shared" si="179"/>
        <v>7.8909019831354483E-12</v>
      </c>
      <c r="EM188" s="22">
        <f t="shared" si="180"/>
        <v>1.4881570057821194E-11</v>
      </c>
      <c r="EN188" s="62">
        <f t="shared" si="128"/>
        <v>293.33333333334821</v>
      </c>
      <c r="EO188" s="62">
        <f ca="1">AVERAGE(OFFSET($EN$3,0,0,'Données projet'!$E$15+1,1))-AVERAGE(OFFSET($H$3,0,0,'Données projet'!$E$15+1,1))</f>
        <v>595.89992279024398</v>
      </c>
      <c r="EP188" s="62">
        <f t="shared" si="154"/>
        <v>378.16197659288338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>
        <f>EXP(-LN(2)/35)*EV187+(1-EXP(-LN(2)/35))/(LN(2)/35)*ER188*ES188*VLOOKUP('Données projet'!$B$15,Paramètres!$A$1:$I$89,3,0)*0.475*44/12</f>
        <v>0</v>
      </c>
      <c r="EW188" s="23">
        <f>EXP(-LN(2)/25)*EW187+(1-EXP(-LN(2)/25))/(LN(2)/25)*Calculateur!ER188*Calculateur!ET188*VLOOKUP('Données projet'!$B$15,Paramètres!$A$1:$I$89,3,0)*0.475*44/12</f>
        <v>0</v>
      </c>
      <c r="EX188" s="23">
        <f>EXP(-LN(2)/2)*EX187+(1-EXP(-LN(2)/2))/(LN(2)/2)*ER188*EU188*VLOOKUP('Données projet'!$B$15,Paramètres!$A$1:$I$89,3,0)*0.475*44/12</f>
        <v>0</v>
      </c>
      <c r="EY188" s="24">
        <f t="shared" si="181"/>
        <v>0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-2.2737367544323206E-13</v>
      </c>
      <c r="FF188" s="18">
        <f>FE188*VLOOKUP('Données projet'!$B$16,Paramètres!$A$1:$I$89,3,0)*VLOOKUP('Données projet'!$B$16,Paramètres!$A$1:$I$89,5,0)</f>
        <v>-1.3596945791505279E-13</v>
      </c>
      <c r="FG188" s="14" t="e">
        <f t="shared" si="182"/>
        <v>#NUM!</v>
      </c>
      <c r="FH188" s="22" t="e">
        <f t="shared" si="183"/>
        <v>#NUM!</v>
      </c>
      <c r="FI188" s="62" t="e">
        <f t="shared" si="131"/>
        <v>#NUM!</v>
      </c>
      <c r="FJ188" s="62">
        <f ca="1">AVERAGE(OFFSET($FI$3,0,0,'Données projet'!$E$16+1,1))-AVERAGE(OFFSET($H$3,0,0,'Données projet'!$E$16+1,1))</f>
        <v>257.56116197646924</v>
      </c>
      <c r="FK188" s="62">
        <f t="shared" si="156"/>
        <v>269.95556918835888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>
        <f>EXP(-LN(2)/35)*FQ187+(1-EXP(-LN(2)/35))/(LN(2)/35)*FM188*FN188*VLOOKUP('Données projet'!$B$16,Paramètres!$A$1:$I$89,3,0)*0.475*44/12</f>
        <v>0.67712310638920725</v>
      </c>
      <c r="FR188" s="23">
        <f>EXP(-LN(2)/25)*FR187+(1-EXP(-LN(2)/25))/(LN(2)/25)*Calculateur!FM188*Calculateur!FO188*VLOOKUP('Données projet'!$B$16,Paramètres!$A$1:$I$89,3,0)*0.475*44/12</f>
        <v>0.21958377083308858</v>
      </c>
      <c r="FS188" s="23">
        <f>EXP(-LN(2)/2)*FS187+(1-EXP(-LN(2)/2))/(LN(2)/2)*FM188*FP188*VLOOKUP('Données projet'!$B$16,Paramètres!$A$1:$I$89,3,0)*0.475*44/12</f>
        <v>4.0026610707625216E-23</v>
      </c>
      <c r="FT188" s="24">
        <f t="shared" si="184"/>
        <v>0.89670687722229581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-2.8421709430404007E-13</v>
      </c>
      <c r="GA188" s="18">
        <f>FZ188*VLOOKUP('Données projet'!$B$17,Paramètres!$A$1:$I$89,3,0)*VLOOKUP('Données projet'!$B$17,Paramètres!$A$1:$I$89,5,0)</f>
        <v>-1.69961822393816E-13</v>
      </c>
      <c r="GB188" s="14" t="e">
        <f t="shared" si="185"/>
        <v>#NUM!</v>
      </c>
      <c r="GC188" s="22" t="e">
        <f t="shared" si="186"/>
        <v>#NUM!</v>
      </c>
      <c r="GD188" s="62" t="e">
        <f t="shared" si="134"/>
        <v>#NUM!</v>
      </c>
      <c r="GE188" s="62">
        <f ca="1">AVERAGE(OFFSET($GD$3,0,0,'Données projet'!$E$17+1,1))-AVERAGE(OFFSET($H$3,0,0,'Données projet'!$E$17+1,1))</f>
        <v>289.12367833861299</v>
      </c>
      <c r="GF188" s="62">
        <f t="shared" si="158"/>
        <v>229.06617320689003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>
        <f>EXP(-LN(2)/35)*GL187+(1-EXP(-LN(2)/35))/(LN(2)/35)*GH188*GI188*VLOOKUP('Données projet'!$B$17,Paramètres!$A$1:$I$89,3,0)*0.475*44/12</f>
        <v>0</v>
      </c>
      <c r="GM188" s="23">
        <f>EXP(-LN(2)/25)*GM187+(1-EXP(-LN(2)/25))/(LN(2)/25)*Calculateur!GH188*Calculateur!GJ188*VLOOKUP('Données projet'!$B$17,Paramètres!$A$1:$I$89,3,0)*0.475*44/12</f>
        <v>0</v>
      </c>
      <c r="GN188" s="23">
        <f>EXP(-LN(2)/2)*GN187+(1-EXP(-LN(2)/2))/(LN(2)/2)*GH188*GK188*VLOOKUP('Données projet'!$B$17,Paramètres!$A$1:$I$89,3,0)*0.475*44/12</f>
        <v>1.9404037247339196E-23</v>
      </c>
      <c r="GO188" s="23">
        <f t="shared" si="187"/>
        <v>1.9404037247339196E-23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-5.6843418860808015E-14</v>
      </c>
      <c r="GV188" s="18">
        <f>GU188*VLOOKUP('Données projet'!$B$18,Paramètres!$A$1:$I$89,3,0)*VLOOKUP('Données projet'!$B$18,Paramètres!$A$1:$I$89,5,0)</f>
        <v>-2.6602720026858149E-14</v>
      </c>
      <c r="GW188" s="14" t="e">
        <f t="shared" si="188"/>
        <v>#NUM!</v>
      </c>
      <c r="GX188" s="22" t="e">
        <f t="shared" si="189"/>
        <v>#NUM!</v>
      </c>
      <c r="GY188" s="62" t="e">
        <f t="shared" si="137"/>
        <v>#NUM!</v>
      </c>
      <c r="GZ188" s="62">
        <f ca="1">AVERAGE(OFFSET($GY$3,0,0,'Données projet'!$E$18+1,1))-AVERAGE(OFFSET($H$3,0,0,'Données projet'!$E$18+1,1))</f>
        <v>284.88646502866419</v>
      </c>
      <c r="HA188" s="62">
        <f t="shared" si="160"/>
        <v>190.4880882944471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>
        <f>EXP(-LN(2)/35)*HG187+(1-EXP(-LN(2)/35))/(LN(2)/35)*HC188*HD188*VLOOKUP('Données projet'!$B$18,Paramètres!$A$1:$I$89,3,0)*0.475*44/12</f>
        <v>0</v>
      </c>
      <c r="HH188" s="23">
        <f>EXP(-LN(2)/25)*HH187+(1-EXP(-LN(2)/25))/(LN(2)/25)*Calculateur!HC188*Calculateur!HE188*VLOOKUP('Données projet'!$B$18,Paramètres!$A$1:$I$89,3,0)*0.475*44/12</f>
        <v>0</v>
      </c>
      <c r="HI188" s="23">
        <f>EXP(-LN(2)/2)*HI187+(1-EXP(-LN(2)/2))/(LN(2)/2)*HC188*HF188*VLOOKUP('Données projet'!$B$18,Paramètres!$A$1:$I$89,3,0)*0.475*44/12</f>
        <v>0</v>
      </c>
      <c r="HJ188" s="24">
        <f t="shared" si="190"/>
        <v>0</v>
      </c>
    </row>
    <row r="189" spans="1:218" x14ac:dyDescent="0.25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2">
        <f t="shared" si="140"/>
        <v>0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0</v>
      </c>
      <c r="H189" s="70">
        <f t="shared" si="110"/>
        <v>256.66666666666669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-1.1368683772161603E-13</v>
      </c>
      <c r="O189" s="14">
        <f>N189*VLOOKUP('Données projet'!$B$9,Paramètres!$A$1:$I$89,3,0)*VLOOKUP('Données projet'!$B$9,Paramètres!$A$1:$I$89,5,0)</f>
        <v>-1.0818439477588981E-13</v>
      </c>
      <c r="P189" s="14" t="e">
        <f t="shared" si="141"/>
        <v>#NUM!</v>
      </c>
      <c r="Q189" s="22" t="e">
        <f t="shared" si="162"/>
        <v>#NUM!</v>
      </c>
      <c r="R189" s="62" t="e">
        <f t="shared" si="109"/>
        <v>#NUM!</v>
      </c>
      <c r="S189" s="62">
        <f ca="1">AVERAGE(OFFSET($R$3,0,0,'Données projet'!$E$9+1,1))-AVERAGE(OFFSET($H$3,0,0,'Données projet'!$E$9+1,1))</f>
        <v>367.11183928586667</v>
      </c>
      <c r="T189" s="62">
        <f t="shared" si="142"/>
        <v>281.52963027844595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0</v>
      </c>
      <c r="AA189" s="23">
        <f>EXP(-LN(2)/25)*AA188+(1-EXP(-LN(2)/25))/(LN(2)/25)*Calculateur!V189*Calculateur!X189*VLOOKUP('Données projet'!$B$9,Paramètres!$A$1:$I$89,3,0)*0.475*44/12</f>
        <v>0</v>
      </c>
      <c r="AB189" s="23">
        <f>EXP(-LN(2)/2)*AB188+(1-EXP(-LN(2)/2))/(LN(2)/2)*V189*Y189*VLOOKUP('Données projet'!$B$9,Paramètres!$A$1:$I$89,3,0)*0.475*44/12</f>
        <v>0</v>
      </c>
      <c r="AC189" s="24">
        <f t="shared" si="163"/>
        <v>0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-9.6633812063373625E-13</v>
      </c>
      <c r="AJ189" s="14">
        <f>AI189*VLOOKUP('Données projet'!$B$10,Paramètres!$A$1:$I$89,3,0)*VLOOKUP('Données projet'!$B$10,Paramètres!$A$1:$I$89,5,0)</f>
        <v>-8.7434273154940449E-13</v>
      </c>
      <c r="AK189" s="14" t="e">
        <f t="shared" si="164"/>
        <v>#NUM!</v>
      </c>
      <c r="AL189" s="22" t="e">
        <f t="shared" si="165"/>
        <v>#NUM!</v>
      </c>
      <c r="AM189" s="62" t="e">
        <f t="shared" si="113"/>
        <v>#NUM!</v>
      </c>
      <c r="AN189" s="62">
        <f ca="1">AVERAGE(OFFSET($AM$3,0,0,'Données projet'!$E$10+1,1))-AVERAGE(OFFSET($H$3,0,0,'Données projet'!$E$10+1,1))</f>
        <v>428.8489304403459</v>
      </c>
      <c r="AO189" s="62">
        <f t="shared" si="144"/>
        <v>247.01165577562966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0</v>
      </c>
      <c r="AV189" s="23">
        <f>EXP(-LN(2)/25)*AV188+(1-EXP(-LN(2)/25))/(LN(2)/25)*Calculateur!AQ189*Calculateur!AS189*VLOOKUP('Données projet'!$B$10,Paramètres!$A$1:$I$89,3,0)*0.475*44/12</f>
        <v>0</v>
      </c>
      <c r="AW189" s="23">
        <f>EXP(-LN(2)/2)*AW188+(1-EXP(-LN(2)/2))/(LN(2)/2)*AQ189*AT189*VLOOKUP('Données projet'!$B$10,Paramètres!$A$1:$I$89,3,0)*0.475*44/12</f>
        <v>0</v>
      </c>
      <c r="AX189" s="23">
        <f t="shared" si="166"/>
        <v>0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-9.6633812063373625E-13</v>
      </c>
      <c r="BE189" s="14">
        <f>BD189*VLOOKUP('Données projet'!$B$11,Paramètres!$A$1:$I$89,3,0)*VLOOKUP('Données projet'!$B$11,Paramètres!$A$1:$I$89,5,0)</f>
        <v>-9.7986685432260874E-13</v>
      </c>
      <c r="BF189" s="14" t="e">
        <f t="shared" si="167"/>
        <v>#NUM!</v>
      </c>
      <c r="BG189" s="22" t="e">
        <f t="shared" si="168"/>
        <v>#NUM!</v>
      </c>
      <c r="BH189" s="62" t="e">
        <f t="shared" si="116"/>
        <v>#NUM!</v>
      </c>
      <c r="BI189" s="62">
        <f ca="1">AVERAGE(OFFSET($BH$3,0,0,'Données projet'!$E$11+1,1))-AVERAGE(OFFSET($H$3,0,0,'Données projet'!$E$11+1,1))</f>
        <v>475.47920969424894</v>
      </c>
      <c r="BJ189" s="62">
        <f t="shared" si="146"/>
        <v>271.73544012419364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>
        <f>EXP(-LN(2)/35)*BP188+(1-EXP(-LN(2)/35))/(LN(2)/35)*BL189*BM189*VLOOKUP('Données projet'!$B$11,Paramètres!$A$1:$I$89,3,0)*0.475*44/12</f>
        <v>0</v>
      </c>
      <c r="BQ189" s="23">
        <f>EXP(-LN(2)/25)*BQ188+(1-EXP(-LN(2)/25))/(LN(2)/25)*Calculateur!BL189*Calculateur!BN189*VLOOKUP('Données projet'!$B$11,Paramètres!$A$1:$I$89,3,0)*0.475*44/12</f>
        <v>0</v>
      </c>
      <c r="BR189" s="23">
        <f>EXP(-LN(2)/2)*BR188+(1-EXP(-LN(2)/2))/(LN(2)/2)*BL189*BO189*VLOOKUP('Données projet'!$B$11,Paramètres!$A$1:$I$89,3,0)*0.475*44/12</f>
        <v>0</v>
      </c>
      <c r="BS189" s="24">
        <f t="shared" si="169"/>
        <v>0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2.2737367544323206E-13</v>
      </c>
      <c r="BZ189" s="14">
        <f>BY189*VLOOKUP('Données projet'!$B$12,Paramètres!$A$1:$I$89,3,0)*VLOOKUP('Données projet'!$B$12,Paramètres!$A$1:$I$89,5,0)</f>
        <v>1.2710188457276673E-13</v>
      </c>
      <c r="CA189" s="14">
        <f t="shared" si="170"/>
        <v>1.856866851063998E-12</v>
      </c>
      <c r="CB189" s="22">
        <f t="shared" si="171"/>
        <v>3.4554122145673649E-12</v>
      </c>
      <c r="CC189" s="62">
        <f t="shared" si="119"/>
        <v>293.33333333333678</v>
      </c>
      <c r="CD189" s="62">
        <f ca="1">AVERAGE(OFFSET($CC$3,0,0,'Données projet'!$E$12+1,1))-AVERAGE(OFFSET($H$3,0,0,'Données projet'!$E$12+1,1))</f>
        <v>323.98185264074681</v>
      </c>
      <c r="CE189" s="62">
        <f t="shared" si="148"/>
        <v>301.22207291854005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>
        <f>EXP(-LN(2)/35)*CK188+(1-EXP(-LN(2)/35))/(LN(2)/35)*CG189*CH189*VLOOKUP('Données projet'!$B$12,Paramètres!$A$1:$I$89,3,0)*0.475*44/12</f>
        <v>0.20315481286824319</v>
      </c>
      <c r="CL189" s="23">
        <f>EXP(-LN(2)/25)*CL188+(1-EXP(-LN(2)/25))/(LN(2)/25)*Calculateur!CG189*Calculateur!CI189*VLOOKUP('Données projet'!$B$12,Paramètres!$A$1:$I$89,3,0)*0.475*44/12</f>
        <v>0.10911503610523637</v>
      </c>
      <c r="CM189" s="23">
        <f>EXP(-LN(2)/2)*CM188+(1-EXP(-LN(2)/2))/(LN(2)/2)*CG189*CJ189*VLOOKUP('Données projet'!$B$12,Paramètres!$A$1:$I$89,3,0)*0.475*44/12</f>
        <v>2.0142864287764616E-23</v>
      </c>
      <c r="CN189" s="24">
        <f t="shared" si="172"/>
        <v>0.31226984897347954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>
        <f>CT189*VLOOKUP('Données projet'!$B$13,Paramètres!$A$1:$I$89,3,0)*VLOOKUP('Données projet'!$B$13,Paramètres!$A$1:$I$89,5,0)</f>
        <v>0</v>
      </c>
      <c r="CV189" s="14" t="e">
        <f t="shared" si="173"/>
        <v>#NUM!</v>
      </c>
      <c r="CW189" s="22" t="e">
        <f t="shared" si="174"/>
        <v>#NUM!</v>
      </c>
      <c r="CX189" s="62" t="e">
        <f t="shared" si="122"/>
        <v>#NUM!</v>
      </c>
      <c r="CY189" s="62">
        <f ca="1">AVERAGE(OFFSET($CX$3,0,0,'Données projet'!$E$13+1,1))-AVERAGE(OFFSET($H$3,0,0,'Données projet'!$E$13+1,1))</f>
        <v>399.78832690250164</v>
      </c>
      <c r="CZ189" s="62">
        <f t="shared" si="150"/>
        <v>174.32967064896343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>
        <f>EXP(-LN(2)/35)*DF188+(1-EXP(-LN(2)/35))/(LN(2)/35)*DB189*DC189*VLOOKUP('Données projet'!$B$13,Paramètres!$A$1:$I$89,3,0)*0.475*44/12</f>
        <v>0</v>
      </c>
      <c r="DG189" s="23">
        <f>EXP(-LN(2)/25)*DG188+(1-EXP(-LN(2)/25))/(LN(2)/25)*Calculateur!DB189*Calculateur!DD189*VLOOKUP('Données projet'!$B$13,Paramètres!$A$1:$I$89,3,0)*0.475*44/12</f>
        <v>0</v>
      </c>
      <c r="DH189" s="23">
        <f>EXP(-LN(2)/2)*DH188+(1-EXP(-LN(2)/2))/(LN(2)/2)*DB189*DE189*VLOOKUP('Données projet'!$B$13,Paramètres!$A$1:$I$89,3,0)*0.475*44/12</f>
        <v>0</v>
      </c>
      <c r="DI189" s="24">
        <f t="shared" si="175"/>
        <v>0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-9.6633812063373625E-13</v>
      </c>
      <c r="DP189" s="18">
        <f>DO189*VLOOKUP('Données projet'!$B$14,Paramètres!$A$1:$I$89,3,0)*VLOOKUP('Données projet'!$B$14,Paramètres!$A$1:$I$89,5,0)</f>
        <v>-8.1404323282185943E-13</v>
      </c>
      <c r="DQ189" s="14" t="e">
        <f t="shared" si="176"/>
        <v>#NUM!</v>
      </c>
      <c r="DR189" s="22" t="e">
        <f t="shared" si="177"/>
        <v>#NUM!</v>
      </c>
      <c r="DS189" s="62" t="e">
        <f t="shared" si="125"/>
        <v>#NUM!</v>
      </c>
      <c r="DT189" s="62">
        <f ca="1">AVERAGE(OFFSET($DS$3,0,0,'Données projet'!$E$14+1,1))-AVERAGE(OFFSET($H$3,0,0,'Données projet'!$E$14+1,1))</f>
        <v>402.15128814037058</v>
      </c>
      <c r="DU189" s="62">
        <f t="shared" si="152"/>
        <v>232.85411068442738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>
        <f>EXP(-LN(2)/35)*EA188+(1-EXP(-LN(2)/35))/(LN(2)/35)*DW189*DX189*VLOOKUP('Données projet'!$B$14,Paramètres!$A$1:$I$89,3,0)*0.475*44/12</f>
        <v>0</v>
      </c>
      <c r="EB189" s="23">
        <f>EXP(-LN(2)/25)*EB188+(1-EXP(-LN(2)/25))/(LN(2)/25)*Calculateur!DW189*Calculateur!DY189*VLOOKUP('Données projet'!$B$14,Paramètres!$A$1:$I$89,3,0)*0.475*44/12</f>
        <v>0</v>
      </c>
      <c r="EC189" s="23">
        <f>EXP(-LN(2)/2)*EC188+(1-EXP(-LN(2)/2))/(LN(2)/2)*DW189*DZ189*VLOOKUP('Données projet'!$B$14,Paramètres!$A$1:$I$89,3,0)*0.475*44/12</f>
        <v>0</v>
      </c>
      <c r="ED189" s="24">
        <f t="shared" si="178"/>
        <v>0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6.2527760746888816E-13</v>
      </c>
      <c r="EK189" s="18">
        <f>EJ189*VLOOKUP('Données projet'!$B$15,Paramètres!$A$1:$I$89,3,0)*VLOOKUP('Données projet'!$B$15,Paramètres!$A$1:$I$89,5,0)</f>
        <v>6.5354015532648198E-13</v>
      </c>
      <c r="EL189" s="14">
        <f t="shared" si="179"/>
        <v>7.8909019831354483E-12</v>
      </c>
      <c r="EM189" s="22">
        <f t="shared" si="180"/>
        <v>1.4881570057821194E-11</v>
      </c>
      <c r="EN189" s="62">
        <f t="shared" si="128"/>
        <v>293.33333333334821</v>
      </c>
      <c r="EO189" s="62">
        <f ca="1">AVERAGE(OFFSET($EN$3,0,0,'Données projet'!$E$15+1,1))-AVERAGE(OFFSET($H$3,0,0,'Données projet'!$E$15+1,1))</f>
        <v>595.89992279024398</v>
      </c>
      <c r="EP189" s="62">
        <f t="shared" si="154"/>
        <v>378.16197659288338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>
        <f>EXP(-LN(2)/35)*EV188+(1-EXP(-LN(2)/35))/(LN(2)/35)*ER189*ES189*VLOOKUP('Données projet'!$B$15,Paramètres!$A$1:$I$89,3,0)*0.475*44/12</f>
        <v>0</v>
      </c>
      <c r="EW189" s="23">
        <f>EXP(-LN(2)/25)*EW188+(1-EXP(-LN(2)/25))/(LN(2)/25)*Calculateur!ER189*Calculateur!ET189*VLOOKUP('Données projet'!$B$15,Paramètres!$A$1:$I$89,3,0)*0.475*44/12</f>
        <v>0</v>
      </c>
      <c r="EX189" s="23">
        <f>EXP(-LN(2)/2)*EX188+(1-EXP(-LN(2)/2))/(LN(2)/2)*ER189*EU189*VLOOKUP('Données projet'!$B$15,Paramètres!$A$1:$I$89,3,0)*0.475*44/12</f>
        <v>0</v>
      </c>
      <c r="EY189" s="24">
        <f t="shared" si="181"/>
        <v>0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-2.2737367544323206E-13</v>
      </c>
      <c r="FF189" s="18">
        <f>FE189*VLOOKUP('Données projet'!$B$16,Paramètres!$A$1:$I$89,3,0)*VLOOKUP('Données projet'!$B$16,Paramètres!$A$1:$I$89,5,0)</f>
        <v>-1.3596945791505279E-13</v>
      </c>
      <c r="FG189" s="14" t="e">
        <f t="shared" si="182"/>
        <v>#NUM!</v>
      </c>
      <c r="FH189" s="22" t="e">
        <f t="shared" si="183"/>
        <v>#NUM!</v>
      </c>
      <c r="FI189" s="62" t="e">
        <f t="shared" si="131"/>
        <v>#NUM!</v>
      </c>
      <c r="FJ189" s="62">
        <f ca="1">AVERAGE(OFFSET($FI$3,0,0,'Données projet'!$E$16+1,1))-AVERAGE(OFFSET($H$3,0,0,'Données projet'!$E$16+1,1))</f>
        <v>257.56116197646924</v>
      </c>
      <c r="FK189" s="62">
        <f t="shared" si="156"/>
        <v>269.95556918835888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>
        <f>EXP(-LN(2)/35)*FQ188+(1-EXP(-LN(2)/35))/(LN(2)/35)*FM189*FN189*VLOOKUP('Données projet'!$B$16,Paramètres!$A$1:$I$89,3,0)*0.475*44/12</f>
        <v>0.66384513527722899</v>
      </c>
      <c r="FR189" s="23">
        <f>EXP(-LN(2)/25)*FR188+(1-EXP(-LN(2)/25))/(LN(2)/25)*Calculateur!FM189*Calculateur!FO189*VLOOKUP('Données projet'!$B$16,Paramètres!$A$1:$I$89,3,0)*0.475*44/12</f>
        <v>0.21357924107224913</v>
      </c>
      <c r="FS189" s="23">
        <f>EXP(-LN(2)/2)*FS188+(1-EXP(-LN(2)/2))/(LN(2)/2)*FM189*FP189*VLOOKUP('Données projet'!$B$16,Paramètres!$A$1:$I$89,3,0)*0.475*44/12</f>
        <v>2.8303087859275863E-23</v>
      </c>
      <c r="FT189" s="24">
        <f t="shared" si="184"/>
        <v>0.87742437634947812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-2.8421709430404007E-13</v>
      </c>
      <c r="GA189" s="18">
        <f>FZ189*VLOOKUP('Données projet'!$B$17,Paramètres!$A$1:$I$89,3,0)*VLOOKUP('Données projet'!$B$17,Paramètres!$A$1:$I$89,5,0)</f>
        <v>-1.69961822393816E-13</v>
      </c>
      <c r="GB189" s="14" t="e">
        <f t="shared" si="185"/>
        <v>#NUM!</v>
      </c>
      <c r="GC189" s="22" t="e">
        <f t="shared" si="186"/>
        <v>#NUM!</v>
      </c>
      <c r="GD189" s="62" t="e">
        <f t="shared" si="134"/>
        <v>#NUM!</v>
      </c>
      <c r="GE189" s="62">
        <f ca="1">AVERAGE(OFFSET($GD$3,0,0,'Données projet'!$E$17+1,1))-AVERAGE(OFFSET($H$3,0,0,'Données projet'!$E$17+1,1))</f>
        <v>289.12367833861299</v>
      </c>
      <c r="GF189" s="62">
        <f t="shared" si="158"/>
        <v>229.06617320689003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>
        <f>EXP(-LN(2)/35)*GL188+(1-EXP(-LN(2)/35))/(LN(2)/35)*GH189*GI189*VLOOKUP('Données projet'!$B$17,Paramètres!$A$1:$I$89,3,0)*0.475*44/12</f>
        <v>0</v>
      </c>
      <c r="GM189" s="23">
        <f>EXP(-LN(2)/25)*GM188+(1-EXP(-LN(2)/25))/(LN(2)/25)*Calculateur!GH189*Calculateur!GJ189*VLOOKUP('Données projet'!$B$17,Paramètres!$A$1:$I$89,3,0)*0.475*44/12</f>
        <v>0</v>
      </c>
      <c r="GN189" s="23">
        <f>EXP(-LN(2)/2)*GN188+(1-EXP(-LN(2)/2))/(LN(2)/2)*GH189*GK189*VLOOKUP('Données projet'!$B$17,Paramètres!$A$1:$I$89,3,0)*0.475*44/12</f>
        <v>1.3720726319989894E-23</v>
      </c>
      <c r="GO189" s="23">
        <f t="shared" si="187"/>
        <v>1.3720726319989894E-23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-5.6843418860808015E-14</v>
      </c>
      <c r="GV189" s="18">
        <f>GU189*VLOOKUP('Données projet'!$B$18,Paramètres!$A$1:$I$89,3,0)*VLOOKUP('Données projet'!$B$18,Paramètres!$A$1:$I$89,5,0)</f>
        <v>-2.6602720026858149E-14</v>
      </c>
      <c r="GW189" s="14" t="e">
        <f t="shared" si="188"/>
        <v>#NUM!</v>
      </c>
      <c r="GX189" s="22" t="e">
        <f t="shared" si="189"/>
        <v>#NUM!</v>
      </c>
      <c r="GY189" s="62" t="e">
        <f t="shared" si="137"/>
        <v>#NUM!</v>
      </c>
      <c r="GZ189" s="62">
        <f ca="1">AVERAGE(OFFSET($GY$3,0,0,'Données projet'!$E$18+1,1))-AVERAGE(OFFSET($H$3,0,0,'Données projet'!$E$18+1,1))</f>
        <v>284.88646502866419</v>
      </c>
      <c r="HA189" s="62">
        <f t="shared" si="160"/>
        <v>190.4880882944471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>
        <f>EXP(-LN(2)/35)*HG188+(1-EXP(-LN(2)/35))/(LN(2)/35)*HC189*HD189*VLOOKUP('Données projet'!$B$18,Paramètres!$A$1:$I$89,3,0)*0.475*44/12</f>
        <v>0</v>
      </c>
      <c r="HH189" s="23">
        <f>EXP(-LN(2)/25)*HH188+(1-EXP(-LN(2)/25))/(LN(2)/25)*Calculateur!HC189*Calculateur!HE189*VLOOKUP('Données projet'!$B$18,Paramètres!$A$1:$I$89,3,0)*0.475*44/12</f>
        <v>0</v>
      </c>
      <c r="HI189" s="23">
        <f>EXP(-LN(2)/2)*HI188+(1-EXP(-LN(2)/2))/(LN(2)/2)*HC189*HF189*VLOOKUP('Données projet'!$B$18,Paramètres!$A$1:$I$89,3,0)*0.475*44/12</f>
        <v>0</v>
      </c>
      <c r="HJ189" s="24">
        <f t="shared" si="190"/>
        <v>0</v>
      </c>
    </row>
    <row r="190" spans="1:218" x14ac:dyDescent="0.25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2">
        <f t="shared" si="140"/>
        <v>0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0</v>
      </c>
      <c r="H190" s="70">
        <f t="shared" si="110"/>
        <v>256.66666666666669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-1.1368683772161603E-13</v>
      </c>
      <c r="O190" s="14">
        <f>N190*VLOOKUP('Données projet'!$B$9,Paramètres!$A$1:$I$89,3,0)*VLOOKUP('Données projet'!$B$9,Paramètres!$A$1:$I$89,5,0)</f>
        <v>-1.0818439477588981E-13</v>
      </c>
      <c r="P190" s="14" t="e">
        <f t="shared" si="141"/>
        <v>#NUM!</v>
      </c>
      <c r="Q190" s="22" t="e">
        <f t="shared" si="162"/>
        <v>#NUM!</v>
      </c>
      <c r="R190" s="62" t="e">
        <f t="shared" si="109"/>
        <v>#NUM!</v>
      </c>
      <c r="S190" s="62">
        <f ca="1">AVERAGE(OFFSET($R$3,0,0,'Données projet'!$E$9+1,1))-AVERAGE(OFFSET($H$3,0,0,'Données projet'!$E$9+1,1))</f>
        <v>367.11183928586667</v>
      </c>
      <c r="T190" s="62">
        <f t="shared" si="142"/>
        <v>281.52963027844595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0</v>
      </c>
      <c r="AA190" s="23">
        <f>EXP(-LN(2)/25)*AA189+(1-EXP(-LN(2)/25))/(LN(2)/25)*Calculateur!V190*Calculateur!X190*VLOOKUP('Données projet'!$B$9,Paramètres!$A$1:$I$89,3,0)*0.475*44/12</f>
        <v>0</v>
      </c>
      <c r="AB190" s="23">
        <f>EXP(-LN(2)/2)*AB189+(1-EXP(-LN(2)/2))/(LN(2)/2)*V190*Y190*VLOOKUP('Données projet'!$B$9,Paramètres!$A$1:$I$89,3,0)*0.475*44/12</f>
        <v>0</v>
      </c>
      <c r="AC190" s="24">
        <f t="shared" si="163"/>
        <v>0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-9.6633812063373625E-13</v>
      </c>
      <c r="AJ190" s="14">
        <f>AI190*VLOOKUP('Données projet'!$B$10,Paramètres!$A$1:$I$89,3,0)*VLOOKUP('Données projet'!$B$10,Paramètres!$A$1:$I$89,5,0)</f>
        <v>-8.7434273154940449E-13</v>
      </c>
      <c r="AK190" s="14" t="e">
        <f t="shared" si="164"/>
        <v>#NUM!</v>
      </c>
      <c r="AL190" s="22" t="e">
        <f t="shared" si="165"/>
        <v>#NUM!</v>
      </c>
      <c r="AM190" s="62" t="e">
        <f t="shared" si="113"/>
        <v>#NUM!</v>
      </c>
      <c r="AN190" s="62">
        <f ca="1">AVERAGE(OFFSET($AM$3,0,0,'Données projet'!$E$10+1,1))-AVERAGE(OFFSET($H$3,0,0,'Données projet'!$E$10+1,1))</f>
        <v>428.8489304403459</v>
      </c>
      <c r="AO190" s="62">
        <f t="shared" si="144"/>
        <v>247.01165577562966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0</v>
      </c>
      <c r="AV190" s="23">
        <f>EXP(-LN(2)/25)*AV189+(1-EXP(-LN(2)/25))/(LN(2)/25)*Calculateur!AQ190*Calculateur!AS190*VLOOKUP('Données projet'!$B$10,Paramètres!$A$1:$I$89,3,0)*0.475*44/12</f>
        <v>0</v>
      </c>
      <c r="AW190" s="23">
        <f>EXP(-LN(2)/2)*AW189+(1-EXP(-LN(2)/2))/(LN(2)/2)*AQ190*AT190*VLOOKUP('Données projet'!$B$10,Paramètres!$A$1:$I$89,3,0)*0.475*44/12</f>
        <v>0</v>
      </c>
      <c r="AX190" s="23">
        <f t="shared" si="166"/>
        <v>0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-9.6633812063373625E-13</v>
      </c>
      <c r="BE190" s="14">
        <f>BD190*VLOOKUP('Données projet'!$B$11,Paramètres!$A$1:$I$89,3,0)*VLOOKUP('Données projet'!$B$11,Paramètres!$A$1:$I$89,5,0)</f>
        <v>-9.7986685432260874E-13</v>
      </c>
      <c r="BF190" s="14" t="e">
        <f t="shared" si="167"/>
        <v>#NUM!</v>
      </c>
      <c r="BG190" s="22" t="e">
        <f t="shared" si="168"/>
        <v>#NUM!</v>
      </c>
      <c r="BH190" s="62" t="e">
        <f t="shared" si="116"/>
        <v>#NUM!</v>
      </c>
      <c r="BI190" s="62">
        <f ca="1">AVERAGE(OFFSET($BH$3,0,0,'Données projet'!$E$11+1,1))-AVERAGE(OFFSET($H$3,0,0,'Données projet'!$E$11+1,1))</f>
        <v>475.47920969424894</v>
      </c>
      <c r="BJ190" s="62">
        <f t="shared" si="146"/>
        <v>271.73544012419364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>
        <f>EXP(-LN(2)/35)*BP189+(1-EXP(-LN(2)/35))/(LN(2)/35)*BL190*BM190*VLOOKUP('Données projet'!$B$11,Paramètres!$A$1:$I$89,3,0)*0.475*44/12</f>
        <v>0</v>
      </c>
      <c r="BQ190" s="23">
        <f>EXP(-LN(2)/25)*BQ189+(1-EXP(-LN(2)/25))/(LN(2)/25)*Calculateur!BL190*Calculateur!BN190*VLOOKUP('Données projet'!$B$11,Paramètres!$A$1:$I$89,3,0)*0.475*44/12</f>
        <v>0</v>
      </c>
      <c r="BR190" s="23">
        <f>EXP(-LN(2)/2)*BR189+(1-EXP(-LN(2)/2))/(LN(2)/2)*BL190*BO190*VLOOKUP('Données projet'!$B$11,Paramètres!$A$1:$I$89,3,0)*0.475*44/12</f>
        <v>0</v>
      </c>
      <c r="BS190" s="24">
        <f t="shared" si="169"/>
        <v>0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2.2737367544323206E-13</v>
      </c>
      <c r="BZ190" s="14">
        <f>BY190*VLOOKUP('Données projet'!$B$12,Paramètres!$A$1:$I$89,3,0)*VLOOKUP('Données projet'!$B$12,Paramètres!$A$1:$I$89,5,0)</f>
        <v>1.2710188457276673E-13</v>
      </c>
      <c r="CA190" s="14">
        <f t="shared" si="170"/>
        <v>1.856866851063998E-12</v>
      </c>
      <c r="CB190" s="22">
        <f t="shared" si="171"/>
        <v>3.4554122145673649E-12</v>
      </c>
      <c r="CC190" s="62">
        <f t="shared" si="119"/>
        <v>293.33333333333678</v>
      </c>
      <c r="CD190" s="62">
        <f ca="1">AVERAGE(OFFSET($CC$3,0,0,'Données projet'!$E$12+1,1))-AVERAGE(OFFSET($H$3,0,0,'Données projet'!$E$12+1,1))</f>
        <v>323.98185264074681</v>
      </c>
      <c r="CE190" s="62">
        <f t="shared" si="148"/>
        <v>301.22207291854005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>
        <f>EXP(-LN(2)/35)*CK189+(1-EXP(-LN(2)/35))/(LN(2)/35)*CG190*CH190*VLOOKUP('Données projet'!$B$12,Paramètres!$A$1:$I$89,3,0)*0.475*44/12</f>
        <v>0.19917107090009747</v>
      </c>
      <c r="CL190" s="23">
        <f>EXP(-LN(2)/25)*CL189+(1-EXP(-LN(2)/25))/(LN(2)/25)*Calculateur!CG190*Calculateur!CI190*VLOOKUP('Données projet'!$B$12,Paramètres!$A$1:$I$89,3,0)*0.475*44/12</f>
        <v>0.10613127970482832</v>
      </c>
      <c r="CM190" s="23">
        <f>EXP(-LN(2)/2)*CM189+(1-EXP(-LN(2)/2))/(LN(2)/2)*CG190*CJ190*VLOOKUP('Données projet'!$B$12,Paramètres!$A$1:$I$89,3,0)*0.475*44/12</f>
        <v>1.4243155930398697E-23</v>
      </c>
      <c r="CN190" s="24">
        <f t="shared" si="172"/>
        <v>0.30530235060492578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>
        <f>CT190*VLOOKUP('Données projet'!$B$13,Paramètres!$A$1:$I$89,3,0)*VLOOKUP('Données projet'!$B$13,Paramètres!$A$1:$I$89,5,0)</f>
        <v>0</v>
      </c>
      <c r="CV190" s="14" t="e">
        <f t="shared" si="173"/>
        <v>#NUM!</v>
      </c>
      <c r="CW190" s="22" t="e">
        <f t="shared" si="174"/>
        <v>#NUM!</v>
      </c>
      <c r="CX190" s="62" t="e">
        <f t="shared" si="122"/>
        <v>#NUM!</v>
      </c>
      <c r="CY190" s="62">
        <f ca="1">AVERAGE(OFFSET($CX$3,0,0,'Données projet'!$E$13+1,1))-AVERAGE(OFFSET($H$3,0,0,'Données projet'!$E$13+1,1))</f>
        <v>399.78832690250164</v>
      </c>
      <c r="CZ190" s="62">
        <f t="shared" si="150"/>
        <v>174.32967064896343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>
        <f>EXP(-LN(2)/35)*DF189+(1-EXP(-LN(2)/35))/(LN(2)/35)*DB190*DC190*VLOOKUP('Données projet'!$B$13,Paramètres!$A$1:$I$89,3,0)*0.475*44/12</f>
        <v>0</v>
      </c>
      <c r="DG190" s="23">
        <f>EXP(-LN(2)/25)*DG189+(1-EXP(-LN(2)/25))/(LN(2)/25)*Calculateur!DB190*Calculateur!DD190*VLOOKUP('Données projet'!$B$13,Paramètres!$A$1:$I$89,3,0)*0.475*44/12</f>
        <v>0</v>
      </c>
      <c r="DH190" s="23">
        <f>EXP(-LN(2)/2)*DH189+(1-EXP(-LN(2)/2))/(LN(2)/2)*DB190*DE190*VLOOKUP('Données projet'!$B$13,Paramètres!$A$1:$I$89,3,0)*0.475*44/12</f>
        <v>0</v>
      </c>
      <c r="DI190" s="24">
        <f t="shared" si="175"/>
        <v>0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-9.6633812063373625E-13</v>
      </c>
      <c r="DP190" s="18">
        <f>DO190*VLOOKUP('Données projet'!$B$14,Paramètres!$A$1:$I$89,3,0)*VLOOKUP('Données projet'!$B$14,Paramètres!$A$1:$I$89,5,0)</f>
        <v>-8.1404323282185943E-13</v>
      </c>
      <c r="DQ190" s="14" t="e">
        <f t="shared" si="176"/>
        <v>#NUM!</v>
      </c>
      <c r="DR190" s="22" t="e">
        <f t="shared" si="177"/>
        <v>#NUM!</v>
      </c>
      <c r="DS190" s="62" t="e">
        <f t="shared" si="125"/>
        <v>#NUM!</v>
      </c>
      <c r="DT190" s="62">
        <f ca="1">AVERAGE(OFFSET($DS$3,0,0,'Données projet'!$E$14+1,1))-AVERAGE(OFFSET($H$3,0,0,'Données projet'!$E$14+1,1))</f>
        <v>402.15128814037058</v>
      </c>
      <c r="DU190" s="62">
        <f t="shared" si="152"/>
        <v>232.85411068442738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>
        <f>EXP(-LN(2)/35)*EA189+(1-EXP(-LN(2)/35))/(LN(2)/35)*DW190*DX190*VLOOKUP('Données projet'!$B$14,Paramètres!$A$1:$I$89,3,0)*0.475*44/12</f>
        <v>0</v>
      </c>
      <c r="EB190" s="23">
        <f>EXP(-LN(2)/25)*EB189+(1-EXP(-LN(2)/25))/(LN(2)/25)*Calculateur!DW190*Calculateur!DY190*VLOOKUP('Données projet'!$B$14,Paramètres!$A$1:$I$89,3,0)*0.475*44/12</f>
        <v>0</v>
      </c>
      <c r="EC190" s="23">
        <f>EXP(-LN(2)/2)*EC189+(1-EXP(-LN(2)/2))/(LN(2)/2)*DW190*DZ190*VLOOKUP('Données projet'!$B$14,Paramètres!$A$1:$I$89,3,0)*0.475*44/12</f>
        <v>0</v>
      </c>
      <c r="ED190" s="24">
        <f t="shared" si="178"/>
        <v>0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6.2527760746888816E-13</v>
      </c>
      <c r="EK190" s="18">
        <f>EJ190*VLOOKUP('Données projet'!$B$15,Paramètres!$A$1:$I$89,3,0)*VLOOKUP('Données projet'!$B$15,Paramètres!$A$1:$I$89,5,0)</f>
        <v>6.5354015532648198E-13</v>
      </c>
      <c r="EL190" s="14">
        <f t="shared" si="179"/>
        <v>7.8909019831354483E-12</v>
      </c>
      <c r="EM190" s="22">
        <f t="shared" si="180"/>
        <v>1.4881570057821194E-11</v>
      </c>
      <c r="EN190" s="62">
        <f t="shared" si="128"/>
        <v>293.33333333334821</v>
      </c>
      <c r="EO190" s="62">
        <f ca="1">AVERAGE(OFFSET($EN$3,0,0,'Données projet'!$E$15+1,1))-AVERAGE(OFFSET($H$3,0,0,'Données projet'!$E$15+1,1))</f>
        <v>595.89992279024398</v>
      </c>
      <c r="EP190" s="62">
        <f t="shared" si="154"/>
        <v>378.16197659288338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>
        <f>EXP(-LN(2)/35)*EV189+(1-EXP(-LN(2)/35))/(LN(2)/35)*ER190*ES190*VLOOKUP('Données projet'!$B$15,Paramètres!$A$1:$I$89,3,0)*0.475*44/12</f>
        <v>0</v>
      </c>
      <c r="EW190" s="23">
        <f>EXP(-LN(2)/25)*EW189+(1-EXP(-LN(2)/25))/(LN(2)/25)*Calculateur!ER190*Calculateur!ET190*VLOOKUP('Données projet'!$B$15,Paramètres!$A$1:$I$89,3,0)*0.475*44/12</f>
        <v>0</v>
      </c>
      <c r="EX190" s="23">
        <f>EXP(-LN(2)/2)*EX189+(1-EXP(-LN(2)/2))/(LN(2)/2)*ER190*EU190*VLOOKUP('Données projet'!$B$15,Paramètres!$A$1:$I$89,3,0)*0.475*44/12</f>
        <v>0</v>
      </c>
      <c r="EY190" s="24">
        <f t="shared" si="181"/>
        <v>0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-2.2737367544323206E-13</v>
      </c>
      <c r="FF190" s="18">
        <f>FE190*VLOOKUP('Données projet'!$B$16,Paramètres!$A$1:$I$89,3,0)*VLOOKUP('Données projet'!$B$16,Paramètres!$A$1:$I$89,5,0)</f>
        <v>-1.3596945791505279E-13</v>
      </c>
      <c r="FG190" s="14" t="e">
        <f t="shared" si="182"/>
        <v>#NUM!</v>
      </c>
      <c r="FH190" s="22" t="e">
        <f t="shared" si="183"/>
        <v>#NUM!</v>
      </c>
      <c r="FI190" s="62" t="e">
        <f t="shared" si="131"/>
        <v>#NUM!</v>
      </c>
      <c r="FJ190" s="62">
        <f ca="1">AVERAGE(OFFSET($FI$3,0,0,'Données projet'!$E$16+1,1))-AVERAGE(OFFSET($H$3,0,0,'Données projet'!$E$16+1,1))</f>
        <v>257.56116197646924</v>
      </c>
      <c r="FK190" s="62">
        <f t="shared" si="156"/>
        <v>269.95556918835888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>
        <f>EXP(-LN(2)/35)*FQ189+(1-EXP(-LN(2)/35))/(LN(2)/35)*FM190*FN190*VLOOKUP('Données projet'!$B$16,Paramètres!$A$1:$I$89,3,0)*0.475*44/12</f>
        <v>0.65082753707999397</v>
      </c>
      <c r="FR190" s="23">
        <f>EXP(-LN(2)/25)*FR189+(1-EXP(-LN(2)/25))/(LN(2)/25)*Calculateur!FM190*Calculateur!FO190*VLOOKUP('Données projet'!$B$16,Paramètres!$A$1:$I$89,3,0)*0.475*44/12</f>
        <v>0.20773890549348434</v>
      </c>
      <c r="FS190" s="23">
        <f>EXP(-LN(2)/2)*FS189+(1-EXP(-LN(2)/2))/(LN(2)/2)*FM190*FP190*VLOOKUP('Données projet'!$B$16,Paramètres!$A$1:$I$89,3,0)*0.475*44/12</f>
        <v>2.0013305353812608E-23</v>
      </c>
      <c r="FT190" s="24">
        <f t="shared" si="184"/>
        <v>0.85856644257347825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-2.8421709430404007E-13</v>
      </c>
      <c r="GA190" s="18">
        <f>FZ190*VLOOKUP('Données projet'!$B$17,Paramètres!$A$1:$I$89,3,0)*VLOOKUP('Données projet'!$B$17,Paramètres!$A$1:$I$89,5,0)</f>
        <v>-1.69961822393816E-13</v>
      </c>
      <c r="GB190" s="14" t="e">
        <f t="shared" si="185"/>
        <v>#NUM!</v>
      </c>
      <c r="GC190" s="22" t="e">
        <f t="shared" si="186"/>
        <v>#NUM!</v>
      </c>
      <c r="GD190" s="62" t="e">
        <f t="shared" si="134"/>
        <v>#NUM!</v>
      </c>
      <c r="GE190" s="62">
        <f ca="1">AVERAGE(OFFSET($GD$3,0,0,'Données projet'!$E$17+1,1))-AVERAGE(OFFSET($H$3,0,0,'Données projet'!$E$17+1,1))</f>
        <v>289.12367833861299</v>
      </c>
      <c r="GF190" s="62">
        <f t="shared" si="158"/>
        <v>229.06617320689003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>
        <f>EXP(-LN(2)/35)*GL189+(1-EXP(-LN(2)/35))/(LN(2)/35)*GH190*GI190*VLOOKUP('Données projet'!$B$17,Paramètres!$A$1:$I$89,3,0)*0.475*44/12</f>
        <v>0</v>
      </c>
      <c r="GM190" s="23">
        <f>EXP(-LN(2)/25)*GM189+(1-EXP(-LN(2)/25))/(LN(2)/25)*Calculateur!GH190*Calculateur!GJ190*VLOOKUP('Données projet'!$B$17,Paramètres!$A$1:$I$89,3,0)*0.475*44/12</f>
        <v>0</v>
      </c>
      <c r="GN190" s="23">
        <f>EXP(-LN(2)/2)*GN189+(1-EXP(-LN(2)/2))/(LN(2)/2)*GH190*GK190*VLOOKUP('Données projet'!$B$17,Paramètres!$A$1:$I$89,3,0)*0.475*44/12</f>
        <v>9.7020186236695979E-24</v>
      </c>
      <c r="GO190" s="23">
        <f t="shared" si="187"/>
        <v>9.7020186236695979E-24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-5.6843418860808015E-14</v>
      </c>
      <c r="GV190" s="18">
        <f>GU190*VLOOKUP('Données projet'!$B$18,Paramètres!$A$1:$I$89,3,0)*VLOOKUP('Données projet'!$B$18,Paramètres!$A$1:$I$89,5,0)</f>
        <v>-2.6602720026858149E-14</v>
      </c>
      <c r="GW190" s="14" t="e">
        <f t="shared" si="188"/>
        <v>#NUM!</v>
      </c>
      <c r="GX190" s="22" t="e">
        <f t="shared" si="189"/>
        <v>#NUM!</v>
      </c>
      <c r="GY190" s="62" t="e">
        <f t="shared" si="137"/>
        <v>#NUM!</v>
      </c>
      <c r="GZ190" s="62">
        <f ca="1">AVERAGE(OFFSET($GY$3,0,0,'Données projet'!$E$18+1,1))-AVERAGE(OFFSET($H$3,0,0,'Données projet'!$E$18+1,1))</f>
        <v>284.88646502866419</v>
      </c>
      <c r="HA190" s="62">
        <f t="shared" si="160"/>
        <v>190.4880882944471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>
        <f>EXP(-LN(2)/35)*HG189+(1-EXP(-LN(2)/35))/(LN(2)/35)*HC190*HD190*VLOOKUP('Données projet'!$B$18,Paramètres!$A$1:$I$89,3,0)*0.475*44/12</f>
        <v>0</v>
      </c>
      <c r="HH190" s="23">
        <f>EXP(-LN(2)/25)*HH189+(1-EXP(-LN(2)/25))/(LN(2)/25)*Calculateur!HC190*Calculateur!HE190*VLOOKUP('Données projet'!$B$18,Paramètres!$A$1:$I$89,3,0)*0.475*44/12</f>
        <v>0</v>
      </c>
      <c r="HI190" s="23">
        <f>EXP(-LN(2)/2)*HI189+(1-EXP(-LN(2)/2))/(LN(2)/2)*HC190*HF190*VLOOKUP('Données projet'!$B$18,Paramètres!$A$1:$I$89,3,0)*0.475*44/12</f>
        <v>0</v>
      </c>
      <c r="HJ190" s="24">
        <f t="shared" si="190"/>
        <v>0</v>
      </c>
    </row>
    <row r="191" spans="1:218" x14ac:dyDescent="0.25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2">
        <f t="shared" si="140"/>
        <v>0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0</v>
      </c>
      <c r="H191" s="70">
        <f t="shared" si="110"/>
        <v>256.66666666666669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-1.1368683772161603E-13</v>
      </c>
      <c r="O191" s="14">
        <f>N191*VLOOKUP('Données projet'!$B$9,Paramètres!$A$1:$I$89,3,0)*VLOOKUP('Données projet'!$B$9,Paramètres!$A$1:$I$89,5,0)</f>
        <v>-1.0818439477588981E-13</v>
      </c>
      <c r="P191" s="14" t="e">
        <f t="shared" si="141"/>
        <v>#NUM!</v>
      </c>
      <c r="Q191" s="22" t="e">
        <f t="shared" si="162"/>
        <v>#NUM!</v>
      </c>
      <c r="R191" s="62" t="e">
        <f t="shared" si="109"/>
        <v>#NUM!</v>
      </c>
      <c r="S191" s="62">
        <f ca="1">AVERAGE(OFFSET($R$3,0,0,'Données projet'!$E$9+1,1))-AVERAGE(OFFSET($H$3,0,0,'Données projet'!$E$9+1,1))</f>
        <v>367.11183928586667</v>
      </c>
      <c r="T191" s="62">
        <f t="shared" si="142"/>
        <v>281.52963027844595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0</v>
      </c>
      <c r="AA191" s="23">
        <f>EXP(-LN(2)/25)*AA190+(1-EXP(-LN(2)/25))/(LN(2)/25)*Calculateur!V191*Calculateur!X191*VLOOKUP('Données projet'!$B$9,Paramètres!$A$1:$I$89,3,0)*0.475*44/12</f>
        <v>0</v>
      </c>
      <c r="AB191" s="23">
        <f>EXP(-LN(2)/2)*AB190+(1-EXP(-LN(2)/2))/(LN(2)/2)*V191*Y191*VLOOKUP('Données projet'!$B$9,Paramètres!$A$1:$I$89,3,0)*0.475*44/12</f>
        <v>0</v>
      </c>
      <c r="AC191" s="24">
        <f t="shared" si="163"/>
        <v>0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-9.6633812063373625E-13</v>
      </c>
      <c r="AJ191" s="14">
        <f>AI191*VLOOKUP('Données projet'!$B$10,Paramètres!$A$1:$I$89,3,0)*VLOOKUP('Données projet'!$B$10,Paramètres!$A$1:$I$89,5,0)</f>
        <v>-8.7434273154940449E-13</v>
      </c>
      <c r="AK191" s="14" t="e">
        <f t="shared" si="164"/>
        <v>#NUM!</v>
      </c>
      <c r="AL191" s="22" t="e">
        <f t="shared" si="165"/>
        <v>#NUM!</v>
      </c>
      <c r="AM191" s="62" t="e">
        <f t="shared" si="113"/>
        <v>#NUM!</v>
      </c>
      <c r="AN191" s="62">
        <f ca="1">AVERAGE(OFFSET($AM$3,0,0,'Données projet'!$E$10+1,1))-AVERAGE(OFFSET($H$3,0,0,'Données projet'!$E$10+1,1))</f>
        <v>428.8489304403459</v>
      </c>
      <c r="AO191" s="62">
        <f t="shared" si="144"/>
        <v>247.01165577562966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0</v>
      </c>
      <c r="AV191" s="23">
        <f>EXP(-LN(2)/25)*AV190+(1-EXP(-LN(2)/25))/(LN(2)/25)*Calculateur!AQ191*Calculateur!AS191*VLOOKUP('Données projet'!$B$10,Paramètres!$A$1:$I$89,3,0)*0.475*44/12</f>
        <v>0</v>
      </c>
      <c r="AW191" s="23">
        <f>EXP(-LN(2)/2)*AW190+(1-EXP(-LN(2)/2))/(LN(2)/2)*AQ191*AT191*VLOOKUP('Données projet'!$B$10,Paramètres!$A$1:$I$89,3,0)*0.475*44/12</f>
        <v>0</v>
      </c>
      <c r="AX191" s="23">
        <f t="shared" si="166"/>
        <v>0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-9.6633812063373625E-13</v>
      </c>
      <c r="BE191" s="14">
        <f>BD191*VLOOKUP('Données projet'!$B$11,Paramètres!$A$1:$I$89,3,0)*VLOOKUP('Données projet'!$B$11,Paramètres!$A$1:$I$89,5,0)</f>
        <v>-9.7986685432260874E-13</v>
      </c>
      <c r="BF191" s="14" t="e">
        <f t="shared" si="167"/>
        <v>#NUM!</v>
      </c>
      <c r="BG191" s="22" t="e">
        <f t="shared" si="168"/>
        <v>#NUM!</v>
      </c>
      <c r="BH191" s="62" t="e">
        <f t="shared" si="116"/>
        <v>#NUM!</v>
      </c>
      <c r="BI191" s="62">
        <f ca="1">AVERAGE(OFFSET($BH$3,0,0,'Données projet'!$E$11+1,1))-AVERAGE(OFFSET($H$3,0,0,'Données projet'!$E$11+1,1))</f>
        <v>475.47920969424894</v>
      </c>
      <c r="BJ191" s="62">
        <f t="shared" si="146"/>
        <v>271.73544012419364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>
        <f>EXP(-LN(2)/35)*BP190+(1-EXP(-LN(2)/35))/(LN(2)/35)*BL191*BM191*VLOOKUP('Données projet'!$B$11,Paramètres!$A$1:$I$89,3,0)*0.475*44/12</f>
        <v>0</v>
      </c>
      <c r="BQ191" s="23">
        <f>EXP(-LN(2)/25)*BQ190+(1-EXP(-LN(2)/25))/(LN(2)/25)*Calculateur!BL191*Calculateur!BN191*VLOOKUP('Données projet'!$B$11,Paramètres!$A$1:$I$89,3,0)*0.475*44/12</f>
        <v>0</v>
      </c>
      <c r="BR191" s="23">
        <f>EXP(-LN(2)/2)*BR190+(1-EXP(-LN(2)/2))/(LN(2)/2)*BL191*BO191*VLOOKUP('Données projet'!$B$11,Paramètres!$A$1:$I$89,3,0)*0.475*44/12</f>
        <v>0</v>
      </c>
      <c r="BS191" s="24">
        <f t="shared" si="169"/>
        <v>0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2.2737367544323206E-13</v>
      </c>
      <c r="BZ191" s="14">
        <f>BY191*VLOOKUP('Données projet'!$B$12,Paramètres!$A$1:$I$89,3,0)*VLOOKUP('Données projet'!$B$12,Paramètres!$A$1:$I$89,5,0)</f>
        <v>1.2710188457276673E-13</v>
      </c>
      <c r="CA191" s="14">
        <f t="shared" si="170"/>
        <v>1.856866851063998E-12</v>
      </c>
      <c r="CB191" s="22">
        <f t="shared" si="171"/>
        <v>3.4554122145673649E-12</v>
      </c>
      <c r="CC191" s="62">
        <f t="shared" si="119"/>
        <v>293.33333333333678</v>
      </c>
      <c r="CD191" s="62">
        <f ca="1">AVERAGE(OFFSET($CC$3,0,0,'Données projet'!$E$12+1,1))-AVERAGE(OFFSET($H$3,0,0,'Données projet'!$E$12+1,1))</f>
        <v>323.98185264074681</v>
      </c>
      <c r="CE191" s="62">
        <f t="shared" si="148"/>
        <v>301.22207291854005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>
        <f>EXP(-LN(2)/35)*CK190+(1-EXP(-LN(2)/35))/(LN(2)/35)*CG191*CH191*VLOOKUP('Données projet'!$B$12,Paramètres!$A$1:$I$89,3,0)*0.475*44/12</f>
        <v>0.19526544768210444</v>
      </c>
      <c r="CL191" s="23">
        <f>EXP(-LN(2)/25)*CL190+(1-EXP(-LN(2)/25))/(LN(2)/25)*Calculateur!CG191*Calculateur!CI191*VLOOKUP('Données projet'!$B$12,Paramètres!$A$1:$I$89,3,0)*0.475*44/12</f>
        <v>0.10322911428009836</v>
      </c>
      <c r="CM191" s="23">
        <f>EXP(-LN(2)/2)*CM190+(1-EXP(-LN(2)/2))/(LN(2)/2)*CG191*CJ191*VLOOKUP('Données projet'!$B$12,Paramètres!$A$1:$I$89,3,0)*0.475*44/12</f>
        <v>1.0071432143882308E-23</v>
      </c>
      <c r="CN191" s="24">
        <f t="shared" si="172"/>
        <v>0.29849456196220281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>
        <f>CT191*VLOOKUP('Données projet'!$B$13,Paramètres!$A$1:$I$89,3,0)*VLOOKUP('Données projet'!$B$13,Paramètres!$A$1:$I$89,5,0)</f>
        <v>0</v>
      </c>
      <c r="CV191" s="14" t="e">
        <f t="shared" si="173"/>
        <v>#NUM!</v>
      </c>
      <c r="CW191" s="22" t="e">
        <f t="shared" si="174"/>
        <v>#NUM!</v>
      </c>
      <c r="CX191" s="62" t="e">
        <f t="shared" si="122"/>
        <v>#NUM!</v>
      </c>
      <c r="CY191" s="62">
        <f ca="1">AVERAGE(OFFSET($CX$3,0,0,'Données projet'!$E$13+1,1))-AVERAGE(OFFSET($H$3,0,0,'Données projet'!$E$13+1,1))</f>
        <v>399.78832690250164</v>
      </c>
      <c r="CZ191" s="62">
        <f t="shared" si="150"/>
        <v>174.32967064896343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>
        <f>EXP(-LN(2)/35)*DF190+(1-EXP(-LN(2)/35))/(LN(2)/35)*DB191*DC191*VLOOKUP('Données projet'!$B$13,Paramètres!$A$1:$I$89,3,0)*0.475*44/12</f>
        <v>0</v>
      </c>
      <c r="DG191" s="23">
        <f>EXP(-LN(2)/25)*DG190+(1-EXP(-LN(2)/25))/(LN(2)/25)*Calculateur!DB191*Calculateur!DD191*VLOOKUP('Données projet'!$B$13,Paramètres!$A$1:$I$89,3,0)*0.475*44/12</f>
        <v>0</v>
      </c>
      <c r="DH191" s="23">
        <f>EXP(-LN(2)/2)*DH190+(1-EXP(-LN(2)/2))/(LN(2)/2)*DB191*DE191*VLOOKUP('Données projet'!$B$13,Paramètres!$A$1:$I$89,3,0)*0.475*44/12</f>
        <v>0</v>
      </c>
      <c r="DI191" s="24">
        <f t="shared" si="175"/>
        <v>0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-9.6633812063373625E-13</v>
      </c>
      <c r="DP191" s="18">
        <f>DO191*VLOOKUP('Données projet'!$B$14,Paramètres!$A$1:$I$89,3,0)*VLOOKUP('Données projet'!$B$14,Paramètres!$A$1:$I$89,5,0)</f>
        <v>-8.1404323282185943E-13</v>
      </c>
      <c r="DQ191" s="14" t="e">
        <f t="shared" si="176"/>
        <v>#NUM!</v>
      </c>
      <c r="DR191" s="22" t="e">
        <f t="shared" si="177"/>
        <v>#NUM!</v>
      </c>
      <c r="DS191" s="62" t="e">
        <f t="shared" si="125"/>
        <v>#NUM!</v>
      </c>
      <c r="DT191" s="62">
        <f ca="1">AVERAGE(OFFSET($DS$3,0,0,'Données projet'!$E$14+1,1))-AVERAGE(OFFSET($H$3,0,0,'Données projet'!$E$14+1,1))</f>
        <v>402.15128814037058</v>
      </c>
      <c r="DU191" s="62">
        <f t="shared" si="152"/>
        <v>232.85411068442738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>
        <f>EXP(-LN(2)/35)*EA190+(1-EXP(-LN(2)/35))/(LN(2)/35)*DW191*DX191*VLOOKUP('Données projet'!$B$14,Paramètres!$A$1:$I$89,3,0)*0.475*44/12</f>
        <v>0</v>
      </c>
      <c r="EB191" s="23">
        <f>EXP(-LN(2)/25)*EB190+(1-EXP(-LN(2)/25))/(LN(2)/25)*Calculateur!DW191*Calculateur!DY191*VLOOKUP('Données projet'!$B$14,Paramètres!$A$1:$I$89,3,0)*0.475*44/12</f>
        <v>0</v>
      </c>
      <c r="EC191" s="23">
        <f>EXP(-LN(2)/2)*EC190+(1-EXP(-LN(2)/2))/(LN(2)/2)*DW191*DZ191*VLOOKUP('Données projet'!$B$14,Paramètres!$A$1:$I$89,3,0)*0.475*44/12</f>
        <v>0</v>
      </c>
      <c r="ED191" s="24">
        <f t="shared" si="178"/>
        <v>0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6.2527760746888816E-13</v>
      </c>
      <c r="EK191" s="18">
        <f>EJ191*VLOOKUP('Données projet'!$B$15,Paramètres!$A$1:$I$89,3,0)*VLOOKUP('Données projet'!$B$15,Paramètres!$A$1:$I$89,5,0)</f>
        <v>6.5354015532648198E-13</v>
      </c>
      <c r="EL191" s="14">
        <f t="shared" si="179"/>
        <v>7.8909019831354483E-12</v>
      </c>
      <c r="EM191" s="22">
        <f t="shared" si="180"/>
        <v>1.4881570057821194E-11</v>
      </c>
      <c r="EN191" s="62">
        <f t="shared" si="128"/>
        <v>293.33333333334821</v>
      </c>
      <c r="EO191" s="62">
        <f ca="1">AVERAGE(OFFSET($EN$3,0,0,'Données projet'!$E$15+1,1))-AVERAGE(OFFSET($H$3,0,0,'Données projet'!$E$15+1,1))</f>
        <v>595.89992279024398</v>
      </c>
      <c r="EP191" s="62">
        <f t="shared" si="154"/>
        <v>378.16197659288338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>
        <f>EXP(-LN(2)/35)*EV190+(1-EXP(-LN(2)/35))/(LN(2)/35)*ER191*ES191*VLOOKUP('Données projet'!$B$15,Paramètres!$A$1:$I$89,3,0)*0.475*44/12</f>
        <v>0</v>
      </c>
      <c r="EW191" s="23">
        <f>EXP(-LN(2)/25)*EW190+(1-EXP(-LN(2)/25))/(LN(2)/25)*Calculateur!ER191*Calculateur!ET191*VLOOKUP('Données projet'!$B$15,Paramètres!$A$1:$I$89,3,0)*0.475*44/12</f>
        <v>0</v>
      </c>
      <c r="EX191" s="23">
        <f>EXP(-LN(2)/2)*EX190+(1-EXP(-LN(2)/2))/(LN(2)/2)*ER191*EU191*VLOOKUP('Données projet'!$B$15,Paramètres!$A$1:$I$89,3,0)*0.475*44/12</f>
        <v>0</v>
      </c>
      <c r="EY191" s="24">
        <f t="shared" si="181"/>
        <v>0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-2.2737367544323206E-13</v>
      </c>
      <c r="FF191" s="18">
        <f>FE191*VLOOKUP('Données projet'!$B$16,Paramètres!$A$1:$I$89,3,0)*VLOOKUP('Données projet'!$B$16,Paramètres!$A$1:$I$89,5,0)</f>
        <v>-1.3596945791505279E-13</v>
      </c>
      <c r="FG191" s="14" t="e">
        <f t="shared" si="182"/>
        <v>#NUM!</v>
      </c>
      <c r="FH191" s="22" t="e">
        <f t="shared" si="183"/>
        <v>#NUM!</v>
      </c>
      <c r="FI191" s="62" t="e">
        <f t="shared" si="131"/>
        <v>#NUM!</v>
      </c>
      <c r="FJ191" s="62">
        <f ca="1">AVERAGE(OFFSET($FI$3,0,0,'Données projet'!$E$16+1,1))-AVERAGE(OFFSET($H$3,0,0,'Données projet'!$E$16+1,1))</f>
        <v>257.56116197646924</v>
      </c>
      <c r="FK191" s="62">
        <f t="shared" si="156"/>
        <v>269.95556918835888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>
        <f>EXP(-LN(2)/35)*FQ190+(1-EXP(-LN(2)/35))/(LN(2)/35)*FM191*FN191*VLOOKUP('Données projet'!$B$16,Paramètres!$A$1:$I$89,3,0)*0.475*44/12</f>
        <v>0.63806520604345585</v>
      </c>
      <c r="FR191" s="23">
        <f>EXP(-LN(2)/25)*FR190+(1-EXP(-LN(2)/25))/(LN(2)/25)*Calculateur!FM191*Calculateur!FO191*VLOOKUP('Données projet'!$B$16,Paramètres!$A$1:$I$89,3,0)*0.475*44/12</f>
        <v>0.20205827419825076</v>
      </c>
      <c r="FS191" s="23">
        <f>EXP(-LN(2)/2)*FS190+(1-EXP(-LN(2)/2))/(LN(2)/2)*FM191*FP191*VLOOKUP('Données projet'!$B$16,Paramètres!$A$1:$I$89,3,0)*0.475*44/12</f>
        <v>1.4151543929637932E-23</v>
      </c>
      <c r="FT191" s="24">
        <f t="shared" si="184"/>
        <v>0.84012348024170658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-2.8421709430404007E-13</v>
      </c>
      <c r="GA191" s="18">
        <f>FZ191*VLOOKUP('Données projet'!$B$17,Paramètres!$A$1:$I$89,3,0)*VLOOKUP('Données projet'!$B$17,Paramètres!$A$1:$I$89,5,0)</f>
        <v>-1.69961822393816E-13</v>
      </c>
      <c r="GB191" s="14" t="e">
        <f t="shared" si="185"/>
        <v>#NUM!</v>
      </c>
      <c r="GC191" s="22" t="e">
        <f t="shared" si="186"/>
        <v>#NUM!</v>
      </c>
      <c r="GD191" s="62" t="e">
        <f t="shared" si="134"/>
        <v>#NUM!</v>
      </c>
      <c r="GE191" s="62">
        <f ca="1">AVERAGE(OFFSET($GD$3,0,0,'Données projet'!$E$17+1,1))-AVERAGE(OFFSET($H$3,0,0,'Données projet'!$E$17+1,1))</f>
        <v>289.12367833861299</v>
      </c>
      <c r="GF191" s="62">
        <f t="shared" si="158"/>
        <v>229.06617320689003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>
        <f>EXP(-LN(2)/35)*GL190+(1-EXP(-LN(2)/35))/(LN(2)/35)*GH191*GI191*VLOOKUP('Données projet'!$B$17,Paramètres!$A$1:$I$89,3,0)*0.475*44/12</f>
        <v>0</v>
      </c>
      <c r="GM191" s="23">
        <f>EXP(-LN(2)/25)*GM190+(1-EXP(-LN(2)/25))/(LN(2)/25)*Calculateur!GH191*Calculateur!GJ191*VLOOKUP('Données projet'!$B$17,Paramètres!$A$1:$I$89,3,0)*0.475*44/12</f>
        <v>0</v>
      </c>
      <c r="GN191" s="23">
        <f>EXP(-LN(2)/2)*GN190+(1-EXP(-LN(2)/2))/(LN(2)/2)*GH191*GK191*VLOOKUP('Données projet'!$B$17,Paramètres!$A$1:$I$89,3,0)*0.475*44/12</f>
        <v>6.8603631599949472E-24</v>
      </c>
      <c r="GO191" s="23">
        <f t="shared" si="187"/>
        <v>6.8603631599949472E-24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-5.6843418860808015E-14</v>
      </c>
      <c r="GV191" s="18">
        <f>GU191*VLOOKUP('Données projet'!$B$18,Paramètres!$A$1:$I$89,3,0)*VLOOKUP('Données projet'!$B$18,Paramètres!$A$1:$I$89,5,0)</f>
        <v>-2.6602720026858149E-14</v>
      </c>
      <c r="GW191" s="14" t="e">
        <f t="shared" si="188"/>
        <v>#NUM!</v>
      </c>
      <c r="GX191" s="22" t="e">
        <f t="shared" si="189"/>
        <v>#NUM!</v>
      </c>
      <c r="GY191" s="62" t="e">
        <f t="shared" si="137"/>
        <v>#NUM!</v>
      </c>
      <c r="GZ191" s="62">
        <f ca="1">AVERAGE(OFFSET($GY$3,0,0,'Données projet'!$E$18+1,1))-AVERAGE(OFFSET($H$3,0,0,'Données projet'!$E$18+1,1))</f>
        <v>284.88646502866419</v>
      </c>
      <c r="HA191" s="62">
        <f t="shared" si="160"/>
        <v>190.4880882944471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>
        <f>EXP(-LN(2)/35)*HG190+(1-EXP(-LN(2)/35))/(LN(2)/35)*HC191*HD191*VLOOKUP('Données projet'!$B$18,Paramètres!$A$1:$I$89,3,0)*0.475*44/12</f>
        <v>0</v>
      </c>
      <c r="HH191" s="23">
        <f>EXP(-LN(2)/25)*HH190+(1-EXP(-LN(2)/25))/(LN(2)/25)*Calculateur!HC191*Calculateur!HE191*VLOOKUP('Données projet'!$B$18,Paramètres!$A$1:$I$89,3,0)*0.475*44/12</f>
        <v>0</v>
      </c>
      <c r="HI191" s="23">
        <f>EXP(-LN(2)/2)*HI190+(1-EXP(-LN(2)/2))/(LN(2)/2)*HC191*HF191*VLOOKUP('Données projet'!$B$18,Paramètres!$A$1:$I$89,3,0)*0.475*44/12</f>
        <v>0</v>
      </c>
      <c r="HJ191" s="24">
        <f t="shared" si="190"/>
        <v>0</v>
      </c>
    </row>
    <row r="192" spans="1:218" x14ac:dyDescent="0.25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2">
        <f t="shared" si="140"/>
        <v>0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0</v>
      </c>
      <c r="H192" s="70">
        <f t="shared" si="110"/>
        <v>256.66666666666669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-1.1368683772161603E-13</v>
      </c>
      <c r="O192" s="14">
        <f>N192*VLOOKUP('Données projet'!$B$9,Paramètres!$A$1:$I$89,3,0)*VLOOKUP('Données projet'!$B$9,Paramètres!$A$1:$I$89,5,0)</f>
        <v>-1.0818439477588981E-13</v>
      </c>
      <c r="P192" s="14" t="e">
        <f t="shared" si="141"/>
        <v>#NUM!</v>
      </c>
      <c r="Q192" s="22" t="e">
        <f t="shared" si="162"/>
        <v>#NUM!</v>
      </c>
      <c r="R192" s="62" t="e">
        <f t="shared" si="109"/>
        <v>#NUM!</v>
      </c>
      <c r="S192" s="62">
        <f ca="1">AVERAGE(OFFSET($R$3,0,0,'Données projet'!$E$9+1,1))-AVERAGE(OFFSET($H$3,0,0,'Données projet'!$E$9+1,1))</f>
        <v>367.11183928586667</v>
      </c>
      <c r="T192" s="62">
        <f t="shared" si="142"/>
        <v>281.52963027844595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0</v>
      </c>
      <c r="AA192" s="23">
        <f>EXP(-LN(2)/25)*AA191+(1-EXP(-LN(2)/25))/(LN(2)/25)*Calculateur!V192*Calculateur!X192*VLOOKUP('Données projet'!$B$9,Paramètres!$A$1:$I$89,3,0)*0.475*44/12</f>
        <v>0</v>
      </c>
      <c r="AB192" s="23">
        <f>EXP(-LN(2)/2)*AB191+(1-EXP(-LN(2)/2))/(LN(2)/2)*V192*Y192*VLOOKUP('Données projet'!$B$9,Paramètres!$A$1:$I$89,3,0)*0.475*44/12</f>
        <v>0</v>
      </c>
      <c r="AC192" s="24">
        <f t="shared" si="163"/>
        <v>0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-9.6633812063373625E-13</v>
      </c>
      <c r="AJ192" s="14">
        <f>AI192*VLOOKUP('Données projet'!$B$10,Paramètres!$A$1:$I$89,3,0)*VLOOKUP('Données projet'!$B$10,Paramètres!$A$1:$I$89,5,0)</f>
        <v>-8.7434273154940449E-13</v>
      </c>
      <c r="AK192" s="14" t="e">
        <f t="shared" si="164"/>
        <v>#NUM!</v>
      </c>
      <c r="AL192" s="22" t="e">
        <f t="shared" si="165"/>
        <v>#NUM!</v>
      </c>
      <c r="AM192" s="62" t="e">
        <f t="shared" si="113"/>
        <v>#NUM!</v>
      </c>
      <c r="AN192" s="62">
        <f ca="1">AVERAGE(OFFSET($AM$3,0,0,'Données projet'!$E$10+1,1))-AVERAGE(OFFSET($H$3,0,0,'Données projet'!$E$10+1,1))</f>
        <v>428.8489304403459</v>
      </c>
      <c r="AO192" s="62">
        <f t="shared" si="144"/>
        <v>247.01165577562966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0</v>
      </c>
      <c r="AV192" s="23">
        <f>EXP(-LN(2)/25)*AV191+(1-EXP(-LN(2)/25))/(LN(2)/25)*Calculateur!AQ192*Calculateur!AS192*VLOOKUP('Données projet'!$B$10,Paramètres!$A$1:$I$89,3,0)*0.475*44/12</f>
        <v>0</v>
      </c>
      <c r="AW192" s="23">
        <f>EXP(-LN(2)/2)*AW191+(1-EXP(-LN(2)/2))/(LN(2)/2)*AQ192*AT192*VLOOKUP('Données projet'!$B$10,Paramètres!$A$1:$I$89,3,0)*0.475*44/12</f>
        <v>0</v>
      </c>
      <c r="AX192" s="23">
        <f t="shared" si="166"/>
        <v>0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-9.6633812063373625E-13</v>
      </c>
      <c r="BE192" s="14">
        <f>BD192*VLOOKUP('Données projet'!$B$11,Paramètres!$A$1:$I$89,3,0)*VLOOKUP('Données projet'!$B$11,Paramètres!$A$1:$I$89,5,0)</f>
        <v>-9.7986685432260874E-13</v>
      </c>
      <c r="BF192" s="14" t="e">
        <f t="shared" si="167"/>
        <v>#NUM!</v>
      </c>
      <c r="BG192" s="22" t="e">
        <f t="shared" si="168"/>
        <v>#NUM!</v>
      </c>
      <c r="BH192" s="62" t="e">
        <f t="shared" si="116"/>
        <v>#NUM!</v>
      </c>
      <c r="BI192" s="62">
        <f ca="1">AVERAGE(OFFSET($BH$3,0,0,'Données projet'!$E$11+1,1))-AVERAGE(OFFSET($H$3,0,0,'Données projet'!$E$11+1,1))</f>
        <v>475.47920969424894</v>
      </c>
      <c r="BJ192" s="62">
        <f t="shared" si="146"/>
        <v>271.73544012419364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>
        <f>EXP(-LN(2)/35)*BP191+(1-EXP(-LN(2)/35))/(LN(2)/35)*BL192*BM192*VLOOKUP('Données projet'!$B$11,Paramètres!$A$1:$I$89,3,0)*0.475*44/12</f>
        <v>0</v>
      </c>
      <c r="BQ192" s="23">
        <f>EXP(-LN(2)/25)*BQ191+(1-EXP(-LN(2)/25))/(LN(2)/25)*Calculateur!BL192*Calculateur!BN192*VLOOKUP('Données projet'!$B$11,Paramètres!$A$1:$I$89,3,0)*0.475*44/12</f>
        <v>0</v>
      </c>
      <c r="BR192" s="23">
        <f>EXP(-LN(2)/2)*BR191+(1-EXP(-LN(2)/2))/(LN(2)/2)*BL192*BO192*VLOOKUP('Données projet'!$B$11,Paramètres!$A$1:$I$89,3,0)*0.475*44/12</f>
        <v>0</v>
      </c>
      <c r="BS192" s="24">
        <f t="shared" si="169"/>
        <v>0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2.2737367544323206E-13</v>
      </c>
      <c r="BZ192" s="14">
        <f>BY192*VLOOKUP('Données projet'!$B$12,Paramètres!$A$1:$I$89,3,0)*VLOOKUP('Données projet'!$B$12,Paramètres!$A$1:$I$89,5,0)</f>
        <v>1.2710188457276673E-13</v>
      </c>
      <c r="CA192" s="14">
        <f t="shared" si="170"/>
        <v>1.856866851063998E-12</v>
      </c>
      <c r="CB192" s="22">
        <f t="shared" si="171"/>
        <v>3.4554122145673649E-12</v>
      </c>
      <c r="CC192" s="62">
        <f t="shared" si="119"/>
        <v>293.33333333333678</v>
      </c>
      <c r="CD192" s="62">
        <f ca="1">AVERAGE(OFFSET($CC$3,0,0,'Données projet'!$E$12+1,1))-AVERAGE(OFFSET($H$3,0,0,'Données projet'!$E$12+1,1))</f>
        <v>323.98185264074681</v>
      </c>
      <c r="CE192" s="62">
        <f t="shared" si="148"/>
        <v>301.22207291854005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>
        <f>EXP(-LN(2)/35)*CK191+(1-EXP(-LN(2)/35))/(LN(2)/35)*CG192*CH192*VLOOKUP('Données projet'!$B$12,Paramètres!$A$1:$I$89,3,0)*0.475*44/12</f>
        <v>0.19143641135322129</v>
      </c>
      <c r="CL192" s="23">
        <f>EXP(-LN(2)/25)*CL191+(1-EXP(-LN(2)/25))/(LN(2)/25)*Calculateur!CG192*Calculateur!CI192*VLOOKUP('Données projet'!$B$12,Paramètres!$A$1:$I$89,3,0)*0.475*44/12</f>
        <v>0.10040630872152588</v>
      </c>
      <c r="CM192" s="23">
        <f>EXP(-LN(2)/2)*CM191+(1-EXP(-LN(2)/2))/(LN(2)/2)*CG192*CJ192*VLOOKUP('Données projet'!$B$12,Paramètres!$A$1:$I$89,3,0)*0.475*44/12</f>
        <v>7.1215779651993484E-24</v>
      </c>
      <c r="CN192" s="24">
        <f t="shared" si="172"/>
        <v>0.29184272007474715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>
        <f>CT192*VLOOKUP('Données projet'!$B$13,Paramètres!$A$1:$I$89,3,0)*VLOOKUP('Données projet'!$B$13,Paramètres!$A$1:$I$89,5,0)</f>
        <v>0</v>
      </c>
      <c r="CV192" s="14" t="e">
        <f t="shared" si="173"/>
        <v>#NUM!</v>
      </c>
      <c r="CW192" s="22" t="e">
        <f t="shared" si="174"/>
        <v>#NUM!</v>
      </c>
      <c r="CX192" s="62" t="e">
        <f t="shared" si="122"/>
        <v>#NUM!</v>
      </c>
      <c r="CY192" s="62">
        <f ca="1">AVERAGE(OFFSET($CX$3,0,0,'Données projet'!$E$13+1,1))-AVERAGE(OFFSET($H$3,0,0,'Données projet'!$E$13+1,1))</f>
        <v>399.78832690250164</v>
      </c>
      <c r="CZ192" s="62">
        <f t="shared" si="150"/>
        <v>174.32967064896343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>
        <f>EXP(-LN(2)/35)*DF191+(1-EXP(-LN(2)/35))/(LN(2)/35)*DB192*DC192*VLOOKUP('Données projet'!$B$13,Paramètres!$A$1:$I$89,3,0)*0.475*44/12</f>
        <v>0</v>
      </c>
      <c r="DG192" s="23">
        <f>EXP(-LN(2)/25)*DG191+(1-EXP(-LN(2)/25))/(LN(2)/25)*Calculateur!DB192*Calculateur!DD192*VLOOKUP('Données projet'!$B$13,Paramètres!$A$1:$I$89,3,0)*0.475*44/12</f>
        <v>0</v>
      </c>
      <c r="DH192" s="23">
        <f>EXP(-LN(2)/2)*DH191+(1-EXP(-LN(2)/2))/(LN(2)/2)*DB192*DE192*VLOOKUP('Données projet'!$B$13,Paramètres!$A$1:$I$89,3,0)*0.475*44/12</f>
        <v>0</v>
      </c>
      <c r="DI192" s="24">
        <f t="shared" si="175"/>
        <v>0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-9.6633812063373625E-13</v>
      </c>
      <c r="DP192" s="18">
        <f>DO192*VLOOKUP('Données projet'!$B$14,Paramètres!$A$1:$I$89,3,0)*VLOOKUP('Données projet'!$B$14,Paramètres!$A$1:$I$89,5,0)</f>
        <v>-8.1404323282185943E-13</v>
      </c>
      <c r="DQ192" s="14" t="e">
        <f t="shared" si="176"/>
        <v>#NUM!</v>
      </c>
      <c r="DR192" s="22" t="e">
        <f t="shared" si="177"/>
        <v>#NUM!</v>
      </c>
      <c r="DS192" s="62" t="e">
        <f t="shared" si="125"/>
        <v>#NUM!</v>
      </c>
      <c r="DT192" s="62">
        <f ca="1">AVERAGE(OFFSET($DS$3,0,0,'Données projet'!$E$14+1,1))-AVERAGE(OFFSET($H$3,0,0,'Données projet'!$E$14+1,1))</f>
        <v>402.15128814037058</v>
      </c>
      <c r="DU192" s="62">
        <f t="shared" si="152"/>
        <v>232.85411068442738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>
        <f>EXP(-LN(2)/35)*EA191+(1-EXP(-LN(2)/35))/(LN(2)/35)*DW192*DX192*VLOOKUP('Données projet'!$B$14,Paramètres!$A$1:$I$89,3,0)*0.475*44/12</f>
        <v>0</v>
      </c>
      <c r="EB192" s="23">
        <f>EXP(-LN(2)/25)*EB191+(1-EXP(-LN(2)/25))/(LN(2)/25)*Calculateur!DW192*Calculateur!DY192*VLOOKUP('Données projet'!$B$14,Paramètres!$A$1:$I$89,3,0)*0.475*44/12</f>
        <v>0</v>
      </c>
      <c r="EC192" s="23">
        <f>EXP(-LN(2)/2)*EC191+(1-EXP(-LN(2)/2))/(LN(2)/2)*DW192*DZ192*VLOOKUP('Données projet'!$B$14,Paramètres!$A$1:$I$89,3,0)*0.475*44/12</f>
        <v>0</v>
      </c>
      <c r="ED192" s="24">
        <f t="shared" si="178"/>
        <v>0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6.2527760746888816E-13</v>
      </c>
      <c r="EK192" s="18">
        <f>EJ192*VLOOKUP('Données projet'!$B$15,Paramètres!$A$1:$I$89,3,0)*VLOOKUP('Données projet'!$B$15,Paramètres!$A$1:$I$89,5,0)</f>
        <v>6.5354015532648198E-13</v>
      </c>
      <c r="EL192" s="14">
        <f t="shared" si="179"/>
        <v>7.8909019831354483E-12</v>
      </c>
      <c r="EM192" s="22">
        <f t="shared" si="180"/>
        <v>1.4881570057821194E-11</v>
      </c>
      <c r="EN192" s="62">
        <f t="shared" si="128"/>
        <v>293.33333333334821</v>
      </c>
      <c r="EO192" s="62">
        <f ca="1">AVERAGE(OFFSET($EN$3,0,0,'Données projet'!$E$15+1,1))-AVERAGE(OFFSET($H$3,0,0,'Données projet'!$E$15+1,1))</f>
        <v>595.89992279024398</v>
      </c>
      <c r="EP192" s="62">
        <f t="shared" si="154"/>
        <v>378.16197659288338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>
        <f>EXP(-LN(2)/35)*EV191+(1-EXP(-LN(2)/35))/(LN(2)/35)*ER192*ES192*VLOOKUP('Données projet'!$B$15,Paramètres!$A$1:$I$89,3,0)*0.475*44/12</f>
        <v>0</v>
      </c>
      <c r="EW192" s="23">
        <f>EXP(-LN(2)/25)*EW191+(1-EXP(-LN(2)/25))/(LN(2)/25)*Calculateur!ER192*Calculateur!ET192*VLOOKUP('Données projet'!$B$15,Paramètres!$A$1:$I$89,3,0)*0.475*44/12</f>
        <v>0</v>
      </c>
      <c r="EX192" s="23">
        <f>EXP(-LN(2)/2)*EX191+(1-EXP(-LN(2)/2))/(LN(2)/2)*ER192*EU192*VLOOKUP('Données projet'!$B$15,Paramètres!$A$1:$I$89,3,0)*0.475*44/12</f>
        <v>0</v>
      </c>
      <c r="EY192" s="24">
        <f t="shared" si="181"/>
        <v>0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-2.2737367544323206E-13</v>
      </c>
      <c r="FF192" s="18">
        <f>FE192*VLOOKUP('Données projet'!$B$16,Paramètres!$A$1:$I$89,3,0)*VLOOKUP('Données projet'!$B$16,Paramètres!$A$1:$I$89,5,0)</f>
        <v>-1.3596945791505279E-13</v>
      </c>
      <c r="FG192" s="14" t="e">
        <f t="shared" si="182"/>
        <v>#NUM!</v>
      </c>
      <c r="FH192" s="22" t="e">
        <f t="shared" si="183"/>
        <v>#NUM!</v>
      </c>
      <c r="FI192" s="62" t="e">
        <f t="shared" si="131"/>
        <v>#NUM!</v>
      </c>
      <c r="FJ192" s="62">
        <f ca="1">AVERAGE(OFFSET($FI$3,0,0,'Données projet'!$E$16+1,1))-AVERAGE(OFFSET($H$3,0,0,'Données projet'!$E$16+1,1))</f>
        <v>257.56116197646924</v>
      </c>
      <c r="FK192" s="62">
        <f t="shared" si="156"/>
        <v>269.95556918835888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>
        <f>EXP(-LN(2)/35)*FQ191+(1-EXP(-LN(2)/35))/(LN(2)/35)*FM192*FN192*VLOOKUP('Données projet'!$B$16,Paramètres!$A$1:$I$89,3,0)*0.475*44/12</f>
        <v>0.6255531365342909</v>
      </c>
      <c r="FR192" s="23">
        <f>EXP(-LN(2)/25)*FR191+(1-EXP(-LN(2)/25))/(LN(2)/25)*Calculateur!FM192*Calculateur!FO192*VLOOKUP('Données projet'!$B$16,Paramètres!$A$1:$I$89,3,0)*0.475*44/12</f>
        <v>0.19653298006451675</v>
      </c>
      <c r="FS192" s="23">
        <f>EXP(-LN(2)/2)*FS191+(1-EXP(-LN(2)/2))/(LN(2)/2)*FM192*FP192*VLOOKUP('Données projet'!$B$16,Paramètres!$A$1:$I$89,3,0)*0.475*44/12</f>
        <v>1.0006652676906304E-23</v>
      </c>
      <c r="FT192" s="24">
        <f t="shared" si="184"/>
        <v>0.82208611659880759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-2.8421709430404007E-13</v>
      </c>
      <c r="GA192" s="18">
        <f>FZ192*VLOOKUP('Données projet'!$B$17,Paramètres!$A$1:$I$89,3,0)*VLOOKUP('Données projet'!$B$17,Paramètres!$A$1:$I$89,5,0)</f>
        <v>-1.69961822393816E-13</v>
      </c>
      <c r="GB192" s="14" t="e">
        <f t="shared" si="185"/>
        <v>#NUM!</v>
      </c>
      <c r="GC192" s="22" t="e">
        <f t="shared" si="186"/>
        <v>#NUM!</v>
      </c>
      <c r="GD192" s="62" t="e">
        <f t="shared" si="134"/>
        <v>#NUM!</v>
      </c>
      <c r="GE192" s="62">
        <f ca="1">AVERAGE(OFFSET($GD$3,0,0,'Données projet'!$E$17+1,1))-AVERAGE(OFFSET($H$3,0,0,'Données projet'!$E$17+1,1))</f>
        <v>289.12367833861299</v>
      </c>
      <c r="GF192" s="62">
        <f t="shared" si="158"/>
        <v>229.06617320689003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>
        <f>EXP(-LN(2)/35)*GL191+(1-EXP(-LN(2)/35))/(LN(2)/35)*GH192*GI192*VLOOKUP('Données projet'!$B$17,Paramètres!$A$1:$I$89,3,0)*0.475*44/12</f>
        <v>0</v>
      </c>
      <c r="GM192" s="23">
        <f>EXP(-LN(2)/25)*GM191+(1-EXP(-LN(2)/25))/(LN(2)/25)*Calculateur!GH192*Calculateur!GJ192*VLOOKUP('Données projet'!$B$17,Paramètres!$A$1:$I$89,3,0)*0.475*44/12</f>
        <v>0</v>
      </c>
      <c r="GN192" s="23">
        <f>EXP(-LN(2)/2)*GN191+(1-EXP(-LN(2)/2))/(LN(2)/2)*GH192*GK192*VLOOKUP('Données projet'!$B$17,Paramètres!$A$1:$I$89,3,0)*0.475*44/12</f>
        <v>4.851009311834799E-24</v>
      </c>
      <c r="GO192" s="23">
        <f t="shared" si="187"/>
        <v>4.851009311834799E-24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-5.6843418860808015E-14</v>
      </c>
      <c r="GV192" s="18">
        <f>GU192*VLOOKUP('Données projet'!$B$18,Paramètres!$A$1:$I$89,3,0)*VLOOKUP('Données projet'!$B$18,Paramètres!$A$1:$I$89,5,0)</f>
        <v>-2.6602720026858149E-14</v>
      </c>
      <c r="GW192" s="14" t="e">
        <f t="shared" si="188"/>
        <v>#NUM!</v>
      </c>
      <c r="GX192" s="22" t="e">
        <f t="shared" si="189"/>
        <v>#NUM!</v>
      </c>
      <c r="GY192" s="62" t="e">
        <f t="shared" si="137"/>
        <v>#NUM!</v>
      </c>
      <c r="GZ192" s="62">
        <f ca="1">AVERAGE(OFFSET($GY$3,0,0,'Données projet'!$E$18+1,1))-AVERAGE(OFFSET($H$3,0,0,'Données projet'!$E$18+1,1))</f>
        <v>284.88646502866419</v>
      </c>
      <c r="HA192" s="62">
        <f t="shared" si="160"/>
        <v>190.4880882944471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>
        <f>EXP(-LN(2)/35)*HG191+(1-EXP(-LN(2)/35))/(LN(2)/35)*HC192*HD192*VLOOKUP('Données projet'!$B$18,Paramètres!$A$1:$I$89,3,0)*0.475*44/12</f>
        <v>0</v>
      </c>
      <c r="HH192" s="23">
        <f>EXP(-LN(2)/25)*HH191+(1-EXP(-LN(2)/25))/(LN(2)/25)*Calculateur!HC192*Calculateur!HE192*VLOOKUP('Données projet'!$B$18,Paramètres!$A$1:$I$89,3,0)*0.475*44/12</f>
        <v>0</v>
      </c>
      <c r="HI192" s="23">
        <f>EXP(-LN(2)/2)*HI191+(1-EXP(-LN(2)/2))/(LN(2)/2)*HC192*HF192*VLOOKUP('Données projet'!$B$18,Paramètres!$A$1:$I$89,3,0)*0.475*44/12</f>
        <v>0</v>
      </c>
      <c r="HJ192" s="24">
        <f t="shared" si="190"/>
        <v>0</v>
      </c>
    </row>
    <row r="193" spans="1:218" x14ac:dyDescent="0.25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2">
        <f t="shared" si="140"/>
        <v>0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0</v>
      </c>
      <c r="H193" s="70">
        <f t="shared" si="110"/>
        <v>256.66666666666669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-1.1368683772161603E-13</v>
      </c>
      <c r="O193" s="14">
        <f>N193*VLOOKUP('Données projet'!$B$9,Paramètres!$A$1:$I$89,3,0)*VLOOKUP('Données projet'!$B$9,Paramètres!$A$1:$I$89,5,0)</f>
        <v>-1.0818439477588981E-13</v>
      </c>
      <c r="P193" s="14" t="e">
        <f t="shared" si="141"/>
        <v>#NUM!</v>
      </c>
      <c r="Q193" s="22" t="e">
        <f t="shared" si="162"/>
        <v>#NUM!</v>
      </c>
      <c r="R193" s="62" t="e">
        <f t="shared" si="109"/>
        <v>#NUM!</v>
      </c>
      <c r="S193" s="62">
        <f ca="1">AVERAGE(OFFSET($R$3,0,0,'Données projet'!$E$9+1,1))-AVERAGE(OFFSET($H$3,0,0,'Données projet'!$E$9+1,1))</f>
        <v>367.11183928586667</v>
      </c>
      <c r="T193" s="62">
        <f t="shared" si="142"/>
        <v>281.52963027844595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0</v>
      </c>
      <c r="AA193" s="23">
        <f>EXP(-LN(2)/25)*AA192+(1-EXP(-LN(2)/25))/(LN(2)/25)*Calculateur!V193*Calculateur!X193*VLOOKUP('Données projet'!$B$9,Paramètres!$A$1:$I$89,3,0)*0.475*44/12</f>
        <v>0</v>
      </c>
      <c r="AB193" s="23">
        <f>EXP(-LN(2)/2)*AB192+(1-EXP(-LN(2)/2))/(LN(2)/2)*V193*Y193*VLOOKUP('Données projet'!$B$9,Paramètres!$A$1:$I$89,3,0)*0.475*44/12</f>
        <v>0</v>
      </c>
      <c r="AC193" s="24">
        <f t="shared" si="163"/>
        <v>0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-9.6633812063373625E-13</v>
      </c>
      <c r="AJ193" s="14">
        <f>AI193*VLOOKUP('Données projet'!$B$10,Paramètres!$A$1:$I$89,3,0)*VLOOKUP('Données projet'!$B$10,Paramètres!$A$1:$I$89,5,0)</f>
        <v>-8.7434273154940449E-13</v>
      </c>
      <c r="AK193" s="14" t="e">
        <f t="shared" si="164"/>
        <v>#NUM!</v>
      </c>
      <c r="AL193" s="22" t="e">
        <f t="shared" si="165"/>
        <v>#NUM!</v>
      </c>
      <c r="AM193" s="62" t="e">
        <f t="shared" si="113"/>
        <v>#NUM!</v>
      </c>
      <c r="AN193" s="62">
        <f ca="1">AVERAGE(OFFSET($AM$3,0,0,'Données projet'!$E$10+1,1))-AVERAGE(OFFSET($H$3,0,0,'Données projet'!$E$10+1,1))</f>
        <v>428.8489304403459</v>
      </c>
      <c r="AO193" s="62">
        <f t="shared" si="144"/>
        <v>247.01165577562966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0</v>
      </c>
      <c r="AV193" s="23">
        <f>EXP(-LN(2)/25)*AV192+(1-EXP(-LN(2)/25))/(LN(2)/25)*Calculateur!AQ193*Calculateur!AS193*VLOOKUP('Données projet'!$B$10,Paramètres!$A$1:$I$89,3,0)*0.475*44/12</f>
        <v>0</v>
      </c>
      <c r="AW193" s="23">
        <f>EXP(-LN(2)/2)*AW192+(1-EXP(-LN(2)/2))/(LN(2)/2)*AQ193*AT193*VLOOKUP('Données projet'!$B$10,Paramètres!$A$1:$I$89,3,0)*0.475*44/12</f>
        <v>0</v>
      </c>
      <c r="AX193" s="23">
        <f t="shared" si="166"/>
        <v>0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-9.6633812063373625E-13</v>
      </c>
      <c r="BE193" s="14">
        <f>BD193*VLOOKUP('Données projet'!$B$11,Paramètres!$A$1:$I$89,3,0)*VLOOKUP('Données projet'!$B$11,Paramètres!$A$1:$I$89,5,0)</f>
        <v>-9.7986685432260874E-13</v>
      </c>
      <c r="BF193" s="14" t="e">
        <f t="shared" si="167"/>
        <v>#NUM!</v>
      </c>
      <c r="BG193" s="22" t="e">
        <f t="shared" si="168"/>
        <v>#NUM!</v>
      </c>
      <c r="BH193" s="62" t="e">
        <f t="shared" si="116"/>
        <v>#NUM!</v>
      </c>
      <c r="BI193" s="62">
        <f ca="1">AVERAGE(OFFSET($BH$3,0,0,'Données projet'!$E$11+1,1))-AVERAGE(OFFSET($H$3,0,0,'Données projet'!$E$11+1,1))</f>
        <v>475.47920969424894</v>
      </c>
      <c r="BJ193" s="62">
        <f t="shared" si="146"/>
        <v>271.73544012419364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>
        <f>EXP(-LN(2)/35)*BP192+(1-EXP(-LN(2)/35))/(LN(2)/35)*BL193*BM193*VLOOKUP('Données projet'!$B$11,Paramètres!$A$1:$I$89,3,0)*0.475*44/12</f>
        <v>0</v>
      </c>
      <c r="BQ193" s="23">
        <f>EXP(-LN(2)/25)*BQ192+(1-EXP(-LN(2)/25))/(LN(2)/25)*Calculateur!BL193*Calculateur!BN193*VLOOKUP('Données projet'!$B$11,Paramètres!$A$1:$I$89,3,0)*0.475*44/12</f>
        <v>0</v>
      </c>
      <c r="BR193" s="23">
        <f>EXP(-LN(2)/2)*BR192+(1-EXP(-LN(2)/2))/(LN(2)/2)*BL193*BO193*VLOOKUP('Données projet'!$B$11,Paramètres!$A$1:$I$89,3,0)*0.475*44/12</f>
        <v>0</v>
      </c>
      <c r="BS193" s="24">
        <f t="shared" si="169"/>
        <v>0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2.2737367544323206E-13</v>
      </c>
      <c r="BZ193" s="14">
        <f>BY193*VLOOKUP('Données projet'!$B$12,Paramètres!$A$1:$I$89,3,0)*VLOOKUP('Données projet'!$B$12,Paramètres!$A$1:$I$89,5,0)</f>
        <v>1.2710188457276673E-13</v>
      </c>
      <c r="CA193" s="14">
        <f t="shared" si="170"/>
        <v>1.856866851063998E-12</v>
      </c>
      <c r="CB193" s="22">
        <f t="shared" si="171"/>
        <v>3.4554122145673649E-12</v>
      </c>
      <c r="CC193" s="62">
        <f t="shared" si="119"/>
        <v>293.33333333333678</v>
      </c>
      <c r="CD193" s="62">
        <f ca="1">AVERAGE(OFFSET($CC$3,0,0,'Données projet'!$E$12+1,1))-AVERAGE(OFFSET($H$3,0,0,'Données projet'!$E$12+1,1))</f>
        <v>323.98185264074681</v>
      </c>
      <c r="CE193" s="62">
        <f t="shared" si="148"/>
        <v>301.22207291854005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>
        <f>EXP(-LN(2)/35)*CK192+(1-EXP(-LN(2)/35))/(LN(2)/35)*CG193*CH193*VLOOKUP('Données projet'!$B$12,Paramètres!$A$1:$I$89,3,0)*0.475*44/12</f>
        <v>0.18768246009126599</v>
      </c>
      <c r="CL193" s="23">
        <f>EXP(-LN(2)/25)*CL192+(1-EXP(-LN(2)/25))/(LN(2)/25)*Calculateur!CG193*Calculateur!CI193*VLOOKUP('Données projet'!$B$12,Paramètres!$A$1:$I$89,3,0)*0.475*44/12</f>
        <v>9.7660692929397455E-2</v>
      </c>
      <c r="CM193" s="23">
        <f>EXP(-LN(2)/2)*CM192+(1-EXP(-LN(2)/2))/(LN(2)/2)*CG193*CJ193*VLOOKUP('Données projet'!$B$12,Paramètres!$A$1:$I$89,3,0)*0.475*44/12</f>
        <v>5.0357160719411541E-24</v>
      </c>
      <c r="CN193" s="24">
        <f t="shared" si="172"/>
        <v>0.28534315302066343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>
        <f>CT193*VLOOKUP('Données projet'!$B$13,Paramètres!$A$1:$I$89,3,0)*VLOOKUP('Données projet'!$B$13,Paramètres!$A$1:$I$89,5,0)</f>
        <v>0</v>
      </c>
      <c r="CV193" s="14" t="e">
        <f t="shared" si="173"/>
        <v>#NUM!</v>
      </c>
      <c r="CW193" s="22" t="e">
        <f t="shared" si="174"/>
        <v>#NUM!</v>
      </c>
      <c r="CX193" s="62" t="e">
        <f t="shared" si="122"/>
        <v>#NUM!</v>
      </c>
      <c r="CY193" s="62">
        <f ca="1">AVERAGE(OFFSET($CX$3,0,0,'Données projet'!$E$13+1,1))-AVERAGE(OFFSET($H$3,0,0,'Données projet'!$E$13+1,1))</f>
        <v>399.78832690250164</v>
      </c>
      <c r="CZ193" s="62">
        <f t="shared" si="150"/>
        <v>174.32967064896343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>
        <f>EXP(-LN(2)/35)*DF192+(1-EXP(-LN(2)/35))/(LN(2)/35)*DB193*DC193*VLOOKUP('Données projet'!$B$13,Paramètres!$A$1:$I$89,3,0)*0.475*44/12</f>
        <v>0</v>
      </c>
      <c r="DG193" s="23">
        <f>EXP(-LN(2)/25)*DG192+(1-EXP(-LN(2)/25))/(LN(2)/25)*Calculateur!DB193*Calculateur!DD193*VLOOKUP('Données projet'!$B$13,Paramètres!$A$1:$I$89,3,0)*0.475*44/12</f>
        <v>0</v>
      </c>
      <c r="DH193" s="23">
        <f>EXP(-LN(2)/2)*DH192+(1-EXP(-LN(2)/2))/(LN(2)/2)*DB193*DE193*VLOOKUP('Données projet'!$B$13,Paramètres!$A$1:$I$89,3,0)*0.475*44/12</f>
        <v>0</v>
      </c>
      <c r="DI193" s="24">
        <f t="shared" si="175"/>
        <v>0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-9.6633812063373625E-13</v>
      </c>
      <c r="DP193" s="18">
        <f>DO193*VLOOKUP('Données projet'!$B$14,Paramètres!$A$1:$I$89,3,0)*VLOOKUP('Données projet'!$B$14,Paramètres!$A$1:$I$89,5,0)</f>
        <v>-8.1404323282185943E-13</v>
      </c>
      <c r="DQ193" s="14" t="e">
        <f t="shared" si="176"/>
        <v>#NUM!</v>
      </c>
      <c r="DR193" s="22" t="e">
        <f t="shared" si="177"/>
        <v>#NUM!</v>
      </c>
      <c r="DS193" s="62" t="e">
        <f t="shared" si="125"/>
        <v>#NUM!</v>
      </c>
      <c r="DT193" s="62">
        <f ca="1">AVERAGE(OFFSET($DS$3,0,0,'Données projet'!$E$14+1,1))-AVERAGE(OFFSET($H$3,0,0,'Données projet'!$E$14+1,1))</f>
        <v>402.15128814037058</v>
      </c>
      <c r="DU193" s="62">
        <f t="shared" si="152"/>
        <v>232.85411068442738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>
        <f>EXP(-LN(2)/35)*EA192+(1-EXP(-LN(2)/35))/(LN(2)/35)*DW193*DX193*VLOOKUP('Données projet'!$B$14,Paramètres!$A$1:$I$89,3,0)*0.475*44/12</f>
        <v>0</v>
      </c>
      <c r="EB193" s="23">
        <f>EXP(-LN(2)/25)*EB192+(1-EXP(-LN(2)/25))/(LN(2)/25)*Calculateur!DW193*Calculateur!DY193*VLOOKUP('Données projet'!$B$14,Paramètres!$A$1:$I$89,3,0)*0.475*44/12</f>
        <v>0</v>
      </c>
      <c r="EC193" s="23">
        <f>EXP(-LN(2)/2)*EC192+(1-EXP(-LN(2)/2))/(LN(2)/2)*DW193*DZ193*VLOOKUP('Données projet'!$B$14,Paramètres!$A$1:$I$89,3,0)*0.475*44/12</f>
        <v>0</v>
      </c>
      <c r="ED193" s="24">
        <f t="shared" si="178"/>
        <v>0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6.2527760746888816E-13</v>
      </c>
      <c r="EK193" s="18">
        <f>EJ193*VLOOKUP('Données projet'!$B$15,Paramètres!$A$1:$I$89,3,0)*VLOOKUP('Données projet'!$B$15,Paramètres!$A$1:$I$89,5,0)</f>
        <v>6.5354015532648198E-13</v>
      </c>
      <c r="EL193" s="14">
        <f t="shared" si="179"/>
        <v>7.8909019831354483E-12</v>
      </c>
      <c r="EM193" s="22">
        <f t="shared" si="180"/>
        <v>1.4881570057821194E-11</v>
      </c>
      <c r="EN193" s="62">
        <f t="shared" si="128"/>
        <v>293.33333333334821</v>
      </c>
      <c r="EO193" s="62">
        <f ca="1">AVERAGE(OFFSET($EN$3,0,0,'Données projet'!$E$15+1,1))-AVERAGE(OFFSET($H$3,0,0,'Données projet'!$E$15+1,1))</f>
        <v>595.89992279024398</v>
      </c>
      <c r="EP193" s="62">
        <f t="shared" si="154"/>
        <v>378.16197659288338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>
        <f>EXP(-LN(2)/35)*EV192+(1-EXP(-LN(2)/35))/(LN(2)/35)*ER193*ES193*VLOOKUP('Données projet'!$B$15,Paramètres!$A$1:$I$89,3,0)*0.475*44/12</f>
        <v>0</v>
      </c>
      <c r="EW193" s="23">
        <f>EXP(-LN(2)/25)*EW192+(1-EXP(-LN(2)/25))/(LN(2)/25)*Calculateur!ER193*Calculateur!ET193*VLOOKUP('Données projet'!$B$15,Paramètres!$A$1:$I$89,3,0)*0.475*44/12</f>
        <v>0</v>
      </c>
      <c r="EX193" s="23">
        <f>EXP(-LN(2)/2)*EX192+(1-EXP(-LN(2)/2))/(LN(2)/2)*ER193*EU193*VLOOKUP('Données projet'!$B$15,Paramètres!$A$1:$I$89,3,0)*0.475*44/12</f>
        <v>0</v>
      </c>
      <c r="EY193" s="24">
        <f t="shared" si="181"/>
        <v>0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-2.2737367544323206E-13</v>
      </c>
      <c r="FF193" s="18">
        <f>FE193*VLOOKUP('Données projet'!$B$16,Paramètres!$A$1:$I$89,3,0)*VLOOKUP('Données projet'!$B$16,Paramètres!$A$1:$I$89,5,0)</f>
        <v>-1.3596945791505279E-13</v>
      </c>
      <c r="FG193" s="14" t="e">
        <f t="shared" si="182"/>
        <v>#NUM!</v>
      </c>
      <c r="FH193" s="22" t="e">
        <f t="shared" si="183"/>
        <v>#NUM!</v>
      </c>
      <c r="FI193" s="62" t="e">
        <f t="shared" si="131"/>
        <v>#NUM!</v>
      </c>
      <c r="FJ193" s="62">
        <f ca="1">AVERAGE(OFFSET($FI$3,0,0,'Données projet'!$E$16+1,1))-AVERAGE(OFFSET($H$3,0,0,'Données projet'!$E$16+1,1))</f>
        <v>257.56116197646924</v>
      </c>
      <c r="FK193" s="62">
        <f t="shared" si="156"/>
        <v>269.95556918835888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>
        <f>EXP(-LN(2)/35)*FQ192+(1-EXP(-LN(2)/35))/(LN(2)/35)*FM193*FN193*VLOOKUP('Données projet'!$B$16,Paramètres!$A$1:$I$89,3,0)*0.475*44/12</f>
        <v>0.61328642107659181</v>
      </c>
      <c r="FR193" s="23">
        <f>EXP(-LN(2)/25)*FR192+(1-EXP(-LN(2)/25))/(LN(2)/25)*Calculateur!FM193*Calculateur!FO193*VLOOKUP('Données projet'!$B$16,Paramètres!$A$1:$I$89,3,0)*0.475*44/12</f>
        <v>0.19115877538943229</v>
      </c>
      <c r="FS193" s="23">
        <f>EXP(-LN(2)/2)*FS192+(1-EXP(-LN(2)/2))/(LN(2)/2)*FM193*FP193*VLOOKUP('Données projet'!$B$16,Paramètres!$A$1:$I$89,3,0)*0.475*44/12</f>
        <v>7.0757719648189658E-24</v>
      </c>
      <c r="FT193" s="24">
        <f t="shared" si="184"/>
        <v>0.80444519646602408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-2.8421709430404007E-13</v>
      </c>
      <c r="GA193" s="18">
        <f>FZ193*VLOOKUP('Données projet'!$B$17,Paramètres!$A$1:$I$89,3,0)*VLOOKUP('Données projet'!$B$17,Paramètres!$A$1:$I$89,5,0)</f>
        <v>-1.69961822393816E-13</v>
      </c>
      <c r="GB193" s="14" t="e">
        <f t="shared" si="185"/>
        <v>#NUM!</v>
      </c>
      <c r="GC193" s="22" t="e">
        <f t="shared" si="186"/>
        <v>#NUM!</v>
      </c>
      <c r="GD193" s="62" t="e">
        <f t="shared" si="134"/>
        <v>#NUM!</v>
      </c>
      <c r="GE193" s="62">
        <f ca="1">AVERAGE(OFFSET($GD$3,0,0,'Données projet'!$E$17+1,1))-AVERAGE(OFFSET($H$3,0,0,'Données projet'!$E$17+1,1))</f>
        <v>289.12367833861299</v>
      </c>
      <c r="GF193" s="62">
        <f t="shared" si="158"/>
        <v>229.06617320689003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>
        <f>EXP(-LN(2)/35)*GL192+(1-EXP(-LN(2)/35))/(LN(2)/35)*GH193*GI193*VLOOKUP('Données projet'!$B$17,Paramètres!$A$1:$I$89,3,0)*0.475*44/12</f>
        <v>0</v>
      </c>
      <c r="GM193" s="23">
        <f>EXP(-LN(2)/25)*GM192+(1-EXP(-LN(2)/25))/(LN(2)/25)*Calculateur!GH193*Calculateur!GJ193*VLOOKUP('Données projet'!$B$17,Paramètres!$A$1:$I$89,3,0)*0.475*44/12</f>
        <v>0</v>
      </c>
      <c r="GN193" s="23">
        <f>EXP(-LN(2)/2)*GN192+(1-EXP(-LN(2)/2))/(LN(2)/2)*GH193*GK193*VLOOKUP('Données projet'!$B$17,Paramètres!$A$1:$I$89,3,0)*0.475*44/12</f>
        <v>3.4301815799974736E-24</v>
      </c>
      <c r="GO193" s="23">
        <f t="shared" si="187"/>
        <v>3.4301815799974736E-24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-5.6843418860808015E-14</v>
      </c>
      <c r="GV193" s="18">
        <f>GU193*VLOOKUP('Données projet'!$B$18,Paramètres!$A$1:$I$89,3,0)*VLOOKUP('Données projet'!$B$18,Paramètres!$A$1:$I$89,5,0)</f>
        <v>-2.6602720026858149E-14</v>
      </c>
      <c r="GW193" s="14" t="e">
        <f t="shared" si="188"/>
        <v>#NUM!</v>
      </c>
      <c r="GX193" s="22" t="e">
        <f t="shared" si="189"/>
        <v>#NUM!</v>
      </c>
      <c r="GY193" s="62" t="e">
        <f t="shared" si="137"/>
        <v>#NUM!</v>
      </c>
      <c r="GZ193" s="62">
        <f ca="1">AVERAGE(OFFSET($GY$3,0,0,'Données projet'!$E$18+1,1))-AVERAGE(OFFSET($H$3,0,0,'Données projet'!$E$18+1,1))</f>
        <v>284.88646502866419</v>
      </c>
      <c r="HA193" s="62">
        <f t="shared" si="160"/>
        <v>190.4880882944471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>
        <f>EXP(-LN(2)/35)*HG192+(1-EXP(-LN(2)/35))/(LN(2)/35)*HC193*HD193*VLOOKUP('Données projet'!$B$18,Paramètres!$A$1:$I$89,3,0)*0.475*44/12</f>
        <v>0</v>
      </c>
      <c r="HH193" s="23">
        <f>EXP(-LN(2)/25)*HH192+(1-EXP(-LN(2)/25))/(LN(2)/25)*Calculateur!HC193*Calculateur!HE193*VLOOKUP('Données projet'!$B$18,Paramètres!$A$1:$I$89,3,0)*0.475*44/12</f>
        <v>0</v>
      </c>
      <c r="HI193" s="23">
        <f>EXP(-LN(2)/2)*HI192+(1-EXP(-LN(2)/2))/(LN(2)/2)*HC193*HF193*VLOOKUP('Données projet'!$B$18,Paramètres!$A$1:$I$89,3,0)*0.475*44/12</f>
        <v>0</v>
      </c>
      <c r="HJ193" s="24">
        <f t="shared" si="190"/>
        <v>0</v>
      </c>
    </row>
    <row r="194" spans="1:218" x14ac:dyDescent="0.25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2">
        <f t="shared" si="140"/>
        <v>0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0</v>
      </c>
      <c r="H194" s="70">
        <f t="shared" si="110"/>
        <v>256.66666666666669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-1.1368683772161603E-13</v>
      </c>
      <c r="O194" s="14">
        <f>N194*VLOOKUP('Données projet'!$B$9,Paramètres!$A$1:$I$89,3,0)*VLOOKUP('Données projet'!$B$9,Paramètres!$A$1:$I$89,5,0)</f>
        <v>-1.0818439477588981E-13</v>
      </c>
      <c r="P194" s="14" t="e">
        <f t="shared" si="141"/>
        <v>#NUM!</v>
      </c>
      <c r="Q194" s="22" t="e">
        <f t="shared" si="162"/>
        <v>#NUM!</v>
      </c>
      <c r="R194" s="62" t="e">
        <f t="shared" si="109"/>
        <v>#NUM!</v>
      </c>
      <c r="S194" s="62">
        <f ca="1">AVERAGE(OFFSET($R$3,0,0,'Données projet'!$E$9+1,1))-AVERAGE(OFFSET($H$3,0,0,'Données projet'!$E$9+1,1))</f>
        <v>367.11183928586667</v>
      </c>
      <c r="T194" s="62">
        <f t="shared" si="142"/>
        <v>281.52963027844595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0</v>
      </c>
      <c r="AA194" s="23">
        <f>EXP(-LN(2)/25)*AA193+(1-EXP(-LN(2)/25))/(LN(2)/25)*Calculateur!V194*Calculateur!X194*VLOOKUP('Données projet'!$B$9,Paramètres!$A$1:$I$89,3,0)*0.475*44/12</f>
        <v>0</v>
      </c>
      <c r="AB194" s="23">
        <f>EXP(-LN(2)/2)*AB193+(1-EXP(-LN(2)/2))/(LN(2)/2)*V194*Y194*VLOOKUP('Données projet'!$B$9,Paramètres!$A$1:$I$89,3,0)*0.475*44/12</f>
        <v>0</v>
      </c>
      <c r="AC194" s="24">
        <f t="shared" si="163"/>
        <v>0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-9.6633812063373625E-13</v>
      </c>
      <c r="AJ194" s="14">
        <f>AI194*VLOOKUP('Données projet'!$B$10,Paramètres!$A$1:$I$89,3,0)*VLOOKUP('Données projet'!$B$10,Paramètres!$A$1:$I$89,5,0)</f>
        <v>-8.7434273154940449E-13</v>
      </c>
      <c r="AK194" s="14" t="e">
        <f t="shared" si="164"/>
        <v>#NUM!</v>
      </c>
      <c r="AL194" s="22" t="e">
        <f t="shared" si="165"/>
        <v>#NUM!</v>
      </c>
      <c r="AM194" s="62" t="e">
        <f t="shared" si="113"/>
        <v>#NUM!</v>
      </c>
      <c r="AN194" s="62">
        <f ca="1">AVERAGE(OFFSET($AM$3,0,0,'Données projet'!$E$10+1,1))-AVERAGE(OFFSET($H$3,0,0,'Données projet'!$E$10+1,1))</f>
        <v>428.8489304403459</v>
      </c>
      <c r="AO194" s="62">
        <f t="shared" si="144"/>
        <v>247.01165577562966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0</v>
      </c>
      <c r="AV194" s="23">
        <f>EXP(-LN(2)/25)*AV193+(1-EXP(-LN(2)/25))/(LN(2)/25)*Calculateur!AQ194*Calculateur!AS194*VLOOKUP('Données projet'!$B$10,Paramètres!$A$1:$I$89,3,0)*0.475*44/12</f>
        <v>0</v>
      </c>
      <c r="AW194" s="23">
        <f>EXP(-LN(2)/2)*AW193+(1-EXP(-LN(2)/2))/(LN(2)/2)*AQ194*AT194*VLOOKUP('Données projet'!$B$10,Paramètres!$A$1:$I$89,3,0)*0.475*44/12</f>
        <v>0</v>
      </c>
      <c r="AX194" s="23">
        <f t="shared" si="166"/>
        <v>0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-9.6633812063373625E-13</v>
      </c>
      <c r="BE194" s="14">
        <f>BD194*VLOOKUP('Données projet'!$B$11,Paramètres!$A$1:$I$89,3,0)*VLOOKUP('Données projet'!$B$11,Paramètres!$A$1:$I$89,5,0)</f>
        <v>-9.7986685432260874E-13</v>
      </c>
      <c r="BF194" s="14" t="e">
        <f t="shared" si="167"/>
        <v>#NUM!</v>
      </c>
      <c r="BG194" s="22" t="e">
        <f t="shared" si="168"/>
        <v>#NUM!</v>
      </c>
      <c r="BH194" s="62" t="e">
        <f t="shared" si="116"/>
        <v>#NUM!</v>
      </c>
      <c r="BI194" s="62">
        <f ca="1">AVERAGE(OFFSET($BH$3,0,0,'Données projet'!$E$11+1,1))-AVERAGE(OFFSET($H$3,0,0,'Données projet'!$E$11+1,1))</f>
        <v>475.47920969424894</v>
      </c>
      <c r="BJ194" s="62">
        <f t="shared" si="146"/>
        <v>271.73544012419364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>
        <f>EXP(-LN(2)/35)*BP193+(1-EXP(-LN(2)/35))/(LN(2)/35)*BL194*BM194*VLOOKUP('Données projet'!$B$11,Paramètres!$A$1:$I$89,3,0)*0.475*44/12</f>
        <v>0</v>
      </c>
      <c r="BQ194" s="23">
        <f>EXP(-LN(2)/25)*BQ193+(1-EXP(-LN(2)/25))/(LN(2)/25)*Calculateur!BL194*Calculateur!BN194*VLOOKUP('Données projet'!$B$11,Paramètres!$A$1:$I$89,3,0)*0.475*44/12</f>
        <v>0</v>
      </c>
      <c r="BR194" s="23">
        <f>EXP(-LN(2)/2)*BR193+(1-EXP(-LN(2)/2))/(LN(2)/2)*BL194*BO194*VLOOKUP('Données projet'!$B$11,Paramètres!$A$1:$I$89,3,0)*0.475*44/12</f>
        <v>0</v>
      </c>
      <c r="BS194" s="24">
        <f t="shared" si="169"/>
        <v>0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2.2737367544323206E-13</v>
      </c>
      <c r="BZ194" s="14">
        <f>BY194*VLOOKUP('Données projet'!$B$12,Paramètres!$A$1:$I$89,3,0)*VLOOKUP('Données projet'!$B$12,Paramètres!$A$1:$I$89,5,0)</f>
        <v>1.2710188457276673E-13</v>
      </c>
      <c r="CA194" s="14">
        <f t="shared" si="170"/>
        <v>1.856866851063998E-12</v>
      </c>
      <c r="CB194" s="22">
        <f t="shared" si="171"/>
        <v>3.4554122145673649E-12</v>
      </c>
      <c r="CC194" s="62">
        <f t="shared" si="119"/>
        <v>293.33333333333678</v>
      </c>
      <c r="CD194" s="62">
        <f ca="1">AVERAGE(OFFSET($CC$3,0,0,'Données projet'!$E$12+1,1))-AVERAGE(OFFSET($H$3,0,0,'Données projet'!$E$12+1,1))</f>
        <v>323.98185264074681</v>
      </c>
      <c r="CE194" s="62">
        <f t="shared" si="148"/>
        <v>301.22207291854005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>
        <f>EXP(-LN(2)/35)*CK193+(1-EXP(-LN(2)/35))/(LN(2)/35)*CG194*CH194*VLOOKUP('Données projet'!$B$12,Paramètres!$A$1:$I$89,3,0)*0.475*44/12</f>
        <v>0.18400212152387346</v>
      </c>
      <c r="CL194" s="23">
        <f>EXP(-LN(2)/25)*CL193+(1-EXP(-LN(2)/25))/(LN(2)/25)*Calculateur!CG194*Calculateur!CI194*VLOOKUP('Données projet'!$B$12,Paramètres!$A$1:$I$89,3,0)*0.475*44/12</f>
        <v>9.4990156145490445E-2</v>
      </c>
      <c r="CM194" s="23">
        <f>EXP(-LN(2)/2)*CM193+(1-EXP(-LN(2)/2))/(LN(2)/2)*CG194*CJ194*VLOOKUP('Données projet'!$B$12,Paramètres!$A$1:$I$89,3,0)*0.475*44/12</f>
        <v>3.5607889825996742E-24</v>
      </c>
      <c r="CN194" s="24">
        <f t="shared" si="172"/>
        <v>0.27899227766936391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>
        <f>CT194*VLOOKUP('Données projet'!$B$13,Paramètres!$A$1:$I$89,3,0)*VLOOKUP('Données projet'!$B$13,Paramètres!$A$1:$I$89,5,0)</f>
        <v>0</v>
      </c>
      <c r="CV194" s="14" t="e">
        <f t="shared" si="173"/>
        <v>#NUM!</v>
      </c>
      <c r="CW194" s="22" t="e">
        <f t="shared" si="174"/>
        <v>#NUM!</v>
      </c>
      <c r="CX194" s="62" t="e">
        <f t="shared" si="122"/>
        <v>#NUM!</v>
      </c>
      <c r="CY194" s="62">
        <f ca="1">AVERAGE(OFFSET($CX$3,0,0,'Données projet'!$E$13+1,1))-AVERAGE(OFFSET($H$3,0,0,'Données projet'!$E$13+1,1))</f>
        <v>399.78832690250164</v>
      </c>
      <c r="CZ194" s="62">
        <f t="shared" si="150"/>
        <v>174.32967064896343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>
        <f>EXP(-LN(2)/35)*DF193+(1-EXP(-LN(2)/35))/(LN(2)/35)*DB194*DC194*VLOOKUP('Données projet'!$B$13,Paramètres!$A$1:$I$89,3,0)*0.475*44/12</f>
        <v>0</v>
      </c>
      <c r="DG194" s="23">
        <f>EXP(-LN(2)/25)*DG193+(1-EXP(-LN(2)/25))/(LN(2)/25)*Calculateur!DB194*Calculateur!DD194*VLOOKUP('Données projet'!$B$13,Paramètres!$A$1:$I$89,3,0)*0.475*44/12</f>
        <v>0</v>
      </c>
      <c r="DH194" s="23">
        <f>EXP(-LN(2)/2)*DH193+(1-EXP(-LN(2)/2))/(LN(2)/2)*DB194*DE194*VLOOKUP('Données projet'!$B$13,Paramètres!$A$1:$I$89,3,0)*0.475*44/12</f>
        <v>0</v>
      </c>
      <c r="DI194" s="24">
        <f t="shared" si="175"/>
        <v>0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-9.6633812063373625E-13</v>
      </c>
      <c r="DP194" s="18">
        <f>DO194*VLOOKUP('Données projet'!$B$14,Paramètres!$A$1:$I$89,3,0)*VLOOKUP('Données projet'!$B$14,Paramètres!$A$1:$I$89,5,0)</f>
        <v>-8.1404323282185943E-13</v>
      </c>
      <c r="DQ194" s="14" t="e">
        <f t="shared" si="176"/>
        <v>#NUM!</v>
      </c>
      <c r="DR194" s="22" t="e">
        <f t="shared" si="177"/>
        <v>#NUM!</v>
      </c>
      <c r="DS194" s="62" t="e">
        <f t="shared" si="125"/>
        <v>#NUM!</v>
      </c>
      <c r="DT194" s="62">
        <f ca="1">AVERAGE(OFFSET($DS$3,0,0,'Données projet'!$E$14+1,1))-AVERAGE(OFFSET($H$3,0,0,'Données projet'!$E$14+1,1))</f>
        <v>402.15128814037058</v>
      </c>
      <c r="DU194" s="62">
        <f t="shared" si="152"/>
        <v>232.85411068442738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>
        <f>EXP(-LN(2)/35)*EA193+(1-EXP(-LN(2)/35))/(LN(2)/35)*DW194*DX194*VLOOKUP('Données projet'!$B$14,Paramètres!$A$1:$I$89,3,0)*0.475*44/12</f>
        <v>0</v>
      </c>
      <c r="EB194" s="23">
        <f>EXP(-LN(2)/25)*EB193+(1-EXP(-LN(2)/25))/(LN(2)/25)*Calculateur!DW194*Calculateur!DY194*VLOOKUP('Données projet'!$B$14,Paramètres!$A$1:$I$89,3,0)*0.475*44/12</f>
        <v>0</v>
      </c>
      <c r="EC194" s="23">
        <f>EXP(-LN(2)/2)*EC193+(1-EXP(-LN(2)/2))/(LN(2)/2)*DW194*DZ194*VLOOKUP('Données projet'!$B$14,Paramètres!$A$1:$I$89,3,0)*0.475*44/12</f>
        <v>0</v>
      </c>
      <c r="ED194" s="24">
        <f t="shared" si="178"/>
        <v>0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6.2527760746888816E-13</v>
      </c>
      <c r="EK194" s="18">
        <f>EJ194*VLOOKUP('Données projet'!$B$15,Paramètres!$A$1:$I$89,3,0)*VLOOKUP('Données projet'!$B$15,Paramètres!$A$1:$I$89,5,0)</f>
        <v>6.5354015532648198E-13</v>
      </c>
      <c r="EL194" s="14">
        <f t="shared" si="179"/>
        <v>7.8909019831354483E-12</v>
      </c>
      <c r="EM194" s="22">
        <f t="shared" si="180"/>
        <v>1.4881570057821194E-11</v>
      </c>
      <c r="EN194" s="62">
        <f t="shared" si="128"/>
        <v>293.33333333334821</v>
      </c>
      <c r="EO194" s="62">
        <f ca="1">AVERAGE(OFFSET($EN$3,0,0,'Données projet'!$E$15+1,1))-AVERAGE(OFFSET($H$3,0,0,'Données projet'!$E$15+1,1))</f>
        <v>595.89992279024398</v>
      </c>
      <c r="EP194" s="62">
        <f t="shared" si="154"/>
        <v>378.16197659288338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>
        <f>EXP(-LN(2)/35)*EV193+(1-EXP(-LN(2)/35))/(LN(2)/35)*ER194*ES194*VLOOKUP('Données projet'!$B$15,Paramètres!$A$1:$I$89,3,0)*0.475*44/12</f>
        <v>0</v>
      </c>
      <c r="EW194" s="23">
        <f>EXP(-LN(2)/25)*EW193+(1-EXP(-LN(2)/25))/(LN(2)/25)*Calculateur!ER194*Calculateur!ET194*VLOOKUP('Données projet'!$B$15,Paramètres!$A$1:$I$89,3,0)*0.475*44/12</f>
        <v>0</v>
      </c>
      <c r="EX194" s="23">
        <f>EXP(-LN(2)/2)*EX193+(1-EXP(-LN(2)/2))/(LN(2)/2)*ER194*EU194*VLOOKUP('Données projet'!$B$15,Paramètres!$A$1:$I$89,3,0)*0.475*44/12</f>
        <v>0</v>
      </c>
      <c r="EY194" s="24">
        <f t="shared" si="181"/>
        <v>0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-2.2737367544323206E-13</v>
      </c>
      <c r="FF194" s="18">
        <f>FE194*VLOOKUP('Données projet'!$B$16,Paramètres!$A$1:$I$89,3,0)*VLOOKUP('Données projet'!$B$16,Paramètres!$A$1:$I$89,5,0)</f>
        <v>-1.3596945791505279E-13</v>
      </c>
      <c r="FG194" s="14" t="e">
        <f t="shared" si="182"/>
        <v>#NUM!</v>
      </c>
      <c r="FH194" s="22" t="e">
        <f t="shared" si="183"/>
        <v>#NUM!</v>
      </c>
      <c r="FI194" s="62" t="e">
        <f t="shared" si="131"/>
        <v>#NUM!</v>
      </c>
      <c r="FJ194" s="62">
        <f ca="1">AVERAGE(OFFSET($FI$3,0,0,'Données projet'!$E$16+1,1))-AVERAGE(OFFSET($H$3,0,0,'Données projet'!$E$16+1,1))</f>
        <v>257.56116197646924</v>
      </c>
      <c r="FK194" s="62">
        <f t="shared" si="156"/>
        <v>269.95556918835888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>
        <f>EXP(-LN(2)/35)*FQ193+(1-EXP(-LN(2)/35))/(LN(2)/35)*FM194*FN194*VLOOKUP('Données projet'!$B$16,Paramètres!$A$1:$I$89,3,0)*0.475*44/12</f>
        <v>0.60126024842706061</v>
      </c>
      <c r="FR194" s="23">
        <f>EXP(-LN(2)/25)*FR193+(1-EXP(-LN(2)/25))/(LN(2)/25)*Calculateur!FM194*Calculateur!FO194*VLOOKUP('Données projet'!$B$16,Paramètres!$A$1:$I$89,3,0)*0.475*44/12</f>
        <v>0.18593152862380516</v>
      </c>
      <c r="FS194" s="23">
        <f>EXP(-LN(2)/2)*FS193+(1-EXP(-LN(2)/2))/(LN(2)/2)*FM194*FP194*VLOOKUP('Données projet'!$B$16,Paramètres!$A$1:$I$89,3,0)*0.475*44/12</f>
        <v>5.003326338453152E-24</v>
      </c>
      <c r="FT194" s="24">
        <f t="shared" si="184"/>
        <v>0.78719177705086574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-2.8421709430404007E-13</v>
      </c>
      <c r="GA194" s="18">
        <f>FZ194*VLOOKUP('Données projet'!$B$17,Paramètres!$A$1:$I$89,3,0)*VLOOKUP('Données projet'!$B$17,Paramètres!$A$1:$I$89,5,0)</f>
        <v>-1.69961822393816E-13</v>
      </c>
      <c r="GB194" s="14" t="e">
        <f t="shared" si="185"/>
        <v>#NUM!</v>
      </c>
      <c r="GC194" s="22" t="e">
        <f t="shared" si="186"/>
        <v>#NUM!</v>
      </c>
      <c r="GD194" s="62" t="e">
        <f t="shared" si="134"/>
        <v>#NUM!</v>
      </c>
      <c r="GE194" s="62">
        <f ca="1">AVERAGE(OFFSET($GD$3,0,0,'Données projet'!$E$17+1,1))-AVERAGE(OFFSET($H$3,0,0,'Données projet'!$E$17+1,1))</f>
        <v>289.12367833861299</v>
      </c>
      <c r="GF194" s="62">
        <f t="shared" si="158"/>
        <v>229.06617320689003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>
        <f>EXP(-LN(2)/35)*GL193+(1-EXP(-LN(2)/35))/(LN(2)/35)*GH194*GI194*VLOOKUP('Données projet'!$B$17,Paramètres!$A$1:$I$89,3,0)*0.475*44/12</f>
        <v>0</v>
      </c>
      <c r="GM194" s="23">
        <f>EXP(-LN(2)/25)*GM193+(1-EXP(-LN(2)/25))/(LN(2)/25)*Calculateur!GH194*Calculateur!GJ194*VLOOKUP('Données projet'!$B$17,Paramètres!$A$1:$I$89,3,0)*0.475*44/12</f>
        <v>0</v>
      </c>
      <c r="GN194" s="23">
        <f>EXP(-LN(2)/2)*GN193+(1-EXP(-LN(2)/2))/(LN(2)/2)*GH194*GK194*VLOOKUP('Données projet'!$B$17,Paramètres!$A$1:$I$89,3,0)*0.475*44/12</f>
        <v>2.4255046559173995E-24</v>
      </c>
      <c r="GO194" s="23">
        <f t="shared" si="187"/>
        <v>2.4255046559173995E-24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-5.6843418860808015E-14</v>
      </c>
      <c r="GV194" s="18">
        <f>GU194*VLOOKUP('Données projet'!$B$18,Paramètres!$A$1:$I$89,3,0)*VLOOKUP('Données projet'!$B$18,Paramètres!$A$1:$I$89,5,0)</f>
        <v>-2.6602720026858149E-14</v>
      </c>
      <c r="GW194" s="14" t="e">
        <f t="shared" si="188"/>
        <v>#NUM!</v>
      </c>
      <c r="GX194" s="22" t="e">
        <f t="shared" si="189"/>
        <v>#NUM!</v>
      </c>
      <c r="GY194" s="62" t="e">
        <f t="shared" si="137"/>
        <v>#NUM!</v>
      </c>
      <c r="GZ194" s="62">
        <f ca="1">AVERAGE(OFFSET($GY$3,0,0,'Données projet'!$E$18+1,1))-AVERAGE(OFFSET($H$3,0,0,'Données projet'!$E$18+1,1))</f>
        <v>284.88646502866419</v>
      </c>
      <c r="HA194" s="62">
        <f t="shared" si="160"/>
        <v>190.4880882944471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>
        <f>EXP(-LN(2)/35)*HG193+(1-EXP(-LN(2)/35))/(LN(2)/35)*HC194*HD194*VLOOKUP('Données projet'!$B$18,Paramètres!$A$1:$I$89,3,0)*0.475*44/12</f>
        <v>0</v>
      </c>
      <c r="HH194" s="23">
        <f>EXP(-LN(2)/25)*HH193+(1-EXP(-LN(2)/25))/(LN(2)/25)*Calculateur!HC194*Calculateur!HE194*VLOOKUP('Données projet'!$B$18,Paramètres!$A$1:$I$89,3,0)*0.475*44/12</f>
        <v>0</v>
      </c>
      <c r="HI194" s="23">
        <f>EXP(-LN(2)/2)*HI193+(1-EXP(-LN(2)/2))/(LN(2)/2)*HC194*HF194*VLOOKUP('Données projet'!$B$18,Paramètres!$A$1:$I$89,3,0)*0.475*44/12</f>
        <v>0</v>
      </c>
      <c r="HJ194" s="24">
        <f t="shared" si="190"/>
        <v>0</v>
      </c>
    </row>
    <row r="195" spans="1:218" x14ac:dyDescent="0.25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2">
        <f t="shared" si="140"/>
        <v>0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0</v>
      </c>
      <c r="H195" s="70">
        <f t="shared" si="110"/>
        <v>256.66666666666669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-1.1368683772161603E-13</v>
      </c>
      <c r="O195" s="14">
        <f>N195*VLOOKUP('Données projet'!$B$9,Paramètres!$A$1:$I$89,3,0)*VLOOKUP('Données projet'!$B$9,Paramètres!$A$1:$I$89,5,0)</f>
        <v>-1.0818439477588981E-13</v>
      </c>
      <c r="P195" s="14" t="e">
        <f t="shared" si="141"/>
        <v>#NUM!</v>
      </c>
      <c r="Q195" s="22" t="e">
        <f t="shared" si="162"/>
        <v>#NUM!</v>
      </c>
      <c r="R195" s="62" t="e">
        <f t="shared" ref="R195:R203" si="191">Q195+(I195+J195)*44/12</f>
        <v>#NUM!</v>
      </c>
      <c r="S195" s="62">
        <f ca="1">AVERAGE(OFFSET($R$3,0,0,'Données projet'!$E$9+1,1))-AVERAGE(OFFSET($H$3,0,0,'Données projet'!$E$9+1,1))</f>
        <v>367.11183928586667</v>
      </c>
      <c r="T195" s="62">
        <f t="shared" si="142"/>
        <v>281.52963027844595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0</v>
      </c>
      <c r="AA195" s="23">
        <f>EXP(-LN(2)/25)*AA194+(1-EXP(-LN(2)/25))/(LN(2)/25)*Calculateur!V195*Calculateur!X195*VLOOKUP('Données projet'!$B$9,Paramètres!$A$1:$I$89,3,0)*0.475*44/12</f>
        <v>0</v>
      </c>
      <c r="AB195" s="23">
        <f>EXP(-LN(2)/2)*AB194+(1-EXP(-LN(2)/2))/(LN(2)/2)*V195*Y195*VLOOKUP('Données projet'!$B$9,Paramètres!$A$1:$I$89,3,0)*0.475*44/12</f>
        <v>0</v>
      </c>
      <c r="AC195" s="24">
        <f t="shared" si="163"/>
        <v>0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-9.6633812063373625E-13</v>
      </c>
      <c r="AJ195" s="14">
        <f>AI195*VLOOKUP('Données projet'!$B$10,Paramètres!$A$1:$I$89,3,0)*VLOOKUP('Données projet'!$B$10,Paramètres!$A$1:$I$89,5,0)</f>
        <v>-8.7434273154940449E-13</v>
      </c>
      <c r="AK195" s="14" t="e">
        <f t="shared" si="164"/>
        <v>#NUM!</v>
      </c>
      <c r="AL195" s="22" t="e">
        <f t="shared" si="165"/>
        <v>#NUM!</v>
      </c>
      <c r="AM195" s="62" t="e">
        <f t="shared" si="113"/>
        <v>#NUM!</v>
      </c>
      <c r="AN195" s="62">
        <f ca="1">AVERAGE(OFFSET($AM$3,0,0,'Données projet'!$E$10+1,1))-AVERAGE(OFFSET($H$3,0,0,'Données projet'!$E$10+1,1))</f>
        <v>428.8489304403459</v>
      </c>
      <c r="AO195" s="62">
        <f t="shared" si="144"/>
        <v>247.01165577562966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0</v>
      </c>
      <c r="AV195" s="23">
        <f>EXP(-LN(2)/25)*AV194+(1-EXP(-LN(2)/25))/(LN(2)/25)*Calculateur!AQ195*Calculateur!AS195*VLOOKUP('Données projet'!$B$10,Paramètres!$A$1:$I$89,3,0)*0.475*44/12</f>
        <v>0</v>
      </c>
      <c r="AW195" s="23">
        <f>EXP(-LN(2)/2)*AW194+(1-EXP(-LN(2)/2))/(LN(2)/2)*AQ195*AT195*VLOOKUP('Données projet'!$B$10,Paramètres!$A$1:$I$89,3,0)*0.475*44/12</f>
        <v>0</v>
      </c>
      <c r="AX195" s="23">
        <f t="shared" si="166"/>
        <v>0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-9.6633812063373625E-13</v>
      </c>
      <c r="BE195" s="14">
        <f>BD195*VLOOKUP('Données projet'!$B$11,Paramètres!$A$1:$I$89,3,0)*VLOOKUP('Données projet'!$B$11,Paramètres!$A$1:$I$89,5,0)</f>
        <v>-9.7986685432260874E-13</v>
      </c>
      <c r="BF195" s="14" t="e">
        <f t="shared" si="167"/>
        <v>#NUM!</v>
      </c>
      <c r="BG195" s="22" t="e">
        <f t="shared" si="168"/>
        <v>#NUM!</v>
      </c>
      <c r="BH195" s="62" t="e">
        <f t="shared" si="116"/>
        <v>#NUM!</v>
      </c>
      <c r="BI195" s="62">
        <f ca="1">AVERAGE(OFFSET($BH$3,0,0,'Données projet'!$E$11+1,1))-AVERAGE(OFFSET($H$3,0,0,'Données projet'!$E$11+1,1))</f>
        <v>475.47920969424894</v>
      </c>
      <c r="BJ195" s="62">
        <f t="shared" si="146"/>
        <v>271.73544012419364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>
        <f>EXP(-LN(2)/35)*BP194+(1-EXP(-LN(2)/35))/(LN(2)/35)*BL195*BM195*VLOOKUP('Données projet'!$B$11,Paramètres!$A$1:$I$89,3,0)*0.475*44/12</f>
        <v>0</v>
      </c>
      <c r="BQ195" s="23">
        <f>EXP(-LN(2)/25)*BQ194+(1-EXP(-LN(2)/25))/(LN(2)/25)*Calculateur!BL195*Calculateur!BN195*VLOOKUP('Données projet'!$B$11,Paramètres!$A$1:$I$89,3,0)*0.475*44/12</f>
        <v>0</v>
      </c>
      <c r="BR195" s="23">
        <f>EXP(-LN(2)/2)*BR194+(1-EXP(-LN(2)/2))/(LN(2)/2)*BL195*BO195*VLOOKUP('Données projet'!$B$11,Paramètres!$A$1:$I$89,3,0)*0.475*44/12</f>
        <v>0</v>
      </c>
      <c r="BS195" s="24">
        <f t="shared" si="169"/>
        <v>0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2.2737367544323206E-13</v>
      </c>
      <c r="BZ195" s="14">
        <f>BY195*VLOOKUP('Données projet'!$B$12,Paramètres!$A$1:$I$89,3,0)*VLOOKUP('Données projet'!$B$12,Paramètres!$A$1:$I$89,5,0)</f>
        <v>1.2710188457276673E-13</v>
      </c>
      <c r="CA195" s="14">
        <f t="shared" si="170"/>
        <v>1.856866851063998E-12</v>
      </c>
      <c r="CB195" s="22">
        <f t="shared" si="171"/>
        <v>3.4554122145673649E-12</v>
      </c>
      <c r="CC195" s="62">
        <f t="shared" si="119"/>
        <v>293.33333333333678</v>
      </c>
      <c r="CD195" s="62">
        <f ca="1">AVERAGE(OFFSET($CC$3,0,0,'Données projet'!$E$12+1,1))-AVERAGE(OFFSET($H$3,0,0,'Données projet'!$E$12+1,1))</f>
        <v>323.98185264074681</v>
      </c>
      <c r="CE195" s="62">
        <f t="shared" si="148"/>
        <v>301.22207291854005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>
        <f>EXP(-LN(2)/35)*CK194+(1-EXP(-LN(2)/35))/(LN(2)/35)*CG195*CH195*VLOOKUP('Données projet'!$B$12,Paramètres!$A$1:$I$89,3,0)*0.475*44/12</f>
        <v>0.18039395215100262</v>
      </c>
      <c r="CL195" s="23">
        <f>EXP(-LN(2)/25)*CL194+(1-EXP(-LN(2)/25))/(LN(2)/25)*Calculateur!CG195*Calculateur!CI195*VLOOKUP('Données projet'!$B$12,Paramètres!$A$1:$I$89,3,0)*0.475*44/12</f>
        <v>9.2392645330376805E-2</v>
      </c>
      <c r="CM195" s="23">
        <f>EXP(-LN(2)/2)*CM194+(1-EXP(-LN(2)/2))/(LN(2)/2)*CG195*CJ195*VLOOKUP('Données projet'!$B$12,Paramètres!$A$1:$I$89,3,0)*0.475*44/12</f>
        <v>2.517858035970577E-24</v>
      </c>
      <c r="CN195" s="24">
        <f t="shared" si="172"/>
        <v>0.27278659748137946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>
        <f>CT195*VLOOKUP('Données projet'!$B$13,Paramètres!$A$1:$I$89,3,0)*VLOOKUP('Données projet'!$B$13,Paramètres!$A$1:$I$89,5,0)</f>
        <v>0</v>
      </c>
      <c r="CV195" s="14" t="e">
        <f t="shared" si="173"/>
        <v>#NUM!</v>
      </c>
      <c r="CW195" s="22" t="e">
        <f t="shared" si="174"/>
        <v>#NUM!</v>
      </c>
      <c r="CX195" s="62" t="e">
        <f t="shared" si="122"/>
        <v>#NUM!</v>
      </c>
      <c r="CY195" s="62">
        <f ca="1">AVERAGE(OFFSET($CX$3,0,0,'Données projet'!$E$13+1,1))-AVERAGE(OFFSET($H$3,0,0,'Données projet'!$E$13+1,1))</f>
        <v>399.78832690250164</v>
      </c>
      <c r="CZ195" s="62">
        <f t="shared" si="150"/>
        <v>174.32967064896343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>
        <f>EXP(-LN(2)/35)*DF194+(1-EXP(-LN(2)/35))/(LN(2)/35)*DB195*DC195*VLOOKUP('Données projet'!$B$13,Paramètres!$A$1:$I$89,3,0)*0.475*44/12</f>
        <v>0</v>
      </c>
      <c r="DG195" s="23">
        <f>EXP(-LN(2)/25)*DG194+(1-EXP(-LN(2)/25))/(LN(2)/25)*Calculateur!DB195*Calculateur!DD195*VLOOKUP('Données projet'!$B$13,Paramètres!$A$1:$I$89,3,0)*0.475*44/12</f>
        <v>0</v>
      </c>
      <c r="DH195" s="23">
        <f>EXP(-LN(2)/2)*DH194+(1-EXP(-LN(2)/2))/(LN(2)/2)*DB195*DE195*VLOOKUP('Données projet'!$B$13,Paramètres!$A$1:$I$89,3,0)*0.475*44/12</f>
        <v>0</v>
      </c>
      <c r="DI195" s="24">
        <f t="shared" si="175"/>
        <v>0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-9.6633812063373625E-13</v>
      </c>
      <c r="DP195" s="18">
        <f>DO195*VLOOKUP('Données projet'!$B$14,Paramètres!$A$1:$I$89,3,0)*VLOOKUP('Données projet'!$B$14,Paramètres!$A$1:$I$89,5,0)</f>
        <v>-8.1404323282185943E-13</v>
      </c>
      <c r="DQ195" s="14" t="e">
        <f t="shared" si="176"/>
        <v>#NUM!</v>
      </c>
      <c r="DR195" s="22" t="e">
        <f t="shared" si="177"/>
        <v>#NUM!</v>
      </c>
      <c r="DS195" s="62" t="e">
        <f t="shared" si="125"/>
        <v>#NUM!</v>
      </c>
      <c r="DT195" s="62">
        <f ca="1">AVERAGE(OFFSET($DS$3,0,0,'Données projet'!$E$14+1,1))-AVERAGE(OFFSET($H$3,0,0,'Données projet'!$E$14+1,1))</f>
        <v>402.15128814037058</v>
      </c>
      <c r="DU195" s="62">
        <f t="shared" si="152"/>
        <v>232.85411068442738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>
        <f>EXP(-LN(2)/35)*EA194+(1-EXP(-LN(2)/35))/(LN(2)/35)*DW195*DX195*VLOOKUP('Données projet'!$B$14,Paramètres!$A$1:$I$89,3,0)*0.475*44/12</f>
        <v>0</v>
      </c>
      <c r="EB195" s="23">
        <f>EXP(-LN(2)/25)*EB194+(1-EXP(-LN(2)/25))/(LN(2)/25)*Calculateur!DW195*Calculateur!DY195*VLOOKUP('Données projet'!$B$14,Paramètres!$A$1:$I$89,3,0)*0.475*44/12</f>
        <v>0</v>
      </c>
      <c r="EC195" s="23">
        <f>EXP(-LN(2)/2)*EC194+(1-EXP(-LN(2)/2))/(LN(2)/2)*DW195*DZ195*VLOOKUP('Données projet'!$B$14,Paramètres!$A$1:$I$89,3,0)*0.475*44/12</f>
        <v>0</v>
      </c>
      <c r="ED195" s="24">
        <f t="shared" si="178"/>
        <v>0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6.2527760746888816E-13</v>
      </c>
      <c r="EK195" s="18">
        <f>EJ195*VLOOKUP('Données projet'!$B$15,Paramètres!$A$1:$I$89,3,0)*VLOOKUP('Données projet'!$B$15,Paramètres!$A$1:$I$89,5,0)</f>
        <v>6.5354015532648198E-13</v>
      </c>
      <c r="EL195" s="14">
        <f t="shared" si="179"/>
        <v>7.8909019831354483E-12</v>
      </c>
      <c r="EM195" s="22">
        <f t="shared" si="180"/>
        <v>1.4881570057821194E-11</v>
      </c>
      <c r="EN195" s="62">
        <f t="shared" si="128"/>
        <v>293.33333333334821</v>
      </c>
      <c r="EO195" s="62">
        <f ca="1">AVERAGE(OFFSET($EN$3,0,0,'Données projet'!$E$15+1,1))-AVERAGE(OFFSET($H$3,0,0,'Données projet'!$E$15+1,1))</f>
        <v>595.89992279024398</v>
      </c>
      <c r="EP195" s="62">
        <f t="shared" si="154"/>
        <v>378.16197659288338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>
        <f>EXP(-LN(2)/35)*EV194+(1-EXP(-LN(2)/35))/(LN(2)/35)*ER195*ES195*VLOOKUP('Données projet'!$B$15,Paramètres!$A$1:$I$89,3,0)*0.475*44/12</f>
        <v>0</v>
      </c>
      <c r="EW195" s="23">
        <f>EXP(-LN(2)/25)*EW194+(1-EXP(-LN(2)/25))/(LN(2)/25)*Calculateur!ER195*Calculateur!ET195*VLOOKUP('Données projet'!$B$15,Paramètres!$A$1:$I$89,3,0)*0.475*44/12</f>
        <v>0</v>
      </c>
      <c r="EX195" s="23">
        <f>EXP(-LN(2)/2)*EX194+(1-EXP(-LN(2)/2))/(LN(2)/2)*ER195*EU195*VLOOKUP('Données projet'!$B$15,Paramètres!$A$1:$I$89,3,0)*0.475*44/12</f>
        <v>0</v>
      </c>
      <c r="EY195" s="24">
        <f t="shared" si="181"/>
        <v>0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-2.2737367544323206E-13</v>
      </c>
      <c r="FF195" s="18">
        <f>FE195*VLOOKUP('Données projet'!$B$16,Paramètres!$A$1:$I$89,3,0)*VLOOKUP('Données projet'!$B$16,Paramètres!$A$1:$I$89,5,0)</f>
        <v>-1.3596945791505279E-13</v>
      </c>
      <c r="FG195" s="14" t="e">
        <f t="shared" si="182"/>
        <v>#NUM!</v>
      </c>
      <c r="FH195" s="22" t="e">
        <f t="shared" si="183"/>
        <v>#NUM!</v>
      </c>
      <c r="FI195" s="62" t="e">
        <f t="shared" si="131"/>
        <v>#NUM!</v>
      </c>
      <c r="FJ195" s="62">
        <f ca="1">AVERAGE(OFFSET($FI$3,0,0,'Données projet'!$E$16+1,1))-AVERAGE(OFFSET($H$3,0,0,'Données projet'!$E$16+1,1))</f>
        <v>257.56116197646924</v>
      </c>
      <c r="FK195" s="62">
        <f t="shared" si="156"/>
        <v>269.95556918835888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>
        <f>EXP(-LN(2)/35)*FQ194+(1-EXP(-LN(2)/35))/(LN(2)/35)*FM195*FN195*VLOOKUP('Données projet'!$B$16,Paramètres!$A$1:$I$89,3,0)*0.475*44/12</f>
        <v>0.58946990168794566</v>
      </c>
      <c r="FR195" s="23">
        <f>EXP(-LN(2)/25)*FR194+(1-EXP(-LN(2)/25))/(LN(2)/25)*Calculateur!FM195*Calculateur!FO195*VLOOKUP('Données projet'!$B$16,Paramètres!$A$1:$I$89,3,0)*0.475*44/12</f>
        <v>0.18084722119587307</v>
      </c>
      <c r="FS195" s="23">
        <f>EXP(-LN(2)/2)*FS194+(1-EXP(-LN(2)/2))/(LN(2)/2)*FM195*FP195*VLOOKUP('Données projet'!$B$16,Paramètres!$A$1:$I$89,3,0)*0.475*44/12</f>
        <v>3.5378859824094829E-24</v>
      </c>
      <c r="FT195" s="24">
        <f t="shared" si="184"/>
        <v>0.77031712288381871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-2.8421709430404007E-13</v>
      </c>
      <c r="GA195" s="18">
        <f>FZ195*VLOOKUP('Données projet'!$B$17,Paramètres!$A$1:$I$89,3,0)*VLOOKUP('Données projet'!$B$17,Paramètres!$A$1:$I$89,5,0)</f>
        <v>-1.69961822393816E-13</v>
      </c>
      <c r="GB195" s="14" t="e">
        <f t="shared" si="185"/>
        <v>#NUM!</v>
      </c>
      <c r="GC195" s="22" t="e">
        <f t="shared" si="186"/>
        <v>#NUM!</v>
      </c>
      <c r="GD195" s="62" t="e">
        <f t="shared" si="134"/>
        <v>#NUM!</v>
      </c>
      <c r="GE195" s="62">
        <f ca="1">AVERAGE(OFFSET($GD$3,0,0,'Données projet'!$E$17+1,1))-AVERAGE(OFFSET($H$3,0,0,'Données projet'!$E$17+1,1))</f>
        <v>289.12367833861299</v>
      </c>
      <c r="GF195" s="62">
        <f t="shared" si="158"/>
        <v>229.06617320689003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>
        <f>EXP(-LN(2)/35)*GL194+(1-EXP(-LN(2)/35))/(LN(2)/35)*GH195*GI195*VLOOKUP('Données projet'!$B$17,Paramètres!$A$1:$I$89,3,0)*0.475*44/12</f>
        <v>0</v>
      </c>
      <c r="GM195" s="23">
        <f>EXP(-LN(2)/25)*GM194+(1-EXP(-LN(2)/25))/(LN(2)/25)*Calculateur!GH195*Calculateur!GJ195*VLOOKUP('Données projet'!$B$17,Paramètres!$A$1:$I$89,3,0)*0.475*44/12</f>
        <v>0</v>
      </c>
      <c r="GN195" s="23">
        <f>EXP(-LN(2)/2)*GN194+(1-EXP(-LN(2)/2))/(LN(2)/2)*GH195*GK195*VLOOKUP('Données projet'!$B$17,Paramètres!$A$1:$I$89,3,0)*0.475*44/12</f>
        <v>1.7150907899987368E-24</v>
      </c>
      <c r="GO195" s="23">
        <f t="shared" si="187"/>
        <v>1.7150907899987368E-24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-5.6843418860808015E-14</v>
      </c>
      <c r="GV195" s="18">
        <f>GU195*VLOOKUP('Données projet'!$B$18,Paramètres!$A$1:$I$89,3,0)*VLOOKUP('Données projet'!$B$18,Paramètres!$A$1:$I$89,5,0)</f>
        <v>-2.6602720026858149E-14</v>
      </c>
      <c r="GW195" s="14" t="e">
        <f t="shared" si="188"/>
        <v>#NUM!</v>
      </c>
      <c r="GX195" s="22" t="e">
        <f t="shared" si="189"/>
        <v>#NUM!</v>
      </c>
      <c r="GY195" s="62" t="e">
        <f t="shared" si="137"/>
        <v>#NUM!</v>
      </c>
      <c r="GZ195" s="62">
        <f ca="1">AVERAGE(OFFSET($GY$3,0,0,'Données projet'!$E$18+1,1))-AVERAGE(OFFSET($H$3,0,0,'Données projet'!$E$18+1,1))</f>
        <v>284.88646502866419</v>
      </c>
      <c r="HA195" s="62">
        <f t="shared" si="160"/>
        <v>190.4880882944471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>
        <f>EXP(-LN(2)/35)*HG194+(1-EXP(-LN(2)/35))/(LN(2)/35)*HC195*HD195*VLOOKUP('Données projet'!$B$18,Paramètres!$A$1:$I$89,3,0)*0.475*44/12</f>
        <v>0</v>
      </c>
      <c r="HH195" s="23">
        <f>EXP(-LN(2)/25)*HH194+(1-EXP(-LN(2)/25))/(LN(2)/25)*Calculateur!HC195*Calculateur!HE195*VLOOKUP('Données projet'!$B$18,Paramètres!$A$1:$I$89,3,0)*0.475*44/12</f>
        <v>0</v>
      </c>
      <c r="HI195" s="23">
        <f>EXP(-LN(2)/2)*HI194+(1-EXP(-LN(2)/2))/(LN(2)/2)*HC195*HF195*VLOOKUP('Données projet'!$B$18,Paramètres!$A$1:$I$89,3,0)*0.475*44/12</f>
        <v>0</v>
      </c>
      <c r="HJ195" s="24">
        <f t="shared" si="190"/>
        <v>0</v>
      </c>
    </row>
    <row r="196" spans="1:218" x14ac:dyDescent="0.25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2">
        <f t="shared" si="140"/>
        <v>0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0</v>
      </c>
      <c r="H196" s="70">
        <f t="shared" ref="H196:H203" si="192">(B196+E196+F196)*44/12+(C196+D196)*0.475*44/12</f>
        <v>256.66666666666669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-1.1368683772161603E-13</v>
      </c>
      <c r="O196" s="14">
        <f>N196*VLOOKUP('Données projet'!$B$9,Paramètres!$A$1:$I$89,3,0)*VLOOKUP('Données projet'!$B$9,Paramètres!$A$1:$I$89,5,0)</f>
        <v>-1.0818439477588981E-13</v>
      </c>
      <c r="P196" s="14" t="e">
        <f t="shared" si="141"/>
        <v>#NUM!</v>
      </c>
      <c r="Q196" s="22" t="e">
        <f t="shared" si="162"/>
        <v>#NUM!</v>
      </c>
      <c r="R196" s="62" t="e">
        <f t="shared" si="191"/>
        <v>#NUM!</v>
      </c>
      <c r="S196" s="62">
        <f ca="1">AVERAGE(OFFSET($R$3,0,0,'Données projet'!$E$9+1,1))-AVERAGE(OFFSET($H$3,0,0,'Données projet'!$E$9+1,1))</f>
        <v>367.11183928586667</v>
      </c>
      <c r="T196" s="62">
        <f t="shared" si="142"/>
        <v>281.52963027844595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0</v>
      </c>
      <c r="AA196" s="23">
        <f>EXP(-LN(2)/25)*AA195+(1-EXP(-LN(2)/25))/(LN(2)/25)*Calculateur!V196*Calculateur!X196*VLOOKUP('Données projet'!$B$9,Paramètres!$A$1:$I$89,3,0)*0.475*44/12</f>
        <v>0</v>
      </c>
      <c r="AB196" s="23">
        <f>EXP(-LN(2)/2)*AB195+(1-EXP(-LN(2)/2))/(LN(2)/2)*V196*Y196*VLOOKUP('Données projet'!$B$9,Paramètres!$A$1:$I$89,3,0)*0.475*44/12</f>
        <v>0</v>
      </c>
      <c r="AC196" s="24">
        <f t="shared" si="163"/>
        <v>0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-9.6633812063373625E-13</v>
      </c>
      <c r="AJ196" s="14">
        <f>AI196*VLOOKUP('Données projet'!$B$10,Paramètres!$A$1:$I$89,3,0)*VLOOKUP('Données projet'!$B$10,Paramètres!$A$1:$I$89,5,0)</f>
        <v>-8.7434273154940449E-13</v>
      </c>
      <c r="AK196" s="14" t="e">
        <f t="shared" si="164"/>
        <v>#NUM!</v>
      </c>
      <c r="AL196" s="22" t="e">
        <f t="shared" si="165"/>
        <v>#NUM!</v>
      </c>
      <c r="AM196" s="62" t="e">
        <f t="shared" ref="AM196:AM203" si="193">AL196+(AD196+AE196)*44/12</f>
        <v>#NUM!</v>
      </c>
      <c r="AN196" s="62">
        <f ca="1">AVERAGE(OFFSET($AM$3,0,0,'Données projet'!$E$10+1,1))-AVERAGE(OFFSET($H$3,0,0,'Données projet'!$E$10+1,1))</f>
        <v>428.8489304403459</v>
      </c>
      <c r="AO196" s="62">
        <f t="shared" si="144"/>
        <v>247.01165577562966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0</v>
      </c>
      <c r="AV196" s="23">
        <f>EXP(-LN(2)/25)*AV195+(1-EXP(-LN(2)/25))/(LN(2)/25)*Calculateur!AQ196*Calculateur!AS196*VLOOKUP('Données projet'!$B$10,Paramètres!$A$1:$I$89,3,0)*0.475*44/12</f>
        <v>0</v>
      </c>
      <c r="AW196" s="23">
        <f>EXP(-LN(2)/2)*AW195+(1-EXP(-LN(2)/2))/(LN(2)/2)*AQ196*AT196*VLOOKUP('Données projet'!$B$10,Paramètres!$A$1:$I$89,3,0)*0.475*44/12</f>
        <v>0</v>
      </c>
      <c r="AX196" s="23">
        <f t="shared" si="166"/>
        <v>0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-9.6633812063373625E-13</v>
      </c>
      <c r="BE196" s="14">
        <f>BD196*VLOOKUP('Données projet'!$B$11,Paramètres!$A$1:$I$89,3,0)*VLOOKUP('Données projet'!$B$11,Paramètres!$A$1:$I$89,5,0)</f>
        <v>-9.7986685432260874E-13</v>
      </c>
      <c r="BF196" s="14" t="e">
        <f t="shared" si="167"/>
        <v>#NUM!</v>
      </c>
      <c r="BG196" s="22" t="e">
        <f t="shared" si="168"/>
        <v>#NUM!</v>
      </c>
      <c r="BH196" s="62" t="e">
        <f t="shared" ref="BH196:BH203" si="194">BG196+(AY196+AZ196)*44/12</f>
        <v>#NUM!</v>
      </c>
      <c r="BI196" s="62">
        <f ca="1">AVERAGE(OFFSET($BH$3,0,0,'Données projet'!$E$11+1,1))-AVERAGE(OFFSET($H$3,0,0,'Données projet'!$E$11+1,1))</f>
        <v>475.47920969424894</v>
      </c>
      <c r="BJ196" s="62">
        <f t="shared" si="146"/>
        <v>271.73544012419364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>
        <f>EXP(-LN(2)/35)*BP195+(1-EXP(-LN(2)/35))/(LN(2)/35)*BL196*BM196*VLOOKUP('Données projet'!$B$11,Paramètres!$A$1:$I$89,3,0)*0.475*44/12</f>
        <v>0</v>
      </c>
      <c r="BQ196" s="23">
        <f>EXP(-LN(2)/25)*BQ195+(1-EXP(-LN(2)/25))/(LN(2)/25)*Calculateur!BL196*Calculateur!BN196*VLOOKUP('Données projet'!$B$11,Paramètres!$A$1:$I$89,3,0)*0.475*44/12</f>
        <v>0</v>
      </c>
      <c r="BR196" s="23">
        <f>EXP(-LN(2)/2)*BR195+(1-EXP(-LN(2)/2))/(LN(2)/2)*BL196*BO196*VLOOKUP('Données projet'!$B$11,Paramètres!$A$1:$I$89,3,0)*0.475*44/12</f>
        <v>0</v>
      </c>
      <c r="BS196" s="24">
        <f t="shared" si="169"/>
        <v>0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2.2737367544323206E-13</v>
      </c>
      <c r="BZ196" s="14">
        <f>BY196*VLOOKUP('Données projet'!$B$12,Paramètres!$A$1:$I$89,3,0)*VLOOKUP('Données projet'!$B$12,Paramètres!$A$1:$I$89,5,0)</f>
        <v>1.2710188457276673E-13</v>
      </c>
      <c r="CA196" s="14">
        <f t="shared" si="170"/>
        <v>1.856866851063998E-12</v>
      </c>
      <c r="CB196" s="22">
        <f t="shared" si="171"/>
        <v>3.4554122145673649E-12</v>
      </c>
      <c r="CC196" s="62">
        <f t="shared" ref="CC196:CC203" si="195">CB196+(BT196+BU196)*44/12</f>
        <v>293.33333333333678</v>
      </c>
      <c r="CD196" s="62">
        <f ca="1">AVERAGE(OFFSET($CC$3,0,0,'Données projet'!$E$12+1,1))-AVERAGE(OFFSET($H$3,0,0,'Données projet'!$E$12+1,1))</f>
        <v>323.98185264074681</v>
      </c>
      <c r="CE196" s="62">
        <f t="shared" si="148"/>
        <v>301.22207291854005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>
        <f>EXP(-LN(2)/35)*CK195+(1-EXP(-LN(2)/35))/(LN(2)/35)*CG196*CH196*VLOOKUP('Données projet'!$B$12,Paramètres!$A$1:$I$89,3,0)*0.475*44/12</f>
        <v>0.17685653677876778</v>
      </c>
      <c r="CL196" s="23">
        <f>EXP(-LN(2)/25)*CL195+(1-EXP(-LN(2)/25))/(LN(2)/25)*Calculateur!CG196*Calculateur!CI196*VLOOKUP('Données projet'!$B$12,Paramètres!$A$1:$I$89,3,0)*0.475*44/12</f>
        <v>8.9866163585099593E-2</v>
      </c>
      <c r="CM196" s="23">
        <f>EXP(-LN(2)/2)*CM195+(1-EXP(-LN(2)/2))/(LN(2)/2)*CG196*CJ196*VLOOKUP('Données projet'!$B$12,Paramètres!$A$1:$I$89,3,0)*0.475*44/12</f>
        <v>1.7803944912998371E-24</v>
      </c>
      <c r="CN196" s="24">
        <f t="shared" si="172"/>
        <v>0.26672270036386736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>
        <f>CT196*VLOOKUP('Données projet'!$B$13,Paramètres!$A$1:$I$89,3,0)*VLOOKUP('Données projet'!$B$13,Paramètres!$A$1:$I$89,5,0)</f>
        <v>0</v>
      </c>
      <c r="CV196" s="14" t="e">
        <f t="shared" si="173"/>
        <v>#NUM!</v>
      </c>
      <c r="CW196" s="22" t="e">
        <f t="shared" si="174"/>
        <v>#NUM!</v>
      </c>
      <c r="CX196" s="62" t="e">
        <f t="shared" ref="CX196:CX203" si="196">CW196+(CO196+CP196)*44/12</f>
        <v>#NUM!</v>
      </c>
      <c r="CY196" s="62">
        <f ca="1">AVERAGE(OFFSET($CX$3,0,0,'Données projet'!$E$13+1,1))-AVERAGE(OFFSET($H$3,0,0,'Données projet'!$E$13+1,1))</f>
        <v>399.78832690250164</v>
      </c>
      <c r="CZ196" s="62">
        <f t="shared" si="150"/>
        <v>174.32967064896343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>
        <f>EXP(-LN(2)/35)*DF195+(1-EXP(-LN(2)/35))/(LN(2)/35)*DB196*DC196*VLOOKUP('Données projet'!$B$13,Paramètres!$A$1:$I$89,3,0)*0.475*44/12</f>
        <v>0</v>
      </c>
      <c r="DG196" s="23">
        <f>EXP(-LN(2)/25)*DG195+(1-EXP(-LN(2)/25))/(LN(2)/25)*Calculateur!DB196*Calculateur!DD196*VLOOKUP('Données projet'!$B$13,Paramètres!$A$1:$I$89,3,0)*0.475*44/12</f>
        <v>0</v>
      </c>
      <c r="DH196" s="23">
        <f>EXP(-LN(2)/2)*DH195+(1-EXP(-LN(2)/2))/(LN(2)/2)*DB196*DE196*VLOOKUP('Données projet'!$B$13,Paramètres!$A$1:$I$89,3,0)*0.475*44/12</f>
        <v>0</v>
      </c>
      <c r="DI196" s="24">
        <f t="shared" si="175"/>
        <v>0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-9.6633812063373625E-13</v>
      </c>
      <c r="DP196" s="18">
        <f>DO196*VLOOKUP('Données projet'!$B$14,Paramètres!$A$1:$I$89,3,0)*VLOOKUP('Données projet'!$B$14,Paramètres!$A$1:$I$89,5,0)</f>
        <v>-8.1404323282185943E-13</v>
      </c>
      <c r="DQ196" s="14" t="e">
        <f t="shared" si="176"/>
        <v>#NUM!</v>
      </c>
      <c r="DR196" s="22" t="e">
        <f t="shared" si="177"/>
        <v>#NUM!</v>
      </c>
      <c r="DS196" s="62" t="e">
        <f t="shared" ref="DS196:DS203" si="197">DR196+(DJ196+DK196)*44/12</f>
        <v>#NUM!</v>
      </c>
      <c r="DT196" s="62">
        <f ca="1">AVERAGE(OFFSET($DS$3,0,0,'Données projet'!$E$14+1,1))-AVERAGE(OFFSET($H$3,0,0,'Données projet'!$E$14+1,1))</f>
        <v>402.15128814037058</v>
      </c>
      <c r="DU196" s="62">
        <f t="shared" si="152"/>
        <v>232.85411068442738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>
        <f>EXP(-LN(2)/35)*EA195+(1-EXP(-LN(2)/35))/(LN(2)/35)*DW196*DX196*VLOOKUP('Données projet'!$B$14,Paramètres!$A$1:$I$89,3,0)*0.475*44/12</f>
        <v>0</v>
      </c>
      <c r="EB196" s="23">
        <f>EXP(-LN(2)/25)*EB195+(1-EXP(-LN(2)/25))/(LN(2)/25)*Calculateur!DW196*Calculateur!DY196*VLOOKUP('Données projet'!$B$14,Paramètres!$A$1:$I$89,3,0)*0.475*44/12</f>
        <v>0</v>
      </c>
      <c r="EC196" s="23">
        <f>EXP(-LN(2)/2)*EC195+(1-EXP(-LN(2)/2))/(LN(2)/2)*DW196*DZ196*VLOOKUP('Données projet'!$B$14,Paramètres!$A$1:$I$89,3,0)*0.475*44/12</f>
        <v>0</v>
      </c>
      <c r="ED196" s="24">
        <f t="shared" si="178"/>
        <v>0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6.2527760746888816E-13</v>
      </c>
      <c r="EK196" s="18">
        <f>EJ196*VLOOKUP('Données projet'!$B$15,Paramètres!$A$1:$I$89,3,0)*VLOOKUP('Données projet'!$B$15,Paramètres!$A$1:$I$89,5,0)</f>
        <v>6.5354015532648198E-13</v>
      </c>
      <c r="EL196" s="14">
        <f t="shared" si="179"/>
        <v>7.8909019831354483E-12</v>
      </c>
      <c r="EM196" s="22">
        <f t="shared" si="180"/>
        <v>1.4881570057821194E-11</v>
      </c>
      <c r="EN196" s="62">
        <f t="shared" ref="EN196:EN203" si="198">EM196+(EE196+EF196)*44/12</f>
        <v>293.33333333334821</v>
      </c>
      <c r="EO196" s="62">
        <f ca="1">AVERAGE(OFFSET($EN$3,0,0,'Données projet'!$E$15+1,1))-AVERAGE(OFFSET($H$3,0,0,'Données projet'!$E$15+1,1))</f>
        <v>595.89992279024398</v>
      </c>
      <c r="EP196" s="62">
        <f t="shared" si="154"/>
        <v>378.16197659288338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>
        <f>EXP(-LN(2)/35)*EV195+(1-EXP(-LN(2)/35))/(LN(2)/35)*ER196*ES196*VLOOKUP('Données projet'!$B$15,Paramètres!$A$1:$I$89,3,0)*0.475*44/12</f>
        <v>0</v>
      </c>
      <c r="EW196" s="23">
        <f>EXP(-LN(2)/25)*EW195+(1-EXP(-LN(2)/25))/(LN(2)/25)*Calculateur!ER196*Calculateur!ET196*VLOOKUP('Données projet'!$B$15,Paramètres!$A$1:$I$89,3,0)*0.475*44/12</f>
        <v>0</v>
      </c>
      <c r="EX196" s="23">
        <f>EXP(-LN(2)/2)*EX195+(1-EXP(-LN(2)/2))/(LN(2)/2)*ER196*EU196*VLOOKUP('Données projet'!$B$15,Paramètres!$A$1:$I$89,3,0)*0.475*44/12</f>
        <v>0</v>
      </c>
      <c r="EY196" s="24">
        <f t="shared" si="181"/>
        <v>0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-2.2737367544323206E-13</v>
      </c>
      <c r="FF196" s="18">
        <f>FE196*VLOOKUP('Données projet'!$B$16,Paramètres!$A$1:$I$89,3,0)*VLOOKUP('Données projet'!$B$16,Paramètres!$A$1:$I$89,5,0)</f>
        <v>-1.3596945791505279E-13</v>
      </c>
      <c r="FG196" s="14" t="e">
        <f t="shared" si="182"/>
        <v>#NUM!</v>
      </c>
      <c r="FH196" s="22" t="e">
        <f t="shared" si="183"/>
        <v>#NUM!</v>
      </c>
      <c r="FI196" s="62" t="e">
        <f t="shared" ref="FI196:FI203" si="199">FH196+(EZ196+FA196)*44/12</f>
        <v>#NUM!</v>
      </c>
      <c r="FJ196" s="62">
        <f ca="1">AVERAGE(OFFSET($FI$3,0,0,'Données projet'!$E$16+1,1))-AVERAGE(OFFSET($H$3,0,0,'Données projet'!$E$16+1,1))</f>
        <v>257.56116197646924</v>
      </c>
      <c r="FK196" s="62">
        <f t="shared" si="156"/>
        <v>269.95556918835888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>
        <f>EXP(-LN(2)/35)*FQ195+(1-EXP(-LN(2)/35))/(LN(2)/35)*FM196*FN196*VLOOKUP('Données projet'!$B$16,Paramètres!$A$1:$I$89,3,0)*0.475*44/12</f>
        <v>0.57791075645698331</v>
      </c>
      <c r="FR196" s="23">
        <f>EXP(-LN(2)/25)*FR195+(1-EXP(-LN(2)/25))/(LN(2)/25)*Calculateur!FM196*Calculateur!FO196*VLOOKUP('Données projet'!$B$16,Paramètres!$A$1:$I$89,3,0)*0.475*44/12</f>
        <v>0.17590194442192988</v>
      </c>
      <c r="FS196" s="23">
        <f>EXP(-LN(2)/2)*FS195+(1-EXP(-LN(2)/2))/(LN(2)/2)*FM196*FP196*VLOOKUP('Données projet'!$B$16,Paramètres!$A$1:$I$89,3,0)*0.475*44/12</f>
        <v>2.501663169226576E-24</v>
      </c>
      <c r="FT196" s="24">
        <f t="shared" si="184"/>
        <v>0.75381270087891317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-2.8421709430404007E-13</v>
      </c>
      <c r="GA196" s="18">
        <f>FZ196*VLOOKUP('Données projet'!$B$17,Paramètres!$A$1:$I$89,3,0)*VLOOKUP('Données projet'!$B$17,Paramètres!$A$1:$I$89,5,0)</f>
        <v>-1.69961822393816E-13</v>
      </c>
      <c r="GB196" s="14" t="e">
        <f t="shared" si="185"/>
        <v>#NUM!</v>
      </c>
      <c r="GC196" s="22" t="e">
        <f t="shared" si="186"/>
        <v>#NUM!</v>
      </c>
      <c r="GD196" s="62" t="e">
        <f t="shared" ref="GD196:GD203" si="200">GC196+(FU196+FV196)*44/12</f>
        <v>#NUM!</v>
      </c>
      <c r="GE196" s="62">
        <f ca="1">AVERAGE(OFFSET($GD$3,0,0,'Données projet'!$E$17+1,1))-AVERAGE(OFFSET($H$3,0,0,'Données projet'!$E$17+1,1))</f>
        <v>289.12367833861299</v>
      </c>
      <c r="GF196" s="62">
        <f t="shared" si="158"/>
        <v>229.06617320689003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>
        <f>EXP(-LN(2)/35)*GL195+(1-EXP(-LN(2)/35))/(LN(2)/35)*GH196*GI196*VLOOKUP('Données projet'!$B$17,Paramètres!$A$1:$I$89,3,0)*0.475*44/12</f>
        <v>0</v>
      </c>
      <c r="GM196" s="23">
        <f>EXP(-LN(2)/25)*GM195+(1-EXP(-LN(2)/25))/(LN(2)/25)*Calculateur!GH196*Calculateur!GJ196*VLOOKUP('Données projet'!$B$17,Paramètres!$A$1:$I$89,3,0)*0.475*44/12</f>
        <v>0</v>
      </c>
      <c r="GN196" s="23">
        <f>EXP(-LN(2)/2)*GN195+(1-EXP(-LN(2)/2))/(LN(2)/2)*GH196*GK196*VLOOKUP('Données projet'!$B$17,Paramètres!$A$1:$I$89,3,0)*0.475*44/12</f>
        <v>1.2127523279586997E-24</v>
      </c>
      <c r="GO196" s="23">
        <f t="shared" si="187"/>
        <v>1.2127523279586997E-24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-5.6843418860808015E-14</v>
      </c>
      <c r="GV196" s="18">
        <f>GU196*VLOOKUP('Données projet'!$B$18,Paramètres!$A$1:$I$89,3,0)*VLOOKUP('Données projet'!$B$18,Paramètres!$A$1:$I$89,5,0)</f>
        <v>-2.6602720026858149E-14</v>
      </c>
      <c r="GW196" s="14" t="e">
        <f t="shared" si="188"/>
        <v>#NUM!</v>
      </c>
      <c r="GX196" s="22" t="e">
        <f t="shared" si="189"/>
        <v>#NUM!</v>
      </c>
      <c r="GY196" s="62" t="e">
        <f t="shared" ref="GY196:GY203" si="201">GX196+(GP196+GQ196)*44/12</f>
        <v>#NUM!</v>
      </c>
      <c r="GZ196" s="62">
        <f ca="1">AVERAGE(OFFSET($GY$3,0,0,'Données projet'!$E$18+1,1))-AVERAGE(OFFSET($H$3,0,0,'Données projet'!$E$18+1,1))</f>
        <v>284.88646502866419</v>
      </c>
      <c r="HA196" s="62">
        <f t="shared" si="160"/>
        <v>190.4880882944471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>
        <f>EXP(-LN(2)/35)*HG195+(1-EXP(-LN(2)/35))/(LN(2)/35)*HC196*HD196*VLOOKUP('Données projet'!$B$18,Paramètres!$A$1:$I$89,3,0)*0.475*44/12</f>
        <v>0</v>
      </c>
      <c r="HH196" s="23">
        <f>EXP(-LN(2)/25)*HH195+(1-EXP(-LN(2)/25))/(LN(2)/25)*Calculateur!HC196*Calculateur!HE196*VLOOKUP('Données projet'!$B$18,Paramètres!$A$1:$I$89,3,0)*0.475*44/12</f>
        <v>0</v>
      </c>
      <c r="HI196" s="23">
        <f>EXP(-LN(2)/2)*HI195+(1-EXP(-LN(2)/2))/(LN(2)/2)*HC196*HF196*VLOOKUP('Données projet'!$B$18,Paramètres!$A$1:$I$89,3,0)*0.475*44/12</f>
        <v>0</v>
      </c>
      <c r="HJ196" s="24">
        <f t="shared" si="190"/>
        <v>0</v>
      </c>
    </row>
    <row r="197" spans="1:218" x14ac:dyDescent="0.25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2">
        <f t="shared" ref="D197:D203" si="202">IFERROR(EXP(-1.0587+0.8836*LN(C197)+0.284),0)</f>
        <v>0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0</v>
      </c>
      <c r="H197" s="70">
        <f t="shared" si="192"/>
        <v>256.66666666666669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-1.1368683772161603E-13</v>
      </c>
      <c r="O197" s="14">
        <f>N197*VLOOKUP('Données projet'!$B$9,Paramètres!$A$1:$I$89,3,0)*VLOOKUP('Données projet'!$B$9,Paramètres!$A$1:$I$89,5,0)</f>
        <v>-1.0818439477588981E-13</v>
      </c>
      <c r="P197" s="14" t="e">
        <f t="shared" ref="P197:P203" si="203">EXP(-1.0587+0.8836*LN(O197)+0.284)</f>
        <v>#NUM!</v>
      </c>
      <c r="Q197" s="22" t="e">
        <f t="shared" si="162"/>
        <v>#NUM!</v>
      </c>
      <c r="R197" s="62" t="e">
        <f t="shared" si="191"/>
        <v>#NUM!</v>
      </c>
      <c r="S197" s="62">
        <f ca="1">AVERAGE(OFFSET($R$3,0,0,'Données projet'!$E$9+1,1))-AVERAGE(OFFSET($H$3,0,0,'Données projet'!$E$9+1,1))</f>
        <v>367.11183928586667</v>
      </c>
      <c r="T197" s="62">
        <f t="shared" ref="T197:T203" si="204">$T$3</f>
        <v>281.52963027844595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0</v>
      </c>
      <c r="AA197" s="23">
        <f>EXP(-LN(2)/25)*AA196+(1-EXP(-LN(2)/25))/(LN(2)/25)*Calculateur!V197*Calculateur!X197*VLOOKUP('Données projet'!$B$9,Paramètres!$A$1:$I$89,3,0)*0.475*44/12</f>
        <v>0</v>
      </c>
      <c r="AB197" s="23">
        <f>EXP(-LN(2)/2)*AB196+(1-EXP(-LN(2)/2))/(LN(2)/2)*V197*Y197*VLOOKUP('Données projet'!$B$9,Paramètres!$A$1:$I$89,3,0)*0.475*44/12</f>
        <v>0</v>
      </c>
      <c r="AC197" s="24">
        <f t="shared" si="163"/>
        <v>0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-9.6633812063373625E-13</v>
      </c>
      <c r="AJ197" s="14">
        <f>AI197*VLOOKUP('Données projet'!$B$10,Paramètres!$A$1:$I$89,3,0)*VLOOKUP('Données projet'!$B$10,Paramètres!$A$1:$I$89,5,0)</f>
        <v>-8.7434273154940449E-13</v>
      </c>
      <c r="AK197" s="14" t="e">
        <f t="shared" si="164"/>
        <v>#NUM!</v>
      </c>
      <c r="AL197" s="22" t="e">
        <f t="shared" si="165"/>
        <v>#NUM!</v>
      </c>
      <c r="AM197" s="62" t="e">
        <f t="shared" si="193"/>
        <v>#NUM!</v>
      </c>
      <c r="AN197" s="62">
        <f ca="1">AVERAGE(OFFSET($AM$3,0,0,'Données projet'!$E$10+1,1))-AVERAGE(OFFSET($H$3,0,0,'Données projet'!$E$10+1,1))</f>
        <v>428.8489304403459</v>
      </c>
      <c r="AO197" s="62">
        <f t="shared" ref="AO197:AO203" si="205">$AO$3</f>
        <v>247.01165577562966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0</v>
      </c>
      <c r="AV197" s="23">
        <f>EXP(-LN(2)/25)*AV196+(1-EXP(-LN(2)/25))/(LN(2)/25)*Calculateur!AQ197*Calculateur!AS197*VLOOKUP('Données projet'!$B$10,Paramètres!$A$1:$I$89,3,0)*0.475*44/12</f>
        <v>0</v>
      </c>
      <c r="AW197" s="23">
        <f>EXP(-LN(2)/2)*AW196+(1-EXP(-LN(2)/2))/(LN(2)/2)*AQ197*AT197*VLOOKUP('Données projet'!$B$10,Paramètres!$A$1:$I$89,3,0)*0.475*44/12</f>
        <v>0</v>
      </c>
      <c r="AX197" s="23">
        <f t="shared" si="166"/>
        <v>0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-9.6633812063373625E-13</v>
      </c>
      <c r="BE197" s="14">
        <f>BD197*VLOOKUP('Données projet'!$B$11,Paramètres!$A$1:$I$89,3,0)*VLOOKUP('Données projet'!$B$11,Paramètres!$A$1:$I$89,5,0)</f>
        <v>-9.7986685432260874E-13</v>
      </c>
      <c r="BF197" s="14" t="e">
        <f t="shared" si="167"/>
        <v>#NUM!</v>
      </c>
      <c r="BG197" s="22" t="e">
        <f t="shared" si="168"/>
        <v>#NUM!</v>
      </c>
      <c r="BH197" s="62" t="e">
        <f t="shared" si="194"/>
        <v>#NUM!</v>
      </c>
      <c r="BI197" s="62">
        <f ca="1">AVERAGE(OFFSET($BH$3,0,0,'Données projet'!$E$11+1,1))-AVERAGE(OFFSET($H$3,0,0,'Données projet'!$E$11+1,1))</f>
        <v>475.47920969424894</v>
      </c>
      <c r="BJ197" s="62">
        <f t="shared" ref="BJ197:BJ203" si="206">$BJ$3</f>
        <v>271.73544012419364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>
        <f>EXP(-LN(2)/35)*BP196+(1-EXP(-LN(2)/35))/(LN(2)/35)*BL197*BM197*VLOOKUP('Données projet'!$B$11,Paramètres!$A$1:$I$89,3,0)*0.475*44/12</f>
        <v>0</v>
      </c>
      <c r="BQ197" s="23">
        <f>EXP(-LN(2)/25)*BQ196+(1-EXP(-LN(2)/25))/(LN(2)/25)*Calculateur!BL197*Calculateur!BN197*VLOOKUP('Données projet'!$B$11,Paramètres!$A$1:$I$89,3,0)*0.475*44/12</f>
        <v>0</v>
      </c>
      <c r="BR197" s="23">
        <f>EXP(-LN(2)/2)*BR196+(1-EXP(-LN(2)/2))/(LN(2)/2)*BL197*BO197*VLOOKUP('Données projet'!$B$11,Paramètres!$A$1:$I$89,3,0)*0.475*44/12</f>
        <v>0</v>
      </c>
      <c r="BS197" s="24">
        <f t="shared" si="169"/>
        <v>0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2.2737367544323206E-13</v>
      </c>
      <c r="BZ197" s="14">
        <f>BY197*VLOOKUP('Données projet'!$B$12,Paramètres!$A$1:$I$89,3,0)*VLOOKUP('Données projet'!$B$12,Paramètres!$A$1:$I$89,5,0)</f>
        <v>1.2710188457276673E-13</v>
      </c>
      <c r="CA197" s="14">
        <f t="shared" si="170"/>
        <v>1.856866851063998E-12</v>
      </c>
      <c r="CB197" s="22">
        <f t="shared" si="171"/>
        <v>3.4554122145673649E-12</v>
      </c>
      <c r="CC197" s="62">
        <f t="shared" si="195"/>
        <v>293.33333333333678</v>
      </c>
      <c r="CD197" s="62">
        <f ca="1">AVERAGE(OFFSET($CC$3,0,0,'Données projet'!$E$12+1,1))-AVERAGE(OFFSET($H$3,0,0,'Données projet'!$E$12+1,1))</f>
        <v>323.98185264074681</v>
      </c>
      <c r="CE197" s="62">
        <f t="shared" ref="CE197:CE203" si="207">$CE$3</f>
        <v>301.22207291854005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>
        <f>EXP(-LN(2)/35)*CK196+(1-EXP(-LN(2)/35))/(LN(2)/35)*CG197*CH197*VLOOKUP('Données projet'!$B$12,Paramètres!$A$1:$I$89,3,0)*0.475*44/12</f>
        <v>0.17338848796437212</v>
      </c>
      <c r="CL197" s="23">
        <f>EXP(-LN(2)/25)*CL196+(1-EXP(-LN(2)/25))/(LN(2)/25)*Calculateur!CG197*Calculateur!CI197*VLOOKUP('Données projet'!$B$12,Paramètres!$A$1:$I$89,3,0)*0.475*44/12</f>
        <v>8.7408768616008894E-2</v>
      </c>
      <c r="CM197" s="23">
        <f>EXP(-LN(2)/2)*CM196+(1-EXP(-LN(2)/2))/(LN(2)/2)*CG197*CJ197*VLOOKUP('Données projet'!$B$12,Paramètres!$A$1:$I$89,3,0)*0.475*44/12</f>
        <v>1.2589290179852885E-24</v>
      </c>
      <c r="CN197" s="24">
        <f t="shared" si="172"/>
        <v>0.260797256580381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>
        <f>CT197*VLOOKUP('Données projet'!$B$13,Paramètres!$A$1:$I$89,3,0)*VLOOKUP('Données projet'!$B$13,Paramètres!$A$1:$I$89,5,0)</f>
        <v>0</v>
      </c>
      <c r="CV197" s="14" t="e">
        <f t="shared" si="173"/>
        <v>#NUM!</v>
      </c>
      <c r="CW197" s="22" t="e">
        <f t="shared" si="174"/>
        <v>#NUM!</v>
      </c>
      <c r="CX197" s="62" t="e">
        <f t="shared" si="196"/>
        <v>#NUM!</v>
      </c>
      <c r="CY197" s="62">
        <f ca="1">AVERAGE(OFFSET($CX$3,0,0,'Données projet'!$E$13+1,1))-AVERAGE(OFFSET($H$3,0,0,'Données projet'!$E$13+1,1))</f>
        <v>399.78832690250164</v>
      </c>
      <c r="CZ197" s="62">
        <f t="shared" ref="CZ197:CZ203" si="208">$CZ$3</f>
        <v>174.32967064896343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>
        <f>EXP(-LN(2)/35)*DF196+(1-EXP(-LN(2)/35))/(LN(2)/35)*DB197*DC197*VLOOKUP('Données projet'!$B$13,Paramètres!$A$1:$I$89,3,0)*0.475*44/12</f>
        <v>0</v>
      </c>
      <c r="DG197" s="23">
        <f>EXP(-LN(2)/25)*DG196+(1-EXP(-LN(2)/25))/(LN(2)/25)*Calculateur!DB197*Calculateur!DD197*VLOOKUP('Données projet'!$B$13,Paramètres!$A$1:$I$89,3,0)*0.475*44/12</f>
        <v>0</v>
      </c>
      <c r="DH197" s="23">
        <f>EXP(-LN(2)/2)*DH196+(1-EXP(-LN(2)/2))/(LN(2)/2)*DB197*DE197*VLOOKUP('Données projet'!$B$13,Paramètres!$A$1:$I$89,3,0)*0.475*44/12</f>
        <v>0</v>
      </c>
      <c r="DI197" s="24">
        <f t="shared" si="175"/>
        <v>0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-9.6633812063373625E-13</v>
      </c>
      <c r="DP197" s="18">
        <f>DO197*VLOOKUP('Données projet'!$B$14,Paramètres!$A$1:$I$89,3,0)*VLOOKUP('Données projet'!$B$14,Paramètres!$A$1:$I$89,5,0)</f>
        <v>-8.1404323282185943E-13</v>
      </c>
      <c r="DQ197" s="14" t="e">
        <f t="shared" si="176"/>
        <v>#NUM!</v>
      </c>
      <c r="DR197" s="22" t="e">
        <f t="shared" si="177"/>
        <v>#NUM!</v>
      </c>
      <c r="DS197" s="62" t="e">
        <f t="shared" si="197"/>
        <v>#NUM!</v>
      </c>
      <c r="DT197" s="62">
        <f ca="1">AVERAGE(OFFSET($DS$3,0,0,'Données projet'!$E$14+1,1))-AVERAGE(OFFSET($H$3,0,0,'Données projet'!$E$14+1,1))</f>
        <v>402.15128814037058</v>
      </c>
      <c r="DU197" s="62">
        <f t="shared" ref="DU197:DU203" si="209">$DU$3</f>
        <v>232.85411068442738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>
        <f>EXP(-LN(2)/35)*EA196+(1-EXP(-LN(2)/35))/(LN(2)/35)*DW197*DX197*VLOOKUP('Données projet'!$B$14,Paramètres!$A$1:$I$89,3,0)*0.475*44/12</f>
        <v>0</v>
      </c>
      <c r="EB197" s="23">
        <f>EXP(-LN(2)/25)*EB196+(1-EXP(-LN(2)/25))/(LN(2)/25)*Calculateur!DW197*Calculateur!DY197*VLOOKUP('Données projet'!$B$14,Paramètres!$A$1:$I$89,3,0)*0.475*44/12</f>
        <v>0</v>
      </c>
      <c r="EC197" s="23">
        <f>EXP(-LN(2)/2)*EC196+(1-EXP(-LN(2)/2))/(LN(2)/2)*DW197*DZ197*VLOOKUP('Données projet'!$B$14,Paramètres!$A$1:$I$89,3,0)*0.475*44/12</f>
        <v>0</v>
      </c>
      <c r="ED197" s="24">
        <f t="shared" si="178"/>
        <v>0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6.2527760746888816E-13</v>
      </c>
      <c r="EK197" s="18">
        <f>EJ197*VLOOKUP('Données projet'!$B$15,Paramètres!$A$1:$I$89,3,0)*VLOOKUP('Données projet'!$B$15,Paramètres!$A$1:$I$89,5,0)</f>
        <v>6.5354015532648198E-13</v>
      </c>
      <c r="EL197" s="14">
        <f t="shared" si="179"/>
        <v>7.8909019831354483E-12</v>
      </c>
      <c r="EM197" s="22">
        <f t="shared" si="180"/>
        <v>1.4881570057821194E-11</v>
      </c>
      <c r="EN197" s="62">
        <f t="shared" si="198"/>
        <v>293.33333333334821</v>
      </c>
      <c r="EO197" s="62">
        <f ca="1">AVERAGE(OFFSET($EN$3,0,0,'Données projet'!$E$15+1,1))-AVERAGE(OFFSET($H$3,0,0,'Données projet'!$E$15+1,1))</f>
        <v>595.89992279024398</v>
      </c>
      <c r="EP197" s="62">
        <f t="shared" ref="EP197:EP203" si="210">$EP$3</f>
        <v>378.16197659288338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>
        <f>EXP(-LN(2)/35)*EV196+(1-EXP(-LN(2)/35))/(LN(2)/35)*ER197*ES197*VLOOKUP('Données projet'!$B$15,Paramètres!$A$1:$I$89,3,0)*0.475*44/12</f>
        <v>0</v>
      </c>
      <c r="EW197" s="23">
        <f>EXP(-LN(2)/25)*EW196+(1-EXP(-LN(2)/25))/(LN(2)/25)*Calculateur!ER197*Calculateur!ET197*VLOOKUP('Données projet'!$B$15,Paramètres!$A$1:$I$89,3,0)*0.475*44/12</f>
        <v>0</v>
      </c>
      <c r="EX197" s="23">
        <f>EXP(-LN(2)/2)*EX196+(1-EXP(-LN(2)/2))/(LN(2)/2)*ER197*EU197*VLOOKUP('Données projet'!$B$15,Paramètres!$A$1:$I$89,3,0)*0.475*44/12</f>
        <v>0</v>
      </c>
      <c r="EY197" s="24">
        <f t="shared" si="181"/>
        <v>0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-2.2737367544323206E-13</v>
      </c>
      <c r="FF197" s="18">
        <f>FE197*VLOOKUP('Données projet'!$B$16,Paramètres!$A$1:$I$89,3,0)*VLOOKUP('Données projet'!$B$16,Paramètres!$A$1:$I$89,5,0)</f>
        <v>-1.3596945791505279E-13</v>
      </c>
      <c r="FG197" s="14" t="e">
        <f t="shared" si="182"/>
        <v>#NUM!</v>
      </c>
      <c r="FH197" s="22" t="e">
        <f t="shared" si="183"/>
        <v>#NUM!</v>
      </c>
      <c r="FI197" s="62" t="e">
        <f t="shared" si="199"/>
        <v>#NUM!</v>
      </c>
      <c r="FJ197" s="62">
        <f ca="1">AVERAGE(OFFSET($FI$3,0,0,'Données projet'!$E$16+1,1))-AVERAGE(OFFSET($H$3,0,0,'Données projet'!$E$16+1,1))</f>
        <v>257.56116197646924</v>
      </c>
      <c r="FK197" s="62">
        <f t="shared" ref="FK197:FK203" si="211">$FK$3</f>
        <v>269.95556918835888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>
        <f>EXP(-LN(2)/35)*FQ196+(1-EXP(-LN(2)/35))/(LN(2)/35)*FM197*FN197*VLOOKUP('Données projet'!$B$16,Paramètres!$A$1:$I$89,3,0)*0.475*44/12</f>
        <v>0.56657827901361768</v>
      </c>
      <c r="FR197" s="23">
        <f>EXP(-LN(2)/25)*FR196+(1-EXP(-LN(2)/25))/(LN(2)/25)*Calculateur!FM197*Calculateur!FO197*VLOOKUP('Données projet'!$B$16,Paramètres!$A$1:$I$89,3,0)*0.475*44/12</f>
        <v>0.17109189650143097</v>
      </c>
      <c r="FS197" s="23">
        <f>EXP(-LN(2)/2)*FS196+(1-EXP(-LN(2)/2))/(LN(2)/2)*FM197*FP197*VLOOKUP('Données projet'!$B$16,Paramètres!$A$1:$I$89,3,0)*0.475*44/12</f>
        <v>1.7689429912047414E-24</v>
      </c>
      <c r="FT197" s="24">
        <f t="shared" si="184"/>
        <v>0.73767017551504865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-2.8421709430404007E-13</v>
      </c>
      <c r="GA197" s="18">
        <f>FZ197*VLOOKUP('Données projet'!$B$17,Paramètres!$A$1:$I$89,3,0)*VLOOKUP('Données projet'!$B$17,Paramètres!$A$1:$I$89,5,0)</f>
        <v>-1.69961822393816E-13</v>
      </c>
      <c r="GB197" s="14" t="e">
        <f t="shared" si="185"/>
        <v>#NUM!</v>
      </c>
      <c r="GC197" s="22" t="e">
        <f t="shared" si="186"/>
        <v>#NUM!</v>
      </c>
      <c r="GD197" s="62" t="e">
        <f t="shared" si="200"/>
        <v>#NUM!</v>
      </c>
      <c r="GE197" s="62">
        <f ca="1">AVERAGE(OFFSET($GD$3,0,0,'Données projet'!$E$17+1,1))-AVERAGE(OFFSET($H$3,0,0,'Données projet'!$E$17+1,1))</f>
        <v>289.12367833861299</v>
      </c>
      <c r="GF197" s="62">
        <f t="shared" ref="GF197:GF203" si="212">$GF$3</f>
        <v>229.06617320689003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>
        <f>EXP(-LN(2)/35)*GL196+(1-EXP(-LN(2)/35))/(LN(2)/35)*GH197*GI197*VLOOKUP('Données projet'!$B$17,Paramètres!$A$1:$I$89,3,0)*0.475*44/12</f>
        <v>0</v>
      </c>
      <c r="GM197" s="23">
        <f>EXP(-LN(2)/25)*GM196+(1-EXP(-LN(2)/25))/(LN(2)/25)*Calculateur!GH197*Calculateur!GJ197*VLOOKUP('Données projet'!$B$17,Paramètres!$A$1:$I$89,3,0)*0.475*44/12</f>
        <v>0</v>
      </c>
      <c r="GN197" s="23">
        <f>EXP(-LN(2)/2)*GN196+(1-EXP(-LN(2)/2))/(LN(2)/2)*GH197*GK197*VLOOKUP('Données projet'!$B$17,Paramètres!$A$1:$I$89,3,0)*0.475*44/12</f>
        <v>8.575453949993684E-25</v>
      </c>
      <c r="GO197" s="23">
        <f t="shared" si="187"/>
        <v>8.575453949993684E-25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-5.6843418860808015E-14</v>
      </c>
      <c r="GV197" s="18">
        <f>GU197*VLOOKUP('Données projet'!$B$18,Paramètres!$A$1:$I$89,3,0)*VLOOKUP('Données projet'!$B$18,Paramètres!$A$1:$I$89,5,0)</f>
        <v>-2.6602720026858149E-14</v>
      </c>
      <c r="GW197" s="14" t="e">
        <f t="shared" si="188"/>
        <v>#NUM!</v>
      </c>
      <c r="GX197" s="22" t="e">
        <f t="shared" si="189"/>
        <v>#NUM!</v>
      </c>
      <c r="GY197" s="62" t="e">
        <f t="shared" si="201"/>
        <v>#NUM!</v>
      </c>
      <c r="GZ197" s="62">
        <f ca="1">AVERAGE(OFFSET($GY$3,0,0,'Données projet'!$E$18+1,1))-AVERAGE(OFFSET($H$3,0,0,'Données projet'!$E$18+1,1))</f>
        <v>284.88646502866419</v>
      </c>
      <c r="HA197" s="62">
        <f t="shared" ref="HA197:HA203" si="213">$HA$3</f>
        <v>190.4880882944471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>
        <f>EXP(-LN(2)/35)*HG196+(1-EXP(-LN(2)/35))/(LN(2)/35)*HC197*HD197*VLOOKUP('Données projet'!$B$18,Paramètres!$A$1:$I$89,3,0)*0.475*44/12</f>
        <v>0</v>
      </c>
      <c r="HH197" s="23">
        <f>EXP(-LN(2)/25)*HH196+(1-EXP(-LN(2)/25))/(LN(2)/25)*Calculateur!HC197*Calculateur!HE197*VLOOKUP('Données projet'!$B$18,Paramètres!$A$1:$I$89,3,0)*0.475*44/12</f>
        <v>0</v>
      </c>
      <c r="HI197" s="23">
        <f>EXP(-LN(2)/2)*HI196+(1-EXP(-LN(2)/2))/(LN(2)/2)*HC197*HF197*VLOOKUP('Données projet'!$B$18,Paramètres!$A$1:$I$89,3,0)*0.475*44/12</f>
        <v>0</v>
      </c>
      <c r="HJ197" s="24">
        <f t="shared" si="190"/>
        <v>0</v>
      </c>
    </row>
    <row r="198" spans="1:218" x14ac:dyDescent="0.25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2">
        <f t="shared" si="202"/>
        <v>0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0</v>
      </c>
      <c r="H198" s="70">
        <f t="shared" si="192"/>
        <v>256.66666666666669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-1.1368683772161603E-13</v>
      </c>
      <c r="O198" s="14">
        <f>N198*VLOOKUP('Données projet'!$B$9,Paramètres!$A$1:$I$89,3,0)*VLOOKUP('Données projet'!$B$9,Paramètres!$A$1:$I$89,5,0)</f>
        <v>-1.0818439477588981E-13</v>
      </c>
      <c r="P198" s="14" t="e">
        <f t="shared" si="203"/>
        <v>#NUM!</v>
      </c>
      <c r="Q198" s="22" t="e">
        <f t="shared" si="162"/>
        <v>#NUM!</v>
      </c>
      <c r="R198" s="62" t="e">
        <f t="shared" si="191"/>
        <v>#NUM!</v>
      </c>
      <c r="S198" s="62">
        <f ca="1">AVERAGE(OFFSET($R$3,0,0,'Données projet'!$E$9+1,1))-AVERAGE(OFFSET($H$3,0,0,'Données projet'!$E$9+1,1))</f>
        <v>367.11183928586667</v>
      </c>
      <c r="T198" s="62">
        <f t="shared" si="204"/>
        <v>281.52963027844595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0</v>
      </c>
      <c r="AA198" s="23">
        <f>EXP(-LN(2)/25)*AA197+(1-EXP(-LN(2)/25))/(LN(2)/25)*Calculateur!V198*Calculateur!X198*VLOOKUP('Données projet'!$B$9,Paramètres!$A$1:$I$89,3,0)*0.475*44/12</f>
        <v>0</v>
      </c>
      <c r="AB198" s="23">
        <f>EXP(-LN(2)/2)*AB197+(1-EXP(-LN(2)/2))/(LN(2)/2)*V198*Y198*VLOOKUP('Données projet'!$B$9,Paramètres!$A$1:$I$89,3,0)*0.475*44/12</f>
        <v>0</v>
      </c>
      <c r="AC198" s="24">
        <f t="shared" si="163"/>
        <v>0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-9.6633812063373625E-13</v>
      </c>
      <c r="AJ198" s="14">
        <f>AI198*VLOOKUP('Données projet'!$B$10,Paramètres!$A$1:$I$89,3,0)*VLOOKUP('Données projet'!$B$10,Paramètres!$A$1:$I$89,5,0)</f>
        <v>-8.7434273154940449E-13</v>
      </c>
      <c r="AK198" s="14" t="e">
        <f t="shared" si="164"/>
        <v>#NUM!</v>
      </c>
      <c r="AL198" s="22" t="e">
        <f t="shared" si="165"/>
        <v>#NUM!</v>
      </c>
      <c r="AM198" s="62" t="e">
        <f t="shared" si="193"/>
        <v>#NUM!</v>
      </c>
      <c r="AN198" s="62">
        <f ca="1">AVERAGE(OFFSET($AM$3,0,0,'Données projet'!$E$10+1,1))-AVERAGE(OFFSET($H$3,0,0,'Données projet'!$E$10+1,1))</f>
        <v>428.8489304403459</v>
      </c>
      <c r="AO198" s="62">
        <f t="shared" si="205"/>
        <v>247.01165577562966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0</v>
      </c>
      <c r="AV198" s="23">
        <f>EXP(-LN(2)/25)*AV197+(1-EXP(-LN(2)/25))/(LN(2)/25)*Calculateur!AQ198*Calculateur!AS198*VLOOKUP('Données projet'!$B$10,Paramètres!$A$1:$I$89,3,0)*0.475*44/12</f>
        <v>0</v>
      </c>
      <c r="AW198" s="23">
        <f>EXP(-LN(2)/2)*AW197+(1-EXP(-LN(2)/2))/(LN(2)/2)*AQ198*AT198*VLOOKUP('Données projet'!$B$10,Paramètres!$A$1:$I$89,3,0)*0.475*44/12</f>
        <v>0</v>
      </c>
      <c r="AX198" s="23">
        <f t="shared" si="166"/>
        <v>0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-9.6633812063373625E-13</v>
      </c>
      <c r="BE198" s="14">
        <f>BD198*VLOOKUP('Données projet'!$B$11,Paramètres!$A$1:$I$89,3,0)*VLOOKUP('Données projet'!$B$11,Paramètres!$A$1:$I$89,5,0)</f>
        <v>-9.7986685432260874E-13</v>
      </c>
      <c r="BF198" s="14" t="e">
        <f t="shared" si="167"/>
        <v>#NUM!</v>
      </c>
      <c r="BG198" s="22" t="e">
        <f t="shared" si="168"/>
        <v>#NUM!</v>
      </c>
      <c r="BH198" s="62" t="e">
        <f t="shared" si="194"/>
        <v>#NUM!</v>
      </c>
      <c r="BI198" s="62">
        <f ca="1">AVERAGE(OFFSET($BH$3,0,0,'Données projet'!$E$11+1,1))-AVERAGE(OFFSET($H$3,0,0,'Données projet'!$E$11+1,1))</f>
        <v>475.47920969424894</v>
      </c>
      <c r="BJ198" s="62">
        <f t="shared" si="206"/>
        <v>271.73544012419364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>
        <f>EXP(-LN(2)/35)*BP197+(1-EXP(-LN(2)/35))/(LN(2)/35)*BL198*BM198*VLOOKUP('Données projet'!$B$11,Paramètres!$A$1:$I$89,3,0)*0.475*44/12</f>
        <v>0</v>
      </c>
      <c r="BQ198" s="23">
        <f>EXP(-LN(2)/25)*BQ197+(1-EXP(-LN(2)/25))/(LN(2)/25)*Calculateur!BL198*Calculateur!BN198*VLOOKUP('Données projet'!$B$11,Paramètres!$A$1:$I$89,3,0)*0.475*44/12</f>
        <v>0</v>
      </c>
      <c r="BR198" s="23">
        <f>EXP(-LN(2)/2)*BR197+(1-EXP(-LN(2)/2))/(LN(2)/2)*BL198*BO198*VLOOKUP('Données projet'!$B$11,Paramètres!$A$1:$I$89,3,0)*0.475*44/12</f>
        <v>0</v>
      </c>
      <c r="BS198" s="24">
        <f t="shared" si="169"/>
        <v>0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2.2737367544323206E-13</v>
      </c>
      <c r="BZ198" s="14">
        <f>BY198*VLOOKUP('Données projet'!$B$12,Paramètres!$A$1:$I$89,3,0)*VLOOKUP('Données projet'!$B$12,Paramètres!$A$1:$I$89,5,0)</f>
        <v>1.2710188457276673E-13</v>
      </c>
      <c r="CA198" s="14">
        <f t="shared" si="170"/>
        <v>1.856866851063998E-12</v>
      </c>
      <c r="CB198" s="22">
        <f t="shared" si="171"/>
        <v>3.4554122145673649E-12</v>
      </c>
      <c r="CC198" s="62">
        <f t="shared" si="195"/>
        <v>293.33333333333678</v>
      </c>
      <c r="CD198" s="62">
        <f ca="1">AVERAGE(OFFSET($CC$3,0,0,'Données projet'!$E$12+1,1))-AVERAGE(OFFSET($H$3,0,0,'Données projet'!$E$12+1,1))</f>
        <v>323.98185264074681</v>
      </c>
      <c r="CE198" s="62">
        <f t="shared" si="207"/>
        <v>301.22207291854005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>
        <f>EXP(-LN(2)/35)*CK197+(1-EXP(-LN(2)/35))/(LN(2)/35)*CG198*CH198*VLOOKUP('Données projet'!$B$12,Paramètres!$A$1:$I$89,3,0)*0.475*44/12</f>
        <v>0.16998844547192585</v>
      </c>
      <c r="CL198" s="23">
        <f>EXP(-LN(2)/25)*CL197+(1-EXP(-LN(2)/25))/(LN(2)/25)*Calculateur!CG198*Calculateur!CI198*VLOOKUP('Données projet'!$B$12,Paramètres!$A$1:$I$89,3,0)*0.475*44/12</f>
        <v>8.501857124157676E-2</v>
      </c>
      <c r="CM198" s="23">
        <f>EXP(-LN(2)/2)*CM197+(1-EXP(-LN(2)/2))/(LN(2)/2)*CG198*CJ198*VLOOKUP('Données projet'!$B$12,Paramètres!$A$1:$I$89,3,0)*0.475*44/12</f>
        <v>8.9019724564991855E-25</v>
      </c>
      <c r="CN198" s="24">
        <f t="shared" si="172"/>
        <v>0.25500701671350262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>
        <f>CT198*VLOOKUP('Données projet'!$B$13,Paramètres!$A$1:$I$89,3,0)*VLOOKUP('Données projet'!$B$13,Paramètres!$A$1:$I$89,5,0)</f>
        <v>0</v>
      </c>
      <c r="CV198" s="14" t="e">
        <f t="shared" si="173"/>
        <v>#NUM!</v>
      </c>
      <c r="CW198" s="22" t="e">
        <f t="shared" si="174"/>
        <v>#NUM!</v>
      </c>
      <c r="CX198" s="62" t="e">
        <f t="shared" si="196"/>
        <v>#NUM!</v>
      </c>
      <c r="CY198" s="62">
        <f ca="1">AVERAGE(OFFSET($CX$3,0,0,'Données projet'!$E$13+1,1))-AVERAGE(OFFSET($H$3,0,0,'Données projet'!$E$13+1,1))</f>
        <v>399.78832690250164</v>
      </c>
      <c r="CZ198" s="62">
        <f t="shared" si="208"/>
        <v>174.32967064896343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>
        <f>EXP(-LN(2)/35)*DF197+(1-EXP(-LN(2)/35))/(LN(2)/35)*DB198*DC198*VLOOKUP('Données projet'!$B$13,Paramètres!$A$1:$I$89,3,0)*0.475*44/12</f>
        <v>0</v>
      </c>
      <c r="DG198" s="23">
        <f>EXP(-LN(2)/25)*DG197+(1-EXP(-LN(2)/25))/(LN(2)/25)*Calculateur!DB198*Calculateur!DD198*VLOOKUP('Données projet'!$B$13,Paramètres!$A$1:$I$89,3,0)*0.475*44/12</f>
        <v>0</v>
      </c>
      <c r="DH198" s="23">
        <f>EXP(-LN(2)/2)*DH197+(1-EXP(-LN(2)/2))/(LN(2)/2)*DB198*DE198*VLOOKUP('Données projet'!$B$13,Paramètres!$A$1:$I$89,3,0)*0.475*44/12</f>
        <v>0</v>
      </c>
      <c r="DI198" s="24">
        <f t="shared" si="175"/>
        <v>0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-9.6633812063373625E-13</v>
      </c>
      <c r="DP198" s="18">
        <f>DO198*VLOOKUP('Données projet'!$B$14,Paramètres!$A$1:$I$89,3,0)*VLOOKUP('Données projet'!$B$14,Paramètres!$A$1:$I$89,5,0)</f>
        <v>-8.1404323282185943E-13</v>
      </c>
      <c r="DQ198" s="14" t="e">
        <f t="shared" si="176"/>
        <v>#NUM!</v>
      </c>
      <c r="DR198" s="22" t="e">
        <f t="shared" si="177"/>
        <v>#NUM!</v>
      </c>
      <c r="DS198" s="62" t="e">
        <f t="shared" si="197"/>
        <v>#NUM!</v>
      </c>
      <c r="DT198" s="62">
        <f ca="1">AVERAGE(OFFSET($DS$3,0,0,'Données projet'!$E$14+1,1))-AVERAGE(OFFSET($H$3,0,0,'Données projet'!$E$14+1,1))</f>
        <v>402.15128814037058</v>
      </c>
      <c r="DU198" s="62">
        <f t="shared" si="209"/>
        <v>232.85411068442738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>
        <f>EXP(-LN(2)/35)*EA197+(1-EXP(-LN(2)/35))/(LN(2)/35)*DW198*DX198*VLOOKUP('Données projet'!$B$14,Paramètres!$A$1:$I$89,3,0)*0.475*44/12</f>
        <v>0</v>
      </c>
      <c r="EB198" s="23">
        <f>EXP(-LN(2)/25)*EB197+(1-EXP(-LN(2)/25))/(LN(2)/25)*Calculateur!DW198*Calculateur!DY198*VLOOKUP('Données projet'!$B$14,Paramètres!$A$1:$I$89,3,0)*0.475*44/12</f>
        <v>0</v>
      </c>
      <c r="EC198" s="23">
        <f>EXP(-LN(2)/2)*EC197+(1-EXP(-LN(2)/2))/(LN(2)/2)*DW198*DZ198*VLOOKUP('Données projet'!$B$14,Paramètres!$A$1:$I$89,3,0)*0.475*44/12</f>
        <v>0</v>
      </c>
      <c r="ED198" s="24">
        <f t="shared" si="178"/>
        <v>0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6.2527760746888816E-13</v>
      </c>
      <c r="EK198" s="18">
        <f>EJ198*VLOOKUP('Données projet'!$B$15,Paramètres!$A$1:$I$89,3,0)*VLOOKUP('Données projet'!$B$15,Paramètres!$A$1:$I$89,5,0)</f>
        <v>6.5354015532648198E-13</v>
      </c>
      <c r="EL198" s="14">
        <f t="shared" si="179"/>
        <v>7.8909019831354483E-12</v>
      </c>
      <c r="EM198" s="22">
        <f t="shared" si="180"/>
        <v>1.4881570057821194E-11</v>
      </c>
      <c r="EN198" s="62">
        <f t="shared" si="198"/>
        <v>293.33333333334821</v>
      </c>
      <c r="EO198" s="62">
        <f ca="1">AVERAGE(OFFSET($EN$3,0,0,'Données projet'!$E$15+1,1))-AVERAGE(OFFSET($H$3,0,0,'Données projet'!$E$15+1,1))</f>
        <v>595.89992279024398</v>
      </c>
      <c r="EP198" s="62">
        <f t="shared" si="210"/>
        <v>378.16197659288338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>
        <f>EXP(-LN(2)/35)*EV197+(1-EXP(-LN(2)/35))/(LN(2)/35)*ER198*ES198*VLOOKUP('Données projet'!$B$15,Paramètres!$A$1:$I$89,3,0)*0.475*44/12</f>
        <v>0</v>
      </c>
      <c r="EW198" s="23">
        <f>EXP(-LN(2)/25)*EW197+(1-EXP(-LN(2)/25))/(LN(2)/25)*Calculateur!ER198*Calculateur!ET198*VLOOKUP('Données projet'!$B$15,Paramètres!$A$1:$I$89,3,0)*0.475*44/12</f>
        <v>0</v>
      </c>
      <c r="EX198" s="23">
        <f>EXP(-LN(2)/2)*EX197+(1-EXP(-LN(2)/2))/(LN(2)/2)*ER198*EU198*VLOOKUP('Données projet'!$B$15,Paramètres!$A$1:$I$89,3,0)*0.475*44/12</f>
        <v>0</v>
      </c>
      <c r="EY198" s="24">
        <f t="shared" si="181"/>
        <v>0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-2.2737367544323206E-13</v>
      </c>
      <c r="FF198" s="18">
        <f>FE198*VLOOKUP('Données projet'!$B$16,Paramètres!$A$1:$I$89,3,0)*VLOOKUP('Données projet'!$B$16,Paramètres!$A$1:$I$89,5,0)</f>
        <v>-1.3596945791505279E-13</v>
      </c>
      <c r="FG198" s="14" t="e">
        <f t="shared" si="182"/>
        <v>#NUM!</v>
      </c>
      <c r="FH198" s="22" t="e">
        <f t="shared" si="183"/>
        <v>#NUM!</v>
      </c>
      <c r="FI198" s="62" t="e">
        <f t="shared" si="199"/>
        <v>#NUM!</v>
      </c>
      <c r="FJ198" s="62">
        <f ca="1">AVERAGE(OFFSET($FI$3,0,0,'Données projet'!$E$16+1,1))-AVERAGE(OFFSET($H$3,0,0,'Données projet'!$E$16+1,1))</f>
        <v>257.56116197646924</v>
      </c>
      <c r="FK198" s="62">
        <f t="shared" si="211"/>
        <v>269.95556918835888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>
        <f>EXP(-LN(2)/35)*FQ197+(1-EXP(-LN(2)/35))/(LN(2)/35)*FM198*FN198*VLOOKUP('Données projet'!$B$16,Paramètres!$A$1:$I$89,3,0)*0.475*44/12</f>
        <v>0.55546802454078781</v>
      </c>
      <c r="FR198" s="23">
        <f>EXP(-LN(2)/25)*FR197+(1-EXP(-LN(2)/25))/(LN(2)/25)*Calculateur!FM198*Calculateur!FO198*VLOOKUP('Données projet'!$B$16,Paramètres!$A$1:$I$89,3,0)*0.475*44/12</f>
        <v>0.16641337959426755</v>
      </c>
      <c r="FS198" s="23">
        <f>EXP(-LN(2)/2)*FS197+(1-EXP(-LN(2)/2))/(LN(2)/2)*FM198*FP198*VLOOKUP('Données projet'!$B$16,Paramètres!$A$1:$I$89,3,0)*0.475*44/12</f>
        <v>1.250831584613288E-24</v>
      </c>
      <c r="FT198" s="24">
        <f t="shared" si="184"/>
        <v>0.72188140413505542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-2.8421709430404007E-13</v>
      </c>
      <c r="GA198" s="18">
        <f>FZ198*VLOOKUP('Données projet'!$B$17,Paramètres!$A$1:$I$89,3,0)*VLOOKUP('Données projet'!$B$17,Paramètres!$A$1:$I$89,5,0)</f>
        <v>-1.69961822393816E-13</v>
      </c>
      <c r="GB198" s="14" t="e">
        <f t="shared" si="185"/>
        <v>#NUM!</v>
      </c>
      <c r="GC198" s="22" t="e">
        <f t="shared" si="186"/>
        <v>#NUM!</v>
      </c>
      <c r="GD198" s="62" t="e">
        <f t="shared" si="200"/>
        <v>#NUM!</v>
      </c>
      <c r="GE198" s="62">
        <f ca="1">AVERAGE(OFFSET($GD$3,0,0,'Données projet'!$E$17+1,1))-AVERAGE(OFFSET($H$3,0,0,'Données projet'!$E$17+1,1))</f>
        <v>289.12367833861299</v>
      </c>
      <c r="GF198" s="62">
        <f t="shared" si="212"/>
        <v>229.06617320689003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>
        <f>EXP(-LN(2)/35)*GL197+(1-EXP(-LN(2)/35))/(LN(2)/35)*GH198*GI198*VLOOKUP('Données projet'!$B$17,Paramètres!$A$1:$I$89,3,0)*0.475*44/12</f>
        <v>0</v>
      </c>
      <c r="GM198" s="23">
        <f>EXP(-LN(2)/25)*GM197+(1-EXP(-LN(2)/25))/(LN(2)/25)*Calculateur!GH198*Calculateur!GJ198*VLOOKUP('Données projet'!$B$17,Paramètres!$A$1:$I$89,3,0)*0.475*44/12</f>
        <v>0</v>
      </c>
      <c r="GN198" s="23">
        <f>EXP(-LN(2)/2)*GN197+(1-EXP(-LN(2)/2))/(LN(2)/2)*GH198*GK198*VLOOKUP('Données projet'!$B$17,Paramètres!$A$1:$I$89,3,0)*0.475*44/12</f>
        <v>6.0637616397934987E-25</v>
      </c>
      <c r="GO198" s="23">
        <f t="shared" si="187"/>
        <v>6.0637616397934987E-25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-5.6843418860808015E-14</v>
      </c>
      <c r="GV198" s="18">
        <f>GU198*VLOOKUP('Données projet'!$B$18,Paramètres!$A$1:$I$89,3,0)*VLOOKUP('Données projet'!$B$18,Paramètres!$A$1:$I$89,5,0)</f>
        <v>-2.6602720026858149E-14</v>
      </c>
      <c r="GW198" s="14" t="e">
        <f t="shared" si="188"/>
        <v>#NUM!</v>
      </c>
      <c r="GX198" s="22" t="e">
        <f t="shared" si="189"/>
        <v>#NUM!</v>
      </c>
      <c r="GY198" s="62" t="e">
        <f t="shared" si="201"/>
        <v>#NUM!</v>
      </c>
      <c r="GZ198" s="62">
        <f ca="1">AVERAGE(OFFSET($GY$3,0,0,'Données projet'!$E$18+1,1))-AVERAGE(OFFSET($H$3,0,0,'Données projet'!$E$18+1,1))</f>
        <v>284.88646502866419</v>
      </c>
      <c r="HA198" s="62">
        <f t="shared" si="213"/>
        <v>190.4880882944471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>
        <f>EXP(-LN(2)/35)*HG197+(1-EXP(-LN(2)/35))/(LN(2)/35)*HC198*HD198*VLOOKUP('Données projet'!$B$18,Paramètres!$A$1:$I$89,3,0)*0.475*44/12</f>
        <v>0</v>
      </c>
      <c r="HH198" s="23">
        <f>EXP(-LN(2)/25)*HH197+(1-EXP(-LN(2)/25))/(LN(2)/25)*Calculateur!HC198*Calculateur!HE198*VLOOKUP('Données projet'!$B$18,Paramètres!$A$1:$I$89,3,0)*0.475*44/12</f>
        <v>0</v>
      </c>
      <c r="HI198" s="23">
        <f>EXP(-LN(2)/2)*HI197+(1-EXP(-LN(2)/2))/(LN(2)/2)*HC198*HF198*VLOOKUP('Données projet'!$B$18,Paramètres!$A$1:$I$89,3,0)*0.475*44/12</f>
        <v>0</v>
      </c>
      <c r="HJ198" s="24">
        <f t="shared" si="190"/>
        <v>0</v>
      </c>
    </row>
    <row r="199" spans="1:218" x14ac:dyDescent="0.25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2">
        <f t="shared" si="202"/>
        <v>0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0</v>
      </c>
      <c r="H199" s="70">
        <f t="shared" si="192"/>
        <v>256.66666666666669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-1.1368683772161603E-13</v>
      </c>
      <c r="O199" s="14">
        <f>N199*VLOOKUP('Données projet'!$B$9,Paramètres!$A$1:$I$89,3,0)*VLOOKUP('Données projet'!$B$9,Paramètres!$A$1:$I$89,5,0)</f>
        <v>-1.0818439477588981E-13</v>
      </c>
      <c r="P199" s="14" t="e">
        <f t="shared" si="203"/>
        <v>#NUM!</v>
      </c>
      <c r="Q199" s="22" t="e">
        <f t="shared" si="162"/>
        <v>#NUM!</v>
      </c>
      <c r="R199" s="62" t="e">
        <f t="shared" si="191"/>
        <v>#NUM!</v>
      </c>
      <c r="S199" s="62">
        <f ca="1">AVERAGE(OFFSET($R$3,0,0,'Données projet'!$E$9+1,1))-AVERAGE(OFFSET($H$3,0,0,'Données projet'!$E$9+1,1))</f>
        <v>367.11183928586667</v>
      </c>
      <c r="T199" s="62">
        <f t="shared" si="204"/>
        <v>281.52963027844595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0</v>
      </c>
      <c r="AA199" s="23">
        <f>EXP(-LN(2)/25)*AA198+(1-EXP(-LN(2)/25))/(LN(2)/25)*Calculateur!V199*Calculateur!X199*VLOOKUP('Données projet'!$B$9,Paramètres!$A$1:$I$89,3,0)*0.475*44/12</f>
        <v>0</v>
      </c>
      <c r="AB199" s="23">
        <f>EXP(-LN(2)/2)*AB198+(1-EXP(-LN(2)/2))/(LN(2)/2)*V199*Y199*VLOOKUP('Données projet'!$B$9,Paramètres!$A$1:$I$89,3,0)*0.475*44/12</f>
        <v>0</v>
      </c>
      <c r="AC199" s="24">
        <f t="shared" si="163"/>
        <v>0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-9.6633812063373625E-13</v>
      </c>
      <c r="AJ199" s="14">
        <f>AI199*VLOOKUP('Données projet'!$B$10,Paramètres!$A$1:$I$89,3,0)*VLOOKUP('Données projet'!$B$10,Paramètres!$A$1:$I$89,5,0)</f>
        <v>-8.7434273154940449E-13</v>
      </c>
      <c r="AK199" s="14" t="e">
        <f t="shared" si="164"/>
        <v>#NUM!</v>
      </c>
      <c r="AL199" s="22" t="e">
        <f t="shared" si="165"/>
        <v>#NUM!</v>
      </c>
      <c r="AM199" s="62" t="e">
        <f t="shared" si="193"/>
        <v>#NUM!</v>
      </c>
      <c r="AN199" s="62">
        <f ca="1">AVERAGE(OFFSET($AM$3,0,0,'Données projet'!$E$10+1,1))-AVERAGE(OFFSET($H$3,0,0,'Données projet'!$E$10+1,1))</f>
        <v>428.8489304403459</v>
      </c>
      <c r="AO199" s="62">
        <f t="shared" si="205"/>
        <v>247.01165577562966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0</v>
      </c>
      <c r="AV199" s="23">
        <f>EXP(-LN(2)/25)*AV198+(1-EXP(-LN(2)/25))/(LN(2)/25)*Calculateur!AQ199*Calculateur!AS199*VLOOKUP('Données projet'!$B$10,Paramètres!$A$1:$I$89,3,0)*0.475*44/12</f>
        <v>0</v>
      </c>
      <c r="AW199" s="23">
        <f>EXP(-LN(2)/2)*AW198+(1-EXP(-LN(2)/2))/(LN(2)/2)*AQ199*AT199*VLOOKUP('Données projet'!$B$10,Paramètres!$A$1:$I$89,3,0)*0.475*44/12</f>
        <v>0</v>
      </c>
      <c r="AX199" s="23">
        <f t="shared" si="166"/>
        <v>0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-9.6633812063373625E-13</v>
      </c>
      <c r="BE199" s="14">
        <f>BD199*VLOOKUP('Données projet'!$B$11,Paramètres!$A$1:$I$89,3,0)*VLOOKUP('Données projet'!$B$11,Paramètres!$A$1:$I$89,5,0)</f>
        <v>-9.7986685432260874E-13</v>
      </c>
      <c r="BF199" s="14" t="e">
        <f t="shared" si="167"/>
        <v>#NUM!</v>
      </c>
      <c r="BG199" s="22" t="e">
        <f t="shared" si="168"/>
        <v>#NUM!</v>
      </c>
      <c r="BH199" s="62" t="e">
        <f t="shared" si="194"/>
        <v>#NUM!</v>
      </c>
      <c r="BI199" s="62">
        <f ca="1">AVERAGE(OFFSET($BH$3,0,0,'Données projet'!$E$11+1,1))-AVERAGE(OFFSET($H$3,0,0,'Données projet'!$E$11+1,1))</f>
        <v>475.47920969424894</v>
      </c>
      <c r="BJ199" s="62">
        <f t="shared" si="206"/>
        <v>271.73544012419364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>
        <f>EXP(-LN(2)/35)*BP198+(1-EXP(-LN(2)/35))/(LN(2)/35)*BL199*BM199*VLOOKUP('Données projet'!$B$11,Paramètres!$A$1:$I$89,3,0)*0.475*44/12</f>
        <v>0</v>
      </c>
      <c r="BQ199" s="23">
        <f>EXP(-LN(2)/25)*BQ198+(1-EXP(-LN(2)/25))/(LN(2)/25)*Calculateur!BL199*Calculateur!BN199*VLOOKUP('Données projet'!$B$11,Paramètres!$A$1:$I$89,3,0)*0.475*44/12</f>
        <v>0</v>
      </c>
      <c r="BR199" s="23">
        <f>EXP(-LN(2)/2)*BR198+(1-EXP(-LN(2)/2))/(LN(2)/2)*BL199*BO199*VLOOKUP('Données projet'!$B$11,Paramètres!$A$1:$I$89,3,0)*0.475*44/12</f>
        <v>0</v>
      </c>
      <c r="BS199" s="24">
        <f t="shared" si="169"/>
        <v>0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2.2737367544323206E-13</v>
      </c>
      <c r="BZ199" s="14">
        <f>BY199*VLOOKUP('Données projet'!$B$12,Paramètres!$A$1:$I$89,3,0)*VLOOKUP('Données projet'!$B$12,Paramètres!$A$1:$I$89,5,0)</f>
        <v>1.2710188457276673E-13</v>
      </c>
      <c r="CA199" s="14">
        <f t="shared" si="170"/>
        <v>1.856866851063998E-12</v>
      </c>
      <c r="CB199" s="22">
        <f t="shared" si="171"/>
        <v>3.4554122145673649E-12</v>
      </c>
      <c r="CC199" s="62">
        <f t="shared" si="195"/>
        <v>293.33333333333678</v>
      </c>
      <c r="CD199" s="62">
        <f ca="1">AVERAGE(OFFSET($CC$3,0,0,'Données projet'!$E$12+1,1))-AVERAGE(OFFSET($H$3,0,0,'Données projet'!$E$12+1,1))</f>
        <v>323.98185264074681</v>
      </c>
      <c r="CE199" s="62">
        <f t="shared" si="207"/>
        <v>301.22207291854005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>
        <f>EXP(-LN(2)/35)*CK198+(1-EXP(-LN(2)/35))/(LN(2)/35)*CG199*CH199*VLOOKUP('Données projet'!$B$12,Paramètres!$A$1:$I$89,3,0)*0.475*44/12</f>
        <v>0.16665507573893532</v>
      </c>
      <c r="CL199" s="23">
        <f>EXP(-LN(2)/25)*CL198+(1-EXP(-LN(2)/25))/(LN(2)/25)*Calculateur!CG199*Calculateur!CI199*VLOOKUP('Données projet'!$B$12,Paramètres!$A$1:$I$89,3,0)*0.475*44/12</f>
        <v>8.2693733940043493E-2</v>
      </c>
      <c r="CM199" s="23">
        <f>EXP(-LN(2)/2)*CM198+(1-EXP(-LN(2)/2))/(LN(2)/2)*CG199*CJ199*VLOOKUP('Données projet'!$B$12,Paramètres!$A$1:$I$89,3,0)*0.475*44/12</f>
        <v>6.2946450899264426E-25</v>
      </c>
      <c r="CN199" s="24">
        <f t="shared" si="172"/>
        <v>0.24934880967897882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>
        <f>CT199*VLOOKUP('Données projet'!$B$13,Paramètres!$A$1:$I$89,3,0)*VLOOKUP('Données projet'!$B$13,Paramètres!$A$1:$I$89,5,0)</f>
        <v>0</v>
      </c>
      <c r="CV199" s="14" t="e">
        <f t="shared" si="173"/>
        <v>#NUM!</v>
      </c>
      <c r="CW199" s="22" t="e">
        <f t="shared" si="174"/>
        <v>#NUM!</v>
      </c>
      <c r="CX199" s="62" t="e">
        <f t="shared" si="196"/>
        <v>#NUM!</v>
      </c>
      <c r="CY199" s="62">
        <f ca="1">AVERAGE(OFFSET($CX$3,0,0,'Données projet'!$E$13+1,1))-AVERAGE(OFFSET($H$3,0,0,'Données projet'!$E$13+1,1))</f>
        <v>399.78832690250164</v>
      </c>
      <c r="CZ199" s="62">
        <f t="shared" si="208"/>
        <v>174.32967064896343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>
        <f>EXP(-LN(2)/35)*DF198+(1-EXP(-LN(2)/35))/(LN(2)/35)*DB199*DC199*VLOOKUP('Données projet'!$B$13,Paramètres!$A$1:$I$89,3,0)*0.475*44/12</f>
        <v>0</v>
      </c>
      <c r="DG199" s="23">
        <f>EXP(-LN(2)/25)*DG198+(1-EXP(-LN(2)/25))/(LN(2)/25)*Calculateur!DB199*Calculateur!DD199*VLOOKUP('Données projet'!$B$13,Paramètres!$A$1:$I$89,3,0)*0.475*44/12</f>
        <v>0</v>
      </c>
      <c r="DH199" s="23">
        <f>EXP(-LN(2)/2)*DH198+(1-EXP(-LN(2)/2))/(LN(2)/2)*DB199*DE199*VLOOKUP('Données projet'!$B$13,Paramètres!$A$1:$I$89,3,0)*0.475*44/12</f>
        <v>0</v>
      </c>
      <c r="DI199" s="24">
        <f t="shared" si="175"/>
        <v>0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-9.6633812063373625E-13</v>
      </c>
      <c r="DP199" s="18">
        <f>DO199*VLOOKUP('Données projet'!$B$14,Paramètres!$A$1:$I$89,3,0)*VLOOKUP('Données projet'!$B$14,Paramètres!$A$1:$I$89,5,0)</f>
        <v>-8.1404323282185943E-13</v>
      </c>
      <c r="DQ199" s="14" t="e">
        <f t="shared" si="176"/>
        <v>#NUM!</v>
      </c>
      <c r="DR199" s="22" t="e">
        <f t="shared" si="177"/>
        <v>#NUM!</v>
      </c>
      <c r="DS199" s="62" t="e">
        <f t="shared" si="197"/>
        <v>#NUM!</v>
      </c>
      <c r="DT199" s="62">
        <f ca="1">AVERAGE(OFFSET($DS$3,0,0,'Données projet'!$E$14+1,1))-AVERAGE(OFFSET($H$3,0,0,'Données projet'!$E$14+1,1))</f>
        <v>402.15128814037058</v>
      </c>
      <c r="DU199" s="62">
        <f t="shared" si="209"/>
        <v>232.85411068442738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>
        <f>EXP(-LN(2)/35)*EA198+(1-EXP(-LN(2)/35))/(LN(2)/35)*DW199*DX199*VLOOKUP('Données projet'!$B$14,Paramètres!$A$1:$I$89,3,0)*0.475*44/12</f>
        <v>0</v>
      </c>
      <c r="EB199" s="23">
        <f>EXP(-LN(2)/25)*EB198+(1-EXP(-LN(2)/25))/(LN(2)/25)*Calculateur!DW199*Calculateur!DY199*VLOOKUP('Données projet'!$B$14,Paramètres!$A$1:$I$89,3,0)*0.475*44/12</f>
        <v>0</v>
      </c>
      <c r="EC199" s="23">
        <f>EXP(-LN(2)/2)*EC198+(1-EXP(-LN(2)/2))/(LN(2)/2)*DW199*DZ199*VLOOKUP('Données projet'!$B$14,Paramètres!$A$1:$I$89,3,0)*0.475*44/12</f>
        <v>0</v>
      </c>
      <c r="ED199" s="24">
        <f t="shared" si="178"/>
        <v>0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6.2527760746888816E-13</v>
      </c>
      <c r="EK199" s="18">
        <f>EJ199*VLOOKUP('Données projet'!$B$15,Paramètres!$A$1:$I$89,3,0)*VLOOKUP('Données projet'!$B$15,Paramètres!$A$1:$I$89,5,0)</f>
        <v>6.5354015532648198E-13</v>
      </c>
      <c r="EL199" s="14">
        <f t="shared" si="179"/>
        <v>7.8909019831354483E-12</v>
      </c>
      <c r="EM199" s="22">
        <f t="shared" si="180"/>
        <v>1.4881570057821194E-11</v>
      </c>
      <c r="EN199" s="62">
        <f t="shared" si="198"/>
        <v>293.33333333334821</v>
      </c>
      <c r="EO199" s="62">
        <f ca="1">AVERAGE(OFFSET($EN$3,0,0,'Données projet'!$E$15+1,1))-AVERAGE(OFFSET($H$3,0,0,'Données projet'!$E$15+1,1))</f>
        <v>595.89992279024398</v>
      </c>
      <c r="EP199" s="62">
        <f t="shared" si="210"/>
        <v>378.16197659288338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>
        <f>EXP(-LN(2)/35)*EV198+(1-EXP(-LN(2)/35))/(LN(2)/35)*ER199*ES199*VLOOKUP('Données projet'!$B$15,Paramètres!$A$1:$I$89,3,0)*0.475*44/12</f>
        <v>0</v>
      </c>
      <c r="EW199" s="23">
        <f>EXP(-LN(2)/25)*EW198+(1-EXP(-LN(2)/25))/(LN(2)/25)*Calculateur!ER199*Calculateur!ET199*VLOOKUP('Données projet'!$B$15,Paramètres!$A$1:$I$89,3,0)*0.475*44/12</f>
        <v>0</v>
      </c>
      <c r="EX199" s="23">
        <f>EXP(-LN(2)/2)*EX198+(1-EXP(-LN(2)/2))/(LN(2)/2)*ER199*EU199*VLOOKUP('Données projet'!$B$15,Paramètres!$A$1:$I$89,3,0)*0.475*44/12</f>
        <v>0</v>
      </c>
      <c r="EY199" s="24">
        <f t="shared" si="181"/>
        <v>0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-2.2737367544323206E-13</v>
      </c>
      <c r="FF199" s="18">
        <f>FE199*VLOOKUP('Données projet'!$B$16,Paramètres!$A$1:$I$89,3,0)*VLOOKUP('Données projet'!$B$16,Paramètres!$A$1:$I$89,5,0)</f>
        <v>-1.3596945791505279E-13</v>
      </c>
      <c r="FG199" s="14" t="e">
        <f t="shared" si="182"/>
        <v>#NUM!</v>
      </c>
      <c r="FH199" s="22" t="e">
        <f t="shared" si="183"/>
        <v>#NUM!</v>
      </c>
      <c r="FI199" s="62" t="e">
        <f t="shared" si="199"/>
        <v>#NUM!</v>
      </c>
      <c r="FJ199" s="62">
        <f ca="1">AVERAGE(OFFSET($FI$3,0,0,'Données projet'!$E$16+1,1))-AVERAGE(OFFSET($H$3,0,0,'Données projet'!$E$16+1,1))</f>
        <v>257.56116197646924</v>
      </c>
      <c r="FK199" s="62">
        <f t="shared" si="211"/>
        <v>269.95556918835888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>
        <f>EXP(-LN(2)/35)*FQ198+(1-EXP(-LN(2)/35))/(LN(2)/35)*FM199*FN199*VLOOKUP('Données projet'!$B$16,Paramètres!$A$1:$I$89,3,0)*0.475*44/12</f>
        <v>0.54457563538158404</v>
      </c>
      <c r="FR199" s="23">
        <f>EXP(-LN(2)/25)*FR198+(1-EXP(-LN(2)/25))/(LN(2)/25)*Calculateur!FM199*Calculateur!FO199*VLOOKUP('Données projet'!$B$16,Paramètres!$A$1:$I$89,3,0)*0.475*44/12</f>
        <v>0.16186279697796302</v>
      </c>
      <c r="FS199" s="23">
        <f>EXP(-LN(2)/2)*FS198+(1-EXP(-LN(2)/2))/(LN(2)/2)*FM199*FP199*VLOOKUP('Données projet'!$B$16,Paramètres!$A$1:$I$89,3,0)*0.475*44/12</f>
        <v>8.8447149560237072E-25</v>
      </c>
      <c r="FT199" s="24">
        <f t="shared" si="184"/>
        <v>0.70643843235954706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-2.8421709430404007E-13</v>
      </c>
      <c r="GA199" s="18">
        <f>FZ199*VLOOKUP('Données projet'!$B$17,Paramètres!$A$1:$I$89,3,0)*VLOOKUP('Données projet'!$B$17,Paramètres!$A$1:$I$89,5,0)</f>
        <v>-1.69961822393816E-13</v>
      </c>
      <c r="GB199" s="14" t="e">
        <f t="shared" si="185"/>
        <v>#NUM!</v>
      </c>
      <c r="GC199" s="22" t="e">
        <f t="shared" si="186"/>
        <v>#NUM!</v>
      </c>
      <c r="GD199" s="62" t="e">
        <f t="shared" si="200"/>
        <v>#NUM!</v>
      </c>
      <c r="GE199" s="62">
        <f ca="1">AVERAGE(OFFSET($GD$3,0,0,'Données projet'!$E$17+1,1))-AVERAGE(OFFSET($H$3,0,0,'Données projet'!$E$17+1,1))</f>
        <v>289.12367833861299</v>
      </c>
      <c r="GF199" s="62">
        <f t="shared" si="212"/>
        <v>229.06617320689003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>
        <f>EXP(-LN(2)/35)*GL198+(1-EXP(-LN(2)/35))/(LN(2)/35)*GH199*GI199*VLOOKUP('Données projet'!$B$17,Paramètres!$A$1:$I$89,3,0)*0.475*44/12</f>
        <v>0</v>
      </c>
      <c r="GM199" s="23">
        <f>EXP(-LN(2)/25)*GM198+(1-EXP(-LN(2)/25))/(LN(2)/25)*Calculateur!GH199*Calculateur!GJ199*VLOOKUP('Données projet'!$B$17,Paramètres!$A$1:$I$89,3,0)*0.475*44/12</f>
        <v>0</v>
      </c>
      <c r="GN199" s="23">
        <f>EXP(-LN(2)/2)*GN198+(1-EXP(-LN(2)/2))/(LN(2)/2)*GH199*GK199*VLOOKUP('Données projet'!$B$17,Paramètres!$A$1:$I$89,3,0)*0.475*44/12</f>
        <v>4.287726974996842E-25</v>
      </c>
      <c r="GO199" s="23">
        <f t="shared" si="187"/>
        <v>4.287726974996842E-25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-5.6843418860808015E-14</v>
      </c>
      <c r="GV199" s="18">
        <f>GU199*VLOOKUP('Données projet'!$B$18,Paramètres!$A$1:$I$89,3,0)*VLOOKUP('Données projet'!$B$18,Paramètres!$A$1:$I$89,5,0)</f>
        <v>-2.6602720026858149E-14</v>
      </c>
      <c r="GW199" s="14" t="e">
        <f t="shared" si="188"/>
        <v>#NUM!</v>
      </c>
      <c r="GX199" s="22" t="e">
        <f t="shared" si="189"/>
        <v>#NUM!</v>
      </c>
      <c r="GY199" s="62" t="e">
        <f t="shared" si="201"/>
        <v>#NUM!</v>
      </c>
      <c r="GZ199" s="62">
        <f ca="1">AVERAGE(OFFSET($GY$3,0,0,'Données projet'!$E$18+1,1))-AVERAGE(OFFSET($H$3,0,0,'Données projet'!$E$18+1,1))</f>
        <v>284.88646502866419</v>
      </c>
      <c r="HA199" s="62">
        <f t="shared" si="213"/>
        <v>190.4880882944471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>
        <f>EXP(-LN(2)/35)*HG198+(1-EXP(-LN(2)/35))/(LN(2)/35)*HC199*HD199*VLOOKUP('Données projet'!$B$18,Paramètres!$A$1:$I$89,3,0)*0.475*44/12</f>
        <v>0</v>
      </c>
      <c r="HH199" s="23">
        <f>EXP(-LN(2)/25)*HH198+(1-EXP(-LN(2)/25))/(LN(2)/25)*Calculateur!HC199*Calculateur!HE199*VLOOKUP('Données projet'!$B$18,Paramètres!$A$1:$I$89,3,0)*0.475*44/12</f>
        <v>0</v>
      </c>
      <c r="HI199" s="23">
        <f>EXP(-LN(2)/2)*HI198+(1-EXP(-LN(2)/2))/(LN(2)/2)*HC199*HF199*VLOOKUP('Données projet'!$B$18,Paramètres!$A$1:$I$89,3,0)*0.475*44/12</f>
        <v>0</v>
      </c>
      <c r="HJ199" s="24">
        <f t="shared" si="190"/>
        <v>0</v>
      </c>
    </row>
    <row r="200" spans="1:218" x14ac:dyDescent="0.25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2">
        <f t="shared" si="202"/>
        <v>0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0</v>
      </c>
      <c r="H200" s="70">
        <f t="shared" si="192"/>
        <v>256.66666666666669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-1.1368683772161603E-13</v>
      </c>
      <c r="O200" s="14">
        <f>N200*VLOOKUP('Données projet'!$B$9,Paramètres!$A$1:$I$89,3,0)*VLOOKUP('Données projet'!$B$9,Paramètres!$A$1:$I$89,5,0)</f>
        <v>-1.0818439477588981E-13</v>
      </c>
      <c r="P200" s="14" t="e">
        <f t="shared" si="203"/>
        <v>#NUM!</v>
      </c>
      <c r="Q200" s="22" t="e">
        <f t="shared" si="162"/>
        <v>#NUM!</v>
      </c>
      <c r="R200" s="62" t="e">
        <f t="shared" si="191"/>
        <v>#NUM!</v>
      </c>
      <c r="S200" s="62">
        <f ca="1">AVERAGE(OFFSET($R$3,0,0,'Données projet'!$E$9+1,1))-AVERAGE(OFFSET($H$3,0,0,'Données projet'!$E$9+1,1))</f>
        <v>367.11183928586667</v>
      </c>
      <c r="T200" s="62">
        <f t="shared" si="204"/>
        <v>281.52963027844595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0</v>
      </c>
      <c r="AA200" s="23">
        <f>EXP(-LN(2)/25)*AA199+(1-EXP(-LN(2)/25))/(LN(2)/25)*Calculateur!V200*Calculateur!X200*VLOOKUP('Données projet'!$B$9,Paramètres!$A$1:$I$89,3,0)*0.475*44/12</f>
        <v>0</v>
      </c>
      <c r="AB200" s="23">
        <f>EXP(-LN(2)/2)*AB199+(1-EXP(-LN(2)/2))/(LN(2)/2)*V200*Y200*VLOOKUP('Données projet'!$B$9,Paramètres!$A$1:$I$89,3,0)*0.475*44/12</f>
        <v>0</v>
      </c>
      <c r="AC200" s="24">
        <f t="shared" si="163"/>
        <v>0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-9.6633812063373625E-13</v>
      </c>
      <c r="AJ200" s="14">
        <f>AI200*VLOOKUP('Données projet'!$B$10,Paramètres!$A$1:$I$89,3,0)*VLOOKUP('Données projet'!$B$10,Paramètres!$A$1:$I$89,5,0)</f>
        <v>-8.7434273154940449E-13</v>
      </c>
      <c r="AK200" s="14" t="e">
        <f t="shared" si="164"/>
        <v>#NUM!</v>
      </c>
      <c r="AL200" s="22" t="e">
        <f t="shared" si="165"/>
        <v>#NUM!</v>
      </c>
      <c r="AM200" s="62" t="e">
        <f t="shared" si="193"/>
        <v>#NUM!</v>
      </c>
      <c r="AN200" s="62">
        <f ca="1">AVERAGE(OFFSET($AM$3,0,0,'Données projet'!$E$10+1,1))-AVERAGE(OFFSET($H$3,0,0,'Données projet'!$E$10+1,1))</f>
        <v>428.8489304403459</v>
      </c>
      <c r="AO200" s="62">
        <f t="shared" si="205"/>
        <v>247.01165577562966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0</v>
      </c>
      <c r="AV200" s="23">
        <f>EXP(-LN(2)/25)*AV199+(1-EXP(-LN(2)/25))/(LN(2)/25)*Calculateur!AQ200*Calculateur!AS200*VLOOKUP('Données projet'!$B$10,Paramètres!$A$1:$I$89,3,0)*0.475*44/12</f>
        <v>0</v>
      </c>
      <c r="AW200" s="23">
        <f>EXP(-LN(2)/2)*AW199+(1-EXP(-LN(2)/2))/(LN(2)/2)*AQ200*AT200*VLOOKUP('Données projet'!$B$10,Paramètres!$A$1:$I$89,3,0)*0.475*44/12</f>
        <v>0</v>
      </c>
      <c r="AX200" s="23">
        <f t="shared" si="166"/>
        <v>0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-9.6633812063373625E-13</v>
      </c>
      <c r="BE200" s="14">
        <f>BD200*VLOOKUP('Données projet'!$B$11,Paramètres!$A$1:$I$89,3,0)*VLOOKUP('Données projet'!$B$11,Paramètres!$A$1:$I$89,5,0)</f>
        <v>-9.7986685432260874E-13</v>
      </c>
      <c r="BF200" s="14" t="e">
        <f t="shared" si="167"/>
        <v>#NUM!</v>
      </c>
      <c r="BG200" s="22" t="e">
        <f t="shared" si="168"/>
        <v>#NUM!</v>
      </c>
      <c r="BH200" s="62" t="e">
        <f t="shared" si="194"/>
        <v>#NUM!</v>
      </c>
      <c r="BI200" s="62">
        <f ca="1">AVERAGE(OFFSET($BH$3,0,0,'Données projet'!$E$11+1,1))-AVERAGE(OFFSET($H$3,0,0,'Données projet'!$E$11+1,1))</f>
        <v>475.47920969424894</v>
      </c>
      <c r="BJ200" s="62">
        <f t="shared" si="206"/>
        <v>271.73544012419364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>
        <f>EXP(-LN(2)/35)*BP199+(1-EXP(-LN(2)/35))/(LN(2)/35)*BL200*BM200*VLOOKUP('Données projet'!$B$11,Paramètres!$A$1:$I$89,3,0)*0.475*44/12</f>
        <v>0</v>
      </c>
      <c r="BQ200" s="23">
        <f>EXP(-LN(2)/25)*BQ199+(1-EXP(-LN(2)/25))/(LN(2)/25)*Calculateur!BL200*Calculateur!BN200*VLOOKUP('Données projet'!$B$11,Paramètres!$A$1:$I$89,3,0)*0.475*44/12</f>
        <v>0</v>
      </c>
      <c r="BR200" s="23">
        <f>EXP(-LN(2)/2)*BR199+(1-EXP(-LN(2)/2))/(LN(2)/2)*BL200*BO200*VLOOKUP('Données projet'!$B$11,Paramètres!$A$1:$I$89,3,0)*0.475*44/12</f>
        <v>0</v>
      </c>
      <c r="BS200" s="24">
        <f t="shared" si="169"/>
        <v>0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2.2737367544323206E-13</v>
      </c>
      <c r="BZ200" s="14">
        <f>BY200*VLOOKUP('Données projet'!$B$12,Paramètres!$A$1:$I$89,3,0)*VLOOKUP('Données projet'!$B$12,Paramètres!$A$1:$I$89,5,0)</f>
        <v>1.2710188457276673E-13</v>
      </c>
      <c r="CA200" s="14">
        <f t="shared" si="170"/>
        <v>1.856866851063998E-12</v>
      </c>
      <c r="CB200" s="22">
        <f t="shared" si="171"/>
        <v>3.4554122145673649E-12</v>
      </c>
      <c r="CC200" s="62">
        <f t="shared" si="195"/>
        <v>293.33333333333678</v>
      </c>
      <c r="CD200" s="62">
        <f ca="1">AVERAGE(OFFSET($CC$3,0,0,'Données projet'!$E$12+1,1))-AVERAGE(OFFSET($H$3,0,0,'Données projet'!$E$12+1,1))</f>
        <v>323.98185264074681</v>
      </c>
      <c r="CE200" s="62">
        <f t="shared" si="207"/>
        <v>301.22207291854005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>
        <f>EXP(-LN(2)/35)*CK199+(1-EXP(-LN(2)/35))/(LN(2)/35)*CG200*CH200*VLOOKUP('Données projet'!$B$12,Paramètres!$A$1:$I$89,3,0)*0.475*44/12</f>
        <v>0.16338707135325392</v>
      </c>
      <c r="CL200" s="23">
        <f>EXP(-LN(2)/25)*CL199+(1-EXP(-LN(2)/25))/(LN(2)/25)*Calculateur!CG200*Calculateur!CI200*VLOOKUP('Données projet'!$B$12,Paramètres!$A$1:$I$89,3,0)*0.475*44/12</f>
        <v>8.0432469436778536E-2</v>
      </c>
      <c r="CM200" s="23">
        <f>EXP(-LN(2)/2)*CM199+(1-EXP(-LN(2)/2))/(LN(2)/2)*CG200*CJ200*VLOOKUP('Données projet'!$B$12,Paramètres!$A$1:$I$89,3,0)*0.475*44/12</f>
        <v>4.4509862282495927E-25</v>
      </c>
      <c r="CN200" s="24">
        <f t="shared" si="172"/>
        <v>0.24381954079003246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>
        <f>CT200*VLOOKUP('Données projet'!$B$13,Paramètres!$A$1:$I$89,3,0)*VLOOKUP('Données projet'!$B$13,Paramètres!$A$1:$I$89,5,0)</f>
        <v>0</v>
      </c>
      <c r="CV200" s="14" t="e">
        <f t="shared" si="173"/>
        <v>#NUM!</v>
      </c>
      <c r="CW200" s="22" t="e">
        <f t="shared" si="174"/>
        <v>#NUM!</v>
      </c>
      <c r="CX200" s="62" t="e">
        <f t="shared" si="196"/>
        <v>#NUM!</v>
      </c>
      <c r="CY200" s="62">
        <f ca="1">AVERAGE(OFFSET($CX$3,0,0,'Données projet'!$E$13+1,1))-AVERAGE(OFFSET($H$3,0,0,'Données projet'!$E$13+1,1))</f>
        <v>399.78832690250164</v>
      </c>
      <c r="CZ200" s="62">
        <f t="shared" si="208"/>
        <v>174.32967064896343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>
        <f>EXP(-LN(2)/35)*DF199+(1-EXP(-LN(2)/35))/(LN(2)/35)*DB200*DC200*VLOOKUP('Données projet'!$B$13,Paramètres!$A$1:$I$89,3,0)*0.475*44/12</f>
        <v>0</v>
      </c>
      <c r="DG200" s="23">
        <f>EXP(-LN(2)/25)*DG199+(1-EXP(-LN(2)/25))/(LN(2)/25)*Calculateur!DB200*Calculateur!DD200*VLOOKUP('Données projet'!$B$13,Paramètres!$A$1:$I$89,3,0)*0.475*44/12</f>
        <v>0</v>
      </c>
      <c r="DH200" s="23">
        <f>EXP(-LN(2)/2)*DH199+(1-EXP(-LN(2)/2))/(LN(2)/2)*DB200*DE200*VLOOKUP('Données projet'!$B$13,Paramètres!$A$1:$I$89,3,0)*0.475*44/12</f>
        <v>0</v>
      </c>
      <c r="DI200" s="24">
        <f t="shared" si="175"/>
        <v>0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-9.6633812063373625E-13</v>
      </c>
      <c r="DP200" s="18">
        <f>DO200*VLOOKUP('Données projet'!$B$14,Paramètres!$A$1:$I$89,3,0)*VLOOKUP('Données projet'!$B$14,Paramètres!$A$1:$I$89,5,0)</f>
        <v>-8.1404323282185943E-13</v>
      </c>
      <c r="DQ200" s="14" t="e">
        <f t="shared" si="176"/>
        <v>#NUM!</v>
      </c>
      <c r="DR200" s="22" t="e">
        <f t="shared" si="177"/>
        <v>#NUM!</v>
      </c>
      <c r="DS200" s="62" t="e">
        <f t="shared" si="197"/>
        <v>#NUM!</v>
      </c>
      <c r="DT200" s="62">
        <f ca="1">AVERAGE(OFFSET($DS$3,0,0,'Données projet'!$E$14+1,1))-AVERAGE(OFFSET($H$3,0,0,'Données projet'!$E$14+1,1))</f>
        <v>402.15128814037058</v>
      </c>
      <c r="DU200" s="62">
        <f t="shared" si="209"/>
        <v>232.85411068442738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>
        <f>EXP(-LN(2)/35)*EA199+(1-EXP(-LN(2)/35))/(LN(2)/35)*DW200*DX200*VLOOKUP('Données projet'!$B$14,Paramètres!$A$1:$I$89,3,0)*0.475*44/12</f>
        <v>0</v>
      </c>
      <c r="EB200" s="23">
        <f>EXP(-LN(2)/25)*EB199+(1-EXP(-LN(2)/25))/(LN(2)/25)*Calculateur!DW200*Calculateur!DY200*VLOOKUP('Données projet'!$B$14,Paramètres!$A$1:$I$89,3,0)*0.475*44/12</f>
        <v>0</v>
      </c>
      <c r="EC200" s="23">
        <f>EXP(-LN(2)/2)*EC199+(1-EXP(-LN(2)/2))/(LN(2)/2)*DW200*DZ200*VLOOKUP('Données projet'!$B$14,Paramètres!$A$1:$I$89,3,0)*0.475*44/12</f>
        <v>0</v>
      </c>
      <c r="ED200" s="24">
        <f t="shared" si="178"/>
        <v>0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6.2527760746888816E-13</v>
      </c>
      <c r="EK200" s="18">
        <f>EJ200*VLOOKUP('Données projet'!$B$15,Paramètres!$A$1:$I$89,3,0)*VLOOKUP('Données projet'!$B$15,Paramètres!$A$1:$I$89,5,0)</f>
        <v>6.5354015532648198E-13</v>
      </c>
      <c r="EL200" s="14">
        <f t="shared" si="179"/>
        <v>7.8909019831354483E-12</v>
      </c>
      <c r="EM200" s="22">
        <f t="shared" si="180"/>
        <v>1.4881570057821194E-11</v>
      </c>
      <c r="EN200" s="62">
        <f t="shared" si="198"/>
        <v>293.33333333334821</v>
      </c>
      <c r="EO200" s="62">
        <f ca="1">AVERAGE(OFFSET($EN$3,0,0,'Données projet'!$E$15+1,1))-AVERAGE(OFFSET($H$3,0,0,'Données projet'!$E$15+1,1))</f>
        <v>595.89992279024398</v>
      </c>
      <c r="EP200" s="62">
        <f t="shared" si="210"/>
        <v>378.16197659288338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>
        <f>EXP(-LN(2)/35)*EV199+(1-EXP(-LN(2)/35))/(LN(2)/35)*ER200*ES200*VLOOKUP('Données projet'!$B$15,Paramètres!$A$1:$I$89,3,0)*0.475*44/12</f>
        <v>0</v>
      </c>
      <c r="EW200" s="23">
        <f>EXP(-LN(2)/25)*EW199+(1-EXP(-LN(2)/25))/(LN(2)/25)*Calculateur!ER200*Calculateur!ET200*VLOOKUP('Données projet'!$B$15,Paramètres!$A$1:$I$89,3,0)*0.475*44/12</f>
        <v>0</v>
      </c>
      <c r="EX200" s="23">
        <f>EXP(-LN(2)/2)*EX199+(1-EXP(-LN(2)/2))/(LN(2)/2)*ER200*EU200*VLOOKUP('Données projet'!$B$15,Paramètres!$A$1:$I$89,3,0)*0.475*44/12</f>
        <v>0</v>
      </c>
      <c r="EY200" s="24">
        <f t="shared" si="181"/>
        <v>0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-2.2737367544323206E-13</v>
      </c>
      <c r="FF200" s="18">
        <f>FE200*VLOOKUP('Données projet'!$B$16,Paramètres!$A$1:$I$89,3,0)*VLOOKUP('Données projet'!$B$16,Paramètres!$A$1:$I$89,5,0)</f>
        <v>-1.3596945791505279E-13</v>
      </c>
      <c r="FG200" s="14" t="e">
        <f t="shared" si="182"/>
        <v>#NUM!</v>
      </c>
      <c r="FH200" s="22" t="e">
        <f t="shared" si="183"/>
        <v>#NUM!</v>
      </c>
      <c r="FI200" s="62" t="e">
        <f t="shared" si="199"/>
        <v>#NUM!</v>
      </c>
      <c r="FJ200" s="62">
        <f ca="1">AVERAGE(OFFSET($FI$3,0,0,'Données projet'!$E$16+1,1))-AVERAGE(OFFSET($H$3,0,0,'Données projet'!$E$16+1,1))</f>
        <v>257.56116197646924</v>
      </c>
      <c r="FK200" s="62">
        <f t="shared" si="211"/>
        <v>269.95556918835888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>
        <f>EXP(-LN(2)/35)*FQ199+(1-EXP(-LN(2)/35))/(LN(2)/35)*FM200*FN200*VLOOKUP('Données projet'!$B$16,Paramètres!$A$1:$I$89,3,0)*0.475*44/12</f>
        <v>0.5338968393300908</v>
      </c>
      <c r="FR200" s="23">
        <f>EXP(-LN(2)/25)*FR199+(1-EXP(-LN(2)/25))/(LN(2)/25)*Calculateur!FM200*Calculateur!FO200*VLOOKUP('Données projet'!$B$16,Paramètres!$A$1:$I$89,3,0)*0.475*44/12</f>
        <v>0.15743665028260606</v>
      </c>
      <c r="FS200" s="23">
        <f>EXP(-LN(2)/2)*FS199+(1-EXP(-LN(2)/2))/(LN(2)/2)*FM200*FP200*VLOOKUP('Données projet'!$B$16,Paramètres!$A$1:$I$89,3,0)*0.475*44/12</f>
        <v>6.25415792306644E-25</v>
      </c>
      <c r="FT200" s="24">
        <f t="shared" si="184"/>
        <v>0.69133348961269681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-2.8421709430404007E-13</v>
      </c>
      <c r="GA200" s="18">
        <f>FZ200*VLOOKUP('Données projet'!$B$17,Paramètres!$A$1:$I$89,3,0)*VLOOKUP('Données projet'!$B$17,Paramètres!$A$1:$I$89,5,0)</f>
        <v>-1.69961822393816E-13</v>
      </c>
      <c r="GB200" s="14" t="e">
        <f t="shared" si="185"/>
        <v>#NUM!</v>
      </c>
      <c r="GC200" s="22" t="e">
        <f t="shared" si="186"/>
        <v>#NUM!</v>
      </c>
      <c r="GD200" s="62" t="e">
        <f t="shared" si="200"/>
        <v>#NUM!</v>
      </c>
      <c r="GE200" s="62">
        <f ca="1">AVERAGE(OFFSET($GD$3,0,0,'Données projet'!$E$17+1,1))-AVERAGE(OFFSET($H$3,0,0,'Données projet'!$E$17+1,1))</f>
        <v>289.12367833861299</v>
      </c>
      <c r="GF200" s="62">
        <f t="shared" si="212"/>
        <v>229.06617320689003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>
        <f>EXP(-LN(2)/35)*GL199+(1-EXP(-LN(2)/35))/(LN(2)/35)*GH200*GI200*VLOOKUP('Données projet'!$B$17,Paramètres!$A$1:$I$89,3,0)*0.475*44/12</f>
        <v>0</v>
      </c>
      <c r="GM200" s="23">
        <f>EXP(-LN(2)/25)*GM199+(1-EXP(-LN(2)/25))/(LN(2)/25)*Calculateur!GH200*Calculateur!GJ200*VLOOKUP('Données projet'!$B$17,Paramètres!$A$1:$I$89,3,0)*0.475*44/12</f>
        <v>0</v>
      </c>
      <c r="GN200" s="23">
        <f>EXP(-LN(2)/2)*GN199+(1-EXP(-LN(2)/2))/(LN(2)/2)*GH200*GK200*VLOOKUP('Données projet'!$B$17,Paramètres!$A$1:$I$89,3,0)*0.475*44/12</f>
        <v>3.0318808198967493E-25</v>
      </c>
      <c r="GO200" s="23">
        <f t="shared" si="187"/>
        <v>3.0318808198967493E-25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-5.6843418860808015E-14</v>
      </c>
      <c r="GV200" s="18">
        <f>GU200*VLOOKUP('Données projet'!$B$18,Paramètres!$A$1:$I$89,3,0)*VLOOKUP('Données projet'!$B$18,Paramètres!$A$1:$I$89,5,0)</f>
        <v>-2.6602720026858149E-14</v>
      </c>
      <c r="GW200" s="14" t="e">
        <f t="shared" si="188"/>
        <v>#NUM!</v>
      </c>
      <c r="GX200" s="22" t="e">
        <f t="shared" si="189"/>
        <v>#NUM!</v>
      </c>
      <c r="GY200" s="62" t="e">
        <f t="shared" si="201"/>
        <v>#NUM!</v>
      </c>
      <c r="GZ200" s="62">
        <f ca="1">AVERAGE(OFFSET($GY$3,0,0,'Données projet'!$E$18+1,1))-AVERAGE(OFFSET($H$3,0,0,'Données projet'!$E$18+1,1))</f>
        <v>284.88646502866419</v>
      </c>
      <c r="HA200" s="62">
        <f t="shared" si="213"/>
        <v>190.4880882944471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>
        <f>EXP(-LN(2)/35)*HG199+(1-EXP(-LN(2)/35))/(LN(2)/35)*HC200*HD200*VLOOKUP('Données projet'!$B$18,Paramètres!$A$1:$I$89,3,0)*0.475*44/12</f>
        <v>0</v>
      </c>
      <c r="HH200" s="23">
        <f>EXP(-LN(2)/25)*HH199+(1-EXP(-LN(2)/25))/(LN(2)/25)*Calculateur!HC200*Calculateur!HE200*VLOOKUP('Données projet'!$B$18,Paramètres!$A$1:$I$89,3,0)*0.475*44/12</f>
        <v>0</v>
      </c>
      <c r="HI200" s="23">
        <f>EXP(-LN(2)/2)*HI199+(1-EXP(-LN(2)/2))/(LN(2)/2)*HC200*HF200*VLOOKUP('Données projet'!$B$18,Paramètres!$A$1:$I$89,3,0)*0.475*44/12</f>
        <v>0</v>
      </c>
      <c r="HJ200" s="24">
        <f t="shared" si="190"/>
        <v>0</v>
      </c>
    </row>
    <row r="201" spans="1:218" x14ac:dyDescent="0.25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2">
        <f t="shared" si="202"/>
        <v>0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0</v>
      </c>
      <c r="H201" s="70">
        <f t="shared" si="192"/>
        <v>256.66666666666669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-1.1368683772161603E-13</v>
      </c>
      <c r="O201" s="14">
        <f>N201*VLOOKUP('Données projet'!$B$9,Paramètres!$A$1:$I$89,3,0)*VLOOKUP('Données projet'!$B$9,Paramètres!$A$1:$I$89,5,0)</f>
        <v>-1.0818439477588981E-13</v>
      </c>
      <c r="P201" s="14" t="e">
        <f t="shared" si="203"/>
        <v>#NUM!</v>
      </c>
      <c r="Q201" s="22" t="e">
        <f t="shared" si="162"/>
        <v>#NUM!</v>
      </c>
      <c r="R201" s="62" t="e">
        <f t="shared" si="191"/>
        <v>#NUM!</v>
      </c>
      <c r="S201" s="62">
        <f ca="1">AVERAGE(OFFSET($R$3,0,0,'Données projet'!$E$9+1,1))-AVERAGE(OFFSET($H$3,0,0,'Données projet'!$E$9+1,1))</f>
        <v>367.11183928586667</v>
      </c>
      <c r="T201" s="62">
        <f t="shared" si="204"/>
        <v>281.52963027844595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0</v>
      </c>
      <c r="AA201" s="23">
        <f>EXP(-LN(2)/25)*AA200+(1-EXP(-LN(2)/25))/(LN(2)/25)*Calculateur!V201*Calculateur!X201*VLOOKUP('Données projet'!$B$9,Paramètres!$A$1:$I$89,3,0)*0.475*44/12</f>
        <v>0</v>
      </c>
      <c r="AB201" s="23">
        <f>EXP(-LN(2)/2)*AB200+(1-EXP(-LN(2)/2))/(LN(2)/2)*V201*Y201*VLOOKUP('Données projet'!$B$9,Paramètres!$A$1:$I$89,3,0)*0.475*44/12</f>
        <v>0</v>
      </c>
      <c r="AC201" s="24">
        <f t="shared" si="163"/>
        <v>0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-9.6633812063373625E-13</v>
      </c>
      <c r="AJ201" s="14">
        <f>AI201*VLOOKUP('Données projet'!$B$10,Paramètres!$A$1:$I$89,3,0)*VLOOKUP('Données projet'!$B$10,Paramètres!$A$1:$I$89,5,0)</f>
        <v>-8.7434273154940449E-13</v>
      </c>
      <c r="AK201" s="14" t="e">
        <f t="shared" si="164"/>
        <v>#NUM!</v>
      </c>
      <c r="AL201" s="22" t="e">
        <f t="shared" si="165"/>
        <v>#NUM!</v>
      </c>
      <c r="AM201" s="62" t="e">
        <f t="shared" si="193"/>
        <v>#NUM!</v>
      </c>
      <c r="AN201" s="62">
        <f ca="1">AVERAGE(OFFSET($AM$3,0,0,'Données projet'!$E$10+1,1))-AVERAGE(OFFSET($H$3,0,0,'Données projet'!$E$10+1,1))</f>
        <v>428.8489304403459</v>
      </c>
      <c r="AO201" s="62">
        <f t="shared" si="205"/>
        <v>247.01165577562966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0</v>
      </c>
      <c r="AV201" s="23">
        <f>EXP(-LN(2)/25)*AV200+(1-EXP(-LN(2)/25))/(LN(2)/25)*Calculateur!AQ201*Calculateur!AS201*VLOOKUP('Données projet'!$B$10,Paramètres!$A$1:$I$89,3,0)*0.475*44/12</f>
        <v>0</v>
      </c>
      <c r="AW201" s="23">
        <f>EXP(-LN(2)/2)*AW200+(1-EXP(-LN(2)/2))/(LN(2)/2)*AQ201*AT201*VLOOKUP('Données projet'!$B$10,Paramètres!$A$1:$I$89,3,0)*0.475*44/12</f>
        <v>0</v>
      </c>
      <c r="AX201" s="23">
        <f t="shared" si="166"/>
        <v>0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-9.6633812063373625E-13</v>
      </c>
      <c r="BE201" s="14">
        <f>BD201*VLOOKUP('Données projet'!$B$11,Paramètres!$A$1:$I$89,3,0)*VLOOKUP('Données projet'!$B$11,Paramètres!$A$1:$I$89,5,0)</f>
        <v>-9.7986685432260874E-13</v>
      </c>
      <c r="BF201" s="14" t="e">
        <f t="shared" si="167"/>
        <v>#NUM!</v>
      </c>
      <c r="BG201" s="22" t="e">
        <f t="shared" si="168"/>
        <v>#NUM!</v>
      </c>
      <c r="BH201" s="62" t="e">
        <f t="shared" si="194"/>
        <v>#NUM!</v>
      </c>
      <c r="BI201" s="62">
        <f ca="1">AVERAGE(OFFSET($BH$3,0,0,'Données projet'!$E$11+1,1))-AVERAGE(OFFSET($H$3,0,0,'Données projet'!$E$11+1,1))</f>
        <v>475.47920969424894</v>
      </c>
      <c r="BJ201" s="62">
        <f t="shared" si="206"/>
        <v>271.73544012419364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>
        <f>EXP(-LN(2)/35)*BP200+(1-EXP(-LN(2)/35))/(LN(2)/35)*BL201*BM201*VLOOKUP('Données projet'!$B$11,Paramètres!$A$1:$I$89,3,0)*0.475*44/12</f>
        <v>0</v>
      </c>
      <c r="BQ201" s="23">
        <f>EXP(-LN(2)/25)*BQ200+(1-EXP(-LN(2)/25))/(LN(2)/25)*Calculateur!BL201*Calculateur!BN201*VLOOKUP('Données projet'!$B$11,Paramètres!$A$1:$I$89,3,0)*0.475*44/12</f>
        <v>0</v>
      </c>
      <c r="BR201" s="23">
        <f>EXP(-LN(2)/2)*BR200+(1-EXP(-LN(2)/2))/(LN(2)/2)*BL201*BO201*VLOOKUP('Données projet'!$B$11,Paramètres!$A$1:$I$89,3,0)*0.475*44/12</f>
        <v>0</v>
      </c>
      <c r="BS201" s="24">
        <f t="shared" si="169"/>
        <v>0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2.2737367544323206E-13</v>
      </c>
      <c r="BZ201" s="14">
        <f>BY201*VLOOKUP('Données projet'!$B$12,Paramètres!$A$1:$I$89,3,0)*VLOOKUP('Données projet'!$B$12,Paramètres!$A$1:$I$89,5,0)</f>
        <v>1.2710188457276673E-13</v>
      </c>
      <c r="CA201" s="14">
        <f t="shared" si="170"/>
        <v>1.856866851063998E-12</v>
      </c>
      <c r="CB201" s="22">
        <f t="shared" si="171"/>
        <v>3.4554122145673649E-12</v>
      </c>
      <c r="CC201" s="62">
        <f t="shared" si="195"/>
        <v>293.33333333333678</v>
      </c>
      <c r="CD201" s="62">
        <f ca="1">AVERAGE(OFFSET($CC$3,0,0,'Données projet'!$E$12+1,1))-AVERAGE(OFFSET($H$3,0,0,'Données projet'!$E$12+1,1))</f>
        <v>323.98185264074681</v>
      </c>
      <c r="CE201" s="62">
        <f t="shared" si="207"/>
        <v>301.22207291854005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>
        <f>EXP(-LN(2)/35)*CK200+(1-EXP(-LN(2)/35))/(LN(2)/35)*CG201*CH201*VLOOKUP('Données projet'!$B$12,Paramètres!$A$1:$I$89,3,0)*0.475*44/12</f>
        <v>0.16018315054028989</v>
      </c>
      <c r="CL201" s="23">
        <f>EXP(-LN(2)/25)*CL200+(1-EXP(-LN(2)/25))/(LN(2)/25)*Calculateur!CG201*Calculateur!CI201*VLOOKUP('Données projet'!$B$12,Paramètres!$A$1:$I$89,3,0)*0.475*44/12</f>
        <v>7.8233039330270093E-2</v>
      </c>
      <c r="CM201" s="23">
        <f>EXP(-LN(2)/2)*CM200+(1-EXP(-LN(2)/2))/(LN(2)/2)*CG201*CJ201*VLOOKUP('Données projet'!$B$12,Paramètres!$A$1:$I$89,3,0)*0.475*44/12</f>
        <v>3.1473225449632213E-25</v>
      </c>
      <c r="CN201" s="24">
        <f t="shared" si="172"/>
        <v>0.23841618987055999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>
        <f>CT201*VLOOKUP('Données projet'!$B$13,Paramètres!$A$1:$I$89,3,0)*VLOOKUP('Données projet'!$B$13,Paramètres!$A$1:$I$89,5,0)</f>
        <v>0</v>
      </c>
      <c r="CV201" s="14" t="e">
        <f t="shared" si="173"/>
        <v>#NUM!</v>
      </c>
      <c r="CW201" s="22" t="e">
        <f t="shared" si="174"/>
        <v>#NUM!</v>
      </c>
      <c r="CX201" s="62" t="e">
        <f t="shared" si="196"/>
        <v>#NUM!</v>
      </c>
      <c r="CY201" s="62">
        <f ca="1">AVERAGE(OFFSET($CX$3,0,0,'Données projet'!$E$13+1,1))-AVERAGE(OFFSET($H$3,0,0,'Données projet'!$E$13+1,1))</f>
        <v>399.78832690250164</v>
      </c>
      <c r="CZ201" s="62">
        <f t="shared" si="208"/>
        <v>174.32967064896343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>
        <f>EXP(-LN(2)/35)*DF200+(1-EXP(-LN(2)/35))/(LN(2)/35)*DB201*DC201*VLOOKUP('Données projet'!$B$13,Paramètres!$A$1:$I$89,3,0)*0.475*44/12</f>
        <v>0</v>
      </c>
      <c r="DG201" s="23">
        <f>EXP(-LN(2)/25)*DG200+(1-EXP(-LN(2)/25))/(LN(2)/25)*Calculateur!DB201*Calculateur!DD201*VLOOKUP('Données projet'!$B$13,Paramètres!$A$1:$I$89,3,0)*0.475*44/12</f>
        <v>0</v>
      </c>
      <c r="DH201" s="23">
        <f>EXP(-LN(2)/2)*DH200+(1-EXP(-LN(2)/2))/(LN(2)/2)*DB201*DE201*VLOOKUP('Données projet'!$B$13,Paramètres!$A$1:$I$89,3,0)*0.475*44/12</f>
        <v>0</v>
      </c>
      <c r="DI201" s="24">
        <f t="shared" si="175"/>
        <v>0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-9.6633812063373625E-13</v>
      </c>
      <c r="DP201" s="18">
        <f>DO201*VLOOKUP('Données projet'!$B$14,Paramètres!$A$1:$I$89,3,0)*VLOOKUP('Données projet'!$B$14,Paramètres!$A$1:$I$89,5,0)</f>
        <v>-8.1404323282185943E-13</v>
      </c>
      <c r="DQ201" s="14" t="e">
        <f t="shared" si="176"/>
        <v>#NUM!</v>
      </c>
      <c r="DR201" s="22" t="e">
        <f t="shared" si="177"/>
        <v>#NUM!</v>
      </c>
      <c r="DS201" s="62" t="e">
        <f t="shared" si="197"/>
        <v>#NUM!</v>
      </c>
      <c r="DT201" s="62">
        <f ca="1">AVERAGE(OFFSET($DS$3,0,0,'Données projet'!$E$14+1,1))-AVERAGE(OFFSET($H$3,0,0,'Données projet'!$E$14+1,1))</f>
        <v>402.15128814037058</v>
      </c>
      <c r="DU201" s="62">
        <f t="shared" si="209"/>
        <v>232.85411068442738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>
        <f>EXP(-LN(2)/35)*EA200+(1-EXP(-LN(2)/35))/(LN(2)/35)*DW201*DX201*VLOOKUP('Données projet'!$B$14,Paramètres!$A$1:$I$89,3,0)*0.475*44/12</f>
        <v>0</v>
      </c>
      <c r="EB201" s="23">
        <f>EXP(-LN(2)/25)*EB200+(1-EXP(-LN(2)/25))/(LN(2)/25)*Calculateur!DW201*Calculateur!DY201*VLOOKUP('Données projet'!$B$14,Paramètres!$A$1:$I$89,3,0)*0.475*44/12</f>
        <v>0</v>
      </c>
      <c r="EC201" s="23">
        <f>EXP(-LN(2)/2)*EC200+(1-EXP(-LN(2)/2))/(LN(2)/2)*DW201*DZ201*VLOOKUP('Données projet'!$B$14,Paramètres!$A$1:$I$89,3,0)*0.475*44/12</f>
        <v>0</v>
      </c>
      <c r="ED201" s="24">
        <f t="shared" si="178"/>
        <v>0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6.2527760746888816E-13</v>
      </c>
      <c r="EK201" s="18">
        <f>EJ201*VLOOKUP('Données projet'!$B$15,Paramètres!$A$1:$I$89,3,0)*VLOOKUP('Données projet'!$B$15,Paramètres!$A$1:$I$89,5,0)</f>
        <v>6.5354015532648198E-13</v>
      </c>
      <c r="EL201" s="14">
        <f t="shared" si="179"/>
        <v>7.8909019831354483E-12</v>
      </c>
      <c r="EM201" s="22">
        <f t="shared" si="180"/>
        <v>1.4881570057821194E-11</v>
      </c>
      <c r="EN201" s="62">
        <f t="shared" si="198"/>
        <v>293.33333333334821</v>
      </c>
      <c r="EO201" s="62">
        <f ca="1">AVERAGE(OFFSET($EN$3,0,0,'Données projet'!$E$15+1,1))-AVERAGE(OFFSET($H$3,0,0,'Données projet'!$E$15+1,1))</f>
        <v>595.89992279024398</v>
      </c>
      <c r="EP201" s="62">
        <f t="shared" si="210"/>
        <v>378.16197659288338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>
        <f>EXP(-LN(2)/35)*EV200+(1-EXP(-LN(2)/35))/(LN(2)/35)*ER201*ES201*VLOOKUP('Données projet'!$B$15,Paramètres!$A$1:$I$89,3,0)*0.475*44/12</f>
        <v>0</v>
      </c>
      <c r="EW201" s="23">
        <f>EXP(-LN(2)/25)*EW200+(1-EXP(-LN(2)/25))/(LN(2)/25)*Calculateur!ER201*Calculateur!ET201*VLOOKUP('Données projet'!$B$15,Paramètres!$A$1:$I$89,3,0)*0.475*44/12</f>
        <v>0</v>
      </c>
      <c r="EX201" s="23">
        <f>EXP(-LN(2)/2)*EX200+(1-EXP(-LN(2)/2))/(LN(2)/2)*ER201*EU201*VLOOKUP('Données projet'!$B$15,Paramètres!$A$1:$I$89,3,0)*0.475*44/12</f>
        <v>0</v>
      </c>
      <c r="EY201" s="24">
        <f t="shared" si="181"/>
        <v>0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-2.2737367544323206E-13</v>
      </c>
      <c r="FF201" s="18">
        <f>FE201*VLOOKUP('Données projet'!$B$16,Paramètres!$A$1:$I$89,3,0)*VLOOKUP('Données projet'!$B$16,Paramètres!$A$1:$I$89,5,0)</f>
        <v>-1.3596945791505279E-13</v>
      </c>
      <c r="FG201" s="14" t="e">
        <f t="shared" si="182"/>
        <v>#NUM!</v>
      </c>
      <c r="FH201" s="22" t="e">
        <f t="shared" si="183"/>
        <v>#NUM!</v>
      </c>
      <c r="FI201" s="62" t="e">
        <f t="shared" si="199"/>
        <v>#NUM!</v>
      </c>
      <c r="FJ201" s="62">
        <f ca="1">AVERAGE(OFFSET($FI$3,0,0,'Données projet'!$E$16+1,1))-AVERAGE(OFFSET($H$3,0,0,'Données projet'!$E$16+1,1))</f>
        <v>257.56116197646924</v>
      </c>
      <c r="FK201" s="62">
        <f t="shared" si="211"/>
        <v>269.95556918835888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>
        <f>EXP(-LN(2)/35)*FQ200+(1-EXP(-LN(2)/35))/(LN(2)/35)*FM201*FN201*VLOOKUP('Données projet'!$B$16,Paramètres!$A$1:$I$89,3,0)*0.475*44/12</f>
        <v>0.52342744795574492</v>
      </c>
      <c r="FR201" s="23">
        <f>EXP(-LN(2)/25)*FR200+(1-EXP(-LN(2)/25))/(LN(2)/25)*Calculateur!FM201*Calculateur!FO201*VLOOKUP('Données projet'!$B$16,Paramètres!$A$1:$I$89,3,0)*0.475*44/12</f>
        <v>0.15313153680139457</v>
      </c>
      <c r="FS201" s="23">
        <f>EXP(-LN(2)/2)*FS200+(1-EXP(-LN(2)/2))/(LN(2)/2)*FM201*FP201*VLOOKUP('Données projet'!$B$16,Paramètres!$A$1:$I$89,3,0)*0.475*44/12</f>
        <v>4.4223574780118536E-25</v>
      </c>
      <c r="FT201" s="24">
        <f t="shared" si="184"/>
        <v>0.67655898475713949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-2.8421709430404007E-13</v>
      </c>
      <c r="GA201" s="18">
        <f>FZ201*VLOOKUP('Données projet'!$B$17,Paramètres!$A$1:$I$89,3,0)*VLOOKUP('Données projet'!$B$17,Paramètres!$A$1:$I$89,5,0)</f>
        <v>-1.69961822393816E-13</v>
      </c>
      <c r="GB201" s="14" t="e">
        <f t="shared" si="185"/>
        <v>#NUM!</v>
      </c>
      <c r="GC201" s="22" t="e">
        <f t="shared" si="186"/>
        <v>#NUM!</v>
      </c>
      <c r="GD201" s="62" t="e">
        <f t="shared" si="200"/>
        <v>#NUM!</v>
      </c>
      <c r="GE201" s="62">
        <f ca="1">AVERAGE(OFFSET($GD$3,0,0,'Données projet'!$E$17+1,1))-AVERAGE(OFFSET($H$3,0,0,'Données projet'!$E$17+1,1))</f>
        <v>289.12367833861299</v>
      </c>
      <c r="GF201" s="62">
        <f t="shared" si="212"/>
        <v>229.06617320689003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>
        <f>EXP(-LN(2)/35)*GL200+(1-EXP(-LN(2)/35))/(LN(2)/35)*GH201*GI201*VLOOKUP('Données projet'!$B$17,Paramètres!$A$1:$I$89,3,0)*0.475*44/12</f>
        <v>0</v>
      </c>
      <c r="GM201" s="23">
        <f>EXP(-LN(2)/25)*GM200+(1-EXP(-LN(2)/25))/(LN(2)/25)*Calculateur!GH201*Calculateur!GJ201*VLOOKUP('Données projet'!$B$17,Paramètres!$A$1:$I$89,3,0)*0.475*44/12</f>
        <v>0</v>
      </c>
      <c r="GN201" s="23">
        <f>EXP(-LN(2)/2)*GN200+(1-EXP(-LN(2)/2))/(LN(2)/2)*GH201*GK201*VLOOKUP('Données projet'!$B$17,Paramètres!$A$1:$I$89,3,0)*0.475*44/12</f>
        <v>2.143863487498421E-25</v>
      </c>
      <c r="GO201" s="23">
        <f t="shared" si="187"/>
        <v>2.143863487498421E-25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-5.6843418860808015E-14</v>
      </c>
      <c r="GV201" s="18">
        <f>GU201*VLOOKUP('Données projet'!$B$18,Paramètres!$A$1:$I$89,3,0)*VLOOKUP('Données projet'!$B$18,Paramètres!$A$1:$I$89,5,0)</f>
        <v>-2.6602720026858149E-14</v>
      </c>
      <c r="GW201" s="14" t="e">
        <f t="shared" si="188"/>
        <v>#NUM!</v>
      </c>
      <c r="GX201" s="22" t="e">
        <f t="shared" si="189"/>
        <v>#NUM!</v>
      </c>
      <c r="GY201" s="62" t="e">
        <f t="shared" si="201"/>
        <v>#NUM!</v>
      </c>
      <c r="GZ201" s="62">
        <f ca="1">AVERAGE(OFFSET($GY$3,0,0,'Données projet'!$E$18+1,1))-AVERAGE(OFFSET($H$3,0,0,'Données projet'!$E$18+1,1))</f>
        <v>284.88646502866419</v>
      </c>
      <c r="HA201" s="62">
        <f t="shared" si="213"/>
        <v>190.4880882944471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>
        <f>EXP(-LN(2)/35)*HG200+(1-EXP(-LN(2)/35))/(LN(2)/35)*HC201*HD201*VLOOKUP('Données projet'!$B$18,Paramètres!$A$1:$I$89,3,0)*0.475*44/12</f>
        <v>0</v>
      </c>
      <c r="HH201" s="23">
        <f>EXP(-LN(2)/25)*HH200+(1-EXP(-LN(2)/25))/(LN(2)/25)*Calculateur!HC201*Calculateur!HE201*VLOOKUP('Données projet'!$B$18,Paramètres!$A$1:$I$89,3,0)*0.475*44/12</f>
        <v>0</v>
      </c>
      <c r="HI201" s="23">
        <f>EXP(-LN(2)/2)*HI200+(1-EXP(-LN(2)/2))/(LN(2)/2)*HC201*HF201*VLOOKUP('Données projet'!$B$18,Paramètres!$A$1:$I$89,3,0)*0.475*44/12</f>
        <v>0</v>
      </c>
      <c r="HJ201" s="24">
        <f t="shared" si="190"/>
        <v>0</v>
      </c>
    </row>
    <row r="202" spans="1:218" x14ac:dyDescent="0.25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2">
        <f t="shared" si="202"/>
        <v>0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0</v>
      </c>
      <c r="H202" s="70">
        <f t="shared" si="192"/>
        <v>256.66666666666669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-1.1368683772161603E-13</v>
      </c>
      <c r="O202" s="14">
        <f>N202*VLOOKUP('Données projet'!$B$9,Paramètres!$A$1:$I$89,3,0)*VLOOKUP('Données projet'!$B$9,Paramètres!$A$1:$I$89,5,0)</f>
        <v>-1.0818439477588981E-13</v>
      </c>
      <c r="P202" s="14" t="e">
        <f t="shared" si="203"/>
        <v>#NUM!</v>
      </c>
      <c r="Q202" s="22" t="e">
        <f t="shared" si="162"/>
        <v>#NUM!</v>
      </c>
      <c r="R202" s="62" t="e">
        <f t="shared" si="191"/>
        <v>#NUM!</v>
      </c>
      <c r="S202" s="62">
        <f ca="1">AVERAGE(OFFSET($R$3,0,0,'Données projet'!$E$9+1,1))-AVERAGE(OFFSET($H$3,0,0,'Données projet'!$E$9+1,1))</f>
        <v>367.11183928586667</v>
      </c>
      <c r="T202" s="62">
        <f t="shared" si="204"/>
        <v>281.52963027844595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0</v>
      </c>
      <c r="AA202" s="23">
        <f>EXP(-LN(2)/25)*AA201+(1-EXP(-LN(2)/25))/(LN(2)/25)*Calculateur!V202*Calculateur!X202*VLOOKUP('Données projet'!$B$9,Paramètres!$A$1:$I$89,3,0)*0.475*44/12</f>
        <v>0</v>
      </c>
      <c r="AB202" s="23">
        <f>EXP(-LN(2)/2)*AB201+(1-EXP(-LN(2)/2))/(LN(2)/2)*V202*Y202*VLOOKUP('Données projet'!$B$9,Paramètres!$A$1:$I$89,3,0)*0.475*44/12</f>
        <v>0</v>
      </c>
      <c r="AC202" s="24">
        <f t="shared" si="163"/>
        <v>0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-9.6633812063373625E-13</v>
      </c>
      <c r="AJ202" s="14">
        <f>AI202*VLOOKUP('Données projet'!$B$10,Paramètres!$A$1:$I$89,3,0)*VLOOKUP('Données projet'!$B$10,Paramètres!$A$1:$I$89,5,0)</f>
        <v>-8.7434273154940449E-13</v>
      </c>
      <c r="AK202" s="14" t="e">
        <f t="shared" si="164"/>
        <v>#NUM!</v>
      </c>
      <c r="AL202" s="22" t="e">
        <f t="shared" si="165"/>
        <v>#NUM!</v>
      </c>
      <c r="AM202" s="62" t="e">
        <f t="shared" si="193"/>
        <v>#NUM!</v>
      </c>
      <c r="AN202" s="62">
        <f ca="1">AVERAGE(OFFSET($AM$3,0,0,'Données projet'!$E$10+1,1))-AVERAGE(OFFSET($H$3,0,0,'Données projet'!$E$10+1,1))</f>
        <v>428.8489304403459</v>
      </c>
      <c r="AO202" s="62">
        <f t="shared" si="205"/>
        <v>247.01165577562966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0</v>
      </c>
      <c r="AV202" s="23">
        <f>EXP(-LN(2)/25)*AV201+(1-EXP(-LN(2)/25))/(LN(2)/25)*Calculateur!AQ202*Calculateur!AS202*VLOOKUP('Données projet'!$B$10,Paramètres!$A$1:$I$89,3,0)*0.475*44/12</f>
        <v>0</v>
      </c>
      <c r="AW202" s="23">
        <f>EXP(-LN(2)/2)*AW201+(1-EXP(-LN(2)/2))/(LN(2)/2)*AQ202*AT202*VLOOKUP('Données projet'!$B$10,Paramètres!$A$1:$I$89,3,0)*0.475*44/12</f>
        <v>0</v>
      </c>
      <c r="AX202" s="23">
        <f t="shared" si="166"/>
        <v>0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-9.6633812063373625E-13</v>
      </c>
      <c r="BE202" s="14">
        <f>BD202*VLOOKUP('Données projet'!$B$11,Paramètres!$A$1:$I$89,3,0)*VLOOKUP('Données projet'!$B$11,Paramètres!$A$1:$I$89,5,0)</f>
        <v>-9.7986685432260874E-13</v>
      </c>
      <c r="BF202" s="14" t="e">
        <f t="shared" si="167"/>
        <v>#NUM!</v>
      </c>
      <c r="BG202" s="22" t="e">
        <f t="shared" si="168"/>
        <v>#NUM!</v>
      </c>
      <c r="BH202" s="62" t="e">
        <f t="shared" si="194"/>
        <v>#NUM!</v>
      </c>
      <c r="BI202" s="62">
        <f ca="1">AVERAGE(OFFSET($BH$3,0,0,'Données projet'!$E$11+1,1))-AVERAGE(OFFSET($H$3,0,0,'Données projet'!$E$11+1,1))</f>
        <v>475.47920969424894</v>
      </c>
      <c r="BJ202" s="62">
        <f t="shared" si="206"/>
        <v>271.73544012419364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>
        <f>EXP(-LN(2)/35)*BP201+(1-EXP(-LN(2)/35))/(LN(2)/35)*BL202*BM202*VLOOKUP('Données projet'!$B$11,Paramètres!$A$1:$I$89,3,0)*0.475*44/12</f>
        <v>0</v>
      </c>
      <c r="BQ202" s="23">
        <f>EXP(-LN(2)/25)*BQ201+(1-EXP(-LN(2)/25))/(LN(2)/25)*Calculateur!BL202*Calculateur!BN202*VLOOKUP('Données projet'!$B$11,Paramètres!$A$1:$I$89,3,0)*0.475*44/12</f>
        <v>0</v>
      </c>
      <c r="BR202" s="23">
        <f>EXP(-LN(2)/2)*BR201+(1-EXP(-LN(2)/2))/(LN(2)/2)*BL202*BO202*VLOOKUP('Données projet'!$B$11,Paramètres!$A$1:$I$89,3,0)*0.475*44/12</f>
        <v>0</v>
      </c>
      <c r="BS202" s="24">
        <f t="shared" si="169"/>
        <v>0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2.2737367544323206E-13</v>
      </c>
      <c r="BZ202" s="14">
        <f>BY202*VLOOKUP('Données projet'!$B$12,Paramètres!$A$1:$I$89,3,0)*VLOOKUP('Données projet'!$B$12,Paramètres!$A$1:$I$89,5,0)</f>
        <v>1.2710188457276673E-13</v>
      </c>
      <c r="CA202" s="14">
        <f t="shared" si="170"/>
        <v>1.856866851063998E-12</v>
      </c>
      <c r="CB202" s="22">
        <f t="shared" si="171"/>
        <v>3.4554122145673649E-12</v>
      </c>
      <c r="CC202" s="62">
        <f t="shared" si="195"/>
        <v>293.33333333333678</v>
      </c>
      <c r="CD202" s="62">
        <f ca="1">AVERAGE(OFFSET($CC$3,0,0,'Données projet'!$E$12+1,1))-AVERAGE(OFFSET($H$3,0,0,'Données projet'!$E$12+1,1))</f>
        <v>323.98185264074681</v>
      </c>
      <c r="CE202" s="62">
        <f t="shared" si="207"/>
        <v>301.22207291854005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>
        <f>EXP(-LN(2)/35)*CK201+(1-EXP(-LN(2)/35))/(LN(2)/35)*CG202*CH202*VLOOKUP('Données projet'!$B$12,Paramètres!$A$1:$I$89,3,0)*0.475*44/12</f>
        <v>0.15704205666026935</v>
      </c>
      <c r="CL202" s="23">
        <f>EXP(-LN(2)/25)*CL201+(1-EXP(-LN(2)/25))/(LN(2)/25)*Calculateur!CG202*Calculateur!CI202*VLOOKUP('Données projet'!$B$12,Paramètres!$A$1:$I$89,3,0)*0.475*44/12</f>
        <v>7.6093752755687125E-2</v>
      </c>
      <c r="CM202" s="23">
        <f>EXP(-LN(2)/2)*CM201+(1-EXP(-LN(2)/2))/(LN(2)/2)*CG202*CJ202*VLOOKUP('Données projet'!$B$12,Paramètres!$A$1:$I$89,3,0)*0.475*44/12</f>
        <v>2.2254931141247964E-25</v>
      </c>
      <c r="CN202" s="24">
        <f t="shared" si="172"/>
        <v>0.23313580941595646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>
        <f>CT202*VLOOKUP('Données projet'!$B$13,Paramètres!$A$1:$I$89,3,0)*VLOOKUP('Données projet'!$B$13,Paramètres!$A$1:$I$89,5,0)</f>
        <v>0</v>
      </c>
      <c r="CV202" s="14" t="e">
        <f t="shared" si="173"/>
        <v>#NUM!</v>
      </c>
      <c r="CW202" s="22" t="e">
        <f t="shared" si="174"/>
        <v>#NUM!</v>
      </c>
      <c r="CX202" s="62" t="e">
        <f t="shared" si="196"/>
        <v>#NUM!</v>
      </c>
      <c r="CY202" s="62">
        <f ca="1">AVERAGE(OFFSET($CX$3,0,0,'Données projet'!$E$13+1,1))-AVERAGE(OFFSET($H$3,0,0,'Données projet'!$E$13+1,1))</f>
        <v>399.78832690250164</v>
      </c>
      <c r="CZ202" s="62">
        <f t="shared" si="208"/>
        <v>174.32967064896343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>
        <f>EXP(-LN(2)/35)*DF201+(1-EXP(-LN(2)/35))/(LN(2)/35)*DB202*DC202*VLOOKUP('Données projet'!$B$13,Paramètres!$A$1:$I$89,3,0)*0.475*44/12</f>
        <v>0</v>
      </c>
      <c r="DG202" s="23">
        <f>EXP(-LN(2)/25)*DG201+(1-EXP(-LN(2)/25))/(LN(2)/25)*Calculateur!DB202*Calculateur!DD202*VLOOKUP('Données projet'!$B$13,Paramètres!$A$1:$I$89,3,0)*0.475*44/12</f>
        <v>0</v>
      </c>
      <c r="DH202" s="23">
        <f>EXP(-LN(2)/2)*DH201+(1-EXP(-LN(2)/2))/(LN(2)/2)*DB202*DE202*VLOOKUP('Données projet'!$B$13,Paramètres!$A$1:$I$89,3,0)*0.475*44/12</f>
        <v>0</v>
      </c>
      <c r="DI202" s="24">
        <f t="shared" si="175"/>
        <v>0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-9.6633812063373625E-13</v>
      </c>
      <c r="DP202" s="18">
        <f>DO202*VLOOKUP('Données projet'!$B$14,Paramètres!$A$1:$I$89,3,0)*VLOOKUP('Données projet'!$B$14,Paramètres!$A$1:$I$89,5,0)</f>
        <v>-8.1404323282185943E-13</v>
      </c>
      <c r="DQ202" s="14" t="e">
        <f t="shared" si="176"/>
        <v>#NUM!</v>
      </c>
      <c r="DR202" s="22" t="e">
        <f t="shared" si="177"/>
        <v>#NUM!</v>
      </c>
      <c r="DS202" s="62" t="e">
        <f t="shared" si="197"/>
        <v>#NUM!</v>
      </c>
      <c r="DT202" s="62">
        <f ca="1">AVERAGE(OFFSET($DS$3,0,0,'Données projet'!$E$14+1,1))-AVERAGE(OFFSET($H$3,0,0,'Données projet'!$E$14+1,1))</f>
        <v>402.15128814037058</v>
      </c>
      <c r="DU202" s="62">
        <f t="shared" si="209"/>
        <v>232.85411068442738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>
        <f>EXP(-LN(2)/35)*EA201+(1-EXP(-LN(2)/35))/(LN(2)/35)*DW202*DX202*VLOOKUP('Données projet'!$B$14,Paramètres!$A$1:$I$89,3,0)*0.475*44/12</f>
        <v>0</v>
      </c>
      <c r="EB202" s="23">
        <f>EXP(-LN(2)/25)*EB201+(1-EXP(-LN(2)/25))/(LN(2)/25)*Calculateur!DW202*Calculateur!DY202*VLOOKUP('Données projet'!$B$14,Paramètres!$A$1:$I$89,3,0)*0.475*44/12</f>
        <v>0</v>
      </c>
      <c r="EC202" s="23">
        <f>EXP(-LN(2)/2)*EC201+(1-EXP(-LN(2)/2))/(LN(2)/2)*DW202*DZ202*VLOOKUP('Données projet'!$B$14,Paramètres!$A$1:$I$89,3,0)*0.475*44/12</f>
        <v>0</v>
      </c>
      <c r="ED202" s="24">
        <f t="shared" si="178"/>
        <v>0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6.2527760746888816E-13</v>
      </c>
      <c r="EK202" s="18">
        <f>EJ202*VLOOKUP('Données projet'!$B$15,Paramètres!$A$1:$I$89,3,0)*VLOOKUP('Données projet'!$B$15,Paramètres!$A$1:$I$89,5,0)</f>
        <v>6.5354015532648198E-13</v>
      </c>
      <c r="EL202" s="14">
        <f t="shared" si="179"/>
        <v>7.8909019831354483E-12</v>
      </c>
      <c r="EM202" s="22">
        <f t="shared" si="180"/>
        <v>1.4881570057821194E-11</v>
      </c>
      <c r="EN202" s="62">
        <f t="shared" si="198"/>
        <v>293.33333333334821</v>
      </c>
      <c r="EO202" s="62">
        <f ca="1">AVERAGE(OFFSET($EN$3,0,0,'Données projet'!$E$15+1,1))-AVERAGE(OFFSET($H$3,0,0,'Données projet'!$E$15+1,1))</f>
        <v>595.89992279024398</v>
      </c>
      <c r="EP202" s="62">
        <f t="shared" si="210"/>
        <v>378.16197659288338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>
        <f>EXP(-LN(2)/35)*EV201+(1-EXP(-LN(2)/35))/(LN(2)/35)*ER202*ES202*VLOOKUP('Données projet'!$B$15,Paramètres!$A$1:$I$89,3,0)*0.475*44/12</f>
        <v>0</v>
      </c>
      <c r="EW202" s="23">
        <f>EXP(-LN(2)/25)*EW201+(1-EXP(-LN(2)/25))/(LN(2)/25)*Calculateur!ER202*Calculateur!ET202*VLOOKUP('Données projet'!$B$15,Paramètres!$A$1:$I$89,3,0)*0.475*44/12</f>
        <v>0</v>
      </c>
      <c r="EX202" s="23">
        <f>EXP(-LN(2)/2)*EX201+(1-EXP(-LN(2)/2))/(LN(2)/2)*ER202*EU202*VLOOKUP('Données projet'!$B$15,Paramètres!$A$1:$I$89,3,0)*0.475*44/12</f>
        <v>0</v>
      </c>
      <c r="EY202" s="24">
        <f t="shared" si="181"/>
        <v>0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-2.2737367544323206E-13</v>
      </c>
      <c r="FF202" s="18">
        <f>FE202*VLOOKUP('Données projet'!$B$16,Paramètres!$A$1:$I$89,3,0)*VLOOKUP('Données projet'!$B$16,Paramètres!$A$1:$I$89,5,0)</f>
        <v>-1.3596945791505279E-13</v>
      </c>
      <c r="FG202" s="14" t="e">
        <f t="shared" si="182"/>
        <v>#NUM!</v>
      </c>
      <c r="FH202" s="22" t="e">
        <f t="shared" si="183"/>
        <v>#NUM!</v>
      </c>
      <c r="FI202" s="62" t="e">
        <f t="shared" si="199"/>
        <v>#NUM!</v>
      </c>
      <c r="FJ202" s="62">
        <f ca="1">AVERAGE(OFFSET($FI$3,0,0,'Données projet'!$E$16+1,1))-AVERAGE(OFFSET($H$3,0,0,'Données projet'!$E$16+1,1))</f>
        <v>257.56116197646924</v>
      </c>
      <c r="FK202" s="62">
        <f t="shared" si="211"/>
        <v>269.95556918835888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>
        <f>EXP(-LN(2)/35)*FQ201+(1-EXP(-LN(2)/35))/(LN(2)/35)*FM202*FN202*VLOOKUP('Données projet'!$B$16,Paramètres!$A$1:$I$89,3,0)*0.475*44/12</f>
        <v>0.51316335496055177</v>
      </c>
      <c r="FR202" s="23">
        <f>EXP(-LN(2)/25)*FR201+(1-EXP(-LN(2)/25))/(LN(2)/25)*Calculateur!FM202*Calculateur!FO202*VLOOKUP('Données projet'!$B$16,Paramètres!$A$1:$I$89,3,0)*0.475*44/12</f>
        <v>0.1489441468747229</v>
      </c>
      <c r="FS202" s="23">
        <f>EXP(-LN(2)/2)*FS201+(1-EXP(-LN(2)/2))/(LN(2)/2)*FM202*FP202*VLOOKUP('Données projet'!$B$16,Paramètres!$A$1:$I$89,3,0)*0.475*44/12</f>
        <v>3.12707896153322E-25</v>
      </c>
      <c r="FT202" s="24">
        <f t="shared" si="184"/>
        <v>0.66210750183527467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-2.8421709430404007E-13</v>
      </c>
      <c r="GA202" s="18">
        <f>FZ202*VLOOKUP('Données projet'!$B$17,Paramètres!$A$1:$I$89,3,0)*VLOOKUP('Données projet'!$B$17,Paramètres!$A$1:$I$89,5,0)</f>
        <v>-1.69961822393816E-13</v>
      </c>
      <c r="GB202" s="14" t="e">
        <f t="shared" si="185"/>
        <v>#NUM!</v>
      </c>
      <c r="GC202" s="22" t="e">
        <f t="shared" si="186"/>
        <v>#NUM!</v>
      </c>
      <c r="GD202" s="62" t="e">
        <f t="shared" si="200"/>
        <v>#NUM!</v>
      </c>
      <c r="GE202" s="62">
        <f ca="1">AVERAGE(OFFSET($GD$3,0,0,'Données projet'!$E$17+1,1))-AVERAGE(OFFSET($H$3,0,0,'Données projet'!$E$17+1,1))</f>
        <v>289.12367833861299</v>
      </c>
      <c r="GF202" s="62">
        <f t="shared" si="212"/>
        <v>229.06617320689003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>
        <f>EXP(-LN(2)/35)*GL201+(1-EXP(-LN(2)/35))/(LN(2)/35)*GH202*GI202*VLOOKUP('Données projet'!$B$17,Paramètres!$A$1:$I$89,3,0)*0.475*44/12</f>
        <v>0</v>
      </c>
      <c r="GM202" s="23">
        <f>EXP(-LN(2)/25)*GM201+(1-EXP(-LN(2)/25))/(LN(2)/25)*Calculateur!GH202*Calculateur!GJ202*VLOOKUP('Données projet'!$B$17,Paramètres!$A$1:$I$89,3,0)*0.475*44/12</f>
        <v>0</v>
      </c>
      <c r="GN202" s="23">
        <f>EXP(-LN(2)/2)*GN201+(1-EXP(-LN(2)/2))/(LN(2)/2)*GH202*GK202*VLOOKUP('Données projet'!$B$17,Paramètres!$A$1:$I$89,3,0)*0.475*44/12</f>
        <v>1.5159404099483747E-25</v>
      </c>
      <c r="GO202" s="23">
        <f t="shared" si="187"/>
        <v>1.5159404099483747E-25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-5.6843418860808015E-14</v>
      </c>
      <c r="GV202" s="18">
        <f>GU202*VLOOKUP('Données projet'!$B$18,Paramètres!$A$1:$I$89,3,0)*VLOOKUP('Données projet'!$B$18,Paramètres!$A$1:$I$89,5,0)</f>
        <v>-2.6602720026858149E-14</v>
      </c>
      <c r="GW202" s="14" t="e">
        <f t="shared" si="188"/>
        <v>#NUM!</v>
      </c>
      <c r="GX202" s="22" t="e">
        <f t="shared" si="189"/>
        <v>#NUM!</v>
      </c>
      <c r="GY202" s="62" t="e">
        <f t="shared" si="201"/>
        <v>#NUM!</v>
      </c>
      <c r="GZ202" s="62">
        <f ca="1">AVERAGE(OFFSET($GY$3,0,0,'Données projet'!$E$18+1,1))-AVERAGE(OFFSET($H$3,0,0,'Données projet'!$E$18+1,1))</f>
        <v>284.88646502866419</v>
      </c>
      <c r="HA202" s="62">
        <f t="shared" si="213"/>
        <v>190.4880882944471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>
        <f>EXP(-LN(2)/35)*HG201+(1-EXP(-LN(2)/35))/(LN(2)/35)*HC202*HD202*VLOOKUP('Données projet'!$B$18,Paramètres!$A$1:$I$89,3,0)*0.475*44/12</f>
        <v>0</v>
      </c>
      <c r="HH202" s="23">
        <f>EXP(-LN(2)/25)*HH201+(1-EXP(-LN(2)/25))/(LN(2)/25)*Calculateur!HC202*Calculateur!HE202*VLOOKUP('Données projet'!$B$18,Paramètres!$A$1:$I$89,3,0)*0.475*44/12</f>
        <v>0</v>
      </c>
      <c r="HI202" s="23">
        <f>EXP(-LN(2)/2)*HI201+(1-EXP(-LN(2)/2))/(LN(2)/2)*HC202*HF202*VLOOKUP('Données projet'!$B$18,Paramètres!$A$1:$I$89,3,0)*0.475*44/12</f>
        <v>0</v>
      </c>
      <c r="HJ202" s="24">
        <f t="shared" si="190"/>
        <v>0</v>
      </c>
    </row>
    <row r="203" spans="1:218" ht="15.75" thickBot="1" x14ac:dyDescent="0.3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2">
        <f t="shared" si="202"/>
        <v>0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0</v>
      </c>
      <c r="H203" s="70">
        <f t="shared" si="192"/>
        <v>256.66666666666669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-1.1368683772161603E-13</v>
      </c>
      <c r="O203" s="14">
        <f>N203*VLOOKUP('Données projet'!$B$9,Paramètres!$A$1:$I$89,3,0)*VLOOKUP('Données projet'!$B$9,Paramètres!$A$1:$I$89,5,0)</f>
        <v>-1.0818439477588981E-13</v>
      </c>
      <c r="P203" s="14" t="e">
        <f t="shared" si="203"/>
        <v>#NUM!</v>
      </c>
      <c r="Q203" s="22" t="e">
        <f t="shared" si="162"/>
        <v>#NUM!</v>
      </c>
      <c r="R203" s="62" t="e">
        <f t="shared" si="191"/>
        <v>#NUM!</v>
      </c>
      <c r="S203" s="62">
        <f ca="1">AVERAGE(OFFSET($R$3,0,0,'Données projet'!$E$9+1,1))-AVERAGE(OFFSET($H$3,0,0,'Données projet'!$E$9+1,1))</f>
        <v>367.11183928586667</v>
      </c>
      <c r="T203" s="62">
        <f t="shared" si="204"/>
        <v>281.52963027844595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0</v>
      </c>
      <c r="AA203" s="23">
        <f>EXP(-LN(2)/25)*AA202+(1-EXP(-LN(2)/25))/(LN(2)/25)*Calculateur!V203*Calculateur!X203*VLOOKUP('Données projet'!$B$9,Paramètres!$A$1:$I$89,3,0)*0.475*44/12</f>
        <v>0</v>
      </c>
      <c r="AB203" s="23">
        <f>EXP(-LN(2)/2)*AB202+(1-EXP(-LN(2)/2))/(LN(2)/2)*V203*Y203*VLOOKUP('Données projet'!$B$9,Paramètres!$A$1:$I$89,3,0)*0.475*44/12</f>
        <v>0</v>
      </c>
      <c r="AC203" s="24">
        <f t="shared" si="163"/>
        <v>0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-9.6633812063373625E-13</v>
      </c>
      <c r="AJ203" s="14">
        <f>AI203*VLOOKUP('Données projet'!$B$10,Paramètres!$A$1:$I$89,3,0)*VLOOKUP('Données projet'!$B$10,Paramètres!$A$1:$I$89,5,0)</f>
        <v>-8.7434273154940449E-13</v>
      </c>
      <c r="AK203" s="14" t="e">
        <f t="shared" si="164"/>
        <v>#NUM!</v>
      </c>
      <c r="AL203" s="22" t="e">
        <f t="shared" si="165"/>
        <v>#NUM!</v>
      </c>
      <c r="AM203" s="62" t="e">
        <f t="shared" si="193"/>
        <v>#NUM!</v>
      </c>
      <c r="AN203" s="62">
        <f ca="1">AVERAGE(OFFSET($AM$3,0,0,'Données projet'!$E$10+1,1))-AVERAGE(OFFSET($H$3,0,0,'Données projet'!$E$10+1,1))</f>
        <v>428.8489304403459</v>
      </c>
      <c r="AO203" s="62">
        <f t="shared" si="205"/>
        <v>247.01165577562966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0</v>
      </c>
      <c r="AV203" s="23">
        <f>EXP(-LN(2)/25)*AV202+(1-EXP(-LN(2)/25))/(LN(2)/25)*Calculateur!AQ203*Calculateur!AS203*VLOOKUP('Données projet'!$B$10,Paramètres!$A$1:$I$89,3,0)*0.475*44/12</f>
        <v>0</v>
      </c>
      <c r="AW203" s="23">
        <f>EXP(-LN(2)/2)*AW202+(1-EXP(-LN(2)/2))/(LN(2)/2)*AQ203*AT203*VLOOKUP('Données projet'!$B$10,Paramètres!$A$1:$I$89,3,0)*0.475*44/12</f>
        <v>0</v>
      </c>
      <c r="AX203" s="23">
        <f t="shared" si="166"/>
        <v>0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-9.6633812063373625E-13</v>
      </c>
      <c r="BE203" s="14">
        <f>BD203*VLOOKUP('Données projet'!$B$11,Paramètres!$A$1:$I$89,3,0)*VLOOKUP('Données projet'!$B$11,Paramètres!$A$1:$I$89,5,0)</f>
        <v>-9.7986685432260874E-13</v>
      </c>
      <c r="BF203" s="14" t="e">
        <f t="shared" si="167"/>
        <v>#NUM!</v>
      </c>
      <c r="BG203" s="22" t="e">
        <f t="shared" si="168"/>
        <v>#NUM!</v>
      </c>
      <c r="BH203" s="62" t="e">
        <f t="shared" si="194"/>
        <v>#NUM!</v>
      </c>
      <c r="BI203" s="62">
        <f ca="1">AVERAGE(OFFSET($BH$3,0,0,'Données projet'!$E$11+1,1))-AVERAGE(OFFSET($H$3,0,0,'Données projet'!$E$11+1,1))</f>
        <v>475.47920969424894</v>
      </c>
      <c r="BJ203" s="62">
        <f t="shared" si="206"/>
        <v>271.73544012419364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>
        <f>EXP(-LN(2)/35)*BP202+(1-EXP(-LN(2)/35))/(LN(2)/35)*BL203*BM203*VLOOKUP('Données projet'!$B$11,Paramètres!$A$1:$I$89,3,0)*0.475*44/12</f>
        <v>0</v>
      </c>
      <c r="BQ203" s="23">
        <f>EXP(-LN(2)/25)*BQ202+(1-EXP(-LN(2)/25))/(LN(2)/25)*Calculateur!BL203*Calculateur!BN203*VLOOKUP('Données projet'!$B$11,Paramètres!$A$1:$I$89,3,0)*0.475*44/12</f>
        <v>0</v>
      </c>
      <c r="BR203" s="23">
        <f>EXP(-LN(2)/2)*BR202+(1-EXP(-LN(2)/2))/(LN(2)/2)*BL203*BO203*VLOOKUP('Données projet'!$B$11,Paramètres!$A$1:$I$89,3,0)*0.475*44/12</f>
        <v>0</v>
      </c>
      <c r="BS203" s="24">
        <f t="shared" si="169"/>
        <v>0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2.2737367544323206E-13</v>
      </c>
      <c r="BZ203" s="14">
        <f>BY203*VLOOKUP('Données projet'!$B$12,Paramètres!$A$1:$I$89,3,0)*VLOOKUP('Données projet'!$B$12,Paramètres!$A$1:$I$89,5,0)</f>
        <v>1.2710188457276673E-13</v>
      </c>
      <c r="CA203" s="14">
        <f t="shared" si="170"/>
        <v>1.856866851063998E-12</v>
      </c>
      <c r="CB203" s="22">
        <f t="shared" si="171"/>
        <v>3.4554122145673649E-12</v>
      </c>
      <c r="CC203" s="62">
        <f t="shared" si="195"/>
        <v>293.33333333333678</v>
      </c>
      <c r="CD203" s="62">
        <f ca="1">AVERAGE(OFFSET($CC$3,0,0,'Données projet'!$E$12+1,1))-AVERAGE(OFFSET($H$3,0,0,'Données projet'!$E$12+1,1))</f>
        <v>323.98185264074681</v>
      </c>
      <c r="CE203" s="62">
        <f t="shared" si="207"/>
        <v>301.22207291854005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>
        <f>EXP(-LN(2)/35)*CK202+(1-EXP(-LN(2)/35))/(LN(2)/35)*CG203*CH203*VLOOKUP('Données projet'!$B$12,Paramètres!$A$1:$I$89,3,0)*0.475*44/12</f>
        <v>0.15396255771535794</v>
      </c>
      <c r="CL203" s="23">
        <f>EXP(-LN(2)/25)*CL202+(1-EXP(-LN(2)/25))/(LN(2)/25)*Calculateur!CG203*Calculateur!CI203*VLOOKUP('Données projet'!$B$12,Paramètres!$A$1:$I$89,3,0)*0.475*44/12</f>
        <v>7.4012965084986324E-2</v>
      </c>
      <c r="CM203" s="23">
        <f>EXP(-LN(2)/2)*CM202+(1-EXP(-LN(2)/2))/(LN(2)/2)*CG203*CJ203*VLOOKUP('Données projet'!$B$12,Paramètres!$A$1:$I$89,3,0)*0.475*44/12</f>
        <v>1.5736612724816107E-25</v>
      </c>
      <c r="CN203" s="24">
        <f t="shared" si="172"/>
        <v>0.22797552280034428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>
        <f>CT203*VLOOKUP('Données projet'!$B$13,Paramètres!$A$1:$I$89,3,0)*VLOOKUP('Données projet'!$B$13,Paramètres!$A$1:$I$89,5,0)</f>
        <v>0</v>
      </c>
      <c r="CV203" s="14" t="e">
        <f t="shared" si="173"/>
        <v>#NUM!</v>
      </c>
      <c r="CW203" s="22" t="e">
        <f t="shared" si="174"/>
        <v>#NUM!</v>
      </c>
      <c r="CX203" s="62" t="e">
        <f t="shared" si="196"/>
        <v>#NUM!</v>
      </c>
      <c r="CY203" s="62">
        <f ca="1">AVERAGE(OFFSET($CX$3,0,0,'Données projet'!$E$13+1,1))-AVERAGE(OFFSET($H$3,0,0,'Données projet'!$E$13+1,1))</f>
        <v>399.78832690250164</v>
      </c>
      <c r="CZ203" s="62">
        <f t="shared" si="208"/>
        <v>174.32967064896343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>
        <f>EXP(-LN(2)/35)*DF202+(1-EXP(-LN(2)/35))/(LN(2)/35)*DB203*DC203*VLOOKUP('Données projet'!$B$13,Paramètres!$A$1:$I$89,3,0)*0.475*44/12</f>
        <v>0</v>
      </c>
      <c r="DG203" s="23">
        <f>EXP(-LN(2)/25)*DG202+(1-EXP(-LN(2)/25))/(LN(2)/25)*Calculateur!DB203*Calculateur!DD203*VLOOKUP('Données projet'!$B$13,Paramètres!$A$1:$I$89,3,0)*0.475*44/12</f>
        <v>0</v>
      </c>
      <c r="DH203" s="23">
        <f>EXP(-LN(2)/2)*DH202+(1-EXP(-LN(2)/2))/(LN(2)/2)*DB203*DE203*VLOOKUP('Données projet'!$B$13,Paramètres!$A$1:$I$89,3,0)*0.475*44/12</f>
        <v>0</v>
      </c>
      <c r="DI203" s="24">
        <f t="shared" si="175"/>
        <v>0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-9.6633812063373625E-13</v>
      </c>
      <c r="DP203" s="18">
        <f>DO203*VLOOKUP('Données projet'!$B$14,Paramètres!$A$1:$I$89,3,0)*VLOOKUP('Données projet'!$B$14,Paramètres!$A$1:$I$89,5,0)</f>
        <v>-8.1404323282185943E-13</v>
      </c>
      <c r="DQ203" s="14" t="e">
        <f t="shared" si="176"/>
        <v>#NUM!</v>
      </c>
      <c r="DR203" s="22" t="e">
        <f t="shared" si="177"/>
        <v>#NUM!</v>
      </c>
      <c r="DS203" s="62" t="e">
        <f t="shared" si="197"/>
        <v>#NUM!</v>
      </c>
      <c r="DT203" s="62">
        <f ca="1">AVERAGE(OFFSET($DS$3,0,0,'Données projet'!$E$14+1,1))-AVERAGE(OFFSET($H$3,0,0,'Données projet'!$E$14+1,1))</f>
        <v>402.15128814037058</v>
      </c>
      <c r="DU203" s="62">
        <f t="shared" si="209"/>
        <v>232.85411068442738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>
        <f>EXP(-LN(2)/35)*EA202+(1-EXP(-LN(2)/35))/(LN(2)/35)*DW203*DX203*VLOOKUP('Données projet'!$B$14,Paramètres!$A$1:$I$89,3,0)*0.475*44/12</f>
        <v>0</v>
      </c>
      <c r="EB203" s="23">
        <f>EXP(-LN(2)/25)*EB202+(1-EXP(-LN(2)/25))/(LN(2)/25)*Calculateur!DW203*Calculateur!DY203*VLOOKUP('Données projet'!$B$14,Paramètres!$A$1:$I$89,3,0)*0.475*44/12</f>
        <v>0</v>
      </c>
      <c r="EC203" s="23">
        <f>EXP(-LN(2)/2)*EC202+(1-EXP(-LN(2)/2))/(LN(2)/2)*DW203*DZ203*VLOOKUP('Données projet'!$B$14,Paramètres!$A$1:$I$89,3,0)*0.475*44/12</f>
        <v>0</v>
      </c>
      <c r="ED203" s="24">
        <f t="shared" si="178"/>
        <v>0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6.2527760746888816E-13</v>
      </c>
      <c r="EK203" s="18">
        <f>EJ203*VLOOKUP('Données projet'!$B$15,Paramètres!$A$1:$I$89,3,0)*VLOOKUP('Données projet'!$B$15,Paramètres!$A$1:$I$89,5,0)</f>
        <v>6.5354015532648198E-13</v>
      </c>
      <c r="EL203" s="14">
        <f t="shared" si="179"/>
        <v>7.8909019831354483E-12</v>
      </c>
      <c r="EM203" s="22">
        <f t="shared" si="180"/>
        <v>1.4881570057821194E-11</v>
      </c>
      <c r="EN203" s="62">
        <f t="shared" si="198"/>
        <v>293.33333333334821</v>
      </c>
      <c r="EO203" s="62">
        <f ca="1">AVERAGE(OFFSET($EN$3,0,0,'Données projet'!$E$15+1,1))-AVERAGE(OFFSET($H$3,0,0,'Données projet'!$E$15+1,1))</f>
        <v>595.89992279024398</v>
      </c>
      <c r="EP203" s="62">
        <f t="shared" si="210"/>
        <v>378.16197659288338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>
        <f>EXP(-LN(2)/35)*EV202+(1-EXP(-LN(2)/35))/(LN(2)/35)*ER203*ES203*VLOOKUP('Données projet'!$B$15,Paramètres!$A$1:$I$89,3,0)*0.475*44/12</f>
        <v>0</v>
      </c>
      <c r="EW203" s="23">
        <f>EXP(-LN(2)/25)*EW202+(1-EXP(-LN(2)/25))/(LN(2)/25)*Calculateur!ER203*Calculateur!ET203*VLOOKUP('Données projet'!$B$15,Paramètres!$A$1:$I$89,3,0)*0.475*44/12</f>
        <v>0</v>
      </c>
      <c r="EX203" s="23">
        <f>EXP(-LN(2)/2)*EX202+(1-EXP(-LN(2)/2))/(LN(2)/2)*ER203*EU203*VLOOKUP('Données projet'!$B$15,Paramètres!$A$1:$I$89,3,0)*0.475*44/12</f>
        <v>0</v>
      </c>
      <c r="EY203" s="24">
        <f t="shared" si="181"/>
        <v>0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-2.2737367544323206E-13</v>
      </c>
      <c r="FF203" s="18">
        <f>FE203*VLOOKUP('Données projet'!$B$16,Paramètres!$A$1:$I$89,3,0)*VLOOKUP('Données projet'!$B$16,Paramètres!$A$1:$I$89,5,0)</f>
        <v>-1.3596945791505279E-13</v>
      </c>
      <c r="FG203" s="14" t="e">
        <f t="shared" si="182"/>
        <v>#NUM!</v>
      </c>
      <c r="FH203" s="22" t="e">
        <f t="shared" si="183"/>
        <v>#NUM!</v>
      </c>
      <c r="FI203" s="62" t="e">
        <f t="shared" si="199"/>
        <v>#NUM!</v>
      </c>
      <c r="FJ203" s="62">
        <f ca="1">AVERAGE(OFFSET($FI$3,0,0,'Données projet'!$E$16+1,1))-AVERAGE(OFFSET($H$3,0,0,'Données projet'!$E$16+1,1))</f>
        <v>257.56116197646924</v>
      </c>
      <c r="FK203" s="62">
        <f t="shared" si="211"/>
        <v>269.95556918835888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>
        <f>EXP(-LN(2)/35)*FQ202+(1-EXP(-LN(2)/35))/(LN(2)/35)*FM203*FN203*VLOOKUP('Données projet'!$B$16,Paramètres!$A$1:$I$89,3,0)*0.475*44/12</f>
        <v>0.50310053456851578</v>
      </c>
      <c r="FR203" s="23">
        <f>EXP(-LN(2)/25)*FR202+(1-EXP(-LN(2)/25))/(LN(2)/25)*Calculateur!FM203*Calculateur!FO203*VLOOKUP('Données projet'!$B$16,Paramètres!$A$1:$I$89,3,0)*0.475*44/12</f>
        <v>0.14487126134580133</v>
      </c>
      <c r="FS203" s="23">
        <f>EXP(-LN(2)/2)*FS202+(1-EXP(-LN(2)/2))/(LN(2)/2)*FM203*FP203*VLOOKUP('Données projet'!$B$16,Paramètres!$A$1:$I$89,3,0)*0.475*44/12</f>
        <v>2.2111787390059268E-25</v>
      </c>
      <c r="FT203" s="24">
        <f t="shared" si="184"/>
        <v>0.64797179591431708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-2.8421709430404007E-13</v>
      </c>
      <c r="GA203" s="18">
        <f>FZ203*VLOOKUP('Données projet'!$B$17,Paramètres!$A$1:$I$89,3,0)*VLOOKUP('Données projet'!$B$17,Paramètres!$A$1:$I$89,5,0)</f>
        <v>-1.69961822393816E-13</v>
      </c>
      <c r="GB203" s="14" t="e">
        <f t="shared" si="185"/>
        <v>#NUM!</v>
      </c>
      <c r="GC203" s="22" t="e">
        <f t="shared" si="186"/>
        <v>#NUM!</v>
      </c>
      <c r="GD203" s="62" t="e">
        <f t="shared" si="200"/>
        <v>#NUM!</v>
      </c>
      <c r="GE203" s="62">
        <f ca="1">AVERAGE(OFFSET($GD$3,0,0,'Données projet'!$E$17+1,1))-AVERAGE(OFFSET($H$3,0,0,'Données projet'!$E$17+1,1))</f>
        <v>289.12367833861299</v>
      </c>
      <c r="GF203" s="62">
        <f t="shared" si="212"/>
        <v>229.06617320689003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>
        <f>EXP(-LN(2)/35)*GL202+(1-EXP(-LN(2)/35))/(LN(2)/35)*GH203*GI203*VLOOKUP('Données projet'!$B$17,Paramètres!$A$1:$I$89,3,0)*0.475*44/12</f>
        <v>0</v>
      </c>
      <c r="GM203" s="23">
        <f>EXP(-LN(2)/25)*GM202+(1-EXP(-LN(2)/25))/(LN(2)/25)*Calculateur!GH203*Calculateur!GJ203*VLOOKUP('Données projet'!$B$17,Paramètres!$A$1:$I$89,3,0)*0.475*44/12</f>
        <v>0</v>
      </c>
      <c r="GN203" s="23">
        <f>EXP(-LN(2)/2)*GN202+(1-EXP(-LN(2)/2))/(LN(2)/2)*GH203*GK203*VLOOKUP('Données projet'!$B$17,Paramètres!$A$1:$I$89,3,0)*0.475*44/12</f>
        <v>1.0719317437492105E-25</v>
      </c>
      <c r="GO203" s="23">
        <f t="shared" si="187"/>
        <v>1.0719317437492105E-25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-5.6843418860808015E-14</v>
      </c>
      <c r="GV203" s="18">
        <f>GU203*VLOOKUP('Données projet'!$B$18,Paramètres!$A$1:$I$89,3,0)*VLOOKUP('Données projet'!$B$18,Paramètres!$A$1:$I$89,5,0)</f>
        <v>-2.6602720026858149E-14</v>
      </c>
      <c r="GW203" s="14" t="e">
        <f t="shared" si="188"/>
        <v>#NUM!</v>
      </c>
      <c r="GX203" s="22" t="e">
        <f t="shared" si="189"/>
        <v>#NUM!</v>
      </c>
      <c r="GY203" s="62" t="e">
        <f t="shared" si="201"/>
        <v>#NUM!</v>
      </c>
      <c r="GZ203" s="62">
        <f ca="1">AVERAGE(OFFSET($GY$3,0,0,'Données projet'!$E$18+1,1))-AVERAGE(OFFSET($H$3,0,0,'Données projet'!$E$18+1,1))</f>
        <v>284.88646502866419</v>
      </c>
      <c r="HA203" s="62">
        <f t="shared" si="213"/>
        <v>190.4880882944471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>
        <f>EXP(-LN(2)/35)*HG202+(1-EXP(-LN(2)/35))/(LN(2)/35)*HC203*HD203*VLOOKUP('Données projet'!$B$18,Paramètres!$A$1:$I$89,3,0)*0.475*44/12</f>
        <v>0</v>
      </c>
      <c r="HH203" s="23">
        <f>EXP(-LN(2)/25)*HH202+(1-EXP(-LN(2)/25))/(LN(2)/25)*Calculateur!HC203*Calculateur!HE203*VLOOKUP('Données projet'!$B$18,Paramètres!$A$1:$I$89,3,0)*0.475*44/12</f>
        <v>0</v>
      </c>
      <c r="HI203" s="23">
        <f>EXP(-LN(2)/2)*HI202+(1-EXP(-LN(2)/2))/(LN(2)/2)*HC203*HF203*VLOOKUP('Données projet'!$B$18,Paramètres!$A$1:$I$89,3,0)*0.475*44/12</f>
        <v>0</v>
      </c>
      <c r="HJ203" s="24">
        <f t="shared" si="190"/>
        <v>0</v>
      </c>
    </row>
    <row r="204" spans="1:218" ht="15.75" thickBot="1" x14ac:dyDescent="0.3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.75" thickBot="1" x14ac:dyDescent="0.3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1.2711106295585217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>
        <f>EXP(LN('Données projet'!B62)/'Données projet'!A62)</f>
        <v>1.2054868146447177</v>
      </c>
      <c r="BA205" s="88">
        <f>EXP(LN('Données projet'!B88)/'Données projet'!A88)</f>
        <v>1.2054868146447177</v>
      </c>
      <c r="BV205" s="88">
        <f>EXP(LN('Données projet'!B114)/'Données projet'!A114)</f>
        <v>1.3009230512021859</v>
      </c>
      <c r="CQ205" s="88">
        <f>EXP(LN('Données projet'!B140)/'Données projet'!A140)</f>
        <v>1.1457367676485573</v>
      </c>
      <c r="DL205" s="88">
        <f>EXP(LN('Données projet'!B166)/'Données projet'!A166)</f>
        <v>1.2054868146447177</v>
      </c>
      <c r="EG205" s="88">
        <f>EXP(LN('Données projet'!B192)/'Données projet'!A192)</f>
        <v>1.2835948199965717</v>
      </c>
      <c r="FB205" s="88">
        <f>EXP(LN('Données projet'!B218)/'Données projet'!A218)</f>
        <v>1.3292852468636394</v>
      </c>
      <c r="FW205" s="88">
        <f>EXP(LN('Données projet'!B244)/'Données projet'!A244)</f>
        <v>1.2691631451226497</v>
      </c>
      <c r="GR205" s="88">
        <f>EXP(LN('Données projet'!B270)/'Données projet'!A270)</f>
        <v>1.1810516433311786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4"/>
  <dimension ref="A1:P95"/>
  <sheetViews>
    <sheetView topLeftCell="A53" workbookViewId="0">
      <selection activeCell="D102" sqref="D102"/>
    </sheetView>
  </sheetViews>
  <sheetFormatPr baseColWidth="10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5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7" t="s">
        <v>238</v>
      </c>
      <c r="P2" s="130">
        <v>0</v>
      </c>
    </row>
    <row r="3" spans="1:16" ht="15.75" thickBot="1" x14ac:dyDescent="0.3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8"/>
      <c r="P3" s="137">
        <v>0.2</v>
      </c>
    </row>
    <row r="4" spans="1:16" ht="15.75" thickBot="1" x14ac:dyDescent="0.3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5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7" t="s">
        <v>237</v>
      </c>
      <c r="P5" s="130">
        <v>0</v>
      </c>
    </row>
    <row r="6" spans="1:16" x14ac:dyDescent="0.25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9"/>
      <c r="P6" s="138">
        <v>0.05</v>
      </c>
    </row>
    <row r="7" spans="1:16" x14ac:dyDescent="0.25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9"/>
      <c r="P7" s="138">
        <v>0.1</v>
      </c>
    </row>
    <row r="8" spans="1:16" ht="15.75" thickBot="1" x14ac:dyDescent="0.3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8"/>
      <c r="P8" s="137">
        <v>0.15</v>
      </c>
    </row>
    <row r="9" spans="1:16" ht="15.75" thickBot="1" x14ac:dyDescent="0.3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5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7" t="s">
        <v>236</v>
      </c>
      <c r="P10" s="130">
        <v>0</v>
      </c>
    </row>
    <row r="11" spans="1:16" ht="15.75" thickBot="1" x14ac:dyDescent="0.3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8"/>
      <c r="P11" s="137">
        <v>0.1</v>
      </c>
    </row>
    <row r="12" spans="1:16" x14ac:dyDescent="0.25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5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5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5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5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5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5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5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5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5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5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5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5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5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5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5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5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5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5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5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5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5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5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5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5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5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5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5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5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5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5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5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5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5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5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5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5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5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5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5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5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5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5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5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5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5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5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5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5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5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5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5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5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5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5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5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5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5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5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5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5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5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5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5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5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5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5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5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5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5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5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5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5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5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5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5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25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.75" thickBot="1" x14ac:dyDescent="0.3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5">
      <c r="A93" s="131" t="s">
        <v>208</v>
      </c>
    </row>
    <row r="94" spans="1:14" x14ac:dyDescent="0.25">
      <c r="A94" s="131" t="s">
        <v>209</v>
      </c>
    </row>
    <row r="95" spans="1:14" x14ac:dyDescent="0.25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5"/>
  <dimension ref="A1:BJ357"/>
  <sheetViews>
    <sheetView tabSelected="1" zoomScale="90" zoomScaleNormal="90" workbookViewId="0">
      <selection activeCell="N13" sqref="N13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08" t="s">
        <v>271</v>
      </c>
      <c r="B2" s="309"/>
      <c r="C2" s="309"/>
      <c r="D2" s="309"/>
      <c r="E2" s="309"/>
      <c r="F2" s="309"/>
      <c r="G2" s="309"/>
      <c r="H2" s="309"/>
      <c r="I2" s="309"/>
      <c r="J2" s="309"/>
      <c r="K2" s="309"/>
      <c r="L2" s="310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4" t="str">
        <f>IF('Données projet'!$B$9="","",'Données projet'!$B$9)</f>
        <v>Charme</v>
      </c>
      <c r="B6" s="155">
        <f>'Données projet'!D9</f>
        <v>7.7509066400000002</v>
      </c>
      <c r="C6" s="156">
        <f ca="1">IF(OR('Données projet'!B9="",'Données projet'!C9="",'Données projet'!C9=0%),0,Calculateur!S3)</f>
        <v>367.11183928586667</v>
      </c>
      <c r="D6" s="156">
        <f>IF(OR('Données projet'!B9="",'Données projet'!C9="",'Données projet'!C9=0%),0,Calculateur!T3)</f>
        <v>281.52963027844595</v>
      </c>
      <c r="E6" s="156">
        <f ca="1">MIN(C6,D6)</f>
        <v>281.52963027844595</v>
      </c>
      <c r="F6" s="156">
        <f ca="1">E6*B6</f>
        <v>2182.1098806819518</v>
      </c>
      <c r="G6" s="156">
        <f ca="1">F6*(100%-'Données projet'!$C$24)*(100%-'Données projet'!$C$25)*(100%-'Données projet'!$C$26)*(100%-'Données projet'!$C$27)</f>
        <v>1865.7039479830689</v>
      </c>
      <c r="H6" s="157">
        <f>IF(OR('Données projet'!B9="",'Données projet'!C9="",'Données projet'!C9=0%),0,AVERAGE(Calculateur!$AC$3:$AC$33)*B6)</f>
        <v>0</v>
      </c>
      <c r="I6" s="158">
        <f>H6*(100%-'Données projet'!$C$24)*(100%-'Données projet'!$C$25)*(100%-'Données projet'!$C$26)*(100%-'Données projet'!$C$27)</f>
        <v>0</v>
      </c>
      <c r="J6" s="159">
        <f>IF(OR('Données projet'!B9="",'Données projet'!C9="",'Données projet'!C9=0%),0,SUM(Calculateur!$V$3:$V$33)*VLOOKUP('Données projet'!$B$9,Paramètres!$A$1:$I$89,9,0)*B6)</f>
        <v>81.980743307692308</v>
      </c>
      <c r="K6" s="160">
        <f>J6*(100%-'Données projet'!$C$24)*(100%-'Données projet'!$C$25)*(100%-'Données projet'!$C$26)*(100%-'Données projet'!$C$27)</f>
        <v>70.093535528076913</v>
      </c>
      <c r="L6" s="161">
        <f ca="1">G6+I6+K6</f>
        <v>1935.7974835111459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2" t="str">
        <f>IF('Données projet'!$B$10="","",'Données projet'!$B$10)</f>
        <v>Chêne sessile</v>
      </c>
      <c r="B7" s="163">
        <f>'Données projet'!D10</f>
        <v>4.6245425400000002</v>
      </c>
      <c r="C7" s="156">
        <f ca="1">IF(OR('Données projet'!B10="",'Données projet'!C10="",'Données projet'!C10=0%),0,Calculateur!AN3)</f>
        <v>428.8489304403459</v>
      </c>
      <c r="D7" s="156">
        <f>IF(OR('Données projet'!B10="",'Données projet'!C10="",'Données projet'!C10=0%),0,Calculateur!AO3)</f>
        <v>247.01165577562966</v>
      </c>
      <c r="E7" s="156">
        <f t="shared" ref="E7:E15" ca="1" si="0">MIN(C7,D7)</f>
        <v>247.01165577562966</v>
      </c>
      <c r="F7" s="156">
        <f t="shared" ref="F7:F15" ca="1" si="1">E7*B7</f>
        <v>1142.3159100102362</v>
      </c>
      <c r="G7" s="156">
        <f ca="1">F7*(100%-'Données projet'!$C$24)*(100%-'Données projet'!$C$25)*(100%-'Données projet'!$C$26)*(100%-'Données projet'!$C$27)</f>
        <v>976.68010305875191</v>
      </c>
      <c r="H7" s="164">
        <f>IF(OR('Données projet'!B10="",'Données projet'!C10="",'Données projet'!C10=0%),0,AVERAGE(Calculateur!$AX$3:$AX$33)*B7)</f>
        <v>0</v>
      </c>
      <c r="I7" s="158">
        <f>H7*(100%-'Données projet'!$C$24)*(100%-'Données projet'!$C$25)*(100%-'Données projet'!$C$26)*(100%-'Données projet'!$C$27)</f>
        <v>0</v>
      </c>
      <c r="J7" s="159">
        <f>IF(OR('Données projet'!B10="",'Données projet'!C10="",'Données projet'!C10=0%),0,SUM(Calculateur!$AQ$3:$AQ$33)*VLOOKUP('Données projet'!$B$10,Paramètres!$A$1:$I$89,9,0)*B7)</f>
        <v>33.527933415</v>
      </c>
      <c r="K7" s="160">
        <f>J7*(100%-'Données projet'!$C$24)*(100%-'Données projet'!$C$25)*(100%-'Données projet'!$C$26)*(100%-'Données projet'!$C$27)</f>
        <v>28.666383069824999</v>
      </c>
      <c r="L7" s="161">
        <f t="shared" ref="L7:L15" ca="1" si="2">G7+I7+K7</f>
        <v>1005.3464861285769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2" t="str">
        <f>IF('Données projet'!$B$11="","",'Données projet'!$B$11)</f>
        <v>Chêne pubescent</v>
      </c>
      <c r="B8" s="163">
        <f>'Données projet'!D11</f>
        <v>4.3583372800000006</v>
      </c>
      <c r="C8" s="156">
        <f ca="1">IF(OR('Données projet'!B11="",'Données projet'!C11="",'Données projet'!C11=0%),0,Calculateur!BI3)</f>
        <v>475.47920969424894</v>
      </c>
      <c r="D8" s="156">
        <f>IF(OR('Données projet'!B11="",'Données projet'!C11="",'Données projet'!C11=0%),0,Calculateur!BJ3)</f>
        <v>271.73544012419364</v>
      </c>
      <c r="E8" s="156">
        <f t="shared" ca="1" si="0"/>
        <v>271.73544012419364</v>
      </c>
      <c r="F8" s="156">
        <f t="shared" ca="1" si="1"/>
        <v>1184.3146989904812</v>
      </c>
      <c r="G8" s="156">
        <f ca="1">F8*(100%-'Données projet'!$C$24)*(100%-'Données projet'!$C$25)*(100%-'Données projet'!$C$26)*(100%-'Données projet'!$C$27)</f>
        <v>1012.5890676368614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31.597945280000005</v>
      </c>
      <c r="K8" s="160">
        <f>J8*(100%-'Données projet'!$C$24)*(100%-'Données projet'!$C$25)*(100%-'Données projet'!$C$26)*(100%-'Données projet'!$C$27)</f>
        <v>27.016243214400003</v>
      </c>
      <c r="L8" s="161">
        <f t="shared" ca="1" si="2"/>
        <v>1039.6053108512615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2" t="str">
        <f>IF('Données projet'!$B$12="","",'Données projet'!$B$12)</f>
        <v>Douglas</v>
      </c>
      <c r="B9" s="163">
        <f>'Données projet'!D12</f>
        <v>2.56609489</v>
      </c>
      <c r="C9" s="156">
        <f ca="1">IF(OR('Données projet'!B12="",'Données projet'!C12="",'Données projet'!C12=0%),0,Calculateur!CD3)</f>
        <v>323.98185264074681</v>
      </c>
      <c r="D9" s="156">
        <f>IF(OR('Données projet'!B12="",'Données projet'!C12="",'Données projet'!C12=0%),0,Calculateur!CE3)</f>
        <v>301.22207291854005</v>
      </c>
      <c r="E9" s="156">
        <f t="shared" ca="1" si="0"/>
        <v>301.22207291854005</v>
      </c>
      <c r="F9" s="156">
        <f t="shared" ca="1" si="1"/>
        <v>772.964422071473</v>
      </c>
      <c r="G9" s="156">
        <f ca="1">F9*(100%-'Données projet'!$C$24)*(100%-'Données projet'!$C$25)*(100%-'Données projet'!$C$26)*(100%-'Données projet'!$C$27)</f>
        <v>660.88458087110939</v>
      </c>
      <c r="H9" s="164">
        <f>IF(OR('Données projet'!B12="",'Données projet'!C12="",'Données projet'!C12=0%),0,AVERAGE(Calculateur!$CN$3:$CN$33)*B9)</f>
        <v>12.104931792300103</v>
      </c>
      <c r="I9" s="158">
        <f>H9*(100%-'Données projet'!$C$24)*(100%-'Données projet'!$C$25)*(100%-'Données projet'!$C$26)*(100%-'Données projet'!$C$27)</f>
        <v>10.349716682416588</v>
      </c>
      <c r="J9" s="159">
        <f>IF(OR('Données projet'!B12="",'Données projet'!C12="",'Données projet'!C12=0%),0,SUM(Calculateur!$CG$3:$CG$33)*VLOOKUP('Données projet'!$B$12,Paramètres!$A$1:$I$89,9,0)*B9)</f>
        <v>130.29702109421305</v>
      </c>
      <c r="K9" s="160">
        <f>J9*(100%-'Données projet'!$C$24)*(100%-'Données projet'!$C$25)*(100%-'Données projet'!$C$26)*(100%-'Données projet'!$C$27)</f>
        <v>111.40395303555215</v>
      </c>
      <c r="L9" s="161">
        <f t="shared" ca="1" si="2"/>
        <v>782.6382505890781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2" t="str">
        <f>IF('Données projet'!$B$13="","",'Données projet'!$B$13)</f>
        <v>Chêne vert</v>
      </c>
      <c r="B10" s="163">
        <f>'Données projet'!D13</f>
        <v>2.5258545600000004</v>
      </c>
      <c r="C10" s="156">
        <f ca="1">IF(OR('Données projet'!B13="",'Données projet'!C13="",'Données projet'!C13=0%),0,Calculateur!CY3)</f>
        <v>399.78832690250164</v>
      </c>
      <c r="D10" s="156">
        <f>IF(OR('Données projet'!B13="",'Données projet'!C13="",'Données projet'!C13=0%),0,Calculateur!CZ3)</f>
        <v>174.32967064896343</v>
      </c>
      <c r="E10" s="156">
        <f t="shared" ca="1" si="0"/>
        <v>174.32967064896343</v>
      </c>
      <c r="F10" s="156">
        <f t="shared" ca="1" si="1"/>
        <v>440.3313935519825</v>
      </c>
      <c r="G10" s="156">
        <f ca="1">F10*(100%-'Données projet'!$C$24)*(100%-'Données projet'!$C$25)*(100%-'Données projet'!$C$26)*(100%-'Données projet'!$C$27)</f>
        <v>376.48334148694505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ca="1" si="2"/>
        <v>376.48334148694505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2" t="str">
        <f>IF('Données projet'!$B$14="","",'Données projet'!$B$14)</f>
        <v>Chêne pédonculé</v>
      </c>
      <c r="B11" s="163">
        <f>'Données projet'!D14</f>
        <v>2.4051335700000003</v>
      </c>
      <c r="C11" s="156">
        <f ca="1">IF(OR('Données projet'!B14="",'Données projet'!C14="",'Données projet'!C14=0%),0,Calculateur!DT3)</f>
        <v>402.15128814037058</v>
      </c>
      <c r="D11" s="156">
        <f>IF(OR('Données projet'!B14="",'Données projet'!C14="",'Données projet'!C14=0%),0,Calculateur!DU3)</f>
        <v>232.85411068442738</v>
      </c>
      <c r="E11" s="156">
        <f t="shared" ca="1" si="0"/>
        <v>232.85411068442738</v>
      </c>
      <c r="F11" s="156">
        <f t="shared" ca="1" si="1"/>
        <v>560.04523851961198</v>
      </c>
      <c r="G11" s="156">
        <f ca="1">F11*(100%-'Données projet'!$C$24)*(100%-'Données projet'!$C$25)*(100%-'Données projet'!$C$26)*(100%-'Données projet'!$C$27)</f>
        <v>478.83867893426822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17.437218382500003</v>
      </c>
      <c r="K11" s="160">
        <f>J11*(100%-'Données projet'!$C$24)*(100%-'Données projet'!$C$25)*(100%-'Données projet'!$C$26)*(100%-'Données projet'!$C$27)</f>
        <v>14.908821717037503</v>
      </c>
      <c r="L11" s="161">
        <f t="shared" ca="1" si="2"/>
        <v>493.7475006513057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2" t="str">
        <f>IF('Données projet'!$B$15="","",'Données projet'!$B$15)</f>
        <v>Chêne chevelu</v>
      </c>
      <c r="B12" s="163">
        <f>'Données projet'!D15</f>
        <v>2.3246529100000002</v>
      </c>
      <c r="C12" s="156">
        <f ca="1">IF(OR('Données projet'!B15="",'Données projet'!C15="",'Données projet'!C15=0%),0,Calculateur!EO3)</f>
        <v>595.89992279024398</v>
      </c>
      <c r="D12" s="156">
        <f>IF(OR('Données projet'!B15="",'Données projet'!C15="",'Données projet'!C15=0%),0,Calculateur!EP3)</f>
        <v>378.16197659288338</v>
      </c>
      <c r="E12" s="156">
        <f t="shared" ca="1" si="0"/>
        <v>378.16197659288338</v>
      </c>
      <c r="F12" s="156">
        <f t="shared" ca="1" si="1"/>
        <v>879.09533933799833</v>
      </c>
      <c r="G12" s="156">
        <f ca="1">F12*(100%-'Données projet'!$C$24)*(100%-'Données projet'!$C$25)*(100%-'Données projet'!$C$26)*(100%-'Données projet'!$C$27)</f>
        <v>751.62651513398851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20.489729174679489</v>
      </c>
      <c r="K12" s="160">
        <f>J12*(100%-'Données projet'!$C$24)*(100%-'Données projet'!$C$25)*(100%-'Données projet'!$C$26)*(100%-'Données projet'!$C$27)</f>
        <v>17.518718444350963</v>
      </c>
      <c r="L12" s="161">
        <f t="shared" ca="1" si="2"/>
        <v>769.14523357833946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2" t="str">
        <f>IF('Données projet'!$B$16="","",'Données projet'!$B$16)</f>
        <v>Pin taeda</v>
      </c>
      <c r="B13" s="163">
        <f>'Données projet'!D16</f>
        <v>1.5229417199999999</v>
      </c>
      <c r="C13" s="156">
        <f ca="1">IF(OR('Données projet'!B16="",'Données projet'!C16="",'Données projet'!C16=0%),0,Calculateur!FJ3)</f>
        <v>257.56116197646924</v>
      </c>
      <c r="D13" s="156">
        <f>IF(OR('Données projet'!B16="",'Données projet'!C16="",'Données projet'!C16=0%),0,Calculateur!FK3)</f>
        <v>269.95556918835888</v>
      </c>
      <c r="E13" s="156">
        <f t="shared" ca="1" si="0"/>
        <v>257.56116197646924</v>
      </c>
      <c r="F13" s="156">
        <f t="shared" ca="1" si="1"/>
        <v>392.25063902564267</v>
      </c>
      <c r="G13" s="156">
        <f ca="1">F13*(100%-'Données projet'!$C$24)*(100%-'Données projet'!$C$25)*(100%-'Données projet'!$C$26)*(100%-'Données projet'!$C$27)</f>
        <v>335.37429636692445</v>
      </c>
      <c r="H13" s="164">
        <f>IF(OR('Données projet'!B16="",'Données projet'!C16="",'Données projet'!C16=0%),0,AVERAGE(Calculateur!$FT$3:$FT$33)*B13)</f>
        <v>13.031750808100146</v>
      </c>
      <c r="I13" s="158">
        <f>H13*(100%-'Données projet'!$C$24)*(100%-'Données projet'!$C$25)*(100%-'Données projet'!$C$26)*(100%-'Données projet'!$C$27)</f>
        <v>11.142146940925624</v>
      </c>
      <c r="J13" s="159">
        <f>IF(OR('Données projet'!C16="",'Données projet'!C16=0%),0,SUM(Calculateur!$FM$3:$FM$33)*VLOOKUP('Données projet'!$B$16,Paramètres!$A$1:$I$89,9,0)*B13)</f>
        <v>94.19980285015383</v>
      </c>
      <c r="K13" s="160">
        <f>J13*(100%-'Données projet'!$C$24)*(100%-'Données projet'!$C$25)*(100%-'Données projet'!$C$26)*(100%-'Données projet'!$C$27)</f>
        <v>80.540831436881518</v>
      </c>
      <c r="L13" s="161">
        <f t="shared" ca="1" si="2"/>
        <v>427.05727474473156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2" t="str">
        <f>IF('Données projet'!$B$17="","",'Données projet'!$B$17)</f>
        <v>Pin laricio</v>
      </c>
      <c r="B14" s="163">
        <f>'Données projet'!D17</f>
        <v>1.5229417199999999</v>
      </c>
      <c r="C14" s="156">
        <f ca="1">IF(OR('Données projet'!B17="",'Données projet'!C17="",'Données projet'!C17=0%),0,Calculateur!GE3)</f>
        <v>289.12367833861299</v>
      </c>
      <c r="D14" s="156">
        <f>IF(OR('Données projet'!B17="",'Données projet'!C17="",'Données projet'!C17=0%),0,Calculateur!GF3)</f>
        <v>229.06617320689003</v>
      </c>
      <c r="E14" s="156">
        <f t="shared" ca="1" si="0"/>
        <v>229.06617320689003</v>
      </c>
      <c r="F14" s="156">
        <f t="shared" ca="1" si="1"/>
        <v>348.85443181751901</v>
      </c>
      <c r="G14" s="156">
        <f ca="1">F14*(100%-'Données projet'!$C$24)*(100%-'Données projet'!$C$25)*(100%-'Données projet'!$C$26)*(100%-'Données projet'!$C$27)</f>
        <v>298.27053920397873</v>
      </c>
      <c r="H14" s="164">
        <f>IF(OR('Données projet'!B17="",'Données projet'!C17="",'Données projet'!C17=0%),0,AVERAGE(Calculateur!$GO$3:$GO$33)*B14)</f>
        <v>1.4754866820396879</v>
      </c>
      <c r="I14" s="158">
        <f>H14*(100%-'Données projet'!$C$24)*(100%-'Données projet'!$C$25)*(100%-'Données projet'!$C$26)*(100%-'Données projet'!$C$27)</f>
        <v>1.2615411131439331</v>
      </c>
      <c r="J14" s="159">
        <f>IF(OR('Données projet'!B17="",'Données projet'!C17="",'Données projet'!C17=0%),0,SUM(Calculateur!$GH$3:$GH$33)*VLOOKUP('Données projet'!$B$17,Paramètres!$A$1:$I$89,9,0)*B14)</f>
        <v>57.230158298427682</v>
      </c>
      <c r="K14" s="160">
        <f>J14*(100%-'Données projet'!$C$24)*(100%-'Données projet'!$C$25)*(100%-'Données projet'!$C$26)*(100%-'Données projet'!$C$27)</f>
        <v>48.931785345155667</v>
      </c>
      <c r="L14" s="161">
        <f t="shared" ca="1" si="2"/>
        <v>348.46386566227835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5" t="str">
        <f>IF('Données projet'!B18="","",'Données projet'!B18)</f>
        <v>Cèdre de l'Atlas</v>
      </c>
      <c r="B15" s="166">
        <f>'Données projet'!D18</f>
        <v>1.3495987600000001</v>
      </c>
      <c r="C15" s="167">
        <f ca="1">IF(OR('Données projet'!B18="",'Données projet'!C18="",'Données projet'!C18=0%),0,Calculateur!GZ3)</f>
        <v>284.88646502866419</v>
      </c>
      <c r="D15" s="167">
        <f>IF(OR('Données projet'!B18="",'Données projet'!C18="",'Données projet'!C18=0%),0,Calculateur!HA3)</f>
        <v>190.4880882944471</v>
      </c>
      <c r="E15" s="167">
        <f t="shared" ca="1" si="0"/>
        <v>190.4880882944471</v>
      </c>
      <c r="F15" s="168">
        <f t="shared" ca="1" si="1"/>
        <v>257.08248775695631</v>
      </c>
      <c r="G15" s="168">
        <f ca="1">F15*(100%-'Données projet'!$C$24)*(100%-'Données projet'!$C$25)*(100%-'Données projet'!$C$26)*(100%-'Données projet'!$C$27)</f>
        <v>219.80552703219763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ca="1" si="2"/>
        <v>219.80552703219763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6"/>
      <c r="B16" s="233"/>
      <c r="C16" s="234"/>
      <c r="D16" s="25"/>
      <c r="E16" s="25"/>
      <c r="F16" s="174">
        <f t="shared" ref="F16:L16" ca="1" si="3">SUM(F6:F15)</f>
        <v>8159.3644417638543</v>
      </c>
      <c r="G16" s="175">
        <f t="shared" ca="1" si="3"/>
        <v>6976.2565977080949</v>
      </c>
      <c r="H16" s="176">
        <f t="shared" si="3"/>
        <v>26.612169282439936</v>
      </c>
      <c r="I16" s="176">
        <f t="shared" si="3"/>
        <v>22.753404736486146</v>
      </c>
      <c r="J16" s="177">
        <f t="shared" si="3"/>
        <v>466.76055180266644</v>
      </c>
      <c r="K16" s="177">
        <f t="shared" si="3"/>
        <v>399.0802717912797</v>
      </c>
      <c r="L16" s="178">
        <f t="shared" ca="1" si="3"/>
        <v>7398.0902742358603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6"/>
      <c r="B17" s="233"/>
      <c r="C17" s="234"/>
      <c r="D17" s="231"/>
      <c r="E17" s="231"/>
      <c r="F17" s="320" t="s">
        <v>246</v>
      </c>
      <c r="G17" s="321"/>
      <c r="H17" s="321"/>
      <c r="I17" s="321"/>
      <c r="J17" s="321"/>
      <c r="K17" s="321"/>
      <c r="L17" s="321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6"/>
      <c r="B18" s="233"/>
      <c r="C18" s="234"/>
      <c r="D18" s="231"/>
      <c r="E18" s="231"/>
      <c r="F18" s="322"/>
      <c r="G18" s="322"/>
      <c r="H18" s="322"/>
      <c r="I18" s="322"/>
      <c r="J18" s="322"/>
      <c r="K18" s="322"/>
      <c r="L18" s="322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9" t="str">
        <f>A6</f>
        <v>Charme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9" t="str">
        <f>A7</f>
        <v>Chêne sessile</v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9" t="str">
        <f>A8</f>
        <v>Chêne pubescent</v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9" t="str">
        <f>A9</f>
        <v>Douglas</v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9" t="str">
        <f>A10</f>
        <v>Chêne vert</v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9" t="str">
        <f>A11</f>
        <v>Chêne pédonculé</v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9" t="str">
        <f>A12</f>
        <v>Chêne chevelu</v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9" t="str">
        <f>A13</f>
        <v>Pin taeda</v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9" t="str">
        <f>A14</f>
        <v>Pin laricio</v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9" t="str">
        <f>A15</f>
        <v>Cèdre de l'Atlas</v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6"/>
  <dimension ref="A1:BL552"/>
  <sheetViews>
    <sheetView zoomScale="80" zoomScaleNormal="80" workbookViewId="0">
      <selection activeCell="I21" sqref="I21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08" t="s">
        <v>272</v>
      </c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09"/>
      <c r="P2" s="310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5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5">
      <c r="A4" s="99"/>
      <c r="B4" s="99"/>
      <c r="C4" s="99"/>
      <c r="D4" s="99"/>
      <c r="E4" s="99"/>
      <c r="G4" s="180"/>
      <c r="H4" s="326" t="s">
        <v>315</v>
      </c>
      <c r="I4" s="326"/>
      <c r="K4" s="323" t="s">
        <v>253</v>
      </c>
      <c r="L4" s="324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5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.75" thickBot="1" x14ac:dyDescent="0.3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45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34" t="s">
        <v>310</v>
      </c>
      <c r="S7" s="335"/>
      <c r="T7" s="335"/>
      <c r="U7" s="335"/>
      <c r="V7" s="336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5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Charme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520.94796779497324</v>
      </c>
      <c r="U10" s="190">
        <f>'Données projet'!D9</f>
        <v>7.7509066400000002</v>
      </c>
      <c r="V10" s="189">
        <f>U10*T10</f>
        <v>4037.8190626765645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>Chêne sessile</v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567.86156014618018</v>
      </c>
      <c r="U11" s="190">
        <f>'Données projet'!D10</f>
        <v>4.6245425400000002</v>
      </c>
      <c r="V11" s="189">
        <f t="shared" ref="V11" si="0">U11*T11</f>
        <v>2626.099941726779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>Chêne pubescent</v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567.86156014618018</v>
      </c>
      <c r="U12" s="190">
        <f>'Données projet'!D11</f>
        <v>4.3583372800000006</v>
      </c>
      <c r="V12" s="189">
        <f t="shared" ref="V12:V19" si="1">U12*T12</f>
        <v>2474.9322074640595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>Douglas</v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4478.4242870897988</v>
      </c>
      <c r="U13" s="190">
        <f>'Données projet'!D12</f>
        <v>2.56609489</v>
      </c>
      <c r="V13" s="189">
        <f t="shared" si="1"/>
        <v>11492.061678353026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6" t="str">
        <f>IF('Données projet'!$B$9="","",'Données projet'!$B$9)</f>
        <v>Charme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>Chêne vert</v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289.68133954840135</v>
      </c>
      <c r="U14" s="190">
        <f>'Données projet'!D13</f>
        <v>2.5258545600000004</v>
      </c>
      <c r="V14" s="189">
        <f t="shared" si="1"/>
        <v>731.69293244523806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61"/>
      <c r="G15" s="327" t="s">
        <v>318</v>
      </c>
      <c r="H15" s="203">
        <v>0</v>
      </c>
      <c r="I15" s="204">
        <v>0</v>
      </c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>Chêne pédonculé</v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567.86156014618018</v>
      </c>
      <c r="U15" s="190">
        <f>'Données projet'!D14</f>
        <v>2.4051335700000003</v>
      </c>
      <c r="V15" s="189">
        <f t="shared" si="1"/>
        <v>1365.7829014201523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27"/>
      <c r="H16" s="203"/>
      <c r="I16" s="204"/>
      <c r="J16" s="216"/>
      <c r="K16" s="225"/>
      <c r="L16" s="323" t="s">
        <v>254</v>
      </c>
      <c r="M16" s="324"/>
      <c r="N16" s="2"/>
      <c r="O16" s="25"/>
      <c r="P16" s="25"/>
      <c r="Q16" s="265"/>
      <c r="R16" s="25"/>
      <c r="S16" s="185" t="str">
        <f>B200</f>
        <v>Chêne chevelu</v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529.27731896646685</v>
      </c>
      <c r="U16" s="190">
        <f>'Données projet'!D15</f>
        <v>2.3246529100000002</v>
      </c>
      <c r="V16" s="189">
        <f t="shared" si="1"/>
        <v>1230.3860597323956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27"/>
      <c r="J17" s="216"/>
      <c r="K17" s="225"/>
      <c r="L17" s="294" t="s">
        <v>289</v>
      </c>
      <c r="M17" s="296"/>
      <c r="N17" s="187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5"/>
      <c r="R17" s="25"/>
      <c r="S17" s="185" t="str">
        <f>B231</f>
        <v>Pin taeda</v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3099.2329344818563</v>
      </c>
      <c r="U17" s="190">
        <f>'Données projet'!D16</f>
        <v>1.5229417199999999</v>
      </c>
      <c r="V17" s="189">
        <f t="shared" si="1"/>
        <v>4719.9511359204453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27"/>
      <c r="J18" s="216"/>
      <c r="K18" s="225"/>
      <c r="L18" s="294" t="s">
        <v>255</v>
      </c>
      <c r="M18" s="296"/>
      <c r="N18" s="205"/>
      <c r="O18" s="25"/>
      <c r="P18" s="25"/>
      <c r="Q18" s="265"/>
      <c r="R18" s="25"/>
      <c r="S18" s="185" t="str">
        <f>B262</f>
        <v>Pin laricio</v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2125.039609686818</v>
      </c>
      <c r="U18" s="190">
        <f>'Données projet'!D17</f>
        <v>1.5229417199999999</v>
      </c>
      <c r="V18" s="189">
        <f t="shared" si="1"/>
        <v>3236.3114782445714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27"/>
      <c r="H19" s="232" t="s">
        <v>178</v>
      </c>
      <c r="I19" s="232" t="s">
        <v>287</v>
      </c>
      <c r="J19" s="260"/>
      <c r="K19" s="183"/>
      <c r="L19" s="323" t="s">
        <v>288</v>
      </c>
      <c r="M19" s="324"/>
      <c r="N19" s="191">
        <f>N17*N18</f>
        <v>0</v>
      </c>
      <c r="O19" s="25"/>
      <c r="P19" s="5"/>
      <c r="Q19" s="266"/>
      <c r="R19" s="5"/>
      <c r="S19" s="185" t="str">
        <f>B293</f>
        <v>Cèdre de l'Atlas</v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1412.0528723631567</v>
      </c>
      <c r="U19" s="190">
        <f>'Données projet'!D18</f>
        <v>1.3495987600000001</v>
      </c>
      <c r="V19" s="189">
        <f t="shared" si="1"/>
        <v>1905.7048055957546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27"/>
      <c r="H20" s="203">
        <v>0</v>
      </c>
      <c r="I20" s="204">
        <v>9060.5</v>
      </c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/>
      <c r="I21" s="204"/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10">
        <v>5</v>
      </c>
      <c r="B22" s="213" t="s">
        <v>132</v>
      </c>
      <c r="C22" s="212" t="s">
        <v>132</v>
      </c>
      <c r="D22" s="211" t="s">
        <v>132</v>
      </c>
      <c r="E22" s="206"/>
      <c r="F22" s="261"/>
      <c r="H22" s="203"/>
      <c r="I22" s="204"/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2">
        <f>'Données projet'!A36</f>
        <v>15</v>
      </c>
      <c r="B23" s="193">
        <f>'Données projet'!D36</f>
        <v>0</v>
      </c>
      <c r="C23" s="206"/>
      <c r="D23" s="194">
        <f>B23*C23</f>
        <v>0</v>
      </c>
      <c r="E23" s="206"/>
      <c r="F23" s="261"/>
      <c r="H23" s="203"/>
      <c r="I23" s="204"/>
      <c r="K23" s="225"/>
      <c r="L23" s="325" t="s">
        <v>260</v>
      </c>
      <c r="M23" s="325"/>
      <c r="N23" s="325"/>
      <c r="O23" s="25"/>
      <c r="P23" s="25"/>
      <c r="Q23" s="265"/>
      <c r="R23" s="25"/>
      <c r="S23" s="185" t="s">
        <v>264</v>
      </c>
      <c r="T23" s="339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-246638.880846421</v>
      </c>
      <c r="U23" s="339"/>
      <c r="V23" s="339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2">
        <f>'Données projet'!A37</f>
        <v>20</v>
      </c>
      <c r="B24" s="193">
        <f>'Données projet'!D37</f>
        <v>16.666666666666668</v>
      </c>
      <c r="C24" s="206">
        <v>10</v>
      </c>
      <c r="D24" s="194">
        <f t="shared" ref="D24:D42" si="2">B24*C24</f>
        <v>166.66666666666669</v>
      </c>
      <c r="E24" s="206"/>
      <c r="F24" s="264"/>
      <c r="H24" s="203"/>
      <c r="I24" s="204"/>
      <c r="K24" s="225"/>
      <c r="O24" s="25"/>
      <c r="P24" s="25"/>
      <c r="Q24" s="265"/>
      <c r="R24" s="25"/>
      <c r="S24" s="185" t="s">
        <v>261</v>
      </c>
      <c r="T24" s="340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40"/>
      <c r="V24" s="340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2">
        <f>'Données projet'!A38</f>
        <v>25</v>
      </c>
      <c r="B25" s="193">
        <f>'Données projet'!D38</f>
        <v>0</v>
      </c>
      <c r="C25" s="206"/>
      <c r="D25" s="194">
        <f t="shared" si="2"/>
        <v>0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>
        <v>0</v>
      </c>
      <c r="Q25" s="265"/>
      <c r="R25" s="25"/>
      <c r="S25" s="198" t="s">
        <v>266</v>
      </c>
      <c r="T25" s="341">
        <f ca="1">T23-T24</f>
        <v>-246638.880846421</v>
      </c>
      <c r="U25" s="341"/>
      <c r="V25" s="341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2">
        <f>'Données projet'!A39</f>
        <v>30</v>
      </c>
      <c r="B26" s="193">
        <f>'Données projet'!D39</f>
        <v>25.641025641025639</v>
      </c>
      <c r="C26" s="206">
        <v>10</v>
      </c>
      <c r="D26" s="194">
        <f t="shared" si="2"/>
        <v>256.41025641025641</v>
      </c>
      <c r="E26" s="206"/>
      <c r="F26" s="264"/>
      <c r="G26" s="259"/>
      <c r="H26" s="203"/>
      <c r="I26" s="204"/>
      <c r="K26" s="225"/>
      <c r="L26" s="328" t="s">
        <v>258</v>
      </c>
      <c r="M26" s="329"/>
      <c r="N26" s="329"/>
      <c r="O26" s="329"/>
      <c r="P26" s="330"/>
      <c r="Q26" s="265"/>
      <c r="R26" s="25"/>
      <c r="S26" s="198" t="s">
        <v>265</v>
      </c>
      <c r="T26" s="338" t="str">
        <f ca="1">IF(T25&lt;0,"Votre projet est additionnel","Votre projet n'est pas additionnel")</f>
        <v>Votre projet est additionnel</v>
      </c>
      <c r="U26" s="338"/>
      <c r="V26" s="338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2">
        <f>'Données projet'!A40</f>
        <v>35</v>
      </c>
      <c r="B27" s="193">
        <f>'Données projet'!D40</f>
        <v>0</v>
      </c>
      <c r="C27" s="206"/>
      <c r="D27" s="194">
        <f t="shared" si="2"/>
        <v>0</v>
      </c>
      <c r="E27" s="206"/>
      <c r="F27" s="264"/>
      <c r="G27" s="259"/>
      <c r="H27" s="203"/>
      <c r="I27" s="204"/>
      <c r="K27" s="225"/>
      <c r="L27" s="331"/>
      <c r="M27" s="332"/>
      <c r="N27" s="332"/>
      <c r="O27" s="332"/>
      <c r="P27" s="333"/>
      <c r="Q27" s="265"/>
      <c r="R27" s="25"/>
      <c r="S27" s="337" t="s">
        <v>267</v>
      </c>
      <c r="T27" s="337"/>
      <c r="U27" s="337"/>
      <c r="V27" s="337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2">
        <f>'Données projet'!A41</f>
        <v>40</v>
      </c>
      <c r="B28" s="193">
        <f>'Données projet'!D41</f>
        <v>28.846153846153847</v>
      </c>
      <c r="C28" s="206">
        <v>15</v>
      </c>
      <c r="D28" s="194">
        <f t="shared" si="2"/>
        <v>432.69230769230768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2">
        <f>'Données projet'!A42</f>
        <v>45</v>
      </c>
      <c r="B29" s="193">
        <f>'Données projet'!D42</f>
        <v>0</v>
      </c>
      <c r="C29" s="206"/>
      <c r="D29" s="194">
        <f t="shared" si="2"/>
        <v>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2">
        <f>'Données projet'!A43</f>
        <v>50</v>
      </c>
      <c r="B30" s="193">
        <f>'Données projet'!D43</f>
        <v>30.769230769230766</v>
      </c>
      <c r="C30" s="206">
        <v>20</v>
      </c>
      <c r="D30" s="194">
        <f t="shared" si="2"/>
        <v>615.38461538461536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2">
        <f>'Données projet'!A44</f>
        <v>55</v>
      </c>
      <c r="B31" s="193">
        <f>'Données projet'!D44</f>
        <v>0</v>
      </c>
      <c r="C31" s="206"/>
      <c r="D31" s="194">
        <f t="shared" si="2"/>
        <v>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2">
        <f>'Données projet'!A45</f>
        <v>60</v>
      </c>
      <c r="B32" s="193">
        <f>'Données projet'!D45</f>
        <v>29.487179487179485</v>
      </c>
      <c r="C32" s="206">
        <v>25</v>
      </c>
      <c r="D32" s="194">
        <f t="shared" si="2"/>
        <v>737.17948717948718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2">
        <f>'Données projet'!A46</f>
        <v>65</v>
      </c>
      <c r="B33" s="193">
        <f>'Données projet'!D46</f>
        <v>0</v>
      </c>
      <c r="C33" s="206"/>
      <c r="D33" s="194">
        <f t="shared" si="2"/>
        <v>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2">
        <f>'Données projet'!A47</f>
        <v>70</v>
      </c>
      <c r="B34" s="193">
        <f>'Données projet'!D47</f>
        <v>28.846153846153847</v>
      </c>
      <c r="C34" s="206">
        <v>30</v>
      </c>
      <c r="D34" s="194">
        <f t="shared" si="2"/>
        <v>865.38461538461536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2">
        <f>'Données projet'!A48</f>
        <v>75</v>
      </c>
      <c r="B35" s="193">
        <f>'Données projet'!D48</f>
        <v>0</v>
      </c>
      <c r="C35" s="206"/>
      <c r="D35" s="194">
        <f t="shared" si="2"/>
        <v>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2">
        <f>'Données projet'!A49</f>
        <v>80</v>
      </c>
      <c r="B36" s="193">
        <f>'Données projet'!D49</f>
        <v>27.564102564102562</v>
      </c>
      <c r="C36" s="206">
        <v>35</v>
      </c>
      <c r="D36" s="194">
        <f t="shared" si="2"/>
        <v>964.74358974358972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2">
        <f>'Données projet'!A50</f>
        <v>85</v>
      </c>
      <c r="B37" s="193">
        <f>'Données projet'!D50</f>
        <v>0</v>
      </c>
      <c r="C37" s="206"/>
      <c r="D37" s="194">
        <f t="shared" si="2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2">
        <f>'Données projet'!A51</f>
        <v>90</v>
      </c>
      <c r="B38" s="193">
        <f>'Données projet'!D51</f>
        <v>25.641025641025639</v>
      </c>
      <c r="C38" s="206">
        <v>40</v>
      </c>
      <c r="D38" s="194">
        <f t="shared" si="2"/>
        <v>1025.6410256410256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2">
        <f>'Données projet'!A52</f>
        <v>95</v>
      </c>
      <c r="B39" s="193">
        <f>'Données projet'!D52</f>
        <v>0</v>
      </c>
      <c r="C39" s="206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2">
        <f>'Données projet'!A53</f>
        <v>100</v>
      </c>
      <c r="B40" s="193">
        <f>'Données projet'!D53</f>
        <v>23.717948717948715</v>
      </c>
      <c r="C40" s="206">
        <v>50</v>
      </c>
      <c r="D40" s="194">
        <f t="shared" si="2"/>
        <v>1185.8974358974358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2">
        <f>'Données projet'!A54</f>
        <v>110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2">
        <f>'Données projet'!A55</f>
        <v>120</v>
      </c>
      <c r="B42" s="193">
        <f>'Données projet'!D55</f>
        <v>282.05128205128204</v>
      </c>
      <c r="C42" s="206">
        <v>60</v>
      </c>
      <c r="D42" s="194">
        <f t="shared" si="2"/>
        <v>16923.076923076922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6" t="str">
        <f>IF('Données projet'!$B$10="","",'Données projet'!$B$10)</f>
        <v>Chêne sessile</v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5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25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2">
        <f>'Données projet'!A62</f>
        <v>20</v>
      </c>
      <c r="B54" s="193">
        <f>'Données projet'!D62</f>
        <v>0</v>
      </c>
      <c r="C54" s="204"/>
      <c r="D54" s="191">
        <f>B54*C54</f>
        <v>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0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2">
        <f>'Données projet'!A63</f>
        <v>25</v>
      </c>
      <c r="B55" s="193">
        <f>'Données projet'!D63</f>
        <v>0</v>
      </c>
      <c r="C55" s="204"/>
      <c r="D55" s="191">
        <f t="shared" ref="D55:D73" si="4">B55*C55</f>
        <v>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0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2">
        <f>'Données projet'!A64</f>
        <v>30</v>
      </c>
      <c r="B56" s="193">
        <f>'Données projet'!D64</f>
        <v>29</v>
      </c>
      <c r="C56" s="206">
        <v>10</v>
      </c>
      <c r="D56" s="191">
        <f t="shared" si="4"/>
        <v>290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0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2">
        <f>'Données projet'!A65</f>
        <v>35</v>
      </c>
      <c r="B57" s="193">
        <f>'Données projet'!D65</f>
        <v>0</v>
      </c>
      <c r="C57" s="206"/>
      <c r="D57" s="191">
        <f t="shared" si="4"/>
        <v>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0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2">
        <f>'Données projet'!A66</f>
        <v>40</v>
      </c>
      <c r="B58" s="193">
        <f>'Données projet'!D66</f>
        <v>42</v>
      </c>
      <c r="C58" s="206">
        <v>10</v>
      </c>
      <c r="D58" s="191">
        <f t="shared" si="4"/>
        <v>420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0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2">
        <f>'Données projet'!A67</f>
        <v>45</v>
      </c>
      <c r="B59" s="193">
        <f>'Données projet'!D67</f>
        <v>0</v>
      </c>
      <c r="C59" s="206"/>
      <c r="D59" s="191">
        <f t="shared" si="4"/>
        <v>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0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2">
        <f>'Données projet'!A68</f>
        <v>50</v>
      </c>
      <c r="B60" s="193">
        <f>'Données projet'!D68</f>
        <v>42</v>
      </c>
      <c r="C60" s="206">
        <v>15</v>
      </c>
      <c r="D60" s="191">
        <f t="shared" si="4"/>
        <v>630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0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2">
        <f>'Données projet'!A69</f>
        <v>55</v>
      </c>
      <c r="B61" s="193">
        <f>'Données projet'!D69</f>
        <v>0</v>
      </c>
      <c r="C61" s="206"/>
      <c r="D61" s="191">
        <f t="shared" si="4"/>
        <v>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0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2">
        <f>'Données projet'!A70</f>
        <v>60</v>
      </c>
      <c r="B62" s="193">
        <f>'Données projet'!D70</f>
        <v>42</v>
      </c>
      <c r="C62" s="206">
        <v>20</v>
      </c>
      <c r="D62" s="191">
        <f t="shared" si="4"/>
        <v>840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0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2">
        <f>'Données projet'!A71</f>
        <v>65</v>
      </c>
      <c r="B63" s="193">
        <f>'Données projet'!D71</f>
        <v>0</v>
      </c>
      <c r="C63" s="206"/>
      <c r="D63" s="191">
        <f t="shared" si="4"/>
        <v>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0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2">
        <f>'Données projet'!A72</f>
        <v>70</v>
      </c>
      <c r="B64" s="193">
        <f>'Données projet'!D72</f>
        <v>42</v>
      </c>
      <c r="C64" s="206">
        <v>30</v>
      </c>
      <c r="D64" s="191">
        <f t="shared" si="4"/>
        <v>1260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>
        <f>IF(O63+1&lt;=MIN('Données projet'!$E$9:$E$18),O63+1,"STOP")</f>
        <v>31</v>
      </c>
      <c r="P64" s="197">
        <f t="shared" si="3"/>
        <v>0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2">
        <f>'Données projet'!A73</f>
        <v>75</v>
      </c>
      <c r="B65" s="193">
        <f>'Données projet'!D73</f>
        <v>0</v>
      </c>
      <c r="C65" s="206"/>
      <c r="D65" s="191">
        <f t="shared" si="4"/>
        <v>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>
        <f>IF(O64+1&lt;=MIN('Données projet'!$E$9:$E$18),O64+1,"STOP")</f>
        <v>32</v>
      </c>
      <c r="P65" s="197">
        <f t="shared" ref="P65:P96" si="5">$P$25/(1+$M$4)^O65</f>
        <v>0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2">
        <f>'Données projet'!A74</f>
        <v>80</v>
      </c>
      <c r="B66" s="193">
        <f>'Données projet'!D74</f>
        <v>42</v>
      </c>
      <c r="C66" s="206">
        <v>40</v>
      </c>
      <c r="D66" s="191">
        <f t="shared" si="4"/>
        <v>1680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>
        <f>IF(O65+1&lt;=MIN('Données projet'!$E$9:$E$18),O65+1,"STOP")</f>
        <v>33</v>
      </c>
      <c r="P66" s="197">
        <f t="shared" si="5"/>
        <v>0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2">
        <f>'Données projet'!A75</f>
        <v>90</v>
      </c>
      <c r="B67" s="193">
        <f>'Données projet'!D75</f>
        <v>42</v>
      </c>
      <c r="C67" s="206">
        <v>50</v>
      </c>
      <c r="D67" s="191">
        <f t="shared" si="4"/>
        <v>2100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>
        <f>IF(O66+1&lt;=MIN('Données projet'!$E$9:$E$18),O66+1,"STOP")</f>
        <v>34</v>
      </c>
      <c r="P67" s="197">
        <f t="shared" si="5"/>
        <v>0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2">
        <f>'Données projet'!A76</f>
        <v>100</v>
      </c>
      <c r="B68" s="193">
        <f>'Données projet'!D76</f>
        <v>42</v>
      </c>
      <c r="C68" s="206">
        <v>60</v>
      </c>
      <c r="D68" s="191">
        <f t="shared" si="4"/>
        <v>2520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>
        <f>IF(O67+1&lt;=MIN('Données projet'!$E$9:$E$18),O67+1,"STOP")</f>
        <v>35</v>
      </c>
      <c r="P68" s="197">
        <f t="shared" si="5"/>
        <v>0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2">
        <f>'Données projet'!A77</f>
        <v>110</v>
      </c>
      <c r="B69" s="193">
        <f>'Données projet'!D77</f>
        <v>39</v>
      </c>
      <c r="C69" s="206">
        <v>70</v>
      </c>
      <c r="D69" s="191">
        <f t="shared" si="4"/>
        <v>2730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>
        <f>IF(O68+1&lt;=MIN('Données projet'!$E$9:$E$18),O68+1,"STOP")</f>
        <v>36</v>
      </c>
      <c r="P69" s="197">
        <f t="shared" si="5"/>
        <v>0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2">
        <f>'Données projet'!A78</f>
        <v>120</v>
      </c>
      <c r="B70" s="193">
        <f>'Données projet'!D78</f>
        <v>35</v>
      </c>
      <c r="C70" s="206">
        <v>80</v>
      </c>
      <c r="D70" s="191">
        <f t="shared" si="4"/>
        <v>2800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>
        <f>IF(O69+1&lt;=MIN('Données projet'!$E$9:$E$18),O69+1,"STOP")</f>
        <v>37</v>
      </c>
      <c r="P70" s="197">
        <f t="shared" si="5"/>
        <v>0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2">
        <f>'Données projet'!A79</f>
        <v>130</v>
      </c>
      <c r="B71" s="193">
        <f>'Données projet'!D79</f>
        <v>31</v>
      </c>
      <c r="C71" s="206">
        <v>90</v>
      </c>
      <c r="D71" s="191">
        <f t="shared" si="4"/>
        <v>2790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>
        <f>IF(O70+1&lt;=MIN('Données projet'!$E$9:$E$18),O70+1,"STOP")</f>
        <v>38</v>
      </c>
      <c r="P71" s="197">
        <f t="shared" si="5"/>
        <v>0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2">
        <f>'Données projet'!A80</f>
        <v>140</v>
      </c>
      <c r="B72" s="193">
        <f>'Données projet'!D80</f>
        <v>27</v>
      </c>
      <c r="C72" s="206">
        <v>100</v>
      </c>
      <c r="D72" s="191">
        <f t="shared" si="4"/>
        <v>2700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>
        <f>IF(O71+1&lt;=MIN('Données projet'!$E$9:$E$18),O71+1,"STOP")</f>
        <v>39</v>
      </c>
      <c r="P72" s="197">
        <f t="shared" si="5"/>
        <v>0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2">
        <f>'Données projet'!A81</f>
        <v>150</v>
      </c>
      <c r="B73" s="193">
        <f>'Données projet'!D81</f>
        <v>293</v>
      </c>
      <c r="C73" s="206">
        <v>150</v>
      </c>
      <c r="D73" s="191">
        <f t="shared" si="4"/>
        <v>43950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>
        <f>IF(O72+1&lt;=MIN('Données projet'!$E$9:$E$18),O72+1,"STOP")</f>
        <v>40</v>
      </c>
      <c r="P73" s="197">
        <f t="shared" si="5"/>
        <v>0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>
        <f>IF(O73+1&lt;=MIN('Données projet'!$E$9:$E$18),O73+1,"STOP")</f>
        <v>41</v>
      </c>
      <c r="P74" s="197">
        <f t="shared" si="5"/>
        <v>0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>
        <f>IF(O74+1&lt;=MIN('Données projet'!$E$9:$E$18),O74+1,"STOP")</f>
        <v>42</v>
      </c>
      <c r="P75" s="197">
        <f t="shared" si="5"/>
        <v>0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6" t="str">
        <f>IF('Données projet'!B11="","",'Données projet'!B11)</f>
        <v>Chêne pubescent</v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>
        <f>IF(O75+1&lt;=MIN('Données projet'!$E$9:$E$18),O75+1,"STOP")</f>
        <v>43</v>
      </c>
      <c r="P76" s="197">
        <f t="shared" si="5"/>
        <v>0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>
        <f>IF(O76+1&lt;=MIN('Données projet'!$E$9:$E$18),O76+1,"STOP")</f>
        <v>44</v>
      </c>
      <c r="P77" s="197">
        <f t="shared" si="5"/>
        <v>0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>
        <f>IF(O77+1&lt;=MIN('Données projet'!$E$9:$E$18),O77+1,"STOP")</f>
        <v>45</v>
      </c>
      <c r="P78" s="197">
        <f t="shared" si="5"/>
        <v>0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>
        <f>IF(O78+1&lt;=MIN('Données projet'!$E$9:$E$18),O78+1,"STOP")</f>
        <v>46</v>
      </c>
      <c r="P79" s="197">
        <f t="shared" si="5"/>
        <v>0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>
        <f>IF(O79+1&lt;=MIN('Données projet'!$E$9:$E$18),O79+1,"STOP")</f>
        <v>47</v>
      </c>
      <c r="P80" s="197">
        <f t="shared" si="5"/>
        <v>0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>
        <f>IF(O80+1&lt;=MIN('Données projet'!$E$9:$E$18),O80+1,"STOP")</f>
        <v>48</v>
      </c>
      <c r="P81" s="197">
        <f t="shared" si="5"/>
        <v>0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>
        <f>IF(O81+1&lt;=MIN('Données projet'!$E$9:$E$18),O81+1,"STOP")</f>
        <v>49</v>
      </c>
      <c r="P82" s="197">
        <f t="shared" si="5"/>
        <v>0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>
        <f>IF(O82+1&lt;=MIN('Données projet'!$E$9:$E$18),O82+1,"STOP")</f>
        <v>50</v>
      </c>
      <c r="P83" s="197">
        <f t="shared" si="5"/>
        <v>0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>
        <f>IF(O83+1&lt;=MIN('Données projet'!$E$9:$E$18),O83+1,"STOP")</f>
        <v>51</v>
      </c>
      <c r="P84" s="197">
        <f t="shared" si="5"/>
        <v>0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2">
        <f>'Données projet'!A88</f>
        <v>20</v>
      </c>
      <c r="B85" s="193">
        <f>'Données projet'!D88</f>
        <v>0</v>
      </c>
      <c r="C85" s="204"/>
      <c r="D85" s="191">
        <f>B85*C85</f>
        <v>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>
        <f>IF(O84+1&lt;=MIN('Données projet'!$E$9:$E$18),O84+1,"STOP")</f>
        <v>52</v>
      </c>
      <c r="P85" s="197">
        <f t="shared" si="5"/>
        <v>0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2">
        <f>'Données projet'!A89</f>
        <v>25</v>
      </c>
      <c r="B86" s="193">
        <f>'Données projet'!D89</f>
        <v>0</v>
      </c>
      <c r="C86" s="204"/>
      <c r="D86" s="191">
        <f t="shared" ref="D86:D104" si="6">B86*C86</f>
        <v>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>
        <f>IF(O85+1&lt;=MIN('Données projet'!$E$9:$E$18),O85+1,"STOP")</f>
        <v>53</v>
      </c>
      <c r="P86" s="197">
        <f t="shared" si="5"/>
        <v>0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2">
        <f>'Données projet'!A90</f>
        <v>30</v>
      </c>
      <c r="B87" s="193">
        <f>'Données projet'!D90</f>
        <v>29</v>
      </c>
      <c r="C87" s="206">
        <v>10</v>
      </c>
      <c r="D87" s="191">
        <f t="shared" si="6"/>
        <v>290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>
        <f>IF(O86+1&lt;=MIN('Données projet'!$E$9:$E$18),O86+1,"STOP")</f>
        <v>54</v>
      </c>
      <c r="P87" s="197">
        <f t="shared" si="5"/>
        <v>0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2">
        <f>'Données projet'!A91</f>
        <v>35</v>
      </c>
      <c r="B88" s="193">
        <f>'Données projet'!D91</f>
        <v>0</v>
      </c>
      <c r="C88" s="206"/>
      <c r="D88" s="191">
        <f t="shared" si="6"/>
        <v>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>
        <f>IF(O87+1&lt;=MIN('Données projet'!$E$9:$E$18),O87+1,"STOP")</f>
        <v>55</v>
      </c>
      <c r="P88" s="197">
        <f t="shared" si="5"/>
        <v>0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2">
        <f>'Données projet'!A92</f>
        <v>40</v>
      </c>
      <c r="B89" s="193">
        <f>'Données projet'!D92</f>
        <v>42</v>
      </c>
      <c r="C89" s="206">
        <v>10</v>
      </c>
      <c r="D89" s="191">
        <f t="shared" si="6"/>
        <v>420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>
        <f>IF(O88+1&lt;=MIN('Données projet'!$E$9:$E$18),O88+1,"STOP")</f>
        <v>56</v>
      </c>
      <c r="P89" s="197">
        <f t="shared" si="5"/>
        <v>0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2">
        <f>'Données projet'!A93</f>
        <v>45</v>
      </c>
      <c r="B90" s="193">
        <f>'Données projet'!D93</f>
        <v>0</v>
      </c>
      <c r="C90" s="206"/>
      <c r="D90" s="191">
        <f t="shared" si="6"/>
        <v>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>
        <f>IF(O89+1&lt;=MIN('Données projet'!$E$9:$E$18),O89+1,"STOP")</f>
        <v>57</v>
      </c>
      <c r="P90" s="197">
        <f t="shared" si="5"/>
        <v>0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2">
        <f>'Données projet'!A94</f>
        <v>50</v>
      </c>
      <c r="B91" s="193">
        <f>'Données projet'!D94</f>
        <v>42</v>
      </c>
      <c r="C91" s="206">
        <v>15</v>
      </c>
      <c r="D91" s="191">
        <f t="shared" si="6"/>
        <v>630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>
        <f>IF(O90+1&lt;=MIN('Données projet'!$E$9:$E$18),O90+1,"STOP")</f>
        <v>58</v>
      </c>
      <c r="P91" s="197">
        <f t="shared" si="5"/>
        <v>0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2">
        <f>'Données projet'!A95</f>
        <v>55</v>
      </c>
      <c r="B92" s="193">
        <f>'Données projet'!D95</f>
        <v>0</v>
      </c>
      <c r="C92" s="206"/>
      <c r="D92" s="191">
        <f t="shared" si="6"/>
        <v>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>
        <f>IF(O91+1&lt;=MIN('Données projet'!$E$9:$E$18),O91+1,"STOP")</f>
        <v>59</v>
      </c>
      <c r="P92" s="197">
        <f t="shared" si="5"/>
        <v>0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2">
        <f>'Données projet'!A96</f>
        <v>60</v>
      </c>
      <c r="B93" s="193">
        <f>'Données projet'!D96</f>
        <v>42</v>
      </c>
      <c r="C93" s="206">
        <v>20</v>
      </c>
      <c r="D93" s="191">
        <f t="shared" si="6"/>
        <v>840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>
        <f>IF(O92+1&lt;=MIN('Données projet'!$E$9:$E$18),O92+1,"STOP")</f>
        <v>60</v>
      </c>
      <c r="P93" s="197">
        <f t="shared" si="5"/>
        <v>0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2">
        <f>'Données projet'!A97</f>
        <v>65</v>
      </c>
      <c r="B94" s="193">
        <f>'Données projet'!D97</f>
        <v>0</v>
      </c>
      <c r="C94" s="206"/>
      <c r="D94" s="191">
        <f t="shared" si="6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str">
        <f>IF(O93+1&lt;=MIN('Données projet'!$E$9:$E$18),O93+1,"STOP")</f>
        <v>STOP</v>
      </c>
      <c r="P94" s="197" t="e">
        <f t="shared" si="5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2">
        <f>'Données projet'!A98</f>
        <v>70</v>
      </c>
      <c r="B95" s="193">
        <f>'Données projet'!D98</f>
        <v>42</v>
      </c>
      <c r="C95" s="206">
        <v>30</v>
      </c>
      <c r="D95" s="191">
        <f t="shared" si="6"/>
        <v>1260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2">
        <f>'Données projet'!A99</f>
        <v>75</v>
      </c>
      <c r="B96" s="193">
        <f>'Données projet'!D99</f>
        <v>0</v>
      </c>
      <c r="C96" s="206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2">
        <f>'Données projet'!A100</f>
        <v>80</v>
      </c>
      <c r="B97" s="193">
        <f>'Données projet'!D100</f>
        <v>42</v>
      </c>
      <c r="C97" s="206">
        <v>40</v>
      </c>
      <c r="D97" s="191">
        <f t="shared" si="6"/>
        <v>1680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2">
        <f>'Données projet'!A101</f>
        <v>90</v>
      </c>
      <c r="B98" s="193">
        <f>'Données projet'!D101</f>
        <v>42</v>
      </c>
      <c r="C98" s="206">
        <v>50</v>
      </c>
      <c r="D98" s="191">
        <f t="shared" si="6"/>
        <v>2100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2">
        <f>'Données projet'!A102</f>
        <v>100</v>
      </c>
      <c r="B99" s="193">
        <f>'Données projet'!D102</f>
        <v>42</v>
      </c>
      <c r="C99" s="206">
        <v>60</v>
      </c>
      <c r="D99" s="191">
        <f t="shared" si="6"/>
        <v>2520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2">
        <f>'Données projet'!A103</f>
        <v>110</v>
      </c>
      <c r="B100" s="193">
        <f>'Données projet'!D103</f>
        <v>39</v>
      </c>
      <c r="C100" s="206">
        <v>70</v>
      </c>
      <c r="D100" s="191">
        <f t="shared" si="6"/>
        <v>2730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2">
        <f>'Données projet'!A104</f>
        <v>120</v>
      </c>
      <c r="B101" s="193">
        <f>'Données projet'!D104</f>
        <v>35</v>
      </c>
      <c r="C101" s="206">
        <v>80</v>
      </c>
      <c r="D101" s="191">
        <f t="shared" si="6"/>
        <v>2800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2">
        <f>'Données projet'!A105</f>
        <v>130</v>
      </c>
      <c r="B102" s="193">
        <f>'Données projet'!D105</f>
        <v>31</v>
      </c>
      <c r="C102" s="206">
        <v>90</v>
      </c>
      <c r="D102" s="191">
        <f t="shared" si="6"/>
        <v>2790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2">
        <f>'Données projet'!A106</f>
        <v>140</v>
      </c>
      <c r="B103" s="193">
        <f>'Données projet'!D106</f>
        <v>27</v>
      </c>
      <c r="C103" s="206">
        <v>100</v>
      </c>
      <c r="D103" s="191">
        <f t="shared" si="6"/>
        <v>2700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2">
        <f>'Données projet'!A107</f>
        <v>150</v>
      </c>
      <c r="B104" s="193">
        <f>'Données projet'!D107</f>
        <v>293</v>
      </c>
      <c r="C104" s="206">
        <v>150</v>
      </c>
      <c r="D104" s="191">
        <f t="shared" si="6"/>
        <v>43950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6" t="str">
        <f>IF('Données projet'!B12="","",'Données projet'!B12)</f>
        <v>Douglas</v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2">
        <f>'Données projet'!A114</f>
        <v>19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2">
        <f>'Données projet'!A115</f>
        <v>21</v>
      </c>
      <c r="B117" s="193">
        <f>'Données projet'!D115</f>
        <v>61.169230769230765</v>
      </c>
      <c r="C117" s="204">
        <v>20</v>
      </c>
      <c r="D117" s="191">
        <f t="shared" ref="D117:D135" si="8">B117*C117</f>
        <v>1223.3846153846152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2">
        <f>'Données projet'!A116</f>
        <v>28</v>
      </c>
      <c r="B118" s="193">
        <f>'Données projet'!D116</f>
        <v>56.91538461538461</v>
      </c>
      <c r="C118" s="204">
        <v>25</v>
      </c>
      <c r="D118" s="191">
        <f t="shared" si="8"/>
        <v>1422.8846153846152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2">
        <f>'Données projet'!A117</f>
        <v>30</v>
      </c>
      <c r="B119" s="193">
        <f>'Données projet'!D117</f>
        <v>0</v>
      </c>
      <c r="C119" s="204"/>
      <c r="D119" s="191">
        <f t="shared" si="8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2">
        <f>'Données projet'!A118</f>
        <v>35</v>
      </c>
      <c r="B120" s="193">
        <f>'Données projet'!D118</f>
        <v>70.5</v>
      </c>
      <c r="C120" s="204">
        <v>30</v>
      </c>
      <c r="D120" s="191">
        <f t="shared" si="8"/>
        <v>2115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2">
        <f>'Données projet'!A119</f>
        <v>42</v>
      </c>
      <c r="B121" s="193">
        <f>'Données projet'!D119</f>
        <v>80.669230769230765</v>
      </c>
      <c r="C121" s="204">
        <v>35</v>
      </c>
      <c r="D121" s="191">
        <f t="shared" si="8"/>
        <v>2823.4230769230767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2">
        <f>'Données projet'!A120</f>
        <v>49</v>
      </c>
      <c r="B122" s="193">
        <f>'Données projet'!D120</f>
        <v>90.453846153846158</v>
      </c>
      <c r="C122" s="204">
        <v>40</v>
      </c>
      <c r="D122" s="191">
        <f t="shared" si="8"/>
        <v>3618.1538461538462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2">
        <f>'Données projet'!A121</f>
        <v>56</v>
      </c>
      <c r="B123" s="193">
        <f>'Données projet'!D121</f>
        <v>75.869230769230768</v>
      </c>
      <c r="C123" s="204">
        <v>45</v>
      </c>
      <c r="D123" s="191">
        <f t="shared" si="8"/>
        <v>3414.1153846153848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2">
        <f>'Données projet'!A122</f>
        <v>63</v>
      </c>
      <c r="B124" s="193">
        <f>'Données projet'!D122</f>
        <v>79.723076923076917</v>
      </c>
      <c r="C124" s="204">
        <v>50</v>
      </c>
      <c r="D124" s="191">
        <f t="shared" si="8"/>
        <v>3986.1538461538457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2">
        <f>'Données projet'!A123</f>
        <v>69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2">
        <f>'Données projet'!A124</f>
        <v>70</v>
      </c>
      <c r="B126" s="193">
        <f>'Données projet'!D124</f>
        <v>469.06923076923073</v>
      </c>
      <c r="C126" s="204">
        <v>80</v>
      </c>
      <c r="D126" s="191">
        <f t="shared" si="8"/>
        <v>37525.538461538461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6" t="str">
        <f>IF('Données projet'!B13="","",'Données projet'!B13)</f>
        <v>Chêne vert</v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25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30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35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40</v>
      </c>
      <c r="B150" s="187">
        <f>'Données projet'!D143</f>
        <v>27</v>
      </c>
      <c r="C150" s="204">
        <v>15</v>
      </c>
      <c r="D150" s="194">
        <f t="shared" si="10"/>
        <v>405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45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50</v>
      </c>
      <c r="B152" s="187">
        <f>'Données projet'!D145</f>
        <v>28</v>
      </c>
      <c r="C152" s="204">
        <v>20</v>
      </c>
      <c r="D152" s="194">
        <f t="shared" si="10"/>
        <v>560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55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60</v>
      </c>
      <c r="B154" s="187">
        <f>'Données projet'!D147</f>
        <v>28</v>
      </c>
      <c r="C154" s="204">
        <v>20</v>
      </c>
      <c r="D154" s="194">
        <f t="shared" si="10"/>
        <v>560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65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70</v>
      </c>
      <c r="B156" s="187">
        <f>'Données projet'!D149</f>
        <v>28</v>
      </c>
      <c r="C156" s="204">
        <v>20</v>
      </c>
      <c r="D156" s="194">
        <f t="shared" si="10"/>
        <v>560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75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80</v>
      </c>
      <c r="B158" s="187">
        <f>'Données projet'!D151</f>
        <v>28</v>
      </c>
      <c r="C158" s="204">
        <v>20</v>
      </c>
      <c r="D158" s="194">
        <f t="shared" si="10"/>
        <v>560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85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90</v>
      </c>
      <c r="B160" s="187">
        <f>'Données projet'!D153</f>
        <v>28</v>
      </c>
      <c r="C160" s="204">
        <v>30</v>
      </c>
      <c r="D160" s="194">
        <f t="shared" si="10"/>
        <v>840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100</v>
      </c>
      <c r="B161" s="187">
        <f>'Données projet'!D154</f>
        <v>28</v>
      </c>
      <c r="C161" s="204">
        <v>30</v>
      </c>
      <c r="D161" s="194">
        <f t="shared" si="10"/>
        <v>840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110</v>
      </c>
      <c r="B162" s="187">
        <f>'Données projet'!D155</f>
        <v>27</v>
      </c>
      <c r="C162" s="204">
        <v>40</v>
      </c>
      <c r="D162" s="194">
        <f t="shared" si="10"/>
        <v>1080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120</v>
      </c>
      <c r="B163" s="187">
        <f>'Données projet'!D156</f>
        <v>25</v>
      </c>
      <c r="C163" s="204">
        <v>40</v>
      </c>
      <c r="D163" s="194">
        <f t="shared" si="10"/>
        <v>1000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130</v>
      </c>
      <c r="B164" s="187">
        <f>'Données projet'!D157</f>
        <v>21</v>
      </c>
      <c r="C164" s="204">
        <v>50</v>
      </c>
      <c r="D164" s="194">
        <f t="shared" si="10"/>
        <v>1050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140</v>
      </c>
      <c r="B165" s="187">
        <f>'Données projet'!D158</f>
        <v>17</v>
      </c>
      <c r="C165" s="204">
        <v>60</v>
      </c>
      <c r="D165" s="194">
        <f t="shared" si="10"/>
        <v>1020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150</v>
      </c>
      <c r="B166" s="187">
        <f>'Données projet'!D159</f>
        <v>224</v>
      </c>
      <c r="C166" s="204">
        <v>100</v>
      </c>
      <c r="D166" s="194">
        <f t="shared" si="10"/>
        <v>22400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6" t="str">
        <f>IF('Données projet'!B14="","",'Données projet'!B14)</f>
        <v>Chêne pédonculé</v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2">
        <f>'Données projet'!A166</f>
        <v>20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2">
        <f>'Données projet'!A167</f>
        <v>25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2">
        <f>'Données projet'!A168</f>
        <v>30</v>
      </c>
      <c r="B180" s="193">
        <f>'Données projet'!D168</f>
        <v>29</v>
      </c>
      <c r="C180" s="206">
        <v>10</v>
      </c>
      <c r="D180" s="191">
        <f t="shared" si="11"/>
        <v>290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2">
        <f>'Données projet'!A169</f>
        <v>35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2">
        <f>'Données projet'!A170</f>
        <v>40</v>
      </c>
      <c r="B182" s="193">
        <f>'Données projet'!D170</f>
        <v>42</v>
      </c>
      <c r="C182" s="206">
        <v>10</v>
      </c>
      <c r="D182" s="191">
        <f t="shared" si="11"/>
        <v>420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2">
        <f>'Données projet'!A171</f>
        <v>45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2">
        <f>'Données projet'!A172</f>
        <v>50</v>
      </c>
      <c r="B184" s="193">
        <f>'Données projet'!D172</f>
        <v>42</v>
      </c>
      <c r="C184" s="206">
        <v>15</v>
      </c>
      <c r="D184" s="191">
        <f t="shared" si="11"/>
        <v>630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2">
        <f>'Données projet'!A173</f>
        <v>55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2">
        <f>'Données projet'!A174</f>
        <v>60</v>
      </c>
      <c r="B186" s="193">
        <f>'Données projet'!D174</f>
        <v>42</v>
      </c>
      <c r="C186" s="206">
        <v>20</v>
      </c>
      <c r="D186" s="191">
        <f t="shared" si="11"/>
        <v>840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2">
        <f>'Données projet'!A175</f>
        <v>65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2">
        <f>'Données projet'!A176</f>
        <v>70</v>
      </c>
      <c r="B188" s="193">
        <f>'Données projet'!D176</f>
        <v>42</v>
      </c>
      <c r="C188" s="206">
        <v>30</v>
      </c>
      <c r="D188" s="191">
        <f t="shared" si="11"/>
        <v>1260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2">
        <f>'Données projet'!A177</f>
        <v>75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2">
        <f>'Données projet'!A178</f>
        <v>80</v>
      </c>
      <c r="B190" s="193">
        <f>'Données projet'!D178</f>
        <v>42</v>
      </c>
      <c r="C190" s="206">
        <v>40</v>
      </c>
      <c r="D190" s="191">
        <f t="shared" si="11"/>
        <v>1680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2">
        <f>'Données projet'!A179</f>
        <v>90</v>
      </c>
      <c r="B191" s="193">
        <f>'Données projet'!D179</f>
        <v>42</v>
      </c>
      <c r="C191" s="206">
        <v>50</v>
      </c>
      <c r="D191" s="191">
        <f t="shared" si="11"/>
        <v>2100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2">
        <f>'Données projet'!A180</f>
        <v>100</v>
      </c>
      <c r="B192" s="193">
        <f>'Données projet'!D180</f>
        <v>42</v>
      </c>
      <c r="C192" s="206">
        <v>60</v>
      </c>
      <c r="D192" s="191">
        <f t="shared" si="11"/>
        <v>2520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2">
        <f>'Données projet'!A181</f>
        <v>110</v>
      </c>
      <c r="B193" s="193">
        <f>'Données projet'!D181</f>
        <v>39</v>
      </c>
      <c r="C193" s="206">
        <v>70</v>
      </c>
      <c r="D193" s="191">
        <f t="shared" si="11"/>
        <v>2730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2">
        <f>'Données projet'!A182</f>
        <v>120</v>
      </c>
      <c r="B194" s="193">
        <f>'Données projet'!D182</f>
        <v>35</v>
      </c>
      <c r="C194" s="206">
        <v>80</v>
      </c>
      <c r="D194" s="191">
        <f t="shared" si="11"/>
        <v>2800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2">
        <f>'Données projet'!A183</f>
        <v>130</v>
      </c>
      <c r="B195" s="193">
        <f>'Données projet'!D183</f>
        <v>31</v>
      </c>
      <c r="C195" s="206">
        <v>90</v>
      </c>
      <c r="D195" s="191">
        <f t="shared" si="11"/>
        <v>2790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2">
        <f>'Données projet'!A184</f>
        <v>140</v>
      </c>
      <c r="B196" s="193">
        <f>'Données projet'!D184</f>
        <v>27</v>
      </c>
      <c r="C196" s="206">
        <v>100</v>
      </c>
      <c r="D196" s="191">
        <f t="shared" si="11"/>
        <v>2700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2">
        <f>'Données projet'!A185</f>
        <v>150</v>
      </c>
      <c r="B197" s="193">
        <f>'Données projet'!D185</f>
        <v>293</v>
      </c>
      <c r="C197" s="206">
        <v>150</v>
      </c>
      <c r="D197" s="191">
        <f t="shared" si="11"/>
        <v>43950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6" t="str">
        <f>IF('Données projet'!$B$15="","",'Données projet'!$B$15)</f>
        <v>Chêne chevelu</v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2">
        <f>'Données projet'!A192</f>
        <v>15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2">
        <f>'Données projet'!A193</f>
        <v>20</v>
      </c>
      <c r="B210" s="193">
        <f>'Données projet'!D193</f>
        <v>12.820512820512819</v>
      </c>
      <c r="C210" s="206">
        <v>10</v>
      </c>
      <c r="D210" s="191">
        <f t="shared" ref="D210:D228" si="12">B210*C210</f>
        <v>128.2051282051282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2">
        <f>'Données projet'!A194</f>
        <v>25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2">
        <f>'Données projet'!A195</f>
        <v>30</v>
      </c>
      <c r="B212" s="193">
        <f>'Données projet'!D195</f>
        <v>22.435897435897434</v>
      </c>
      <c r="C212" s="206">
        <v>10</v>
      </c>
      <c r="D212" s="191">
        <f t="shared" si="12"/>
        <v>224.35897435897434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2">
        <f>'Données projet'!A196</f>
        <v>35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2">
        <f>'Données projet'!A197</f>
        <v>40</v>
      </c>
      <c r="B214" s="193">
        <f>'Données projet'!D197</f>
        <v>27.564102564102562</v>
      </c>
      <c r="C214" s="206">
        <v>15</v>
      </c>
      <c r="D214" s="191">
        <f t="shared" si="12"/>
        <v>413.46153846153845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2">
        <f>'Données projet'!A198</f>
        <v>45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2">
        <f>'Données projet'!A199</f>
        <v>50</v>
      </c>
      <c r="B216" s="193">
        <f>'Données projet'!D199</f>
        <v>28.846153846153847</v>
      </c>
      <c r="C216" s="206">
        <v>20</v>
      </c>
      <c r="D216" s="191">
        <f t="shared" si="12"/>
        <v>576.92307692307691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2">
        <f>'Données projet'!A200</f>
        <v>55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2">
        <f>'Données projet'!A201</f>
        <v>60</v>
      </c>
      <c r="B218" s="193">
        <f>'Données projet'!D201</f>
        <v>29.487179487179485</v>
      </c>
      <c r="C218" s="206">
        <v>25</v>
      </c>
      <c r="D218" s="191">
        <f t="shared" si="12"/>
        <v>737.17948717948718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2">
        <f>'Données projet'!A202</f>
        <v>65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2">
        <f>'Données projet'!A203</f>
        <v>70</v>
      </c>
      <c r="B220" s="193">
        <f>'Données projet'!D203</f>
        <v>28.846153846153847</v>
      </c>
      <c r="C220" s="206">
        <v>30</v>
      </c>
      <c r="D220" s="191">
        <f t="shared" si="12"/>
        <v>865.38461538461536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2">
        <f>'Données projet'!A204</f>
        <v>75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2">
        <f>'Données projet'!A205</f>
        <v>80</v>
      </c>
      <c r="B222" s="193">
        <f>'Données projet'!D205</f>
        <v>27.564102564102562</v>
      </c>
      <c r="C222" s="206">
        <v>35</v>
      </c>
      <c r="D222" s="191">
        <f t="shared" si="12"/>
        <v>964.74358974358972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2">
        <f>'Données projet'!A206</f>
        <v>85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2">
        <f>'Données projet'!A207</f>
        <v>90</v>
      </c>
      <c r="B224" s="193">
        <f>'Données projet'!D207</f>
        <v>26.282051282051281</v>
      </c>
      <c r="C224" s="206">
        <v>40</v>
      </c>
      <c r="D224" s="191">
        <f t="shared" si="12"/>
        <v>1051.2820512820513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2">
        <f>'Données projet'!A208</f>
        <v>100</v>
      </c>
      <c r="B225" s="193">
        <f>'Données projet'!D208</f>
        <v>24.358974358974358</v>
      </c>
      <c r="C225" s="206">
        <v>50</v>
      </c>
      <c r="D225" s="191">
        <f t="shared" si="12"/>
        <v>1217.9487179487178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2">
        <f>'Données projet'!A209</f>
        <v>110</v>
      </c>
      <c r="B226" s="193">
        <f>'Données projet'!D209</f>
        <v>23.076923076923077</v>
      </c>
      <c r="C226" s="206">
        <v>60</v>
      </c>
      <c r="D226" s="191">
        <f t="shared" si="12"/>
        <v>1384.6153846153845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2">
        <f>'Données projet'!A210</f>
        <v>120</v>
      </c>
      <c r="B227" s="193">
        <f>'Données projet'!D210</f>
        <v>21.153846153846153</v>
      </c>
      <c r="C227" s="206">
        <v>70</v>
      </c>
      <c r="D227" s="191">
        <f t="shared" si="12"/>
        <v>1480.7692307692307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2">
        <f>'Données projet'!A211</f>
        <v>130</v>
      </c>
      <c r="B228" s="193">
        <f>'Données projet'!D211</f>
        <v>408.97435897435895</v>
      </c>
      <c r="C228" s="206">
        <v>80</v>
      </c>
      <c r="D228" s="191">
        <f t="shared" si="12"/>
        <v>32717.948717948715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6" t="str">
        <f>IF('Données projet'!$B$16="","",'Données projet'!$B$16)</f>
        <v>Pin taeda</v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2">
        <f>'Données projet'!A218</f>
        <v>17</v>
      </c>
      <c r="B240" s="193">
        <f>'Données projet'!D218</f>
        <v>42.084615384615383</v>
      </c>
      <c r="C240" s="206">
        <v>10</v>
      </c>
      <c r="D240" s="191">
        <f>B240*C240</f>
        <v>420.84615384615381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2">
        <f>'Données projet'!A219</f>
        <v>23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2">
        <f>'Données projet'!A220</f>
        <v>25</v>
      </c>
      <c r="B242" s="193">
        <f>'Données projet'!D220</f>
        <v>54.099999999999994</v>
      </c>
      <c r="C242" s="206">
        <v>20</v>
      </c>
      <c r="D242" s="191">
        <f t="shared" si="13"/>
        <v>1082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2">
        <f>'Données projet'!A221</f>
        <v>29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2">
        <f>'Données projet'!A222</f>
        <v>30</v>
      </c>
      <c r="B244" s="193">
        <f>'Données projet'!D222</f>
        <v>47.661538461538463</v>
      </c>
      <c r="C244" s="206">
        <v>25</v>
      </c>
      <c r="D244" s="191">
        <f t="shared" si="13"/>
        <v>1191.5384615384617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2">
        <f>'Données projet'!A223</f>
        <v>34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2">
        <f>'Données projet'!A224</f>
        <v>36</v>
      </c>
      <c r="B246" s="193">
        <f>'Données projet'!D224</f>
        <v>64.553846153846152</v>
      </c>
      <c r="C246" s="206">
        <v>30</v>
      </c>
      <c r="D246" s="191">
        <f t="shared" si="13"/>
        <v>1936.6153846153845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2">
        <f>'Données projet'!A225</f>
        <v>43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2">
        <f>'Données projet'!A226</f>
        <v>44</v>
      </c>
      <c r="B248" s="193">
        <f>'Données projet'!D226</f>
        <v>64.476923076923072</v>
      </c>
      <c r="C248" s="206">
        <v>35</v>
      </c>
      <c r="D248" s="191">
        <f t="shared" si="13"/>
        <v>2256.6923076923076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2">
        <f>'Données projet'!A227</f>
        <v>52</v>
      </c>
      <c r="B249" s="193">
        <f>'Données projet'!D227</f>
        <v>59.058823529411754</v>
      </c>
      <c r="C249" s="206">
        <v>40</v>
      </c>
      <c r="D249" s="191">
        <f t="shared" si="13"/>
        <v>2362.3529411764703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2">
        <f>'Données projet'!A228</f>
        <v>60</v>
      </c>
      <c r="B250" s="193">
        <f>'Données projet'!D228</f>
        <v>353.5</v>
      </c>
      <c r="C250" s="206">
        <v>50</v>
      </c>
      <c r="D250" s="191">
        <f t="shared" si="13"/>
        <v>17675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6" t="str">
        <f>IF('Données projet'!$B$17="","",'Données projet'!$B$17)</f>
        <v>Pin laricio</v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2">
        <f>'Données projet'!A244</f>
        <v>15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2">
        <f>'Données projet'!A245</f>
        <v>21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2">
        <f>'Données projet'!A246</f>
        <v>22</v>
      </c>
      <c r="B273" s="193">
        <f>'Données projet'!D246</f>
        <v>52.746153846153838</v>
      </c>
      <c r="C273" s="206">
        <v>15</v>
      </c>
      <c r="D273" s="191">
        <f t="shared" si="14"/>
        <v>791.19230769230762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2">
        <f>'Données projet'!A247</f>
        <v>24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2">
        <f>'Données projet'!A248</f>
        <v>27</v>
      </c>
      <c r="B275" s="193">
        <f>'Données projet'!D248</f>
        <v>34.646153846153844</v>
      </c>
      <c r="C275" s="206">
        <v>20</v>
      </c>
      <c r="D275" s="191">
        <f t="shared" si="14"/>
        <v>692.92307692307691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2">
        <f>'Données projet'!A249</f>
        <v>30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2">
        <f>'Données projet'!A250</f>
        <v>33</v>
      </c>
      <c r="B277" s="193">
        <f>'Données projet'!D250</f>
        <v>43.007692307692302</v>
      </c>
      <c r="C277" s="206">
        <v>25</v>
      </c>
      <c r="D277" s="191">
        <f t="shared" si="14"/>
        <v>1075.1923076923076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2">
        <f>'Données projet'!A251</f>
        <v>41</v>
      </c>
      <c r="B278" s="193">
        <f>'Données projet'!D251</f>
        <v>58.484615384615381</v>
      </c>
      <c r="C278" s="206">
        <v>30</v>
      </c>
      <c r="D278" s="191">
        <f t="shared" si="14"/>
        <v>1754.5384615384614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2">
        <f>'Données projet'!A252</f>
        <v>50</v>
      </c>
      <c r="B279" s="193">
        <f>'Données projet'!D252</f>
        <v>55.292307692307688</v>
      </c>
      <c r="C279" s="206">
        <v>35</v>
      </c>
      <c r="D279" s="191">
        <f t="shared" si="14"/>
        <v>1935.2307692307691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2">
        <f>'Données projet'!A253</f>
        <v>60</v>
      </c>
      <c r="B280" s="193">
        <f>'Données projet'!D253</f>
        <v>54.261538461538464</v>
      </c>
      <c r="C280" s="206">
        <v>40</v>
      </c>
      <c r="D280" s="191">
        <f t="shared" si="14"/>
        <v>2170.4615384615386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2">
        <f>'Données projet'!A254</f>
        <v>70</v>
      </c>
      <c r="B281" s="193">
        <f>'Données projet'!D254</f>
        <v>52.669230769230765</v>
      </c>
      <c r="C281" s="206">
        <v>45</v>
      </c>
      <c r="D281" s="191">
        <f t="shared" si="14"/>
        <v>2370.1153846153843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2">
        <f>'Données projet'!A255</f>
        <v>80</v>
      </c>
      <c r="B282" s="193">
        <f>'Données projet'!D255</f>
        <v>402.90769230769229</v>
      </c>
      <c r="C282" s="206">
        <v>50</v>
      </c>
      <c r="D282" s="191">
        <f t="shared" si="14"/>
        <v>20145.384615384613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6" t="str">
        <f>IF('Données projet'!$B$18="","",'Données projet'!$B$18)</f>
        <v>Cèdre de l'Atlas</v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2">
        <f>'Données projet'!A270</f>
        <v>30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2">
        <f>'Données projet'!A271</f>
        <v>40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2">
        <f>'Données projet'!A272</f>
        <v>51</v>
      </c>
      <c r="B304" s="193">
        <f>'Données projet'!D272</f>
        <v>170.16153846153847</v>
      </c>
      <c r="C304" s="204">
        <v>30</v>
      </c>
      <c r="D304" s="194">
        <f t="shared" si="15"/>
        <v>5104.8461538461543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2">
        <f>'Données projet'!A273</f>
        <v>56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2">
        <f>'Données projet'!A274</f>
        <v>61</v>
      </c>
      <c r="B306" s="193">
        <f>'Données projet'!D274</f>
        <v>94.76153846153845</v>
      </c>
      <c r="C306" s="204">
        <v>40</v>
      </c>
      <c r="D306" s="194">
        <f t="shared" si="15"/>
        <v>3790.4615384615381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2">
        <f>'Données projet'!A275</f>
        <v>67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2">
        <f>'Données projet'!A276</f>
        <v>73</v>
      </c>
      <c r="B308" s="193">
        <f>'Données projet'!D276</f>
        <v>93.584615384615375</v>
      </c>
      <c r="C308" s="204">
        <v>50</v>
      </c>
      <c r="D308" s="194">
        <f t="shared" si="15"/>
        <v>4679.2307692307686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2">
        <f>'Données projet'!A277</f>
        <v>79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2">
        <f>'Données projet'!A278</f>
        <v>85</v>
      </c>
      <c r="B310" s="193">
        <f>'Données projet'!D278</f>
        <v>85.207692307692298</v>
      </c>
      <c r="C310" s="204">
        <v>60</v>
      </c>
      <c r="D310" s="194">
        <f t="shared" si="15"/>
        <v>5112.4615384615381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2">
        <f>'Données projet'!A279</f>
        <v>91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2">
        <f>'Données projet'!A280</f>
        <v>97</v>
      </c>
      <c r="B312" s="193">
        <f>'Données projet'!D280</f>
        <v>79.669230769230765</v>
      </c>
      <c r="C312" s="204">
        <v>70</v>
      </c>
      <c r="D312" s="194">
        <f t="shared" si="15"/>
        <v>5576.8461538461534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2">
        <f>'Données projet'!A281</f>
        <v>103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2">
        <f>'Données projet'!A282</f>
        <v>109</v>
      </c>
      <c r="B314" s="193">
        <f>'Données projet'!D282</f>
        <v>80.653846153846146</v>
      </c>
      <c r="C314" s="204">
        <v>80</v>
      </c>
      <c r="D314" s="194">
        <f t="shared" si="15"/>
        <v>6452.3076923076915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2">
        <f>'Données projet'!A283</f>
        <v>115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2">
        <f>'Données projet'!A284</f>
        <v>121</v>
      </c>
      <c r="B316" s="193">
        <f>'Données projet'!D284</f>
        <v>207.07692307692307</v>
      </c>
      <c r="C316" s="204">
        <v>90</v>
      </c>
      <c r="D316" s="194">
        <f t="shared" si="15"/>
        <v>18636.923076923074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2">
        <f>'Données projet'!A285</f>
        <v>126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2">
        <f>'Données projet'!A286</f>
        <v>131</v>
      </c>
      <c r="B318" s="193">
        <f>'Données projet'!D286</f>
        <v>259.61538461538458</v>
      </c>
      <c r="C318" s="204">
        <v>100</v>
      </c>
      <c r="D318" s="194">
        <f t="shared" si="15"/>
        <v>25961.538461538457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Olivier GLEIZES (CNPF - C+FOR)</cp:lastModifiedBy>
  <dcterms:created xsi:type="dcterms:W3CDTF">2021-02-01T08:22:39Z</dcterms:created>
  <dcterms:modified xsi:type="dcterms:W3CDTF">2024-01-03T13:24:38Z</dcterms:modified>
</cp:coreProperties>
</file>